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Sheet" sheetId="1" state="visible" r:id="rId1"/>
  </sheets>
  <definedNames>
    <definedName name="_xlnm._FilterDatabase" localSheetId="0" hidden="1">'Sheet'!$A$1:$W$5152</definedName>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b val="1"/>
      <sz val="11"/>
    </font>
    <font>
      <name val="Calibri"/>
      <family val="2"/>
      <color theme="10"/>
      <sz val="12"/>
      <scheme val="minor"/>
    </font>
  </fonts>
  <fills count="5">
    <fill>
      <patternFill/>
    </fill>
    <fill>
      <patternFill patternType="gray125"/>
    </fill>
    <fill>
      <patternFill patternType="solid">
        <fgColor rgb="FF91BF4D"/>
        <bgColor rgb="FF91BF4D"/>
      </patternFill>
    </fill>
    <fill>
      <patternFill patternType="solid">
        <fgColor rgb="FFFFC000"/>
        <bgColor indexed="64"/>
      </patternFill>
    </fill>
    <fill>
      <patternFill patternType="solid">
        <fgColor rgb="FFFFC000"/>
        <bgColor rgb="FF91BF4D"/>
      </patternFill>
    </fill>
  </fills>
  <borders count="1">
    <border>
      <left/>
      <right/>
      <top/>
      <bottom/>
      <diagonal/>
    </border>
  </borders>
  <cellStyleXfs count="2">
    <xf numFmtId="0" fontId="0" fillId="0" borderId="0"/>
    <xf numFmtId="0" fontId="2" fillId="0" borderId="0"/>
  </cellStyleXfs>
  <cellXfs count="6">
    <xf numFmtId="0" fontId="0" fillId="0" borderId="0" pivotButton="0" quotePrefix="0" xfId="0"/>
    <xf numFmtId="0" fontId="1" fillId="2" borderId="0" pivotButton="0" quotePrefix="0" xfId="0"/>
    <xf numFmtId="0" fontId="2" fillId="0" borderId="0" pivotButton="0" quotePrefix="0" xfId="1"/>
    <xf numFmtId="0" fontId="1" fillId="3" borderId="0" pivotButton="0" quotePrefix="0" xfId="0"/>
    <xf numFmtId="0" fontId="1" fillId="4" borderId="0" pivotButton="0" quotePrefix="0" xfId="0"/>
    <xf numFmtId="0" fontId="0" fillId="3"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5152"/>
  <sheetViews>
    <sheetView tabSelected="1" workbookViewId="0">
      <pane ySplit="1" topLeftCell="A4961" activePane="bottomLeft" state="frozen"/>
      <selection pane="bottomLeft" activeCell="J1" sqref="J1:J1048576"/>
    </sheetView>
  </sheetViews>
  <sheetFormatPr baseColWidth="8" defaultRowHeight="75" customHeight="1"/>
  <cols>
    <col width="4.42578125" customWidth="1" min="1" max="1"/>
    <col width="26.42578125" customWidth="1" min="3" max="3"/>
    <col width="32.28515625" customWidth="1" min="4" max="4"/>
    <col width="30.7109375" customWidth="1" min="7" max="8"/>
  </cols>
  <sheetData>
    <row r="1" ht="20.25" customFormat="1" customHeight="1" s="5">
      <c r="A1" s="3" t="inlineStr">
        <is>
          <t>url</t>
        </is>
      </c>
      <c r="B1" s="3" t="inlineStr">
        <is>
          <t>canonicalUrl</t>
        </is>
      </c>
      <c r="C1" s="3" t="inlineStr">
        <is>
          <t>name</t>
        </is>
      </c>
      <c r="D1" s="3" t="inlineStr">
        <is>
          <t>Amazon Product Title</t>
        </is>
      </c>
      <c r="E1" s="3" t="inlineStr">
        <is>
          <t>Amazon Product URL</t>
        </is>
      </c>
      <c r="F1" s="3" t="inlineStr">
        <is>
          <t>ASIN</t>
        </is>
      </c>
      <c r="G1" s="3" t="inlineStr">
        <is>
          <t>Source Image</t>
        </is>
      </c>
      <c r="H1" s="3" t="inlineStr">
        <is>
          <t>Amazon Image</t>
        </is>
      </c>
      <c r="I1" s="3" t="inlineStr">
        <is>
          <t>Qualified?</t>
        </is>
      </c>
      <c r="J1" s="3" t="inlineStr">
        <is>
          <t>Notes</t>
        </is>
      </c>
      <c r="K1" s="3" t="inlineStr">
        <is>
          <t>offers/0/price</t>
        </is>
      </c>
      <c r="L1" s="3" t="inlineStr">
        <is>
          <t>Amazon Price</t>
        </is>
      </c>
      <c r="M1" s="4" t="inlineStr">
        <is>
          <t>ROI</t>
        </is>
      </c>
      <c r="N1" s="3" t="inlineStr">
        <is>
          <t>Rating</t>
        </is>
      </c>
      <c r="O1" s="3" t="inlineStr">
        <is>
          <t>ReviewCount</t>
        </is>
      </c>
      <c r="P1" s="3" t="inlineStr">
        <is>
          <t>offerCount</t>
        </is>
      </c>
      <c r="Q1" s="3" t="inlineStr">
        <is>
          <t>offers/0/availability</t>
        </is>
      </c>
      <c r="R1" s="3" t="inlineStr">
        <is>
          <t>offers/0/regularPrice</t>
        </is>
      </c>
      <c r="S1" s="3" t="inlineStr">
        <is>
          <t>sku</t>
        </is>
      </c>
      <c r="T1" s="3" t="inlineStr">
        <is>
          <t>Match?</t>
        </is>
      </c>
      <c r="U1" s="3" t="inlineStr">
        <is>
          <t>Qualified?</t>
        </is>
      </c>
      <c r="V1" s="3" t="inlineStr">
        <is>
          <t>Approved</t>
        </is>
      </c>
      <c r="W1" s="3" t="inlineStr">
        <is>
          <t>Notes</t>
        </is>
      </c>
    </row>
    <row r="2" ht="75" customHeight="1">
      <c r="A2" s="2">
        <f>HYPERLINK("https://camerareadycosmetics.com/products/andrea-curl-lash-90", "https://camerareadycosmetics.com/products/andrea-curl-lash-90")</f>
        <v/>
      </c>
      <c r="B2" s="2">
        <f>HYPERLINK("https://camerareadycosmetics.com/products/andrea-curl-lash-90", "https://camerareadycosmetics.com/products/andrea-curl-lash-90")</f>
        <v/>
      </c>
      <c r="C2" t="inlineStr">
        <is>
          <t>Andrea Curl Lash 90</t>
        </is>
      </c>
      <c r="D2" t="inlineStr">
        <is>
          <t>Andrea Curl False Lashes 90, 4 pack</t>
        </is>
      </c>
      <c r="E2" s="2">
        <f>HYPERLINK("https://www.amazon.com/Andrea-Curl-False-Lashes-pack/dp/B07W6RK7R2/ref=sr_1_1?keywords=Andrea+Curl+Lash+90&amp;qid=1695565483&amp;sr=8-1", "https://www.amazon.com/Andrea-Curl-False-Lashes-pack/dp/B07W6RK7R2/ref=sr_1_1?keywords=Andrea+Curl+Lash+90&amp;qid=1695565483&amp;sr=8-1")</f>
        <v/>
      </c>
      <c r="F2" t="inlineStr">
        <is>
          <t>B07W6RK7R2</t>
        </is>
      </c>
      <c r="G2">
        <f>_xlfn.IMAGE("https://camerareadycosmetics.com/cdn/shop/products/90_50x.jpg?v=1506756152")</f>
        <v/>
      </c>
      <c r="H2">
        <f>_xlfn.IMAGE("https://m.media-amazon.com/images/I/6165yxvNsPL._AC_UL320_.jpg")</f>
        <v/>
      </c>
      <c r="K2" t="inlineStr">
        <is>
          <t>3.5</t>
        </is>
      </c>
      <c r="L2" t="n">
        <v>12.08</v>
      </c>
      <c r="M2" s="1" t="inlineStr">
        <is>
          <t>245.14%</t>
        </is>
      </c>
      <c r="N2" t="n">
        <v>4.7</v>
      </c>
      <c r="O2" t="n">
        <v>101</v>
      </c>
      <c r="Q2" t="inlineStr">
        <is>
          <t>InStock</t>
        </is>
      </c>
      <c r="R2" t="inlineStr">
        <is>
          <t>undefined</t>
        </is>
      </c>
      <c r="S2" t="inlineStr">
        <is>
          <t>10990714890</t>
        </is>
      </c>
    </row>
    <row r="3" ht="75" customHeight="1">
      <c r="A3" s="2">
        <f>HYPERLINK("https://camerareadycosmetics.com/products/andrea-curl-lash-91", "https://camerareadycosmetics.com/products/andrea-curl-lash-91")</f>
        <v/>
      </c>
      <c r="B3" s="2">
        <f>HYPERLINK("https://camerareadycosmetics.com/products/andrea-curl-lash-91", "https://camerareadycosmetics.com/products/andrea-curl-lash-91")</f>
        <v/>
      </c>
      <c r="C3" t="inlineStr">
        <is>
          <t>Andrea Curl Lash 91</t>
        </is>
      </c>
      <c r="D3" t="inlineStr">
        <is>
          <t>Andrea Curl False Lashes 92, 4 packs</t>
        </is>
      </c>
      <c r="E3" s="2">
        <f>HYPERLINK("https://www.amazon.com/Andrea-Curl-False-Lashes-packs/dp/B07W7VQC4H/ref=sr_1_1?keywords=Andrea+Curl+Lash+91&amp;qid=1695565496&amp;sr=8-1", "https://www.amazon.com/Andrea-Curl-False-Lashes-packs/dp/B07W7VQC4H/ref=sr_1_1?keywords=Andrea+Curl+Lash+91&amp;qid=1695565496&amp;sr=8-1")</f>
        <v/>
      </c>
      <c r="F3" t="inlineStr">
        <is>
          <t>B07W7VQC4H</t>
        </is>
      </c>
      <c r="G3">
        <f>_xlfn.IMAGE("https://camerareadycosmetics.com/cdn/shop/products/91_50x.jpg?v=1506756154")</f>
        <v/>
      </c>
      <c r="H3">
        <f>_xlfn.IMAGE("https://m.media-amazon.com/images/I/61L-291xYzL._AC_UL320_.jpg")</f>
        <v/>
      </c>
      <c r="K3" t="inlineStr">
        <is>
          <t>3.5</t>
        </is>
      </c>
      <c r="L3" t="n">
        <v>15.95</v>
      </c>
      <c r="M3" s="1" t="inlineStr">
        <is>
          <t>355.71%</t>
        </is>
      </c>
      <c r="N3" t="n">
        <v>4.7</v>
      </c>
      <c r="O3" t="n">
        <v>101</v>
      </c>
      <c r="Q3" t="inlineStr">
        <is>
          <t>InStock</t>
        </is>
      </c>
      <c r="R3" t="inlineStr">
        <is>
          <t>undefined</t>
        </is>
      </c>
      <c r="S3" t="inlineStr">
        <is>
          <t>10990753994</t>
        </is>
      </c>
    </row>
    <row r="4" ht="75" customHeight="1">
      <c r="A4" s="2">
        <f>HYPERLINK("https://camerareadycosmetics.com/products/andrea-curl-lash-92", "https://camerareadycosmetics.com/products/andrea-curl-lash-92")</f>
        <v/>
      </c>
      <c r="B4" s="2">
        <f>HYPERLINK("https://camerareadycosmetics.com/products/andrea-curl-lash-92", "https://camerareadycosmetics.com/products/andrea-curl-lash-92")</f>
        <v/>
      </c>
      <c r="C4" t="inlineStr">
        <is>
          <t>Andrea Curl Lash 92</t>
        </is>
      </c>
      <c r="D4" t="inlineStr">
        <is>
          <t>Andrea Curl False Lashes 92, 4 packs</t>
        </is>
      </c>
      <c r="E4" s="2">
        <f>HYPERLINK("https://www.amazon.com/Andrea-Curl-False-Lashes-packs/dp/B07W7VQC4H/ref=sr_1_1?keywords=Andrea+Curl+Lash+92&amp;qid=1695565478&amp;sr=8-1", "https://www.amazon.com/Andrea-Curl-False-Lashes-packs/dp/B07W7VQC4H/ref=sr_1_1?keywords=Andrea+Curl+Lash+92&amp;qid=1695565478&amp;sr=8-1")</f>
        <v/>
      </c>
      <c r="F4" t="inlineStr">
        <is>
          <t>B07W7VQC4H</t>
        </is>
      </c>
      <c r="G4">
        <f>_xlfn.IMAGE("https://camerareadycosmetics.com/cdn/shop/products/sku_thumb102_50x.jpg?v=1506756156")</f>
        <v/>
      </c>
      <c r="H4">
        <f>_xlfn.IMAGE("https://m.media-amazon.com/images/I/61L-291xYzL._AC_UL320_.jpg")</f>
        <v/>
      </c>
      <c r="K4" t="inlineStr">
        <is>
          <t>3.5</t>
        </is>
      </c>
      <c r="L4" t="n">
        <v>15.95</v>
      </c>
      <c r="M4" s="1" t="inlineStr">
        <is>
          <t>355.71%</t>
        </is>
      </c>
      <c r="N4" t="n">
        <v>4.7</v>
      </c>
      <c r="O4" t="n">
        <v>101</v>
      </c>
      <c r="Q4" t="inlineStr">
        <is>
          <t>InStock</t>
        </is>
      </c>
      <c r="R4" t="inlineStr">
        <is>
          <t>undefined</t>
        </is>
      </c>
      <c r="S4" t="inlineStr">
        <is>
          <t>10990794826</t>
        </is>
      </c>
    </row>
    <row r="5" ht="75" customHeight="1">
      <c r="A5" s="2">
        <f>HYPERLINK("https://camerareadycosmetics.com/products/ardell-accent-lashes-301-black-61301", "https://camerareadycosmetics.com/products/ardell-accent-lashes-301-black-61301")</f>
        <v/>
      </c>
      <c r="B5" s="2">
        <f>HYPERLINK("https://camerareadycosmetics.com/products/ardell-accent-lashes-301-black-61301", "https://camerareadycosmetics.com/products/ardell-accent-lashes-301-black-61301")</f>
        <v/>
      </c>
      <c r="C5" t="inlineStr">
        <is>
          <t>Ardell Accent Lashes 301 - Black (61301)</t>
        </is>
      </c>
      <c r="D5" t="inlineStr">
        <is>
          <t>Ardell Accents Lashes Pair Black - 301 (Pack of 6 Pairs)</t>
        </is>
      </c>
      <c r="E5" s="2">
        <f>HYPERLINK("https://www.amazon.com/Ardell-Accents-Lashes-Pair-Black/dp/B0121K2IWE/ref=sr_1_3?keywords=Ardell+Accent+Lashes+301+-+Black+%2861301%29&amp;qid=1695565573&amp;sr=8-3", "https://www.amazon.com/Ardell-Accents-Lashes-Pair-Black/dp/B0121K2IWE/ref=sr_1_3?keywords=Ardell+Accent+Lashes+301+-+Black+%2861301%29&amp;qid=1695565573&amp;sr=8-3")</f>
        <v/>
      </c>
      <c r="F5" t="inlineStr">
        <is>
          <t>B0121K2IWE</t>
        </is>
      </c>
      <c r="G5">
        <f>_xlfn.IMAGE("https://camerareadycosmetics.com/cdn/shop/products/301AccentAR__60903.1461770460.600.600_50x.jpeg?v=1689659591")</f>
        <v/>
      </c>
      <c r="H5">
        <f>_xlfn.IMAGE("https://m.media-amazon.com/images/I/71Lh6RQWChL._AC_UL320_.jpg")</f>
        <v/>
      </c>
      <c r="K5" t="inlineStr">
        <is>
          <t>5.0</t>
        </is>
      </c>
      <c r="L5" t="n">
        <v>19.99</v>
      </c>
      <c r="M5" s="1" t="inlineStr">
        <is>
          <t>299.80%</t>
        </is>
      </c>
      <c r="N5" t="n">
        <v>5</v>
      </c>
      <c r="O5" t="n">
        <v>2</v>
      </c>
      <c r="Q5" t="inlineStr">
        <is>
          <t>InStock</t>
        </is>
      </c>
      <c r="R5" t="inlineStr">
        <is>
          <t>undefined</t>
        </is>
      </c>
      <c r="S5" t="inlineStr">
        <is>
          <t>7050793351</t>
        </is>
      </c>
    </row>
    <row r="6" ht="75" customHeight="1">
      <c r="A6" s="2">
        <f>HYPERLINK("https://camerareadycosmetics.com/products/ardell-accent-lashes-301-black-61301", "https://camerareadycosmetics.com/products/ardell-accent-lashes-301-black-61301")</f>
        <v/>
      </c>
      <c r="B6" s="2">
        <f>HYPERLINK("https://camerareadycosmetics.com/products/ardell-accent-lashes-301-black-61301", "https://camerareadycosmetics.com/products/ardell-accent-lashes-301-black-61301")</f>
        <v/>
      </c>
      <c r="C6" t="inlineStr">
        <is>
          <t>Ardell Accent Lashes 301 - Black (61301)</t>
        </is>
      </c>
      <c r="D6" t="inlineStr">
        <is>
          <t>Ardell Lash Accents Pair Style 301, Black (8-Pack)</t>
        </is>
      </c>
      <c r="E6" s="2">
        <f>HYPERLINK("https://www.amazon.com/Ardell-Accents-Style-Black-8-Pack/dp/B01DT6TAIE/ref=sr_1_1?keywords=Ardell+Accent+Lashes+301+-+Black+%2861301%29&amp;qid=1695565573&amp;sr=8-1", "https://www.amazon.com/Ardell-Accents-Style-Black-8-Pack/dp/B01DT6TAIE/ref=sr_1_1?keywords=Ardell+Accent+Lashes+301+-+Black+%2861301%29&amp;qid=1695565573&amp;sr=8-1")</f>
        <v/>
      </c>
      <c r="F6" t="inlineStr">
        <is>
          <t>B01DT6TAIE</t>
        </is>
      </c>
      <c r="G6">
        <f>_xlfn.IMAGE("https://camerareadycosmetics.com/cdn/shop/products/301AccentAR__60903.1461770460.600.600_50x.jpeg?v=1689659591")</f>
        <v/>
      </c>
      <c r="H6">
        <f>_xlfn.IMAGE("https://m.media-amazon.com/images/I/71GOQrt82oL._AC_UL320_.jpg")</f>
        <v/>
      </c>
      <c r="K6" t="inlineStr">
        <is>
          <t>5.0</t>
        </is>
      </c>
      <c r="L6" t="n">
        <v>19.79</v>
      </c>
      <c r="M6" s="1" t="inlineStr">
        <is>
          <t>295.80%</t>
        </is>
      </c>
      <c r="N6" t="n">
        <v>4.4</v>
      </c>
      <c r="O6" t="n">
        <v>94</v>
      </c>
      <c r="Q6" t="inlineStr">
        <is>
          <t>InStock</t>
        </is>
      </c>
      <c r="R6" t="inlineStr">
        <is>
          <t>undefined</t>
        </is>
      </c>
      <c r="S6" t="inlineStr">
        <is>
          <t>7050793351</t>
        </is>
      </c>
    </row>
    <row r="7" ht="75" customHeight="1">
      <c r="A7" s="2">
        <f>HYPERLINK("https://camerareadycosmetics.com/products/ardell-accent-lashes-301-black-61301", "https://camerareadycosmetics.com/products/ardell-accent-lashes-301-black-61301")</f>
        <v/>
      </c>
      <c r="B7" s="2">
        <f>HYPERLINK("https://camerareadycosmetics.com/products/ardell-accent-lashes-301-black-61301", "https://camerareadycosmetics.com/products/ardell-accent-lashes-301-black-61301")</f>
        <v/>
      </c>
      <c r="C7" t="inlineStr">
        <is>
          <t>Ardell Accent Lashes 301 - Black (61301)</t>
        </is>
      </c>
      <c r="D7" t="inlineStr">
        <is>
          <t>Ardell Accent Lashes 301, 4 Pack</t>
        </is>
      </c>
      <c r="E7" s="2">
        <f>HYPERLINK("https://www.amazon.com/Ardell-Accent-Lashes-301-Pack/dp/B07RHWHQ6S/ref=sr_1_2?keywords=Ardell+Accent+Lashes+301+-+Black+%2861301%29&amp;qid=1695565573&amp;sr=8-2", "https://www.amazon.com/Ardell-Accent-Lashes-301-Pack/dp/B07RHWHQ6S/ref=sr_1_2?keywords=Ardell+Accent+Lashes+301+-+Black+%2861301%29&amp;qid=1695565573&amp;sr=8-2")</f>
        <v/>
      </c>
      <c r="F7" t="inlineStr">
        <is>
          <t>B07RHWHQ6S</t>
        </is>
      </c>
      <c r="G7">
        <f>_xlfn.IMAGE("https://camerareadycosmetics.com/cdn/shop/products/301AccentAR__60903.1461770460.600.600_50x.jpeg?v=1689659591")</f>
        <v/>
      </c>
      <c r="H7">
        <f>_xlfn.IMAGE("https://m.media-amazon.com/images/I/61dlOm7PyaL._AC_UL320_.jpg")</f>
        <v/>
      </c>
      <c r="K7" t="inlineStr">
        <is>
          <t>5.0</t>
        </is>
      </c>
      <c r="L7" t="n">
        <v>9.890000000000001</v>
      </c>
      <c r="M7" s="1" t="inlineStr">
        <is>
          <t>97.80%</t>
        </is>
      </c>
      <c r="N7" t="n">
        <v>4.4</v>
      </c>
      <c r="O7" t="n">
        <v>1167</v>
      </c>
      <c r="Q7" t="inlineStr">
        <is>
          <t>InStock</t>
        </is>
      </c>
      <c r="R7" t="inlineStr">
        <is>
          <t>undefined</t>
        </is>
      </c>
      <c r="S7" t="inlineStr">
        <is>
          <t>7050793351</t>
        </is>
      </c>
    </row>
    <row r="8" ht="75" customHeight="1">
      <c r="A8" s="2">
        <f>HYPERLINK("https://camerareadycosmetics.com/products/ardell-accent-lashes-301-black-61301", "https://camerareadycosmetics.com/products/ardell-accent-lashes-301-black-61301")</f>
        <v/>
      </c>
      <c r="B8" s="2">
        <f>HYPERLINK("https://camerareadycosmetics.com/products/ardell-accent-lashes-301-black-61301", "https://camerareadycosmetics.com/products/ardell-accent-lashes-301-black-61301")</f>
        <v/>
      </c>
      <c r="C8" t="inlineStr">
        <is>
          <t>Ardell Accent Lashes 301 - Black (61301)</t>
        </is>
      </c>
      <c r="D8" t="inlineStr">
        <is>
          <t>Andrea Strip Lashes, Accent Lash #301, (61301) 1 Pair (Pack of 4)</t>
        </is>
      </c>
      <c r="E8" s="2">
        <f>HYPERLINK("https://www.amazon.com/Andrea-Strip-Lashes-Accent-61301/dp/B003ZS1O2W/ref=sr_1_5?keywords=Ardell+Accent+Lashes+301+-+Black+%2861301%29&amp;qid=1695565573&amp;sr=8-5", "https://www.amazon.com/Andrea-Strip-Lashes-Accent-61301/dp/B003ZS1O2W/ref=sr_1_5?keywords=Ardell+Accent+Lashes+301+-+Black+%2861301%29&amp;qid=1695565573&amp;sr=8-5")</f>
        <v/>
      </c>
      <c r="F8" t="inlineStr">
        <is>
          <t>B003ZS1O2W</t>
        </is>
      </c>
      <c r="G8">
        <f>_xlfn.IMAGE("https://camerareadycosmetics.com/cdn/shop/products/301AccentAR__60903.1461770460.600.600_50x.jpeg?v=1689659591")</f>
        <v/>
      </c>
      <c r="H8">
        <f>_xlfn.IMAGE("https://m.media-amazon.com/images/I/71ZkkPLu-UL._AC_UL320_.jpg")</f>
        <v/>
      </c>
      <c r="K8" t="inlineStr">
        <is>
          <t>5.0</t>
        </is>
      </c>
      <c r="L8" t="n">
        <v>7.48</v>
      </c>
      <c r="M8" s="1" t="inlineStr">
        <is>
          <t>49.60%</t>
        </is>
      </c>
      <c r="N8" t="n">
        <v>4.4</v>
      </c>
      <c r="O8" t="n">
        <v>916</v>
      </c>
      <c r="Q8" t="inlineStr">
        <is>
          <t>InStock</t>
        </is>
      </c>
      <c r="R8" t="inlineStr">
        <is>
          <t>undefined</t>
        </is>
      </c>
      <c r="S8" t="inlineStr">
        <is>
          <t>7050793351</t>
        </is>
      </c>
    </row>
    <row r="9" ht="75" customHeight="1">
      <c r="A9" s="2">
        <f>HYPERLINK("https://camerareadycosmetics.com/products/ardell-accent-lashes-301-black-61301", "https://camerareadycosmetics.com/products/ardell-accent-lashes-301-black-61301")</f>
        <v/>
      </c>
      <c r="B9" s="2">
        <f>HYPERLINK("https://camerareadycosmetics.com/products/ardell-accent-lashes-301-black-61301", "https://camerareadycosmetics.com/products/ardell-accent-lashes-301-black-61301")</f>
        <v/>
      </c>
      <c r="C9" t="inlineStr">
        <is>
          <t>Ardell Accent Lashes 301 - Black (61301)</t>
        </is>
      </c>
      <c r="D9" t="inlineStr">
        <is>
          <t>Ardell Accent Lashes, Black [305] 1 ea</t>
        </is>
      </c>
      <c r="E9" s="2">
        <f>HYPERLINK("https://www.amazon.com/Ardell-Accent-Lashes-Black-305/dp/B01CKCDZCK/ref=sr_1_10?keywords=Ardell+Accent+Lashes+301+-+Black+%2861301%29&amp;qid=1695565573&amp;sr=8-10", "https://www.amazon.com/Ardell-Accent-Lashes-Black-305/dp/B01CKCDZCK/ref=sr_1_10?keywords=Ardell+Accent+Lashes+301+-+Black+%2861301%29&amp;qid=1695565573&amp;sr=8-10")</f>
        <v/>
      </c>
      <c r="F9" t="inlineStr">
        <is>
          <t>B01CKCDZCK</t>
        </is>
      </c>
      <c r="G9">
        <f>_xlfn.IMAGE("https://camerareadycosmetics.com/cdn/shop/products/301AccentAR__60903.1461770460.600.600_50x.jpeg?v=1689659591")</f>
        <v/>
      </c>
      <c r="H9">
        <f>_xlfn.IMAGE("https://m.media-amazon.com/images/I/41mM-CHE4zL._AC_UL320_.jpg")</f>
        <v/>
      </c>
      <c r="K9" t="inlineStr">
        <is>
          <t>5.0</t>
        </is>
      </c>
      <c r="L9" t="n">
        <v>6.05</v>
      </c>
      <c r="M9" s="1" t="inlineStr">
        <is>
          <t>21.00%</t>
        </is>
      </c>
      <c r="N9" t="n">
        <v>3.3</v>
      </c>
      <c r="O9" t="n">
        <v>8</v>
      </c>
      <c r="Q9" t="inlineStr">
        <is>
          <t>InStock</t>
        </is>
      </c>
      <c r="R9" t="inlineStr">
        <is>
          <t>undefined</t>
        </is>
      </c>
      <c r="S9" t="inlineStr">
        <is>
          <t>7050793351</t>
        </is>
      </c>
    </row>
    <row r="10" ht="75" customHeight="1">
      <c r="A10" s="2">
        <f>HYPERLINK("https://camerareadycosmetics.com/products/ardell-accent-lashes-301-black-61301", "https://camerareadycosmetics.com/products/ardell-accent-lashes-301-black-61301")</f>
        <v/>
      </c>
      <c r="B10" s="2">
        <f>HYPERLINK("https://camerareadycosmetics.com/products/ardell-accent-lashes-301-black-61301", "https://camerareadycosmetics.com/products/ardell-accent-lashes-301-black-61301")</f>
        <v/>
      </c>
      <c r="C10" t="inlineStr">
        <is>
          <t>Ardell Accent Lashes 301 - Black (61301)</t>
        </is>
      </c>
      <c r="D10" t="inlineStr">
        <is>
          <t>Ardell Accent Lashes, Black [301] 1 Pair</t>
        </is>
      </c>
      <c r="E10" s="2">
        <f>HYPERLINK("https://www.amazon.com/Ardell-Accent-Lashes-Black-Pair/dp/B01CKCDWLE/ref=sr_1_4?keywords=Ardell+Accent+Lashes+301+-+Black+%2861301%29&amp;qid=1695565573&amp;sr=8-4", "https://www.amazon.com/Ardell-Accent-Lashes-Black-Pair/dp/B01CKCDWLE/ref=sr_1_4?keywords=Ardell+Accent+Lashes+301+-+Black+%2861301%29&amp;qid=1695565573&amp;sr=8-4")</f>
        <v/>
      </c>
      <c r="F10" t="inlineStr">
        <is>
          <t>B01CKCDWLE</t>
        </is>
      </c>
      <c r="G10">
        <f>_xlfn.IMAGE("https://camerareadycosmetics.com/cdn/shop/products/301AccentAR__60903.1461770460.600.600_50x.jpeg?v=1689659591")</f>
        <v/>
      </c>
      <c r="H10">
        <f>_xlfn.IMAGE("https://m.media-amazon.com/images/I/71SuhAMq7GL._AC_UL320_.jpg")</f>
        <v/>
      </c>
      <c r="K10" t="inlineStr">
        <is>
          <t>5.0</t>
        </is>
      </c>
      <c r="L10" t="n">
        <v>4.48</v>
      </c>
      <c r="M10" s="1" t="inlineStr">
        <is>
          <t>-10.40%</t>
        </is>
      </c>
      <c r="N10" t="n">
        <v>4.3</v>
      </c>
      <c r="O10" t="n">
        <v>272</v>
      </c>
      <c r="Q10" t="inlineStr">
        <is>
          <t>InStock</t>
        </is>
      </c>
      <c r="R10" t="inlineStr">
        <is>
          <t>undefined</t>
        </is>
      </c>
      <c r="S10" t="inlineStr">
        <is>
          <t>7050793351</t>
        </is>
      </c>
    </row>
    <row r="11" ht="75" customHeight="1">
      <c r="A11" s="2">
        <f>HYPERLINK("https://camerareadycosmetics.com/products/ardell-accent-lashes-315-black-61315", "https://camerareadycosmetics.com/products/ardell-accent-lashes-315-black-61315")</f>
        <v/>
      </c>
      <c r="B11" s="2">
        <f>HYPERLINK("https://camerareadycosmetics.com/products/ardell-accent-lashes-315-black-61315", "https://camerareadycosmetics.com/products/ardell-accent-lashes-315-black-61315")</f>
        <v/>
      </c>
      <c r="C11" t="inlineStr">
        <is>
          <t>Ardell Accent Lashes 315 - Black (61315)</t>
        </is>
      </c>
      <c r="D11" t="inlineStr">
        <is>
          <t>Ardell Accent Lashes 315, 4 Pack</t>
        </is>
      </c>
      <c r="E11" s="2">
        <f>HYPERLINK("https://www.amazon.com/Ardell-Accent-Lashes-315-Pack/dp/B07RFTSCLM/ref=sr_1_1?keywords=Ardell+Accent+Lashes+315+-+Black+%2861315%29&amp;qid=1695565659&amp;sr=8-1", "https://www.amazon.com/Ardell-Accent-Lashes-315-Pack/dp/B07RFTSCLM/ref=sr_1_1?keywords=Ardell+Accent+Lashes+315+-+Black+%2861315%29&amp;qid=1695565659&amp;sr=8-1")</f>
        <v/>
      </c>
      <c r="F11" t="inlineStr">
        <is>
          <t>B07RFTSCLM</t>
        </is>
      </c>
      <c r="G11">
        <f>_xlfn.IMAGE("https://camerareadycosmetics.com/cdn/shop/products/315AccentAR__76213.1461770982.600.600_50x.jpeg?v=1689659605")</f>
        <v/>
      </c>
      <c r="H11">
        <f>_xlfn.IMAGE("https://m.media-amazon.com/images/I/61nSIFUtMnL._AC_UL320_.jpg")</f>
        <v/>
      </c>
      <c r="K11" t="inlineStr">
        <is>
          <t>5.0</t>
        </is>
      </c>
      <c r="L11" t="n">
        <v>13.99</v>
      </c>
      <c r="M11" s="1" t="inlineStr">
        <is>
          <t>179.80%</t>
        </is>
      </c>
      <c r="N11" t="n">
        <v>4.4</v>
      </c>
      <c r="O11" t="n">
        <v>1167</v>
      </c>
      <c r="Q11" t="inlineStr">
        <is>
          <t>InStock</t>
        </is>
      </c>
      <c r="R11" t="inlineStr">
        <is>
          <t>undefined</t>
        </is>
      </c>
      <c r="S11" t="inlineStr">
        <is>
          <t>7050803719</t>
        </is>
      </c>
    </row>
    <row r="12" ht="75" customHeight="1">
      <c r="A12" s="2">
        <f>HYPERLINK("https://camerareadycosmetics.com/products/ardell-accent-lashes-315-black-61315", "https://camerareadycosmetics.com/products/ardell-accent-lashes-315-black-61315")</f>
        <v/>
      </c>
      <c r="B12" s="2">
        <f>HYPERLINK("https://camerareadycosmetics.com/products/ardell-accent-lashes-315-black-61315", "https://camerareadycosmetics.com/products/ardell-accent-lashes-315-black-61315")</f>
        <v/>
      </c>
      <c r="C12" t="inlineStr">
        <is>
          <t>Ardell Accent Lashes 315 - Black (61315)</t>
        </is>
      </c>
      <c r="D12" t="inlineStr">
        <is>
          <t>Ardell Accent Lashes, Black [305] 1 ea</t>
        </is>
      </c>
      <c r="E12" s="2">
        <f>HYPERLINK("https://www.amazon.com/Ardell-Accent-Lashes-Black-305/dp/B01CKCDZCK/ref=sr_1_6?keywords=Ardell+Accent+Lashes+315+-+Black+%2861315%29&amp;qid=1695565659&amp;sr=8-6", "https://www.amazon.com/Ardell-Accent-Lashes-Black-305/dp/B01CKCDZCK/ref=sr_1_6?keywords=Ardell+Accent+Lashes+315+-+Black+%2861315%29&amp;qid=1695565659&amp;sr=8-6")</f>
        <v/>
      </c>
      <c r="F12" t="inlineStr">
        <is>
          <t>B01CKCDZCK</t>
        </is>
      </c>
      <c r="G12">
        <f>_xlfn.IMAGE("https://camerareadycosmetics.com/cdn/shop/products/315AccentAR__76213.1461770982.600.600_50x.jpeg?v=1689659605")</f>
        <v/>
      </c>
      <c r="H12">
        <f>_xlfn.IMAGE("https://m.media-amazon.com/images/I/41mM-CHE4zL._AC_UL320_.jpg")</f>
        <v/>
      </c>
      <c r="K12" t="inlineStr">
        <is>
          <t>5.0</t>
        </is>
      </c>
      <c r="L12" t="n">
        <v>6.05</v>
      </c>
      <c r="M12" s="1" t="inlineStr">
        <is>
          <t>21.00%</t>
        </is>
      </c>
      <c r="N12" t="n">
        <v>3.3</v>
      </c>
      <c r="O12" t="n">
        <v>8</v>
      </c>
      <c r="Q12" t="inlineStr">
        <is>
          <t>InStock</t>
        </is>
      </c>
      <c r="R12" t="inlineStr">
        <is>
          <t>undefined</t>
        </is>
      </c>
      <c r="S12" t="inlineStr">
        <is>
          <t>7050803719</t>
        </is>
      </c>
    </row>
    <row r="13" ht="75" customHeight="1">
      <c r="A13" s="2">
        <f>HYPERLINK("https://camerareadycosmetics.com/products/ardell-accent-lashes-315-black-61315", "https://camerareadycosmetics.com/products/ardell-accent-lashes-315-black-61315")</f>
        <v/>
      </c>
      <c r="B13" s="2">
        <f>HYPERLINK("https://camerareadycosmetics.com/products/ardell-accent-lashes-315-black-61315", "https://camerareadycosmetics.com/products/ardell-accent-lashes-315-black-61315")</f>
        <v/>
      </c>
      <c r="C13" t="inlineStr">
        <is>
          <t>Ardell Accent Lashes 315 - Black (61315)</t>
        </is>
      </c>
      <c r="D13" t="inlineStr">
        <is>
          <t>Ardell Accent Lightweight Lashes Black 308</t>
        </is>
      </c>
      <c r="E13" s="2">
        <f>HYPERLINK("https://www.amazon.com/Ardell-Accent-Lightweight-Lashes-Black/dp/B005GL9SPQ/ref=sr_1_7?keywords=Ardell+Accent+Lashes+315+-+Black+%2861315%29&amp;qid=1695565659&amp;sr=8-7", "https://www.amazon.com/Ardell-Accent-Lightweight-Lashes-Black/dp/B005GL9SPQ/ref=sr_1_7?keywords=Ardell+Accent+Lashes+315+-+Black+%2861315%29&amp;qid=1695565659&amp;sr=8-7")</f>
        <v/>
      </c>
      <c r="F13" t="inlineStr">
        <is>
          <t>B005GL9SPQ</t>
        </is>
      </c>
      <c r="G13">
        <f>_xlfn.IMAGE("https://camerareadycosmetics.com/cdn/shop/products/315AccentAR__76213.1461770982.600.600_50x.jpeg?v=1689659605")</f>
        <v/>
      </c>
      <c r="H13">
        <f>_xlfn.IMAGE("https://m.media-amazon.com/images/I/71C6xA6LYJL._AC_UL320_.jpg")</f>
        <v/>
      </c>
      <c r="K13" t="inlineStr">
        <is>
          <t>5.0</t>
        </is>
      </c>
      <c r="L13" t="n">
        <v>6</v>
      </c>
      <c r="M13" s="1" t="inlineStr">
        <is>
          <t>20.00%</t>
        </is>
      </c>
      <c r="N13" t="n">
        <v>3</v>
      </c>
      <c r="O13" t="n">
        <v>1</v>
      </c>
      <c r="Q13" t="inlineStr">
        <is>
          <t>InStock</t>
        </is>
      </c>
      <c r="R13" t="inlineStr">
        <is>
          <t>undefined</t>
        </is>
      </c>
      <c r="S13" t="inlineStr">
        <is>
          <t>7050803719</t>
        </is>
      </c>
    </row>
    <row r="14" ht="75" customHeight="1">
      <c r="A14" s="2">
        <f>HYPERLINK("https://camerareadycosmetics.com/products/ardell-accent-lashes-315-black-61315", "https://camerareadycosmetics.com/products/ardell-accent-lashes-315-black-61315")</f>
        <v/>
      </c>
      <c r="B14" s="2">
        <f>HYPERLINK("https://camerareadycosmetics.com/products/ardell-accent-lashes-315-black-61315", "https://camerareadycosmetics.com/products/ardell-accent-lashes-315-black-61315")</f>
        <v/>
      </c>
      <c r="C14" t="inlineStr">
        <is>
          <t>Ardell Accent Lashes 315 - Black (61315)</t>
        </is>
      </c>
      <c r="D14" t="inlineStr">
        <is>
          <t>Ardell Accent Lashes, Black [301] 1 Pair</t>
        </is>
      </c>
      <c r="E14" s="2">
        <f>HYPERLINK("https://www.amazon.com/Ardell-Accent-Lashes-Black-Pair/dp/B01CKCDWLE/ref=sr_1_3?keywords=Ardell+Accent+Lashes+315+-+Black+%2861315%29&amp;qid=1695565659&amp;sr=8-3", "https://www.amazon.com/Ardell-Accent-Lashes-Black-Pair/dp/B01CKCDWLE/ref=sr_1_3?keywords=Ardell+Accent+Lashes+315+-+Black+%2861315%29&amp;qid=1695565659&amp;sr=8-3")</f>
        <v/>
      </c>
      <c r="F14" t="inlineStr">
        <is>
          <t>B01CKCDWLE</t>
        </is>
      </c>
      <c r="G14">
        <f>_xlfn.IMAGE("https://camerareadycosmetics.com/cdn/shop/products/315AccentAR__76213.1461770982.600.600_50x.jpeg?v=1689659605")</f>
        <v/>
      </c>
      <c r="H14">
        <f>_xlfn.IMAGE("https://m.media-amazon.com/images/I/71SuhAMq7GL._AC_UL320_.jpg")</f>
        <v/>
      </c>
      <c r="K14" t="inlineStr">
        <is>
          <t>5.0</t>
        </is>
      </c>
      <c r="L14" t="n">
        <v>4.48</v>
      </c>
      <c r="M14" s="1" t="inlineStr">
        <is>
          <t>-10.40%</t>
        </is>
      </c>
      <c r="N14" t="n">
        <v>4.3</v>
      </c>
      <c r="O14" t="n">
        <v>272</v>
      </c>
      <c r="Q14" t="inlineStr">
        <is>
          <t>InStock</t>
        </is>
      </c>
      <c r="R14" t="inlineStr">
        <is>
          <t>undefined</t>
        </is>
      </c>
      <c r="S14" t="inlineStr">
        <is>
          <t>7050803719</t>
        </is>
      </c>
    </row>
    <row r="15" ht="75" customHeight="1">
      <c r="A15" s="2">
        <f>HYPERLINK("https://camerareadycosmetics.com/products/ardell-accent-lashes-318-black-61318", "https://camerareadycosmetics.com/products/ardell-accent-lashes-318-black-61318")</f>
        <v/>
      </c>
      <c r="B15" s="2">
        <f>HYPERLINK("https://camerareadycosmetics.com/products/ardell-accent-lashes-318-black-61318", "https://camerareadycosmetics.com/products/ardell-accent-lashes-318-black-61318")</f>
        <v/>
      </c>
      <c r="C15" t="inlineStr">
        <is>
          <t>Ardell Accent Lashes 318 - Black (61318)</t>
        </is>
      </c>
      <c r="D15" t="inlineStr">
        <is>
          <t>4 Pack Ardell Fashion Eye Lash Accents 318 Black</t>
        </is>
      </c>
      <c r="E15" s="2">
        <f>HYPERLINK("https://www.amazon.com/pack-Ardell-Fashion-Accents-Black/dp/B01EVNJXHW/ref=sr_1_1?keywords=Ardell+Accent+Lashes+318+-+Black+%2861318%29&amp;qid=1695565547&amp;sr=8-1", "https://www.amazon.com/pack-Ardell-Fashion-Accents-Black/dp/B01EVNJXHW/ref=sr_1_1?keywords=Ardell+Accent+Lashes+318+-+Black+%2861318%29&amp;qid=1695565547&amp;sr=8-1")</f>
        <v/>
      </c>
      <c r="F15" t="inlineStr">
        <is>
          <t>B01EVNJXHW</t>
        </is>
      </c>
      <c r="G15">
        <f>_xlfn.IMAGE("https://camerareadycosmetics.com/cdn/shop/products/318AccentAR__29406.1461771106.600.600_50x.jpeg?v=1689659609")</f>
        <v/>
      </c>
      <c r="H15">
        <f>_xlfn.IMAGE("https://m.media-amazon.com/images/I/51HY9IQDPbL._AC_UL320_.jpg")</f>
        <v/>
      </c>
      <c r="K15" t="inlineStr">
        <is>
          <t>5.0</t>
        </is>
      </c>
      <c r="L15" t="n">
        <v>13.99</v>
      </c>
      <c r="M15" s="1" t="inlineStr">
        <is>
          <t>179.80%</t>
        </is>
      </c>
      <c r="N15" t="n">
        <v>3.6</v>
      </c>
      <c r="O15" t="n">
        <v>5</v>
      </c>
      <c r="Q15" t="inlineStr">
        <is>
          <t>OutOfStock</t>
        </is>
      </c>
      <c r="R15" t="inlineStr">
        <is>
          <t>undefined</t>
        </is>
      </c>
      <c r="S15" t="inlineStr">
        <is>
          <t>7050806535</t>
        </is>
      </c>
    </row>
    <row r="16" ht="75" customHeight="1">
      <c r="A16" s="2">
        <f>HYPERLINK("https://camerareadycosmetics.com/products/ardell-accent-lashes-318-black-61318", "https://camerareadycosmetics.com/products/ardell-accent-lashes-318-black-61318")</f>
        <v/>
      </c>
      <c r="B16" s="2">
        <f>HYPERLINK("https://camerareadycosmetics.com/products/ardell-accent-lashes-318-black-61318", "https://camerareadycosmetics.com/products/ardell-accent-lashes-318-black-61318")</f>
        <v/>
      </c>
      <c r="C16" t="inlineStr">
        <is>
          <t>Ardell Accent Lashes 318 - Black (61318)</t>
        </is>
      </c>
      <c r="D16" t="inlineStr">
        <is>
          <t>Ardell Accent Lashes 318, 4 Pack</t>
        </is>
      </c>
      <c r="E16" s="2">
        <f>HYPERLINK("https://www.amazon.com/Ardell-Accent-Lashes-318-Pack/dp/B07RFTS5MJ/ref=sr_1_2?keywords=Ardell+Accent+Lashes+318+-+Black+%2861318%29&amp;qid=1695565547&amp;sr=8-2", "https://www.amazon.com/Ardell-Accent-Lashes-318-Pack/dp/B07RFTS5MJ/ref=sr_1_2?keywords=Ardell+Accent+Lashes+318+-+Black+%2861318%29&amp;qid=1695565547&amp;sr=8-2")</f>
        <v/>
      </c>
      <c r="F16" t="inlineStr">
        <is>
          <t>B07RFTS5MJ</t>
        </is>
      </c>
      <c r="G16">
        <f>_xlfn.IMAGE("https://camerareadycosmetics.com/cdn/shop/products/318AccentAR__29406.1461771106.600.600_50x.jpeg?v=1689659609")</f>
        <v/>
      </c>
      <c r="H16">
        <f>_xlfn.IMAGE("https://m.media-amazon.com/images/I/61r7Zc8lBgL._AC_UL320_.jpg")</f>
        <v/>
      </c>
      <c r="K16" t="inlineStr">
        <is>
          <t>5.0</t>
        </is>
      </c>
      <c r="L16" t="n">
        <v>12.74</v>
      </c>
      <c r="M16" s="1" t="inlineStr">
        <is>
          <t>154.80%</t>
        </is>
      </c>
      <c r="N16" t="n">
        <v>4.4</v>
      </c>
      <c r="O16" t="n">
        <v>1167</v>
      </c>
      <c r="Q16" t="inlineStr">
        <is>
          <t>OutOfStock</t>
        </is>
      </c>
      <c r="R16" t="inlineStr">
        <is>
          <t>undefined</t>
        </is>
      </c>
      <c r="S16" t="inlineStr">
        <is>
          <t>7050806535</t>
        </is>
      </c>
    </row>
    <row r="17" ht="75" customHeight="1">
      <c r="A17" s="2">
        <f>HYPERLINK("https://camerareadycosmetics.com/products/ardell-accent-lashes-318-black-61318", "https://camerareadycosmetics.com/products/ardell-accent-lashes-318-black-61318")</f>
        <v/>
      </c>
      <c r="B17" s="2">
        <f>HYPERLINK("https://camerareadycosmetics.com/products/ardell-accent-lashes-318-black-61318", "https://camerareadycosmetics.com/products/ardell-accent-lashes-318-black-61318")</f>
        <v/>
      </c>
      <c r="C17" t="inlineStr">
        <is>
          <t>Ardell Accent Lashes 318 - Black (61318)</t>
        </is>
      </c>
      <c r="D17" t="inlineStr">
        <is>
          <t>Ardell Duralash Accents False Eyelashes - #318 (Pack of 2)</t>
        </is>
      </c>
      <c r="E17" s="2">
        <f>HYPERLINK("https://www.amazon.com/Ardell-Duralash-Accents-False-Eyelashes/dp/B00OVO9BOW/ref=sr_1_9?keywords=Ardell+Accent+Lashes+318+-+Black+%2861318%29&amp;qid=1695565547&amp;sr=8-9", "https://www.amazon.com/Ardell-Duralash-Accents-False-Eyelashes/dp/B00OVO9BOW/ref=sr_1_9?keywords=Ardell+Accent+Lashes+318+-+Black+%2861318%29&amp;qid=1695565547&amp;sr=8-9")</f>
        <v/>
      </c>
      <c r="F17" t="inlineStr">
        <is>
          <t>B00OVO9BOW</t>
        </is>
      </c>
      <c r="G17">
        <f>_xlfn.IMAGE("https://camerareadycosmetics.com/cdn/shop/products/318AccentAR__29406.1461771106.600.600_50x.jpeg?v=1689659609")</f>
        <v/>
      </c>
      <c r="H17">
        <f>_xlfn.IMAGE("https://m.media-amazon.com/images/I/711CmTbU5NL._AC_UL320_.jpg")</f>
        <v/>
      </c>
      <c r="K17" t="inlineStr">
        <is>
          <t>5.0</t>
        </is>
      </c>
      <c r="L17" t="n">
        <v>8.99</v>
      </c>
      <c r="M17" s="1" t="inlineStr">
        <is>
          <t>79.80%</t>
        </is>
      </c>
      <c r="N17" t="n">
        <v>4.1</v>
      </c>
      <c r="O17" t="n">
        <v>27</v>
      </c>
      <c r="Q17" t="inlineStr">
        <is>
          <t>OutOfStock</t>
        </is>
      </c>
      <c r="R17" t="inlineStr">
        <is>
          <t>undefined</t>
        </is>
      </c>
      <c r="S17" t="inlineStr">
        <is>
          <t>7050806535</t>
        </is>
      </c>
    </row>
    <row r="18" ht="75" customHeight="1">
      <c r="A18" s="2">
        <f>HYPERLINK("https://camerareadycosmetics.com/products/ardell-accent-lashes-318-black-61318", "https://camerareadycosmetics.com/products/ardell-accent-lashes-318-black-61318")</f>
        <v/>
      </c>
      <c r="B18" s="2">
        <f>HYPERLINK("https://camerareadycosmetics.com/products/ardell-accent-lashes-318-black-61318", "https://camerareadycosmetics.com/products/ardell-accent-lashes-318-black-61318")</f>
        <v/>
      </c>
      <c r="C18" t="inlineStr">
        <is>
          <t>Ardell Accent Lashes 318 - Black (61318)</t>
        </is>
      </c>
      <c r="D18" t="inlineStr">
        <is>
          <t>Ardell Accent Lashes, Black [305] 1 ea</t>
        </is>
      </c>
      <c r="E18" s="2">
        <f>HYPERLINK("https://www.amazon.com/Ardell-Accent-Lashes-Black-305/dp/B01CKCDZCK/ref=sr_1_8?keywords=Ardell+Accent+Lashes+318+-+Black+%2861318%29&amp;qid=1695565547&amp;sr=8-8", "https://www.amazon.com/Ardell-Accent-Lashes-Black-305/dp/B01CKCDZCK/ref=sr_1_8?keywords=Ardell+Accent+Lashes+318+-+Black+%2861318%29&amp;qid=1695565547&amp;sr=8-8")</f>
        <v/>
      </c>
      <c r="F18" t="inlineStr">
        <is>
          <t>B01CKCDZCK</t>
        </is>
      </c>
      <c r="G18">
        <f>_xlfn.IMAGE("https://camerareadycosmetics.com/cdn/shop/products/318AccentAR__29406.1461771106.600.600_50x.jpeg?v=1689659609")</f>
        <v/>
      </c>
      <c r="H18">
        <f>_xlfn.IMAGE("https://m.media-amazon.com/images/I/41mM-CHE4zL._AC_UL320_.jpg")</f>
        <v/>
      </c>
      <c r="K18" t="inlineStr">
        <is>
          <t>5.0</t>
        </is>
      </c>
      <c r="L18" t="n">
        <v>6.05</v>
      </c>
      <c r="M18" s="1" t="inlineStr">
        <is>
          <t>21.00%</t>
        </is>
      </c>
      <c r="N18" t="n">
        <v>3.3</v>
      </c>
      <c r="O18" t="n">
        <v>8</v>
      </c>
      <c r="Q18" t="inlineStr">
        <is>
          <t>OutOfStock</t>
        </is>
      </c>
      <c r="R18" t="inlineStr">
        <is>
          <t>undefined</t>
        </is>
      </c>
      <c r="S18" t="inlineStr">
        <is>
          <t>7050806535</t>
        </is>
      </c>
    </row>
    <row r="19" ht="75" customHeight="1">
      <c r="A19" s="2">
        <f>HYPERLINK("https://camerareadycosmetics.com/products/ardell-accent-lashes-318-black-61318", "https://camerareadycosmetics.com/products/ardell-accent-lashes-318-black-61318")</f>
        <v/>
      </c>
      <c r="B19" s="2">
        <f>HYPERLINK("https://camerareadycosmetics.com/products/ardell-accent-lashes-318-black-61318", "https://camerareadycosmetics.com/products/ardell-accent-lashes-318-black-61318")</f>
        <v/>
      </c>
      <c r="C19" t="inlineStr">
        <is>
          <t>Ardell Accent Lashes 318 - Black (61318)</t>
        </is>
      </c>
      <c r="D19" t="inlineStr">
        <is>
          <t>Ardell Accent Lightweight Lashes Black 308</t>
        </is>
      </c>
      <c r="E19" s="2">
        <f>HYPERLINK("https://www.amazon.com/Ardell-Accent-Lightweight-Lashes-Black/dp/B005GL9SPQ/ref=sr_1_7?keywords=Ardell+Accent+Lashes+318+-+Black+%2861318%29&amp;qid=1695565547&amp;sr=8-7", "https://www.amazon.com/Ardell-Accent-Lightweight-Lashes-Black/dp/B005GL9SPQ/ref=sr_1_7?keywords=Ardell+Accent+Lashes+318+-+Black+%2861318%29&amp;qid=1695565547&amp;sr=8-7")</f>
        <v/>
      </c>
      <c r="F19" t="inlineStr">
        <is>
          <t>B005GL9SPQ</t>
        </is>
      </c>
      <c r="G19">
        <f>_xlfn.IMAGE("https://camerareadycosmetics.com/cdn/shop/products/318AccentAR__29406.1461771106.600.600_50x.jpeg?v=1689659609")</f>
        <v/>
      </c>
      <c r="H19">
        <f>_xlfn.IMAGE("https://m.media-amazon.com/images/I/71C6xA6LYJL._AC_UL320_.jpg")</f>
        <v/>
      </c>
      <c r="K19" t="inlineStr">
        <is>
          <t>5.0</t>
        </is>
      </c>
      <c r="L19" t="n">
        <v>6</v>
      </c>
      <c r="M19" s="1" t="inlineStr">
        <is>
          <t>20.00%</t>
        </is>
      </c>
      <c r="N19" t="n">
        <v>3</v>
      </c>
      <c r="O19" t="n">
        <v>1</v>
      </c>
      <c r="Q19" t="inlineStr">
        <is>
          <t>OutOfStock</t>
        </is>
      </c>
      <c r="R19" t="inlineStr">
        <is>
          <t>undefined</t>
        </is>
      </c>
      <c r="S19" t="inlineStr">
        <is>
          <t>7050806535</t>
        </is>
      </c>
    </row>
    <row r="20" ht="75" customHeight="1">
      <c r="A20" s="2">
        <f>HYPERLINK("https://camerareadycosmetics.com/products/ardell-accent-lashes-318-black-61318", "https://camerareadycosmetics.com/products/ardell-accent-lashes-318-black-61318")</f>
        <v/>
      </c>
      <c r="B20" s="2">
        <f>HYPERLINK("https://camerareadycosmetics.com/products/ardell-accent-lashes-318-black-61318", "https://camerareadycosmetics.com/products/ardell-accent-lashes-318-black-61318")</f>
        <v/>
      </c>
      <c r="C20" t="inlineStr">
        <is>
          <t>Ardell Accent Lashes 318 - Black (61318)</t>
        </is>
      </c>
      <c r="D20" t="inlineStr">
        <is>
          <t>Ardell Accent Lashes, Black [301] 1 Pair</t>
        </is>
      </c>
      <c r="E20" s="2">
        <f>HYPERLINK("https://www.amazon.com/Ardell-Accent-Lashes-Black-Pair/dp/B01CKCDWLE/ref=sr_1_5?keywords=Ardell+Accent+Lashes+318+-+Black+%2861318%29&amp;qid=1695565547&amp;sr=8-5", "https://www.amazon.com/Ardell-Accent-Lashes-Black-Pair/dp/B01CKCDWLE/ref=sr_1_5?keywords=Ardell+Accent+Lashes+318+-+Black+%2861318%29&amp;qid=1695565547&amp;sr=8-5")</f>
        <v/>
      </c>
      <c r="F20" t="inlineStr">
        <is>
          <t>B01CKCDWLE</t>
        </is>
      </c>
      <c r="G20">
        <f>_xlfn.IMAGE("https://camerareadycosmetics.com/cdn/shop/products/318AccentAR__29406.1461771106.600.600_50x.jpeg?v=1689659609")</f>
        <v/>
      </c>
      <c r="H20">
        <f>_xlfn.IMAGE("https://m.media-amazon.com/images/I/71SuhAMq7GL._AC_UL320_.jpg")</f>
        <v/>
      </c>
      <c r="K20" t="inlineStr">
        <is>
          <t>5.0</t>
        </is>
      </c>
      <c r="L20" t="n">
        <v>4.48</v>
      </c>
      <c r="M20" s="1" t="inlineStr">
        <is>
          <t>-10.40%</t>
        </is>
      </c>
      <c r="N20" t="n">
        <v>4.3</v>
      </c>
      <c r="O20" t="n">
        <v>272</v>
      </c>
      <c r="Q20" t="inlineStr">
        <is>
          <t>OutOfStock</t>
        </is>
      </c>
      <c r="R20" t="inlineStr">
        <is>
          <t>undefined</t>
        </is>
      </c>
      <c r="S20" t="inlineStr">
        <is>
          <t>7050806535</t>
        </is>
      </c>
    </row>
    <row r="21" ht="75" customHeight="1">
      <c r="A21" s="2">
        <f>HYPERLINK("https://camerareadycosmetics.com/products/ardell-double-individuals-short-black-knot-free-61484", "https://camerareadycosmetics.com/products/ardell-double-individuals-short-black-knot-free-61484")</f>
        <v/>
      </c>
      <c r="B21" s="2">
        <f>HYPERLINK("https://camerareadycosmetics.com/products/ardell-double-individuals-short-black-knot-free-61484", "https://camerareadycosmetics.com/products/ardell-double-individuals-short-black-knot-free-61484")</f>
        <v/>
      </c>
      <c r="C21" t="inlineStr">
        <is>
          <t>Ardell Double Individuals Short Black Knot-Free (61484)</t>
        </is>
      </c>
      <c r="D21" t="inlineStr">
        <is>
          <t>Ardell Double Up Individual Eyelashes Knot Free Naturals Short Black (12 Pack)</t>
        </is>
      </c>
      <c r="E21" s="2">
        <f>HYPERLINK("https://www.amazon.com/Ardell-Double-Individual-Eyelashes-Naturals/dp/B0190ZDT62/ref=sr_1_5?keywords=Ardell+Double+Individuals+Short+Black+Knot-Free+%2861484%29&amp;qid=1695565613&amp;sr=8-5", "https://www.amazon.com/Ardell-Double-Individual-Eyelashes-Naturals/dp/B0190ZDT62/ref=sr_1_5?keywords=Ardell+Double+Individuals+Short+Black+Knot-Free+%2861484%29&amp;qid=1695565613&amp;sr=8-5")</f>
        <v/>
      </c>
      <c r="F21" t="inlineStr">
        <is>
          <t>B0190ZDT62</t>
        </is>
      </c>
      <c r="G21">
        <f>_xlfn.IMAGE("https://camerareadycosmetics.com/cdn/shop/products/lash-new_50x.jpg?v=1691126289")</f>
        <v/>
      </c>
      <c r="H21">
        <f>_xlfn.IMAGE("https://m.media-amazon.com/images/I/81bcJ20u3bL._AC_UL320_.jpg")</f>
        <v/>
      </c>
      <c r="K21" t="inlineStr">
        <is>
          <t>5.5</t>
        </is>
      </c>
      <c r="L21" t="n">
        <v>31.95</v>
      </c>
      <c r="M21" s="1" t="inlineStr">
        <is>
          <t>480.91%</t>
        </is>
      </c>
      <c r="N21" t="n">
        <v>4.4</v>
      </c>
      <c r="O21" t="n">
        <v>26</v>
      </c>
      <c r="Q21" t="inlineStr">
        <is>
          <t>OutOfStock</t>
        </is>
      </c>
      <c r="R21" t="inlineStr">
        <is>
          <t>undefined</t>
        </is>
      </c>
      <c r="S21" t="inlineStr">
        <is>
          <t>9769129226</t>
        </is>
      </c>
    </row>
    <row r="22" ht="75" customHeight="1">
      <c r="A22" s="2">
        <f>HYPERLINK("https://camerareadycosmetics.com/products/ardell-double-individuals-short-black-knot-free-61484", "https://camerareadycosmetics.com/products/ardell-double-individuals-short-black-knot-free-61484")</f>
        <v/>
      </c>
      <c r="B22" s="2">
        <f>HYPERLINK("https://camerareadycosmetics.com/products/ardell-double-individuals-short-black-knot-free-61484", "https://camerareadycosmetics.com/products/ardell-double-individuals-short-black-knot-free-61484")</f>
        <v/>
      </c>
      <c r="C22" t="inlineStr">
        <is>
          <t>Ardell Double Individuals Short Black Knot-Free (61484)</t>
        </is>
      </c>
      <c r="D22" t="inlineStr">
        <is>
          <t>Ardell Double Individuals Knot Free Double Flares Black Short (6 Pack)</t>
        </is>
      </c>
      <c r="E22" s="2">
        <f>HYPERLINK("https://www.amazon.com/Ardell-Double-Individuals-Flares-Black/dp/B00MSKWSF0/ref=sr_1_3?keywords=Ardell+Double+Individuals+Short+Black+Knot-Free+%2861484%29&amp;qid=1695565613&amp;sr=8-3", "https://www.amazon.com/Ardell-Double-Individuals-Flares-Black/dp/B00MSKWSF0/ref=sr_1_3?keywords=Ardell+Double+Individuals+Short+Black+Knot-Free+%2861484%29&amp;qid=1695565613&amp;sr=8-3")</f>
        <v/>
      </c>
      <c r="F22" t="inlineStr">
        <is>
          <t>B00MSKWSF0</t>
        </is>
      </c>
      <c r="G22">
        <f>_xlfn.IMAGE("https://camerareadycosmetics.com/cdn/shop/products/lash-new_50x.jpg?v=1691126289")</f>
        <v/>
      </c>
      <c r="H22">
        <f>_xlfn.IMAGE("https://m.media-amazon.com/images/I/81bcJ20u3bL._AC_UL320_.jpg")</f>
        <v/>
      </c>
      <c r="K22" t="inlineStr">
        <is>
          <t>5.5</t>
        </is>
      </c>
      <c r="L22" t="n">
        <v>15.55</v>
      </c>
      <c r="M22" s="1" t="inlineStr">
        <is>
          <t>182.73%</t>
        </is>
      </c>
      <c r="N22" t="n">
        <v>4.2</v>
      </c>
      <c r="O22" t="n">
        <v>41</v>
      </c>
      <c r="Q22" t="inlineStr">
        <is>
          <t>OutOfStock</t>
        </is>
      </c>
      <c r="R22" t="inlineStr">
        <is>
          <t>undefined</t>
        </is>
      </c>
      <c r="S22" t="inlineStr">
        <is>
          <t>9769129226</t>
        </is>
      </c>
    </row>
    <row r="23" ht="75" customHeight="1">
      <c r="A23" s="2">
        <f>HYPERLINK("https://camerareadycosmetics.com/products/ardell-double-individuals-short-black-knot-free-61484", "https://camerareadycosmetics.com/products/ardell-double-individuals-short-black-knot-free-61484")</f>
        <v/>
      </c>
      <c r="B23" s="2">
        <f>HYPERLINK("https://camerareadycosmetics.com/products/ardell-double-individuals-short-black-knot-free-61484", "https://camerareadycosmetics.com/products/ardell-double-individuals-short-black-knot-free-61484")</f>
        <v/>
      </c>
      <c r="C23" t="inlineStr">
        <is>
          <t>Ardell Double Individuals Short Black Knot-Free (61484)</t>
        </is>
      </c>
      <c r="D23" t="inlineStr">
        <is>
          <t>Ardell False Eyelashes Double Up Individuals Knot-Free Medium Black 4 Pack</t>
        </is>
      </c>
      <c r="E23" s="2">
        <f>HYPERLINK("https://www.amazon.com/Ardell-Eyelashes-Double-Individuals-Knot-Free/dp/B07RV7L2CF/ref=sr_1_10?keywords=Ardell+Double+Individuals+Short+Black+Knot-Free+%2861484%29&amp;qid=1695565613&amp;sr=8-10", "https://www.amazon.com/Ardell-Eyelashes-Double-Individuals-Knot-Free/dp/B07RV7L2CF/ref=sr_1_10?keywords=Ardell+Double+Individuals+Short+Black+Knot-Free+%2861484%29&amp;qid=1695565613&amp;sr=8-10")</f>
        <v/>
      </c>
      <c r="F23" t="inlineStr">
        <is>
          <t>B07RV7L2CF</t>
        </is>
      </c>
      <c r="G23">
        <f>_xlfn.IMAGE("https://camerareadycosmetics.com/cdn/shop/products/lash-new_50x.jpg?v=1691126289")</f>
        <v/>
      </c>
      <c r="H23">
        <f>_xlfn.IMAGE("https://m.media-amazon.com/images/I/71d86MDqwyL._AC_UL320_.jpg")</f>
        <v/>
      </c>
      <c r="K23" t="inlineStr">
        <is>
          <t>5.5</t>
        </is>
      </c>
      <c r="L23" t="n">
        <v>14.95</v>
      </c>
      <c r="M23" s="1" t="inlineStr">
        <is>
          <t>171.82%</t>
        </is>
      </c>
      <c r="N23" t="n">
        <v>4.5</v>
      </c>
      <c r="O23" t="n">
        <v>601</v>
      </c>
      <c r="Q23" t="inlineStr">
        <is>
          <t>OutOfStock</t>
        </is>
      </c>
      <c r="R23" t="inlineStr">
        <is>
          <t>undefined</t>
        </is>
      </c>
      <c r="S23" t="inlineStr">
        <is>
          <t>9769129226</t>
        </is>
      </c>
    </row>
    <row r="24" ht="75" customHeight="1">
      <c r="A24" s="2">
        <f>HYPERLINK("https://camerareadycosmetics.com/products/ardell-double-individuals-short-black-knot-free-61484", "https://camerareadycosmetics.com/products/ardell-double-individuals-short-black-knot-free-61484")</f>
        <v/>
      </c>
      <c r="B24" s="2">
        <f>HYPERLINK("https://camerareadycosmetics.com/products/ardell-double-individuals-short-black-knot-free-61484", "https://camerareadycosmetics.com/products/ardell-double-individuals-short-black-knot-free-61484")</f>
        <v/>
      </c>
      <c r="C24" t="inlineStr">
        <is>
          <t>Ardell Double Individuals Short Black Knot-Free (61484)</t>
        </is>
      </c>
      <c r="D24" t="inlineStr">
        <is>
          <t>Ardell False Eyelashes Double Up Individuals Knot-Free Short Black 4 Pack</t>
        </is>
      </c>
      <c r="E24" s="2">
        <f>HYPERLINK("https://www.amazon.com/Ardell-Eyelashes-Double-Individuals-Knot-Free/dp/B07RV6YJHK/ref=sr_1_1?keywords=Ardell+Double+Individuals+Short+Black+Knot-Free+%2861484%29&amp;qid=1695565613&amp;sr=8-1", "https://www.amazon.com/Ardell-Eyelashes-Double-Individuals-Knot-Free/dp/B07RV6YJHK/ref=sr_1_1?keywords=Ardell+Double+Individuals+Short+Black+Knot-Free+%2861484%29&amp;qid=1695565613&amp;sr=8-1")</f>
        <v/>
      </c>
      <c r="F24" t="inlineStr">
        <is>
          <t>B07RV6YJHK</t>
        </is>
      </c>
      <c r="G24">
        <f>_xlfn.IMAGE("https://camerareadycosmetics.com/cdn/shop/products/lash-new_50x.jpg?v=1691126289")</f>
        <v/>
      </c>
      <c r="H24">
        <f>_xlfn.IMAGE("https://m.media-amazon.com/images/I/715T3TG2ALL._AC_UL320_.jpg")</f>
        <v/>
      </c>
      <c r="K24" t="inlineStr">
        <is>
          <t>5.5</t>
        </is>
      </c>
      <c r="L24" t="n">
        <v>14.95</v>
      </c>
      <c r="M24" s="1" t="inlineStr">
        <is>
          <t>171.82%</t>
        </is>
      </c>
      <c r="N24" t="n">
        <v>4.6</v>
      </c>
      <c r="O24" t="n">
        <v>180</v>
      </c>
      <c r="Q24" t="inlineStr">
        <is>
          <t>OutOfStock</t>
        </is>
      </c>
      <c r="R24" t="inlineStr">
        <is>
          <t>undefined</t>
        </is>
      </c>
      <c r="S24" t="inlineStr">
        <is>
          <t>9769129226</t>
        </is>
      </c>
    </row>
    <row r="25" ht="75" customHeight="1">
      <c r="A25" s="2">
        <f>HYPERLINK("https://camerareadycosmetics.com/products/ardell-double-individuals-short-black-knot-free-61484", "https://camerareadycosmetics.com/products/ardell-double-individuals-short-black-knot-free-61484")</f>
        <v/>
      </c>
      <c r="B25" s="2">
        <f>HYPERLINK("https://camerareadycosmetics.com/products/ardell-double-individuals-short-black-knot-free-61484", "https://camerareadycosmetics.com/products/ardell-double-individuals-short-black-knot-free-61484")</f>
        <v/>
      </c>
      <c r="C25" t="inlineStr">
        <is>
          <t>Ardell Double Individuals Short Black Knot-Free (61484)</t>
        </is>
      </c>
      <c r="D25" t="inlineStr">
        <is>
          <t>Ardell False Eyelashes Double Up Soft Touch Knot-Free Short Black 4 Pack</t>
        </is>
      </c>
      <c r="E25" s="2">
        <f>HYPERLINK("https://www.amazon.com/Ardell-False-Eyelashes-Double-Knot-Free/dp/B07RV5GWK8/ref=sr_1_6?keywords=Ardell+Double+Individuals+Short+Black+Knot-Free+%2861484%29&amp;qid=1695565613&amp;sr=8-6", "https://www.amazon.com/Ardell-False-Eyelashes-Double-Knot-Free/dp/B07RV5GWK8/ref=sr_1_6?keywords=Ardell+Double+Individuals+Short+Black+Knot-Free+%2861484%29&amp;qid=1695565613&amp;sr=8-6")</f>
        <v/>
      </c>
      <c r="F25" t="inlineStr">
        <is>
          <t>B07RV5GWK8</t>
        </is>
      </c>
      <c r="G25">
        <f>_xlfn.IMAGE("https://camerareadycosmetics.com/cdn/shop/products/lash-new_50x.jpg?v=1691126289")</f>
        <v/>
      </c>
      <c r="H25">
        <f>_xlfn.IMAGE("https://m.media-amazon.com/images/I/71tee3HSOuL._AC_UL320_.jpg")</f>
        <v/>
      </c>
      <c r="K25" t="inlineStr">
        <is>
          <t>5.5</t>
        </is>
      </c>
      <c r="L25" t="n">
        <v>13.99</v>
      </c>
      <c r="M25" s="1" t="inlineStr">
        <is>
          <t>154.36%</t>
        </is>
      </c>
      <c r="N25" t="n">
        <v>4.2</v>
      </c>
      <c r="O25" t="n">
        <v>109</v>
      </c>
      <c r="Q25" t="inlineStr">
        <is>
          <t>OutOfStock</t>
        </is>
      </c>
      <c r="R25" t="inlineStr">
        <is>
          <t>undefined</t>
        </is>
      </c>
      <c r="S25" t="inlineStr">
        <is>
          <t>9769129226</t>
        </is>
      </c>
    </row>
    <row r="26" ht="75" customHeight="1">
      <c r="A26" s="2">
        <f>HYPERLINK("https://camerareadycosmetics.com/products/ardell-double-individuals-short-black-knot-free-61484", "https://camerareadycosmetics.com/products/ardell-double-individuals-short-black-knot-free-61484")</f>
        <v/>
      </c>
      <c r="B26" s="2">
        <f>HYPERLINK("https://camerareadycosmetics.com/products/ardell-double-individuals-short-black-knot-free-61484", "https://camerareadycosmetics.com/products/ardell-double-individuals-short-black-knot-free-61484")</f>
        <v/>
      </c>
      <c r="C26" t="inlineStr">
        <is>
          <t>Ardell Double Individuals Short Black Knot-Free (61484)</t>
        </is>
      </c>
      <c r="D26" t="inlineStr">
        <is>
          <t>Ardell False Eyelashes Double Up Individuals Knot-Free Short Brown 4 Pack</t>
        </is>
      </c>
      <c r="E26" s="2">
        <f>HYPERLINK("https://www.amazon.com/Ardell-Eyelashes-Double-Individuals-Knot-Free/dp/B07RV6L86N/ref=sr_1_7?keywords=Ardell+Double+Individuals+Short+Black+Knot-Free+%2861484%29&amp;qid=1695565613&amp;sr=8-7", "https://www.amazon.com/Ardell-Eyelashes-Double-Individuals-Knot-Free/dp/B07RV6L86N/ref=sr_1_7?keywords=Ardell+Double+Individuals+Short+Black+Knot-Free+%2861484%29&amp;qid=1695565613&amp;sr=8-7")</f>
        <v/>
      </c>
      <c r="F26" t="inlineStr">
        <is>
          <t>B07RV6L86N</t>
        </is>
      </c>
      <c r="G26">
        <f>_xlfn.IMAGE("https://camerareadycosmetics.com/cdn/shop/products/lash-new_50x.jpg?v=1691126289")</f>
        <v/>
      </c>
      <c r="H26">
        <f>_xlfn.IMAGE("https://m.media-amazon.com/images/I/7142kBcvzpL._AC_UL320_.jpg")</f>
        <v/>
      </c>
      <c r="K26" t="inlineStr">
        <is>
          <t>5.5</t>
        </is>
      </c>
      <c r="L26" t="n">
        <v>9.800000000000001</v>
      </c>
      <c r="M26" s="1" t="inlineStr">
        <is>
          <t>78.18%</t>
        </is>
      </c>
      <c r="N26" t="n">
        <v>4.5</v>
      </c>
      <c r="O26" t="n">
        <v>65</v>
      </c>
      <c r="Q26" t="inlineStr">
        <is>
          <t>OutOfStock</t>
        </is>
      </c>
      <c r="R26" t="inlineStr">
        <is>
          <t>undefined</t>
        </is>
      </c>
      <c r="S26" t="inlineStr">
        <is>
          <t>9769129226</t>
        </is>
      </c>
    </row>
    <row r="27" ht="75" customHeight="1">
      <c r="A27" s="2">
        <f>HYPERLINK("https://camerareadycosmetics.com/products/ardell-double-individuals-short-black-knot-free-61484", "https://camerareadycosmetics.com/products/ardell-double-individuals-short-black-knot-free-61484")</f>
        <v/>
      </c>
      <c r="B27" s="2">
        <f>HYPERLINK("https://camerareadycosmetics.com/products/ardell-double-individuals-short-black-knot-free-61484", "https://camerareadycosmetics.com/products/ardell-double-individuals-short-black-knot-free-61484")</f>
        <v/>
      </c>
      <c r="C27" t="inlineStr">
        <is>
          <t>Ardell Double Individuals Short Black Knot-Free (61484)</t>
        </is>
      </c>
      <c r="D27" t="inlineStr">
        <is>
          <t>Ardell False Eyelashes Mega Individuals Knot-Free Short Black 4 Pack</t>
        </is>
      </c>
      <c r="E27" s="2">
        <f>HYPERLINK("https://www.amazon.com/Ardell-False-Eyelashes-Individuals-Knot-Free/dp/B07RV5P46V/ref=sr_1_8?keywords=Ardell+Double+Individuals+Short+Black+Knot-Free+%2861484%29&amp;qid=1695565613&amp;sr=8-8", "https://www.amazon.com/Ardell-False-Eyelashes-Individuals-Knot-Free/dp/B07RV5P46V/ref=sr_1_8?keywords=Ardell+Double+Individuals+Short+Black+Knot-Free+%2861484%29&amp;qid=1695565613&amp;sr=8-8")</f>
        <v/>
      </c>
      <c r="F27" t="inlineStr">
        <is>
          <t>B07RV5P46V</t>
        </is>
      </c>
      <c r="G27">
        <f>_xlfn.IMAGE("https://camerareadycosmetics.com/cdn/shop/products/lash-new_50x.jpg?v=1691126289")</f>
        <v/>
      </c>
      <c r="H27">
        <f>_xlfn.IMAGE("https://m.media-amazon.com/images/I/71+zluA-0EL._AC_UL320_.jpg")</f>
        <v/>
      </c>
      <c r="K27" t="inlineStr">
        <is>
          <t>5.5</t>
        </is>
      </c>
      <c r="L27" t="n">
        <v>9.789999999999999</v>
      </c>
      <c r="M27" s="1" t="inlineStr">
        <is>
          <t>78.00%</t>
        </is>
      </c>
      <c r="N27" t="n">
        <v>4.4</v>
      </c>
      <c r="O27" t="n">
        <v>106</v>
      </c>
      <c r="Q27" t="inlineStr">
        <is>
          <t>OutOfStock</t>
        </is>
      </c>
      <c r="R27" t="inlineStr">
        <is>
          <t>undefined</t>
        </is>
      </c>
      <c r="S27" t="inlineStr">
        <is>
          <t>9769129226</t>
        </is>
      </c>
    </row>
    <row r="28" ht="75" customHeight="1">
      <c r="A28" s="2">
        <f>HYPERLINK("https://camerareadycosmetics.com/products/ardell-double-individuals-short-black-knot-free-61484", "https://camerareadycosmetics.com/products/ardell-double-individuals-short-black-knot-free-61484")</f>
        <v/>
      </c>
      <c r="B28" s="2">
        <f>HYPERLINK("https://camerareadycosmetics.com/products/ardell-double-individuals-short-black-knot-free-61484", "https://camerareadycosmetics.com/products/ardell-double-individuals-short-black-knot-free-61484")</f>
        <v/>
      </c>
      <c r="C28" t="inlineStr">
        <is>
          <t>Ardell Double Individuals Short Black Knot-Free (61484)</t>
        </is>
      </c>
      <c r="D28" t="inlineStr">
        <is>
          <t>Ardell Double Individuals Knot Free Double Flares Black Short (2 Pack)</t>
        </is>
      </c>
      <c r="E28" s="2">
        <f>HYPERLINK("https://www.amazon.com/Ardell-Double-Individuals-Flares-Black/dp/B00NVQCOAY/ref=sr_1_4?keywords=Ardell+Double+Individuals+Short+Black+Knot-Free+%2861484%29&amp;qid=1695565613&amp;sr=8-4", "https://www.amazon.com/Ardell-Double-Individuals-Flares-Black/dp/B00NVQCOAY/ref=sr_1_4?keywords=Ardell+Double+Individuals+Short+Black+Knot-Free+%2861484%29&amp;qid=1695565613&amp;sr=8-4")</f>
        <v/>
      </c>
      <c r="F28" t="inlineStr">
        <is>
          <t>B00NVQCOAY</t>
        </is>
      </c>
      <c r="G28">
        <f>_xlfn.IMAGE("https://camerareadycosmetics.com/cdn/shop/products/lash-new_50x.jpg?v=1691126289")</f>
        <v/>
      </c>
      <c r="H28">
        <f>_xlfn.IMAGE("https://m.media-amazon.com/images/I/81bcJ20u3bL._AC_UL320_.jpg")</f>
        <v/>
      </c>
      <c r="K28" t="inlineStr">
        <is>
          <t>5.5</t>
        </is>
      </c>
      <c r="L28" t="n">
        <v>9.44</v>
      </c>
      <c r="M28" s="1" t="inlineStr">
        <is>
          <t>71.64%</t>
        </is>
      </c>
      <c r="N28" t="n">
        <v>4.1</v>
      </c>
      <c r="O28" t="n">
        <v>54</v>
      </c>
      <c r="Q28" t="inlineStr">
        <is>
          <t>OutOfStock</t>
        </is>
      </c>
      <c r="R28" t="inlineStr">
        <is>
          <t>undefined</t>
        </is>
      </c>
      <c r="S28" t="inlineStr">
        <is>
          <t>9769129226</t>
        </is>
      </c>
    </row>
    <row r="29" ht="75" customHeight="1">
      <c r="A29" s="2">
        <f>HYPERLINK("https://camerareadycosmetics.com/products/ardell-double-individuals-short-black-knot-free-61484", "https://camerareadycosmetics.com/products/ardell-double-individuals-short-black-knot-free-61484")</f>
        <v/>
      </c>
      <c r="B29" s="2">
        <f>HYPERLINK("https://camerareadycosmetics.com/products/ardell-double-individuals-short-black-knot-free-61484", "https://camerareadycosmetics.com/products/ardell-double-individuals-short-black-knot-free-61484")</f>
        <v/>
      </c>
      <c r="C29" t="inlineStr">
        <is>
          <t>Ardell Double Individuals Short Black Knot-Free (61484)</t>
        </is>
      </c>
      <c r="D29" t="inlineStr">
        <is>
          <t>Ardell False Eyelashes Multipack Knot-Free Individuals Short Black, 2-Pack</t>
        </is>
      </c>
      <c r="E29" s="2">
        <f>HYPERLINK("https://www.amazon.com/Ardell-Eyelashes-Multipack-Knot-Free-Individuals/dp/B07S4BZ1D4/ref=sr_1_9?keywords=Ardell+Double+Individuals+Short+Black+Knot-Free+%2861484%29&amp;qid=1695565613&amp;sr=8-9", "https://www.amazon.com/Ardell-Eyelashes-Multipack-Knot-Free-Individuals/dp/B07S4BZ1D4/ref=sr_1_9?keywords=Ardell+Double+Individuals+Short+Black+Knot-Free+%2861484%29&amp;qid=1695565613&amp;sr=8-9")</f>
        <v/>
      </c>
      <c r="F29" t="inlineStr">
        <is>
          <t>B07S4BZ1D4</t>
        </is>
      </c>
      <c r="G29">
        <f>_xlfn.IMAGE("https://camerareadycosmetics.com/cdn/shop/products/lash-new_50x.jpg?v=1691126289")</f>
        <v/>
      </c>
      <c r="H29">
        <f>_xlfn.IMAGE("https://m.media-amazon.com/images/I/617LBIEHnLL._AC_UL320_.jpg")</f>
        <v/>
      </c>
      <c r="K29" t="inlineStr">
        <is>
          <t>5.5</t>
        </is>
      </c>
      <c r="L29" t="n">
        <v>9.44</v>
      </c>
      <c r="M29" s="1" t="inlineStr">
        <is>
          <t>71.64%</t>
        </is>
      </c>
      <c r="N29" t="n">
        <v>4.4</v>
      </c>
      <c r="O29" t="n">
        <v>2973</v>
      </c>
      <c r="Q29" t="inlineStr">
        <is>
          <t>OutOfStock</t>
        </is>
      </c>
      <c r="R29" t="inlineStr">
        <is>
          <t>undefined</t>
        </is>
      </c>
      <c r="S29" t="inlineStr">
        <is>
          <t>9769129226</t>
        </is>
      </c>
    </row>
    <row r="30" ht="75" customHeight="1">
      <c r="A30" s="2">
        <f>HYPERLINK("https://camerareadycosmetics.com/products/ardell-double-individuals-short-black-knot-free-61484", "https://camerareadycosmetics.com/products/ardell-double-individuals-short-black-knot-free-61484")</f>
        <v/>
      </c>
      <c r="B30" s="2">
        <f>HYPERLINK("https://camerareadycosmetics.com/products/ardell-double-individuals-short-black-knot-free-61484", "https://camerareadycosmetics.com/products/ardell-double-individuals-short-black-knot-free-61484")</f>
        <v/>
      </c>
      <c r="C30" t="inlineStr">
        <is>
          <t>Ardell Double Individuals Short Black Knot-Free (61484)</t>
        </is>
      </c>
      <c r="D30" t="inlineStr">
        <is>
          <t>Ardell Double Individuals Knot Free Double Flares Black Short (3 Pack)</t>
        </is>
      </c>
      <c r="E30" s="2">
        <f>HYPERLINK("https://www.amazon.com/Ardell-Double-Individuals-Flares-Black/dp/B00ILPRXAQ/ref=sr_1_2?keywords=Ardell+Double+Individuals+Short+Black+Knot-Free+%2861484%29&amp;qid=1695565613&amp;sr=8-2", "https://www.amazon.com/Ardell-Double-Individuals-Flares-Black/dp/B00ILPRXAQ/ref=sr_1_2?keywords=Ardell+Double+Individuals+Short+Black+Knot-Free+%2861484%29&amp;qid=1695565613&amp;sr=8-2")</f>
        <v/>
      </c>
      <c r="F30" t="inlineStr">
        <is>
          <t>B00ILPRXAQ</t>
        </is>
      </c>
      <c r="G30">
        <f>_xlfn.IMAGE("https://camerareadycosmetics.com/cdn/shop/products/lash-new_50x.jpg?v=1691126289")</f>
        <v/>
      </c>
      <c r="H30">
        <f>_xlfn.IMAGE("https://m.media-amazon.com/images/I/81bcJ20u3bL._AC_UL320_.jpg")</f>
        <v/>
      </c>
      <c r="K30" t="inlineStr">
        <is>
          <t>5.5</t>
        </is>
      </c>
      <c r="L30" t="n">
        <v>8.85</v>
      </c>
      <c r="M30" s="1" t="inlineStr">
        <is>
          <t>60.91%</t>
        </is>
      </c>
      <c r="N30" t="n">
        <v>4.4</v>
      </c>
      <c r="O30" t="n">
        <v>130</v>
      </c>
      <c r="Q30" t="inlineStr">
        <is>
          <t>OutOfStock</t>
        </is>
      </c>
      <c r="R30" t="inlineStr">
        <is>
          <t>undefined</t>
        </is>
      </c>
      <c r="S30" t="inlineStr">
        <is>
          <t>9769129226</t>
        </is>
      </c>
    </row>
    <row r="31" ht="75" customHeight="1">
      <c r="A31" s="2">
        <f>HYPERLINK("https://camerareadycosmetics.com/products/ardell-double-up-demi-wispies-65278", "https://camerareadycosmetics.com/products/ardell-double-up-demi-wispies-65278")</f>
        <v/>
      </c>
      <c r="B31" s="2">
        <f>HYPERLINK("https://camerareadycosmetics.com/products/ardell-double-up-demi-wispies-65278", "https://camerareadycosmetics.com/products/ardell-double-up-demi-wispies-65278")</f>
        <v/>
      </c>
      <c r="C31" t="inlineStr">
        <is>
          <t>Ardell Double Up Demi Wispies (65278)</t>
        </is>
      </c>
      <c r="D31" t="inlineStr">
        <is>
          <t>Ardell Double Up Demi Wispies Black (6 Pack)</t>
        </is>
      </c>
      <c r="E31" s="2">
        <f>HYPERLINK("https://www.amazon.com/Ardell-Double-Demi-Wispies-Black/dp/B0733XKXSN/ref=sr_1_9?keywords=Ardell+Double+Up+Demi+Wispies+%2865278%29&amp;qid=1695565575&amp;sr=8-9", "https://www.amazon.com/Ardell-Double-Demi-Wispies-Black/dp/B0733XKXSN/ref=sr_1_9?keywords=Ardell+Double+Up+Demi+Wispies+%2865278%29&amp;qid=1695565575&amp;sr=8-9")</f>
        <v/>
      </c>
      <c r="F31" t="inlineStr">
        <is>
          <t>B0733XKXSN</t>
        </is>
      </c>
      <c r="G31">
        <f>_xlfn.IMAGE("https://camerareadycosmetics.com/cdn/shop/products/65278_50x.jpg?v=1691124600")</f>
        <v/>
      </c>
      <c r="H31">
        <f>_xlfn.IMAGE("https://m.media-amazon.com/images/I/61U5FmGPrlL._AC_UL320_.jpg")</f>
        <v/>
      </c>
      <c r="K31" t="inlineStr">
        <is>
          <t>6.5</t>
        </is>
      </c>
      <c r="L31" t="n">
        <v>30.98</v>
      </c>
      <c r="M31" s="1" t="inlineStr">
        <is>
          <t>376.62%</t>
        </is>
      </c>
      <c r="N31" t="n">
        <v>3.9</v>
      </c>
      <c r="O31" t="n">
        <v>51</v>
      </c>
      <c r="Q31" t="inlineStr">
        <is>
          <t>InStock</t>
        </is>
      </c>
      <c r="R31" t="inlineStr">
        <is>
          <t>undefined</t>
        </is>
      </c>
      <c r="S31" t="inlineStr">
        <is>
          <t>9525279690</t>
        </is>
      </c>
    </row>
    <row r="32" ht="75" customHeight="1">
      <c r="A32" s="2">
        <f>HYPERLINK("https://camerareadycosmetics.com/products/ardell-double-up-demi-wispies-65278", "https://camerareadycosmetics.com/products/ardell-double-up-demi-wispies-65278")</f>
        <v/>
      </c>
      <c r="B32" s="2">
        <f>HYPERLINK("https://camerareadycosmetics.com/products/ardell-double-up-demi-wispies-65278", "https://camerareadycosmetics.com/products/ardell-double-up-demi-wispies-65278")</f>
        <v/>
      </c>
      <c r="C32" t="inlineStr">
        <is>
          <t>Ardell Double Up Demi Wispies (65278)</t>
        </is>
      </c>
      <c r="D32" t="inlineStr">
        <is>
          <t>Ardell Double Up Demi Wispies Black (3 Pack)</t>
        </is>
      </c>
      <c r="E32" s="2">
        <f>HYPERLINK("https://www.amazon.com/Ardell-Double-Demi-Wispies-Black/dp/B0733YTNBJ/ref=sr_1_7?keywords=Ardell+Double+Up+Demi+Wispies+%2865278%29&amp;qid=1695565575&amp;sr=8-7", "https://www.amazon.com/Ardell-Double-Demi-Wispies-Black/dp/B0733YTNBJ/ref=sr_1_7?keywords=Ardell+Double+Up+Demi+Wispies+%2865278%29&amp;qid=1695565575&amp;sr=8-7")</f>
        <v/>
      </c>
      <c r="F32" t="inlineStr">
        <is>
          <t>B0733YTNBJ</t>
        </is>
      </c>
      <c r="G32">
        <f>_xlfn.IMAGE("https://camerareadycosmetics.com/cdn/shop/products/65278_50x.jpg?v=1691124600")</f>
        <v/>
      </c>
      <c r="H32">
        <f>_xlfn.IMAGE("https://m.media-amazon.com/images/I/61U5FmGPrlL._AC_UL320_.jpg")</f>
        <v/>
      </c>
      <c r="K32" t="inlineStr">
        <is>
          <t>6.5</t>
        </is>
      </c>
      <c r="L32" t="n">
        <v>17.65</v>
      </c>
      <c r="M32" s="1" t="inlineStr">
        <is>
          <t>171.54%</t>
        </is>
      </c>
      <c r="N32" t="n">
        <v>4.8</v>
      </c>
      <c r="O32" t="n">
        <v>12</v>
      </c>
      <c r="Q32" t="inlineStr">
        <is>
          <t>InStock</t>
        </is>
      </c>
      <c r="R32" t="inlineStr">
        <is>
          <t>undefined</t>
        </is>
      </c>
      <c r="S32" t="inlineStr">
        <is>
          <t>9525279690</t>
        </is>
      </c>
    </row>
    <row r="33" ht="75" customHeight="1">
      <c r="A33" s="2">
        <f>HYPERLINK("https://camerareadycosmetics.com/products/ardell-double-up-demi-wispies-65278", "https://camerareadycosmetics.com/products/ardell-double-up-demi-wispies-65278")</f>
        <v/>
      </c>
      <c r="B33" s="2">
        <f>HYPERLINK("https://camerareadycosmetics.com/products/ardell-double-up-demi-wispies-65278", "https://camerareadycosmetics.com/products/ardell-double-up-demi-wispies-65278")</f>
        <v/>
      </c>
      <c r="C33" t="inlineStr">
        <is>
          <t>Ardell Double Up Demi Wispies (65278)</t>
        </is>
      </c>
      <c r="D33" t="inlineStr">
        <is>
          <t>Ardell False Eyelashes Double Up Demi Wispies Black x 4 pairs</t>
        </is>
      </c>
      <c r="E33" s="2">
        <f>HYPERLINK("https://www.amazon.com/Ardell-False-Eyelashes-Double-Wispies/dp/B07R7DV2WV/ref=sr_1_5?keywords=Ardell+Double+Up+Demi+Wispies+%2865278%29&amp;qid=1695565575&amp;sr=8-5", "https://www.amazon.com/Ardell-False-Eyelashes-Double-Wispies/dp/B07R7DV2WV/ref=sr_1_5?keywords=Ardell+Double+Up+Demi+Wispies+%2865278%29&amp;qid=1695565575&amp;sr=8-5")</f>
        <v/>
      </c>
      <c r="F33" t="inlineStr">
        <is>
          <t>B07R7DV2WV</t>
        </is>
      </c>
      <c r="G33">
        <f>_xlfn.IMAGE("https://camerareadycosmetics.com/cdn/shop/products/65278_50x.jpg?v=1691124600")</f>
        <v/>
      </c>
      <c r="H33">
        <f>_xlfn.IMAGE("https://m.media-amazon.com/images/I/71BzKKrcjZL._AC_UL320_.jpg")</f>
        <v/>
      </c>
      <c r="K33" t="inlineStr">
        <is>
          <t>6.5</t>
        </is>
      </c>
      <c r="L33" t="n">
        <v>16.75</v>
      </c>
      <c r="M33" s="1" t="inlineStr">
        <is>
          <t>157.69%</t>
        </is>
      </c>
      <c r="N33" t="n">
        <v>4.5</v>
      </c>
      <c r="O33" t="n">
        <v>744</v>
      </c>
      <c r="Q33" t="inlineStr">
        <is>
          <t>InStock</t>
        </is>
      </c>
      <c r="R33" t="inlineStr">
        <is>
          <t>undefined</t>
        </is>
      </c>
      <c r="S33" t="inlineStr">
        <is>
          <t>9525279690</t>
        </is>
      </c>
    </row>
    <row r="34" ht="75" customHeight="1">
      <c r="A34" s="2">
        <f>HYPERLINK("https://camerareadycosmetics.com/products/ardell-individual-knot-free-flare-lashes-combo-black-65063", "https://camerareadycosmetics.com/products/ardell-individual-knot-free-flare-lashes-combo-black-65063")</f>
        <v/>
      </c>
      <c r="B34" s="2">
        <f>HYPERLINK("https://camerareadycosmetics.com/products/ardell-individual-knot-free-flare-lashes-combo-black-65063", "https://camerareadycosmetics.com/products/ardell-individual-knot-free-flare-lashes-combo-black-65063")</f>
        <v/>
      </c>
      <c r="C34" t="inlineStr">
        <is>
          <t>Ardell Individual Knot-Free Flare Lashes - Combo Black (65063)</t>
        </is>
      </c>
      <c r="D34" t="inlineStr">
        <is>
          <t>(6 Pack) ARDELL Duralash Knot-Free Mega Flare Individual Black Lashes - Medium</t>
        </is>
      </c>
      <c r="E34" s="2">
        <f>HYPERLINK("https://www.amazon.com/ARDELL-Duralash-Knot-Free-Individual-Lashes/dp/B01N0TJ6IN/ref=sr_1_6?keywords=Ardell+Individual+Knot-Free+Flare+Lashes+-+Combo+Black+%2865063%29&amp;qid=1695565503&amp;sr=8-6", "https://www.amazon.com/ARDELL-Duralash-Knot-Free-Individual-Lashes/dp/B01N0TJ6IN/ref=sr_1_6?keywords=Ardell+Individual+Knot-Free+Flare+Lashes+-+Combo+Black+%2865063%29&amp;qid=1695565503&amp;sr=8-6")</f>
        <v/>
      </c>
      <c r="F34" t="inlineStr">
        <is>
          <t>B01N0TJ6IN</t>
        </is>
      </c>
      <c r="G34">
        <f>_xlfn.IMAGE("https://camerareadycosmetics.com/cdn/shop/products/ardell_combo_bl__74318.1461771400.600.600_50x.jpeg?v=1689659613")</f>
        <v/>
      </c>
      <c r="H34">
        <f>_xlfn.IMAGE("https://m.media-amazon.com/images/I/51UJL4kO--L._AC_UL320_.jpg")</f>
        <v/>
      </c>
      <c r="K34" t="inlineStr">
        <is>
          <t>5.5</t>
        </is>
      </c>
      <c r="L34" t="n">
        <v>26.99</v>
      </c>
      <c r="M34" s="1" t="inlineStr">
        <is>
          <t>390.73%</t>
        </is>
      </c>
      <c r="N34" t="n">
        <v>5</v>
      </c>
      <c r="O34" t="n">
        <v>13</v>
      </c>
      <c r="Q34" t="inlineStr">
        <is>
          <t>OutOfStock</t>
        </is>
      </c>
      <c r="R34" t="inlineStr">
        <is>
          <t>undefined</t>
        </is>
      </c>
      <c r="S34" t="inlineStr">
        <is>
          <t>7050808967</t>
        </is>
      </c>
    </row>
    <row r="35" ht="75" customHeight="1">
      <c r="A35" s="2">
        <f>HYPERLINK("https://camerareadycosmetics.com/products/ardell-individual-knot-free-flare-lashes-combo-black-65063", "https://camerareadycosmetics.com/products/ardell-individual-knot-free-flare-lashes-combo-black-65063")</f>
        <v/>
      </c>
      <c r="B35" s="2">
        <f>HYPERLINK("https://camerareadycosmetics.com/products/ardell-individual-knot-free-flare-lashes-combo-black-65063", "https://camerareadycosmetics.com/products/ardell-individual-knot-free-flare-lashes-combo-black-65063")</f>
        <v/>
      </c>
      <c r="C35" t="inlineStr">
        <is>
          <t>Ardell Individual Knot-Free Flare Lashes - Combo Black (65063)</t>
        </is>
      </c>
      <c r="D35" t="inlineStr">
        <is>
          <t>(6 Pack) ARDELL Duralash Knot-Free Mega Flare Individual Black Lashes - Long</t>
        </is>
      </c>
      <c r="E35" s="2">
        <f>HYPERLINK("https://www.amazon.com/ARDELL-Duralash-Knot-Free-Individual-Lashes/dp/B01NCOTVJZ/ref=sr_1_7?keywords=Ardell+Individual+Knot-Free+Flare+Lashes+-+Combo+Black+%2865063%29&amp;qid=1695565503&amp;sr=8-7", "https://www.amazon.com/ARDELL-Duralash-Knot-Free-Individual-Lashes/dp/B01NCOTVJZ/ref=sr_1_7?keywords=Ardell+Individual+Knot-Free+Flare+Lashes+-+Combo+Black+%2865063%29&amp;qid=1695565503&amp;sr=8-7")</f>
        <v/>
      </c>
      <c r="F35" t="inlineStr">
        <is>
          <t>B01NCOTVJZ</t>
        </is>
      </c>
      <c r="G35">
        <f>_xlfn.IMAGE("https://camerareadycosmetics.com/cdn/shop/products/ardell_combo_bl__74318.1461771400.600.600_50x.jpeg?v=1689659613")</f>
        <v/>
      </c>
      <c r="H35">
        <f>_xlfn.IMAGE("https://m.media-amazon.com/images/I/51qliVhbJnL._AC_UL320_.jpg")</f>
        <v/>
      </c>
      <c r="K35" t="inlineStr">
        <is>
          <t>5.5</t>
        </is>
      </c>
      <c r="L35" t="n">
        <v>26.99</v>
      </c>
      <c r="M35" s="1" t="inlineStr">
        <is>
          <t>390.73%</t>
        </is>
      </c>
      <c r="N35" t="n">
        <v>4.1</v>
      </c>
      <c r="O35" t="n">
        <v>17</v>
      </c>
      <c r="Q35" t="inlineStr">
        <is>
          <t>OutOfStock</t>
        </is>
      </c>
      <c r="R35" t="inlineStr">
        <is>
          <t>undefined</t>
        </is>
      </c>
      <c r="S35" t="inlineStr">
        <is>
          <t>7050808967</t>
        </is>
      </c>
    </row>
    <row r="36" ht="75" customHeight="1">
      <c r="A36" s="2">
        <f>HYPERLINK("https://camerareadycosmetics.com/products/ardell-individual-knot-free-flare-lashes-combo-black-65063", "https://camerareadycosmetics.com/products/ardell-individual-knot-free-flare-lashes-combo-black-65063")</f>
        <v/>
      </c>
      <c r="B36" s="2">
        <f>HYPERLINK("https://camerareadycosmetics.com/products/ardell-individual-knot-free-flare-lashes-combo-black-65063", "https://camerareadycosmetics.com/products/ardell-individual-knot-free-flare-lashes-combo-black-65063")</f>
        <v/>
      </c>
      <c r="C36" t="inlineStr">
        <is>
          <t>Ardell Individual Knot-Free Flare Lashes - Combo Black (65063)</t>
        </is>
      </c>
      <c r="D36" t="inlineStr">
        <is>
          <t>(6 Pack) ARDELL Duralash Knot Free Mega Flare Individual Black Lashes Short</t>
        </is>
      </c>
      <c r="E36" s="2">
        <f>HYPERLINK("https://www.amazon.com/ARDELL-Duralash-Flare-Individual-Lashes/dp/B01MZ2G78K/ref=sr_1_2?keywords=Ardell+Individual+Knot-Free+Flare+Lashes+-+Combo+Black+%2865063%29&amp;qid=1695565503&amp;sr=8-2", "https://www.amazon.com/ARDELL-Duralash-Flare-Individual-Lashes/dp/B01MZ2G78K/ref=sr_1_2?keywords=Ardell+Individual+Knot-Free+Flare+Lashes+-+Combo+Black+%2865063%29&amp;qid=1695565503&amp;sr=8-2")</f>
        <v/>
      </c>
      <c r="F36" t="inlineStr">
        <is>
          <t>B01MZ2G78K</t>
        </is>
      </c>
      <c r="G36">
        <f>_xlfn.IMAGE("https://camerareadycosmetics.com/cdn/shop/products/ardell_combo_bl__74318.1461771400.600.600_50x.jpeg?v=1689659613")</f>
        <v/>
      </c>
      <c r="H36">
        <f>_xlfn.IMAGE("https://m.media-amazon.com/images/I/512tm-G+CqL._AC_UL320_.jpg")</f>
        <v/>
      </c>
      <c r="K36" t="inlineStr">
        <is>
          <t>5.5</t>
        </is>
      </c>
      <c r="L36" t="n">
        <v>20.37</v>
      </c>
      <c r="M36" s="1" t="inlineStr">
        <is>
          <t>270.36%</t>
        </is>
      </c>
      <c r="N36" t="n">
        <v>4.3</v>
      </c>
      <c r="O36" t="n">
        <v>4</v>
      </c>
      <c r="Q36" t="inlineStr">
        <is>
          <t>OutOfStock</t>
        </is>
      </c>
      <c r="R36" t="inlineStr">
        <is>
          <t>undefined</t>
        </is>
      </c>
      <c r="S36" t="inlineStr">
        <is>
          <t>7050808967</t>
        </is>
      </c>
    </row>
    <row r="37" ht="75" customHeight="1">
      <c r="A37" s="2">
        <f>HYPERLINK("https://camerareadycosmetics.com/products/ardell-individual-knot-free-flare-lashes-combo-black-65063", "https://camerareadycosmetics.com/products/ardell-individual-knot-free-flare-lashes-combo-black-65063")</f>
        <v/>
      </c>
      <c r="B37" s="2">
        <f>HYPERLINK("https://camerareadycosmetics.com/products/ardell-individual-knot-free-flare-lashes-combo-black-65063", "https://camerareadycosmetics.com/products/ardell-individual-knot-free-flare-lashes-combo-black-65063")</f>
        <v/>
      </c>
      <c r="C37" t="inlineStr">
        <is>
          <t>Ardell Individual Knot-Free Flare Lashes - Combo Black (65063)</t>
        </is>
      </c>
      <c r="D37" t="inlineStr">
        <is>
          <t>Ardell 6 Pack Knot-Free Flares Individuals Medium Black</t>
        </is>
      </c>
      <c r="E37" s="2">
        <f>HYPERLINK("https://www.amazon.com/Ardell-Individual-Lashes-Naturals-Medium/dp/B008DLU3V4/ref=sr_1_9?keywords=Ardell+Individual+Knot-Free+Flare+Lashes+-+Combo+Black+%2865063%29&amp;qid=1695565503&amp;sr=8-9", "https://www.amazon.com/Ardell-Individual-Lashes-Naturals-Medium/dp/B008DLU3V4/ref=sr_1_9?keywords=Ardell+Individual+Knot-Free+Flare+Lashes+-+Combo+Black+%2865063%29&amp;qid=1695565503&amp;sr=8-9")</f>
        <v/>
      </c>
      <c r="F37" t="inlineStr">
        <is>
          <t>B008DLU3V4</t>
        </is>
      </c>
      <c r="G37">
        <f>_xlfn.IMAGE("https://camerareadycosmetics.com/cdn/shop/products/ardell_combo_bl__74318.1461771400.600.600_50x.jpeg?v=1689659613")</f>
        <v/>
      </c>
      <c r="H37">
        <f>_xlfn.IMAGE("https://m.media-amazon.com/images/I/61x9pHwFE+L._AC_UL320_.jpg")</f>
        <v/>
      </c>
      <c r="K37" t="inlineStr">
        <is>
          <t>5.5</t>
        </is>
      </c>
      <c r="L37" t="n">
        <v>14.99</v>
      </c>
      <c r="M37" s="1" t="inlineStr">
        <is>
          <t>172.55%</t>
        </is>
      </c>
      <c r="N37" t="n">
        <v>4.3</v>
      </c>
      <c r="O37" t="n">
        <v>29</v>
      </c>
      <c r="Q37" t="inlineStr">
        <is>
          <t>OutOfStock</t>
        </is>
      </c>
      <c r="R37" t="inlineStr">
        <is>
          <t>undefined</t>
        </is>
      </c>
      <c r="S37" t="inlineStr">
        <is>
          <t>7050808967</t>
        </is>
      </c>
    </row>
    <row r="38" ht="75" customHeight="1">
      <c r="A38" s="2">
        <f>HYPERLINK("https://camerareadycosmetics.com/products/ardell-individual-knot-free-flare-lashes-combo-black-65063", "https://camerareadycosmetics.com/products/ardell-individual-knot-free-flare-lashes-combo-black-65063")</f>
        <v/>
      </c>
      <c r="B38" s="2">
        <f>HYPERLINK("https://camerareadycosmetics.com/products/ardell-individual-knot-free-flare-lashes-combo-black-65063", "https://camerareadycosmetics.com/products/ardell-individual-knot-free-flare-lashes-combo-black-65063")</f>
        <v/>
      </c>
      <c r="C38" t="inlineStr">
        <is>
          <t>Ardell Individual Knot-Free Flare Lashes - Combo Black (65063)</t>
        </is>
      </c>
      <c r="D38" t="inlineStr">
        <is>
          <t>(3 Pack) ARDELL Duralash Knot Free Mega Flare Individual Black Lashes Long</t>
        </is>
      </c>
      <c r="E38" s="2">
        <f>HYPERLINK("https://www.amazon.com/ARDELL-Duralash-Flare-Individual-Lashes/dp/B01N0TJ1DF/ref=sr_1_5?keywords=Ardell+Individual+Knot-Free+Flare+Lashes+-+Combo+Black+%2865063%29&amp;qid=1695565503&amp;sr=8-5", "https://www.amazon.com/ARDELL-Duralash-Flare-Individual-Lashes/dp/B01N0TJ1DF/ref=sr_1_5?keywords=Ardell+Individual+Knot-Free+Flare+Lashes+-+Combo+Black+%2865063%29&amp;qid=1695565503&amp;sr=8-5")</f>
        <v/>
      </c>
      <c r="F38" t="inlineStr">
        <is>
          <t>B01N0TJ1DF</t>
        </is>
      </c>
      <c r="G38">
        <f>_xlfn.IMAGE("https://camerareadycosmetics.com/cdn/shop/products/ardell_combo_bl__74318.1461771400.600.600_50x.jpeg?v=1689659613")</f>
        <v/>
      </c>
      <c r="H38">
        <f>_xlfn.IMAGE("https://m.media-amazon.com/images/I/51qliVhbJnL._AC_UL320_.jpg")</f>
        <v/>
      </c>
      <c r="K38" t="inlineStr">
        <is>
          <t>5.5</t>
        </is>
      </c>
      <c r="L38" t="n">
        <v>14.99</v>
      </c>
      <c r="M38" s="1" t="inlineStr">
        <is>
          <t>172.55%</t>
        </is>
      </c>
      <c r="N38" t="n">
        <v>4.2</v>
      </c>
      <c r="O38" t="n">
        <v>13</v>
      </c>
      <c r="Q38" t="inlineStr">
        <is>
          <t>OutOfStock</t>
        </is>
      </c>
      <c r="R38" t="inlineStr">
        <is>
          <t>undefined</t>
        </is>
      </c>
      <c r="S38" t="inlineStr">
        <is>
          <t>7050808967</t>
        </is>
      </c>
    </row>
    <row r="39" ht="75" customHeight="1">
      <c r="A39" s="2">
        <f>HYPERLINK("https://camerareadycosmetics.com/products/ardell-individual-knot-free-flare-lashes-combo-black-65063", "https://camerareadycosmetics.com/products/ardell-individual-knot-free-flare-lashes-combo-black-65063")</f>
        <v/>
      </c>
      <c r="B39" s="2">
        <f>HYPERLINK("https://camerareadycosmetics.com/products/ardell-individual-knot-free-flare-lashes-combo-black-65063", "https://camerareadycosmetics.com/products/ardell-individual-knot-free-flare-lashes-combo-black-65063")</f>
        <v/>
      </c>
      <c r="C39" t="inlineStr">
        <is>
          <t>Ardell Individual Knot-Free Flare Lashes - Combo Black (65063)</t>
        </is>
      </c>
      <c r="D39" t="inlineStr">
        <is>
          <t>Ardell False Eyelashes Knot-Free Individuals Combo Black, 6-Pack (contains 6 packs of lash trays with 56 Individual Lashes each)</t>
        </is>
      </c>
      <c r="E39" s="2">
        <f>HYPERLINK("https://www.amazon.com/Ardell-False-Eyelashes-Knot-Free-Individuals/dp/B07S5CTKYG/ref=sr_1_1?keywords=Ardell+Individual+Knot-Free+Flare+Lashes+-+Combo+Black+%2865063%29&amp;qid=1695565503&amp;sr=8-1", "https://www.amazon.com/Ardell-False-Eyelashes-Knot-Free-Individuals/dp/B07S5CTKYG/ref=sr_1_1?keywords=Ardell+Individual+Knot-Free+Flare+Lashes+-+Combo+Black+%2865063%29&amp;qid=1695565503&amp;sr=8-1")</f>
        <v/>
      </c>
      <c r="F39" t="inlineStr">
        <is>
          <t>B07S5CTKYG</t>
        </is>
      </c>
      <c r="G39">
        <f>_xlfn.IMAGE("https://camerareadycosmetics.com/cdn/shop/products/ardell_combo_bl__74318.1461771400.600.600_50x.jpeg?v=1689659613")</f>
        <v/>
      </c>
      <c r="H39">
        <f>_xlfn.IMAGE("https://m.media-amazon.com/images/I/61BPGWSsqML._AC_UL320_.jpg")</f>
        <v/>
      </c>
      <c r="K39" t="inlineStr">
        <is>
          <t>5.5</t>
        </is>
      </c>
      <c r="L39" t="n">
        <v>13.95</v>
      </c>
      <c r="M39" s="1" t="inlineStr">
        <is>
          <t>153.64%</t>
        </is>
      </c>
      <c r="N39" t="n">
        <v>4.5</v>
      </c>
      <c r="O39" t="n">
        <v>265</v>
      </c>
      <c r="Q39" t="inlineStr">
        <is>
          <t>OutOfStock</t>
        </is>
      </c>
      <c r="R39" t="inlineStr">
        <is>
          <t>undefined</t>
        </is>
      </c>
      <c r="S39" t="inlineStr">
        <is>
          <t>7050808967</t>
        </is>
      </c>
    </row>
    <row r="40" ht="75" customHeight="1">
      <c r="A40" s="2">
        <f>HYPERLINK("https://camerareadycosmetics.com/products/ardell-individual-knot-free-flare-lashes-combo-black-65063", "https://camerareadycosmetics.com/products/ardell-individual-knot-free-flare-lashes-combo-black-65063")</f>
        <v/>
      </c>
      <c r="B40" s="2">
        <f>HYPERLINK("https://camerareadycosmetics.com/products/ardell-individual-knot-free-flare-lashes-combo-black-65063", "https://camerareadycosmetics.com/products/ardell-individual-knot-free-flare-lashes-combo-black-65063")</f>
        <v/>
      </c>
      <c r="C40" t="inlineStr">
        <is>
          <t>Ardell Individual Knot-Free Flare Lashes - Combo Black (65063)</t>
        </is>
      </c>
      <c r="D40" t="inlineStr">
        <is>
          <t>(3 Pack) ARDELL Duralash Knot Free Mega Flare Individual Black Lashes Short</t>
        </is>
      </c>
      <c r="E40" s="2">
        <f>HYPERLINK("https://www.amazon.com/ARDELL-Duralash-Flare-Individual-Lashes/dp/B01MY0WT7O/ref=sr_1_3?keywords=Ardell+Individual+Knot-Free+Flare+Lashes+-+Combo+Black+%2865063%29&amp;qid=1695565503&amp;sr=8-3", "https://www.amazon.com/ARDELL-Duralash-Flare-Individual-Lashes/dp/B01MY0WT7O/ref=sr_1_3?keywords=Ardell+Individual+Knot-Free+Flare+Lashes+-+Combo+Black+%2865063%29&amp;qid=1695565503&amp;sr=8-3")</f>
        <v/>
      </c>
      <c r="F40" t="inlineStr">
        <is>
          <t>B01MY0WT7O</t>
        </is>
      </c>
      <c r="G40">
        <f>_xlfn.IMAGE("https://camerareadycosmetics.com/cdn/shop/products/ardell_combo_bl__74318.1461771400.600.600_50x.jpeg?v=1689659613")</f>
        <v/>
      </c>
      <c r="H40">
        <f>_xlfn.IMAGE("https://m.media-amazon.com/images/I/512tm-G+CqL._AC_UL320_.jpg")</f>
        <v/>
      </c>
      <c r="K40" t="inlineStr">
        <is>
          <t>5.5</t>
        </is>
      </c>
      <c r="L40" t="n">
        <v>13.5</v>
      </c>
      <c r="M40" s="1" t="inlineStr">
        <is>
          <t>145.45%</t>
        </is>
      </c>
      <c r="N40" t="n">
        <v>3.9</v>
      </c>
      <c r="O40" t="n">
        <v>3</v>
      </c>
      <c r="Q40" t="inlineStr">
        <is>
          <t>OutOfStock</t>
        </is>
      </c>
      <c r="R40" t="inlineStr">
        <is>
          <t>undefined</t>
        </is>
      </c>
      <c r="S40" t="inlineStr">
        <is>
          <t>7050808967</t>
        </is>
      </c>
    </row>
    <row r="41" ht="75" customHeight="1">
      <c r="A41" s="2">
        <f>HYPERLINK("https://camerareadycosmetics.com/products/ardell-individual-knot-free-flare-lashes-combo-black-65063", "https://camerareadycosmetics.com/products/ardell-individual-knot-free-flare-lashes-combo-black-65063")</f>
        <v/>
      </c>
      <c r="B41" s="2">
        <f>HYPERLINK("https://camerareadycosmetics.com/products/ardell-individual-knot-free-flare-lashes-combo-black-65063", "https://camerareadycosmetics.com/products/ardell-individual-knot-free-flare-lashes-combo-black-65063")</f>
        <v/>
      </c>
      <c r="C41" t="inlineStr">
        <is>
          <t>Ardell Individual Knot-Free Flare Lashes - Combo Black (65063)</t>
        </is>
      </c>
      <c r="D41" t="inlineStr">
        <is>
          <t>(3 Pack) ARDELL Duralash Knot-Free Mega Flare Individual Black Lashes - Medium</t>
        </is>
      </c>
      <c r="E41" s="2">
        <f>HYPERLINK("https://www.amazon.com/ARDELL-Duralash-Knot-Free-Individual-Lashes/dp/B01N2WLE3M/ref=sr_1_4?keywords=Ardell+Individual+Knot-Free+Flare+Lashes+-+Combo+Black+%2865063%29&amp;qid=1695565503&amp;sr=8-4", "https://www.amazon.com/ARDELL-Duralash-Knot-Free-Individual-Lashes/dp/B01N2WLE3M/ref=sr_1_4?keywords=Ardell+Individual+Knot-Free+Flare+Lashes+-+Combo+Black+%2865063%29&amp;qid=1695565503&amp;sr=8-4")</f>
        <v/>
      </c>
      <c r="F41" t="inlineStr">
        <is>
          <t>B01N2WLE3M</t>
        </is>
      </c>
      <c r="G41">
        <f>_xlfn.IMAGE("https://camerareadycosmetics.com/cdn/shop/products/ardell_combo_bl__74318.1461771400.600.600_50x.jpeg?v=1689659613")</f>
        <v/>
      </c>
      <c r="H41">
        <f>_xlfn.IMAGE("https://m.media-amazon.com/images/I/51UJL4kO--L._AC_UL320_.jpg")</f>
        <v/>
      </c>
      <c r="K41" t="inlineStr">
        <is>
          <t>5.5</t>
        </is>
      </c>
      <c r="L41" t="n">
        <v>13.5</v>
      </c>
      <c r="M41" s="1" t="inlineStr">
        <is>
          <t>145.45%</t>
        </is>
      </c>
      <c r="N41" t="n">
        <v>3.7</v>
      </c>
      <c r="O41" t="n">
        <v>10</v>
      </c>
      <c r="Q41" t="inlineStr">
        <is>
          <t>OutOfStock</t>
        </is>
      </c>
      <c r="R41" t="inlineStr">
        <is>
          <t>undefined</t>
        </is>
      </c>
      <c r="S41" t="inlineStr">
        <is>
          <t>7050808967</t>
        </is>
      </c>
    </row>
    <row r="42" ht="75" customHeight="1">
      <c r="A42" s="2">
        <f>HYPERLINK("https://camerareadycosmetics.com/products/ardell-individual-knot-free-flare-lashes-combo-black-65063", "https://camerareadycosmetics.com/products/ardell-individual-knot-free-flare-lashes-combo-black-65063")</f>
        <v/>
      </c>
      <c r="B42" s="2">
        <f>HYPERLINK("https://camerareadycosmetics.com/products/ardell-individual-knot-free-flare-lashes-combo-black-65063", "https://camerareadycosmetics.com/products/ardell-individual-knot-free-flare-lashes-combo-black-65063")</f>
        <v/>
      </c>
      <c r="C42" t="inlineStr">
        <is>
          <t>Ardell Individual Knot-Free Flare Lashes - Combo Black (65063)</t>
        </is>
      </c>
      <c r="D42" t="inlineStr">
        <is>
          <t>Ardell 6 Pack Knot-Free Flares Individuals Combo Black</t>
        </is>
      </c>
      <c r="E42" s="2">
        <f>HYPERLINK("https://www.amazon.com/Ardell-Individual-Lashes-Naturals-Combo/dp/B001D0938Q/ref=sr_1_8?keywords=Ardell+Individual+Knot-Free+Flare+Lashes+-+Combo+Black+%2865063%29&amp;qid=1695565503&amp;sr=8-8", "https://www.amazon.com/Ardell-Individual-Lashes-Naturals-Combo/dp/B001D0938Q/ref=sr_1_8?keywords=Ardell+Individual+Knot-Free+Flare+Lashes+-+Combo+Black+%2865063%29&amp;qid=1695565503&amp;sr=8-8")</f>
        <v/>
      </c>
      <c r="F42" t="inlineStr">
        <is>
          <t>B001D0938Q</t>
        </is>
      </c>
      <c r="G42">
        <f>_xlfn.IMAGE("https://camerareadycosmetics.com/cdn/shop/products/ardell_combo_bl__74318.1461771400.600.600_50x.jpeg?v=1689659613")</f>
        <v/>
      </c>
      <c r="H42">
        <f>_xlfn.IMAGE("https://m.media-amazon.com/images/I/61BPGWSsqML._AC_UL320_.jpg")</f>
        <v/>
      </c>
      <c r="K42" t="inlineStr">
        <is>
          <t>5.5</t>
        </is>
      </c>
      <c r="L42" t="n">
        <v>13.39</v>
      </c>
      <c r="M42" s="1" t="inlineStr">
        <is>
          <t>143.45%</t>
        </is>
      </c>
      <c r="N42" t="n">
        <v>4.2</v>
      </c>
      <c r="O42" t="n">
        <v>89</v>
      </c>
      <c r="Q42" t="inlineStr">
        <is>
          <t>OutOfStock</t>
        </is>
      </c>
      <c r="R42" t="inlineStr">
        <is>
          <t>undefined</t>
        </is>
      </c>
      <c r="S42" t="inlineStr">
        <is>
          <t>7050808967</t>
        </is>
      </c>
    </row>
    <row r="43" ht="75" customHeight="1">
      <c r="A43" s="2">
        <f>HYPERLINK("https://camerareadycosmetics.com/products/ardell-individual-knot-free-flare-lashes-combo-black-65063", "https://camerareadycosmetics.com/products/ardell-individual-knot-free-flare-lashes-combo-black-65063")</f>
        <v/>
      </c>
      <c r="B43" s="2">
        <f>HYPERLINK("https://camerareadycosmetics.com/products/ardell-individual-knot-free-flare-lashes-combo-black-65063", "https://camerareadycosmetics.com/products/ardell-individual-knot-free-flare-lashes-combo-black-65063")</f>
        <v/>
      </c>
      <c r="C43" t="inlineStr">
        <is>
          <t>Ardell Individual Knot-Free Flare Lashes - Combo Black (65063)</t>
        </is>
      </c>
      <c r="D43" t="inlineStr">
        <is>
          <t>Ardell False Eyelashes Mega Individuals Knot-Free Short Black 4 Pack</t>
        </is>
      </c>
      <c r="E43" s="2">
        <f>HYPERLINK("https://www.amazon.com/Ardell-False-Eyelashes-Individuals-Knot-Free/dp/B07RV5P46V/ref=sr_1_10?keywords=Ardell+Individual+Knot-Free+Flare+Lashes+-+Combo+Black+%2865063%29&amp;qid=1695565503&amp;sr=8-10", "https://www.amazon.com/Ardell-False-Eyelashes-Individuals-Knot-Free/dp/B07RV5P46V/ref=sr_1_10?keywords=Ardell+Individual+Knot-Free+Flare+Lashes+-+Combo+Black+%2865063%29&amp;qid=1695565503&amp;sr=8-10")</f>
        <v/>
      </c>
      <c r="F43" t="inlineStr">
        <is>
          <t>B07RV5P46V</t>
        </is>
      </c>
      <c r="G43">
        <f>_xlfn.IMAGE("https://camerareadycosmetics.com/cdn/shop/products/ardell_combo_bl__74318.1461771400.600.600_50x.jpeg?v=1689659613")</f>
        <v/>
      </c>
      <c r="H43">
        <f>_xlfn.IMAGE("https://m.media-amazon.com/images/I/71+zluA-0EL._AC_UL320_.jpg")</f>
        <v/>
      </c>
      <c r="K43" t="inlineStr">
        <is>
          <t>5.5</t>
        </is>
      </c>
      <c r="L43" t="n">
        <v>9.779999999999999</v>
      </c>
      <c r="M43" s="1" t="inlineStr">
        <is>
          <t>77.82%</t>
        </is>
      </c>
      <c r="N43" t="n">
        <v>4.4</v>
      </c>
      <c r="O43" t="n">
        <v>106</v>
      </c>
      <c r="Q43" t="inlineStr">
        <is>
          <t>OutOfStock</t>
        </is>
      </c>
      <c r="R43" t="inlineStr">
        <is>
          <t>undefined</t>
        </is>
      </c>
      <c r="S43" t="inlineStr">
        <is>
          <t>7050808967</t>
        </is>
      </c>
    </row>
    <row r="44" ht="75" customHeight="1">
      <c r="A44" s="2">
        <f>HYPERLINK("https://camerareadycosmetics.com/products/ardell-individual-knot-free-flare-lashes-long-black-65054", "https://camerareadycosmetics.com/products/ardell-individual-knot-free-flare-lashes-long-black-65054")</f>
        <v/>
      </c>
      <c r="B44" s="2">
        <f>HYPERLINK("https://camerareadycosmetics.com/products/ardell-individual-knot-free-flare-lashes-long-black-65054", "https://camerareadycosmetics.com/products/ardell-individual-knot-free-flare-lashes-long-black-65054")</f>
        <v/>
      </c>
      <c r="C44" t="inlineStr">
        <is>
          <t>Ardell Individual Knot-Free Flare Lashes - Long Black (65054)</t>
        </is>
      </c>
      <c r="D44" t="inlineStr">
        <is>
          <t>(6 Pack) ARDELL Duralash Knot-Free Mega Flare Individual Black Lashes - Long</t>
        </is>
      </c>
      <c r="E44" s="2">
        <f>HYPERLINK("https://www.amazon.com/ARDELL-Duralash-Knot-Free-Individual-Lashes/dp/B01NCOTVJZ/ref=sr_1_4?keywords=Ardell+Individual+Knot-Free+Flare+Lashes+-+Long+Black+%2865054%29&amp;qid=1695565562&amp;sr=8-4", "https://www.amazon.com/ARDELL-Duralash-Knot-Free-Individual-Lashes/dp/B01NCOTVJZ/ref=sr_1_4?keywords=Ardell+Individual+Knot-Free+Flare+Lashes+-+Long+Black+%2865054%29&amp;qid=1695565562&amp;sr=8-4")</f>
        <v/>
      </c>
      <c r="F44" t="inlineStr">
        <is>
          <t>B01NCOTVJZ</t>
        </is>
      </c>
      <c r="G44">
        <f>_xlfn.IMAGE("https://camerareadycosmetics.com/cdn/shop/products/ardell_ind_lbl__35606.1461770580.600.600_50x.jpeg?v=1689659586")</f>
        <v/>
      </c>
      <c r="H44">
        <f>_xlfn.IMAGE("https://m.media-amazon.com/images/I/51qliVhbJnL._AC_UL320_.jpg")</f>
        <v/>
      </c>
      <c r="K44" t="inlineStr">
        <is>
          <t>5.5</t>
        </is>
      </c>
      <c r="L44" t="n">
        <v>26.99</v>
      </c>
      <c r="M44" s="1" t="inlineStr">
        <is>
          <t>390.73%</t>
        </is>
      </c>
      <c r="N44" t="n">
        <v>4.1</v>
      </c>
      <c r="O44" t="n">
        <v>17</v>
      </c>
      <c r="Q44" t="inlineStr">
        <is>
          <t>InStock</t>
        </is>
      </c>
      <c r="R44" t="inlineStr">
        <is>
          <t>undefined</t>
        </is>
      </c>
      <c r="S44" t="inlineStr">
        <is>
          <t>7050778183</t>
        </is>
      </c>
    </row>
    <row r="45" ht="75" customHeight="1">
      <c r="A45" s="2">
        <f>HYPERLINK("https://camerareadycosmetics.com/products/ardell-individual-knot-free-flare-lashes-long-black-65054", "https://camerareadycosmetics.com/products/ardell-individual-knot-free-flare-lashes-long-black-65054")</f>
        <v/>
      </c>
      <c r="B45" s="2">
        <f>HYPERLINK("https://camerareadycosmetics.com/products/ardell-individual-knot-free-flare-lashes-long-black-65054", "https://camerareadycosmetics.com/products/ardell-individual-knot-free-flare-lashes-long-black-65054")</f>
        <v/>
      </c>
      <c r="C45" t="inlineStr">
        <is>
          <t>Ardell Individual Knot-Free Flare Lashes - Long Black (65054)</t>
        </is>
      </c>
      <c r="D45" t="inlineStr">
        <is>
          <t>(6 Pack) ARDELL Duralash Knot-Free Mega Flare Individual Black Lashes - Medium</t>
        </is>
      </c>
      <c r="E45" s="2">
        <f>HYPERLINK("https://www.amazon.com/ARDELL-Duralash-Knot-Free-Individual-Lashes/dp/B01N0TJ6IN/ref=sr_1_9?keywords=Ardell+Individual+Knot-Free+Flare+Lashes+-+Long+Black+%2865054%29&amp;qid=1695565562&amp;sr=8-9", "https://www.amazon.com/ARDELL-Duralash-Knot-Free-Individual-Lashes/dp/B01N0TJ6IN/ref=sr_1_9?keywords=Ardell+Individual+Knot-Free+Flare+Lashes+-+Long+Black+%2865054%29&amp;qid=1695565562&amp;sr=8-9")</f>
        <v/>
      </c>
      <c r="F45" t="inlineStr">
        <is>
          <t>B01N0TJ6IN</t>
        </is>
      </c>
      <c r="G45">
        <f>_xlfn.IMAGE("https://camerareadycosmetics.com/cdn/shop/products/ardell_ind_lbl__35606.1461770580.600.600_50x.jpeg?v=1689659586")</f>
        <v/>
      </c>
      <c r="H45">
        <f>_xlfn.IMAGE("https://m.media-amazon.com/images/I/51UJL4kO--L._AC_UL320_.jpg")</f>
        <v/>
      </c>
      <c r="K45" t="inlineStr">
        <is>
          <t>5.5</t>
        </is>
      </c>
      <c r="L45" t="n">
        <v>26.99</v>
      </c>
      <c r="M45" s="1" t="inlineStr">
        <is>
          <t>390.73%</t>
        </is>
      </c>
      <c r="N45" t="n">
        <v>5</v>
      </c>
      <c r="O45" t="n">
        <v>13</v>
      </c>
      <c r="Q45" t="inlineStr">
        <is>
          <t>InStock</t>
        </is>
      </c>
      <c r="R45" t="inlineStr">
        <is>
          <t>undefined</t>
        </is>
      </c>
      <c r="S45" t="inlineStr">
        <is>
          <t>7050778183</t>
        </is>
      </c>
    </row>
    <row r="46" ht="75" customHeight="1">
      <c r="A46" s="2">
        <f>HYPERLINK("https://camerareadycosmetics.com/products/ardell-individual-knot-free-flare-lashes-long-black-65054", "https://camerareadycosmetics.com/products/ardell-individual-knot-free-flare-lashes-long-black-65054")</f>
        <v/>
      </c>
      <c r="B46" s="2">
        <f>HYPERLINK("https://camerareadycosmetics.com/products/ardell-individual-knot-free-flare-lashes-long-black-65054", "https://camerareadycosmetics.com/products/ardell-individual-knot-free-flare-lashes-long-black-65054")</f>
        <v/>
      </c>
      <c r="C46" t="inlineStr">
        <is>
          <t>Ardell Individual Knot-Free Flare Lashes - Long Black (65054)</t>
        </is>
      </c>
      <c r="D46" t="inlineStr">
        <is>
          <t>(6 Pack) ARDELL Duralash Knot Free Mega Flare Individual Black Lashes Short</t>
        </is>
      </c>
      <c r="E46" s="2">
        <f>HYPERLINK("https://www.amazon.com/ARDELL-Duralash-Flare-Individual-Lashes/dp/B01MZ2G78K/ref=sr_1_6?keywords=Ardell+Individual+Knot-Free+Flare+Lashes+-+Long+Black+%2865054%29&amp;qid=1695565562&amp;sr=8-6", "https://www.amazon.com/ARDELL-Duralash-Flare-Individual-Lashes/dp/B01MZ2G78K/ref=sr_1_6?keywords=Ardell+Individual+Knot-Free+Flare+Lashes+-+Long+Black+%2865054%29&amp;qid=1695565562&amp;sr=8-6")</f>
        <v/>
      </c>
      <c r="F46" t="inlineStr">
        <is>
          <t>B01MZ2G78K</t>
        </is>
      </c>
      <c r="G46">
        <f>_xlfn.IMAGE("https://camerareadycosmetics.com/cdn/shop/products/ardell_ind_lbl__35606.1461770580.600.600_50x.jpeg?v=1689659586")</f>
        <v/>
      </c>
      <c r="H46">
        <f>_xlfn.IMAGE("https://m.media-amazon.com/images/I/512tm-G+CqL._AC_UL320_.jpg")</f>
        <v/>
      </c>
      <c r="K46" t="inlineStr">
        <is>
          <t>5.5</t>
        </is>
      </c>
      <c r="L46" t="n">
        <v>20.37</v>
      </c>
      <c r="M46" s="1" t="inlineStr">
        <is>
          <t>270.36%</t>
        </is>
      </c>
      <c r="N46" t="n">
        <v>4.3</v>
      </c>
      <c r="O46" t="n">
        <v>4</v>
      </c>
      <c r="Q46" t="inlineStr">
        <is>
          <t>InStock</t>
        </is>
      </c>
      <c r="R46" t="inlineStr">
        <is>
          <t>undefined</t>
        </is>
      </c>
      <c r="S46" t="inlineStr">
        <is>
          <t>7050778183</t>
        </is>
      </c>
    </row>
    <row r="47" ht="75" customHeight="1">
      <c r="A47" s="2">
        <f>HYPERLINK("https://camerareadycosmetics.com/products/ardell-individual-knot-free-flare-lashes-long-black-65054", "https://camerareadycosmetics.com/products/ardell-individual-knot-free-flare-lashes-long-black-65054")</f>
        <v/>
      </c>
      <c r="B47" s="2">
        <f>HYPERLINK("https://camerareadycosmetics.com/products/ardell-individual-knot-free-flare-lashes-long-black-65054", "https://camerareadycosmetics.com/products/ardell-individual-knot-free-flare-lashes-long-black-65054")</f>
        <v/>
      </c>
      <c r="C47" t="inlineStr">
        <is>
          <t>Ardell Individual Knot-Free Flare Lashes - Long Black (65054)</t>
        </is>
      </c>
      <c r="D47" t="inlineStr">
        <is>
          <t>(3 Pack) ARDELL Duralash Knot Free Mega Flare Individual Black Lashes Long</t>
        </is>
      </c>
      <c r="E47" s="2">
        <f>HYPERLINK("https://www.amazon.com/ARDELL-Duralash-Flare-Individual-Lashes/dp/B01N0TJ1DF/ref=sr_1_5?keywords=Ardell+Individual+Knot-Free+Flare+Lashes+-+Long+Black+%2865054%29&amp;qid=1695565562&amp;sr=8-5", "https://www.amazon.com/ARDELL-Duralash-Flare-Individual-Lashes/dp/B01N0TJ1DF/ref=sr_1_5?keywords=Ardell+Individual+Knot-Free+Flare+Lashes+-+Long+Black+%2865054%29&amp;qid=1695565562&amp;sr=8-5")</f>
        <v/>
      </c>
      <c r="F47" t="inlineStr">
        <is>
          <t>B01N0TJ1DF</t>
        </is>
      </c>
      <c r="G47">
        <f>_xlfn.IMAGE("https://camerareadycosmetics.com/cdn/shop/products/ardell_ind_lbl__35606.1461770580.600.600_50x.jpeg?v=1689659586")</f>
        <v/>
      </c>
      <c r="H47">
        <f>_xlfn.IMAGE("https://m.media-amazon.com/images/I/51qliVhbJnL._AC_UL320_.jpg")</f>
        <v/>
      </c>
      <c r="K47" t="inlineStr">
        <is>
          <t>5.5</t>
        </is>
      </c>
      <c r="L47" t="n">
        <v>14.99</v>
      </c>
      <c r="M47" s="1" t="inlineStr">
        <is>
          <t>172.55%</t>
        </is>
      </c>
      <c r="N47" t="n">
        <v>4.2</v>
      </c>
      <c r="O47" t="n">
        <v>13</v>
      </c>
      <c r="Q47" t="inlineStr">
        <is>
          <t>InStock</t>
        </is>
      </c>
      <c r="R47" t="inlineStr">
        <is>
          <t>undefined</t>
        </is>
      </c>
      <c r="S47" t="inlineStr">
        <is>
          <t>7050778183</t>
        </is>
      </c>
    </row>
    <row r="48" ht="75" customHeight="1">
      <c r="A48" s="2">
        <f>HYPERLINK("https://camerareadycosmetics.com/products/ardell-individual-knot-free-flare-lashes-long-black-65054", "https://camerareadycosmetics.com/products/ardell-individual-knot-free-flare-lashes-long-black-65054")</f>
        <v/>
      </c>
      <c r="B48" s="2">
        <f>HYPERLINK("https://camerareadycosmetics.com/products/ardell-individual-knot-free-flare-lashes-long-black-65054", "https://camerareadycosmetics.com/products/ardell-individual-knot-free-flare-lashes-long-black-65054")</f>
        <v/>
      </c>
      <c r="C48" t="inlineStr">
        <is>
          <t>Ardell Individual Knot-Free Flare Lashes - Long Black (65054)</t>
        </is>
      </c>
      <c r="D48" t="inlineStr">
        <is>
          <t>Ardell False Eyelashes Knot-Free Individuals Long Black, 6-Pack (contains 6 packs of lash trays with 56 Individual Lashes each)</t>
        </is>
      </c>
      <c r="E48" s="2">
        <f>HYPERLINK("https://www.amazon.com/Ardell-False-Eyelashes-Knot-Free-Individuals/dp/B07S4CZC6L/ref=sr_1_3?keywords=Ardell+Individual+Knot-Free+Flare+Lashes+-+Long+Black+%2865054%29&amp;qid=1695565562&amp;sr=8-3", "https://www.amazon.com/Ardell-False-Eyelashes-Knot-Free-Individuals/dp/B07S4CZC6L/ref=sr_1_3?keywords=Ardell+Individual+Knot-Free+Flare+Lashes+-+Long+Black+%2865054%29&amp;qid=1695565562&amp;sr=8-3")</f>
        <v/>
      </c>
      <c r="F48" t="inlineStr">
        <is>
          <t>B07S4CZC6L</t>
        </is>
      </c>
      <c r="G48">
        <f>_xlfn.IMAGE("https://camerareadycosmetics.com/cdn/shop/products/ardell_ind_lbl__35606.1461770580.600.600_50x.jpeg?v=1689659586")</f>
        <v/>
      </c>
      <c r="H48">
        <f>_xlfn.IMAGE("https://m.media-amazon.com/images/I/61lYfhG8dxL._AC_UL320_.jpg")</f>
        <v/>
      </c>
      <c r="K48" t="inlineStr">
        <is>
          <t>5.5</t>
        </is>
      </c>
      <c r="L48" t="n">
        <v>14.86</v>
      </c>
      <c r="M48" s="1" t="inlineStr">
        <is>
          <t>170.18%</t>
        </is>
      </c>
      <c r="N48" t="n">
        <v>4.5</v>
      </c>
      <c r="O48" t="n">
        <v>265</v>
      </c>
      <c r="Q48" t="inlineStr">
        <is>
          <t>InStock</t>
        </is>
      </c>
      <c r="R48" t="inlineStr">
        <is>
          <t>undefined</t>
        </is>
      </c>
      <c r="S48" t="inlineStr">
        <is>
          <t>7050778183</t>
        </is>
      </c>
    </row>
    <row r="49" ht="75" customHeight="1">
      <c r="A49" s="2">
        <f>HYPERLINK("https://camerareadycosmetics.com/products/ardell-individual-knot-free-flare-lashes-long-black-65054", "https://camerareadycosmetics.com/products/ardell-individual-knot-free-flare-lashes-long-black-65054")</f>
        <v/>
      </c>
      <c r="B49" s="2">
        <f>HYPERLINK("https://camerareadycosmetics.com/products/ardell-individual-knot-free-flare-lashes-long-black-65054", "https://camerareadycosmetics.com/products/ardell-individual-knot-free-flare-lashes-long-black-65054")</f>
        <v/>
      </c>
      <c r="C49" t="inlineStr">
        <is>
          <t>Ardell Individual Knot-Free Flare Lashes - Long Black (65054)</t>
        </is>
      </c>
      <c r="D49" t="inlineStr">
        <is>
          <t>Ardell False Eyelashes Mega Individuals Knot-Free Long Black 4 Pack</t>
        </is>
      </c>
      <c r="E49" s="2">
        <f>HYPERLINK("https://www.amazon.com/Ardell-False-Eyelashes-Individuals-Knot-Free/dp/B07RQWDM4C/ref=sr_1_1?keywords=Ardell+Individual+Knot-Free+Flare+Lashes+-+Long+Black+%2865054%29&amp;qid=1695565562&amp;sr=8-1", "https://www.amazon.com/Ardell-False-Eyelashes-Individuals-Knot-Free/dp/B07RQWDM4C/ref=sr_1_1?keywords=Ardell+Individual+Knot-Free+Flare+Lashes+-+Long+Black+%2865054%29&amp;qid=1695565562&amp;sr=8-1")</f>
        <v/>
      </c>
      <c r="F49" t="inlineStr">
        <is>
          <t>B07RQWDM4C</t>
        </is>
      </c>
      <c r="G49">
        <f>_xlfn.IMAGE("https://camerareadycosmetics.com/cdn/shop/products/ardell_ind_lbl__35606.1461770580.600.600_50x.jpeg?v=1689659586")</f>
        <v/>
      </c>
      <c r="H49">
        <f>_xlfn.IMAGE("https://m.media-amazon.com/images/I/71BFKgtFJsL._AC_UL320_.jpg")</f>
        <v/>
      </c>
      <c r="K49" t="inlineStr">
        <is>
          <t>5.5</t>
        </is>
      </c>
      <c r="L49" t="n">
        <v>14.26</v>
      </c>
      <c r="M49" s="1" t="inlineStr">
        <is>
          <t>159.27%</t>
        </is>
      </c>
      <c r="N49" t="n">
        <v>4.4</v>
      </c>
      <c r="O49" t="n">
        <v>106</v>
      </c>
      <c r="Q49" t="inlineStr">
        <is>
          <t>InStock</t>
        </is>
      </c>
      <c r="R49" t="inlineStr">
        <is>
          <t>undefined</t>
        </is>
      </c>
      <c r="S49" t="inlineStr">
        <is>
          <t>7050778183</t>
        </is>
      </c>
    </row>
    <row r="50" ht="75" customHeight="1">
      <c r="A50" s="2">
        <f>HYPERLINK("https://camerareadycosmetics.com/products/ardell-individual-knot-free-flare-lashes-long-black-65054", "https://camerareadycosmetics.com/products/ardell-individual-knot-free-flare-lashes-long-black-65054")</f>
        <v/>
      </c>
      <c r="B50" s="2">
        <f>HYPERLINK("https://camerareadycosmetics.com/products/ardell-individual-knot-free-flare-lashes-long-black-65054", "https://camerareadycosmetics.com/products/ardell-individual-knot-free-flare-lashes-long-black-65054")</f>
        <v/>
      </c>
      <c r="C50" t="inlineStr">
        <is>
          <t>Ardell Individual Knot-Free Flare Lashes - Long Black (65054)</t>
        </is>
      </c>
      <c r="D50" t="inlineStr">
        <is>
          <t>Ardell False Eyelashes Triple Individuals Knot-Free Long Black 4 Pack</t>
        </is>
      </c>
      <c r="E50" s="2">
        <f>HYPERLINK("https://www.amazon.com/Ardell-Eyelashes-Triple-Individuals-Knot-Free/dp/B07RW5VRBX/ref=sr_1_2?keywords=Ardell+Individual+Knot-Free+Flare+Lashes+-+Long+Black+%2865054%29&amp;qid=1695565562&amp;sr=8-2", "https://www.amazon.com/Ardell-Eyelashes-Triple-Individuals-Knot-Free/dp/B07RW5VRBX/ref=sr_1_2?keywords=Ardell+Individual+Knot-Free+Flare+Lashes+-+Long+Black+%2865054%29&amp;qid=1695565562&amp;sr=8-2")</f>
        <v/>
      </c>
      <c r="F50" t="inlineStr">
        <is>
          <t>B07RW5VRBX</t>
        </is>
      </c>
      <c r="G50">
        <f>_xlfn.IMAGE("https://camerareadycosmetics.com/cdn/shop/products/ardell_ind_lbl__35606.1461770580.600.600_50x.jpeg?v=1689659586")</f>
        <v/>
      </c>
      <c r="H50">
        <f>_xlfn.IMAGE("https://m.media-amazon.com/images/I/71e-SWfEDKL._AC_UL320_.jpg")</f>
        <v/>
      </c>
      <c r="K50" t="inlineStr">
        <is>
          <t>5.5</t>
        </is>
      </c>
      <c r="L50" t="n">
        <v>13.79</v>
      </c>
      <c r="M50" s="1" t="inlineStr">
        <is>
          <t>150.73%</t>
        </is>
      </c>
      <c r="N50" t="n">
        <v>4.4</v>
      </c>
      <c r="O50" t="n">
        <v>562</v>
      </c>
      <c r="Q50" t="inlineStr">
        <is>
          <t>InStock</t>
        </is>
      </c>
      <c r="R50" t="inlineStr">
        <is>
          <t>undefined</t>
        </is>
      </c>
      <c r="S50" t="inlineStr">
        <is>
          <t>7050778183</t>
        </is>
      </c>
    </row>
    <row r="51" ht="75" customHeight="1">
      <c r="A51" s="2">
        <f>HYPERLINK("https://camerareadycosmetics.com/products/ardell-individual-knot-free-flare-lashes-long-black-65054", "https://camerareadycosmetics.com/products/ardell-individual-knot-free-flare-lashes-long-black-65054")</f>
        <v/>
      </c>
      <c r="B51" s="2">
        <f>HYPERLINK("https://camerareadycosmetics.com/products/ardell-individual-knot-free-flare-lashes-long-black-65054", "https://camerareadycosmetics.com/products/ardell-individual-knot-free-flare-lashes-long-black-65054")</f>
        <v/>
      </c>
      <c r="C51" t="inlineStr">
        <is>
          <t>Ardell Individual Knot-Free Flare Lashes - Long Black (65054)</t>
        </is>
      </c>
      <c r="D51" t="inlineStr">
        <is>
          <t>(3 Pack) ARDELL Duralash Knot Free Mega Flare Individual Black Lashes Short</t>
        </is>
      </c>
      <c r="E51" s="2">
        <f>HYPERLINK("https://www.amazon.com/ARDELL-Duralash-Flare-Individual-Lashes/dp/B01MY0WT7O/ref=sr_1_7?keywords=Ardell+Individual+Knot-Free+Flare+Lashes+-+Long+Black+%2865054%29&amp;qid=1695565562&amp;sr=8-7", "https://www.amazon.com/ARDELL-Duralash-Flare-Individual-Lashes/dp/B01MY0WT7O/ref=sr_1_7?keywords=Ardell+Individual+Knot-Free+Flare+Lashes+-+Long+Black+%2865054%29&amp;qid=1695565562&amp;sr=8-7")</f>
        <v/>
      </c>
      <c r="F51" t="inlineStr">
        <is>
          <t>B01MY0WT7O</t>
        </is>
      </c>
      <c r="G51">
        <f>_xlfn.IMAGE("https://camerareadycosmetics.com/cdn/shop/products/ardell_ind_lbl__35606.1461770580.600.600_50x.jpeg?v=1689659586")</f>
        <v/>
      </c>
      <c r="H51">
        <f>_xlfn.IMAGE("https://m.media-amazon.com/images/I/512tm-G+CqL._AC_UL320_.jpg")</f>
        <v/>
      </c>
      <c r="K51" t="inlineStr">
        <is>
          <t>5.5</t>
        </is>
      </c>
      <c r="L51" t="n">
        <v>13.5</v>
      </c>
      <c r="M51" s="1" t="inlineStr">
        <is>
          <t>145.45%</t>
        </is>
      </c>
      <c r="N51" t="n">
        <v>3.9</v>
      </c>
      <c r="O51" t="n">
        <v>3</v>
      </c>
      <c r="Q51" t="inlineStr">
        <is>
          <t>InStock</t>
        </is>
      </c>
      <c r="R51" t="inlineStr">
        <is>
          <t>undefined</t>
        </is>
      </c>
      <c r="S51" t="inlineStr">
        <is>
          <t>7050778183</t>
        </is>
      </c>
    </row>
    <row r="52" ht="75" customHeight="1">
      <c r="A52" s="2">
        <f>HYPERLINK("https://camerareadycosmetics.com/products/ardell-individual-knot-free-flare-lashes-long-black-65054", "https://camerareadycosmetics.com/products/ardell-individual-knot-free-flare-lashes-long-black-65054")</f>
        <v/>
      </c>
      <c r="B52" s="2">
        <f>HYPERLINK("https://camerareadycosmetics.com/products/ardell-individual-knot-free-flare-lashes-long-black-65054", "https://camerareadycosmetics.com/products/ardell-individual-knot-free-flare-lashes-long-black-65054")</f>
        <v/>
      </c>
      <c r="C52" t="inlineStr">
        <is>
          <t>Ardell Individual Knot-Free Flare Lashes - Long Black (65054)</t>
        </is>
      </c>
      <c r="D52" t="inlineStr">
        <is>
          <t>Ardell DOUBLE UP Duralash, KNOT-FREE DOUBLE FLARES, Long Black, Contains 56 Individual Lashes (2-PACK with bonus Skin/Hair Glitter) (FLARES KNOTFREE - Long Black)</t>
        </is>
      </c>
      <c r="E52" s="2">
        <f>HYPERLINK("https://www.amazon.com/Ardell-Duralash-KNOT-FREE-Individual-Lashes/dp/B07CNRKDSJ/ref=sr_1_10?keywords=Ardell+Individual+Knot-Free+Flare+Lashes+-+Long+Black+%2865054%29&amp;qid=1695565562&amp;sr=8-10", "https://www.amazon.com/Ardell-Duralash-KNOT-FREE-Individual-Lashes/dp/B07CNRKDSJ/ref=sr_1_10?keywords=Ardell+Individual+Knot-Free+Flare+Lashes+-+Long+Black+%2865054%29&amp;qid=1695565562&amp;sr=8-10")</f>
        <v/>
      </c>
      <c r="F52" t="inlineStr">
        <is>
          <t>B07CNRKDSJ</t>
        </is>
      </c>
      <c r="G52">
        <f>_xlfn.IMAGE("https://camerareadycosmetics.com/cdn/shop/products/ardell_ind_lbl__35606.1461770580.600.600_50x.jpeg?v=1689659586")</f>
        <v/>
      </c>
      <c r="H52">
        <f>_xlfn.IMAGE("https://m.media-amazon.com/images/I/91AAmrzt57L._AC_UL320_.jpg")</f>
        <v/>
      </c>
      <c r="K52" t="inlineStr">
        <is>
          <t>5.5</t>
        </is>
      </c>
      <c r="L52" t="n">
        <v>11.69</v>
      </c>
      <c r="M52" s="1" t="inlineStr">
        <is>
          <t>112.55%</t>
        </is>
      </c>
      <c r="N52" t="n">
        <v>4.2</v>
      </c>
      <c r="O52" t="n">
        <v>12</v>
      </c>
      <c r="Q52" t="inlineStr">
        <is>
          <t>InStock</t>
        </is>
      </c>
      <c r="R52" t="inlineStr">
        <is>
          <t>undefined</t>
        </is>
      </c>
      <c r="S52" t="inlineStr">
        <is>
          <t>7050778183</t>
        </is>
      </c>
    </row>
    <row r="53" ht="75" customHeight="1">
      <c r="A53" s="2">
        <f>HYPERLINK("https://camerareadycosmetics.com/products/ardell-individual-knot-free-flare-lashes-long-black-65054", "https://camerareadycosmetics.com/products/ardell-individual-knot-free-flare-lashes-long-black-65054")</f>
        <v/>
      </c>
      <c r="B53" s="2">
        <f>HYPERLINK("https://camerareadycosmetics.com/products/ardell-individual-knot-free-flare-lashes-long-black-65054", "https://camerareadycosmetics.com/products/ardell-individual-knot-free-flare-lashes-long-black-65054")</f>
        <v/>
      </c>
      <c r="C53" t="inlineStr">
        <is>
          <t>Ardell Individual Knot-Free Flare Lashes - Long Black (65054)</t>
        </is>
      </c>
      <c r="D53" t="inlineStr">
        <is>
          <t>Ardell Mega Flare - Knot-Free - Long Black</t>
        </is>
      </c>
      <c r="E53" s="2">
        <f>HYPERLINK("https://www.amazon.com/Ardell-Mega-Flare-Knot-Free-Black/dp/B01LX3S4ZA/ref=sr_1_8?keywords=Ardell+Individual+Knot-Free+Flare+Lashes+-+Long+Black+%2865054%29&amp;qid=1695565562&amp;sr=8-8", "https://www.amazon.com/Ardell-Mega-Flare-Knot-Free-Black/dp/B01LX3S4ZA/ref=sr_1_8?keywords=Ardell+Individual+Knot-Free+Flare+Lashes+-+Long+Black+%2865054%29&amp;qid=1695565562&amp;sr=8-8")</f>
        <v/>
      </c>
      <c r="F53" t="inlineStr">
        <is>
          <t>B01LX3S4ZA</t>
        </is>
      </c>
      <c r="G53">
        <f>_xlfn.IMAGE("https://camerareadycosmetics.com/cdn/shop/products/ardell_ind_lbl__35606.1461770580.600.600_50x.jpeg?v=1689659586")</f>
        <v/>
      </c>
      <c r="H53">
        <f>_xlfn.IMAGE("https://m.media-amazon.com/images/I/91WPUm9hE3L._AC_UL320_.jpg")</f>
        <v/>
      </c>
      <c r="K53" t="inlineStr">
        <is>
          <t>5.5</t>
        </is>
      </c>
      <c r="L53" t="n">
        <v>6.95</v>
      </c>
      <c r="M53" s="1" t="inlineStr">
        <is>
          <t>26.36%</t>
        </is>
      </c>
      <c r="N53" t="n">
        <v>4.4</v>
      </c>
      <c r="O53" t="n">
        <v>168</v>
      </c>
      <c r="Q53" t="inlineStr">
        <is>
          <t>InStock</t>
        </is>
      </c>
      <c r="R53" t="inlineStr">
        <is>
          <t>undefined</t>
        </is>
      </c>
      <c r="S53" t="inlineStr">
        <is>
          <t>7050778183</t>
        </is>
      </c>
    </row>
    <row r="54" ht="75" customHeight="1">
      <c r="A54" s="2">
        <f>HYPERLINK("https://camerareadycosmetics.com/products/ardell-individual-knot-free-flare-lashes-medium-black-65052", "https://camerareadycosmetics.com/products/ardell-individual-knot-free-flare-lashes-medium-black-65052")</f>
        <v/>
      </c>
      <c r="B54" s="2">
        <f>HYPERLINK("https://camerareadycosmetics.com/products/ardell-individual-knot-free-flare-lashes-medium-black-65052", "https://camerareadycosmetics.com/products/ardell-individual-knot-free-flare-lashes-medium-black-65052")</f>
        <v/>
      </c>
      <c r="C54" t="inlineStr">
        <is>
          <t>Ardell Individual Knot-Free Flare Lashes - Medium Black (65052)</t>
        </is>
      </c>
      <c r="D54" t="inlineStr">
        <is>
          <t>(6 Pack) ARDELL Professional Individual Multipack Knot-Free Flares - Medium Black</t>
        </is>
      </c>
      <c r="E54" s="2">
        <f>HYPERLINK("https://www.amazon.com/ARDELL-Professional-Individual-Multipack-Knot-Free/dp/B00MSKZ3Y8/ref=sr_1_10?keywords=Ardell+Individual+Knot-Free+Flare+Lashes+-+Medium+Black+%2865052%29&amp;qid=1695565544&amp;sr=8-10", "https://www.amazon.com/ARDELL-Professional-Individual-Multipack-Knot-Free/dp/B00MSKZ3Y8/ref=sr_1_10?keywords=Ardell+Individual+Knot-Free+Flare+Lashes+-+Medium+Black+%2865052%29&amp;qid=1695565544&amp;sr=8-10")</f>
        <v/>
      </c>
      <c r="F54" t="inlineStr">
        <is>
          <t>B00MSKZ3Y8</t>
        </is>
      </c>
      <c r="G54">
        <f>_xlfn.IMAGE("https://camerareadycosmetics.com/cdn/shop/products/ardell_ind_med_sb__65064.1461769656.600.600_50x.jpeg?v=1689659568")</f>
        <v/>
      </c>
      <c r="H54">
        <f>_xlfn.IMAGE("https://m.media-amazon.com/images/I/51kLCS7Wh-L._AC_UL320_.jpg")</f>
        <v/>
      </c>
      <c r="K54" t="inlineStr">
        <is>
          <t>5.5</t>
        </is>
      </c>
      <c r="L54" t="n">
        <v>41.89</v>
      </c>
      <c r="M54" s="1" t="inlineStr">
        <is>
          <t>661.64%</t>
        </is>
      </c>
      <c r="N54" t="n">
        <v>5</v>
      </c>
      <c r="O54" t="n">
        <v>1</v>
      </c>
      <c r="Q54" t="inlineStr">
        <is>
          <t>InStock</t>
        </is>
      </c>
      <c r="R54" t="inlineStr">
        <is>
          <t>undefined</t>
        </is>
      </c>
      <c r="S54" t="inlineStr">
        <is>
          <t>7050765767</t>
        </is>
      </c>
    </row>
    <row r="55" ht="75" customHeight="1">
      <c r="A55" s="2">
        <f>HYPERLINK("https://camerareadycosmetics.com/products/ardell-individual-knot-free-flare-lashes-medium-black-65052", "https://camerareadycosmetics.com/products/ardell-individual-knot-free-flare-lashes-medium-black-65052")</f>
        <v/>
      </c>
      <c r="B55" s="2">
        <f>HYPERLINK("https://camerareadycosmetics.com/products/ardell-individual-knot-free-flare-lashes-medium-black-65052", "https://camerareadycosmetics.com/products/ardell-individual-knot-free-flare-lashes-medium-black-65052")</f>
        <v/>
      </c>
      <c r="C55" t="inlineStr">
        <is>
          <t>Ardell Individual Knot-Free Flare Lashes - Medium Black (65052)</t>
        </is>
      </c>
      <c r="D55" t="inlineStr">
        <is>
          <t>(6 Pack) ARDELL Duralash Knot-Free Mega Flare Individual Black Lashes - Medium</t>
        </is>
      </c>
      <c r="E55" s="2">
        <f>HYPERLINK("https://www.amazon.com/ARDELL-Duralash-Knot-Free-Individual-Lashes/dp/B01N0TJ6IN/ref=sr_1_9?keywords=Ardell+Individual+Knot-Free+Flare+Lashes+-+Medium+Black+%2865052%29&amp;qid=1695565544&amp;sr=8-9", "https://www.amazon.com/ARDELL-Duralash-Knot-Free-Individual-Lashes/dp/B01N0TJ6IN/ref=sr_1_9?keywords=Ardell+Individual+Knot-Free+Flare+Lashes+-+Medium+Black+%2865052%29&amp;qid=1695565544&amp;sr=8-9")</f>
        <v/>
      </c>
      <c r="F55" t="inlineStr">
        <is>
          <t>B01N0TJ6IN</t>
        </is>
      </c>
      <c r="G55">
        <f>_xlfn.IMAGE("https://camerareadycosmetics.com/cdn/shop/products/ardell_ind_med_sb__65064.1461769656.600.600_50x.jpeg?v=1689659568")</f>
        <v/>
      </c>
      <c r="H55">
        <f>_xlfn.IMAGE("https://m.media-amazon.com/images/I/51UJL4kO--L._AC_UL320_.jpg")</f>
        <v/>
      </c>
      <c r="K55" t="inlineStr">
        <is>
          <t>5.5</t>
        </is>
      </c>
      <c r="L55" t="n">
        <v>26.99</v>
      </c>
      <c r="M55" s="1" t="inlineStr">
        <is>
          <t>390.73%</t>
        </is>
      </c>
      <c r="N55" t="n">
        <v>5</v>
      </c>
      <c r="O55" t="n">
        <v>13</v>
      </c>
      <c r="Q55" t="inlineStr">
        <is>
          <t>InStock</t>
        </is>
      </c>
      <c r="R55" t="inlineStr">
        <is>
          <t>undefined</t>
        </is>
      </c>
      <c r="S55" t="inlineStr">
        <is>
          <t>7050765767</t>
        </is>
      </c>
    </row>
    <row r="56" ht="75" customHeight="1">
      <c r="A56" s="2">
        <f>HYPERLINK("https://camerareadycosmetics.com/products/ardell-individual-knot-free-flare-lashes-medium-black-65052", "https://camerareadycosmetics.com/products/ardell-individual-knot-free-flare-lashes-medium-black-65052")</f>
        <v/>
      </c>
      <c r="B56" s="2">
        <f>HYPERLINK("https://camerareadycosmetics.com/products/ardell-individual-knot-free-flare-lashes-medium-black-65052", "https://camerareadycosmetics.com/products/ardell-individual-knot-free-flare-lashes-medium-black-65052")</f>
        <v/>
      </c>
      <c r="C56" t="inlineStr">
        <is>
          <t>Ardell Individual Knot-Free Flare Lashes - Medium Black (65052)</t>
        </is>
      </c>
      <c r="D56" t="inlineStr">
        <is>
          <t>(6 Pack) ARDELL Duralash Knot Free Mega Flare Individual Black Lashes Short</t>
        </is>
      </c>
      <c r="E56" s="2">
        <f>HYPERLINK("https://www.amazon.com/ARDELL-Duralash-Flare-Individual-Lashes/dp/B01MZ2G78K/ref=sr_1_3?keywords=Ardell+Individual+Knot-Free+Flare+Lashes+-+Medium+Black+%2865052%29&amp;qid=1695565544&amp;sr=8-3", "https://www.amazon.com/ARDELL-Duralash-Flare-Individual-Lashes/dp/B01MZ2G78K/ref=sr_1_3?keywords=Ardell+Individual+Knot-Free+Flare+Lashes+-+Medium+Black+%2865052%29&amp;qid=1695565544&amp;sr=8-3")</f>
        <v/>
      </c>
      <c r="F56" t="inlineStr">
        <is>
          <t>B01MZ2G78K</t>
        </is>
      </c>
      <c r="G56">
        <f>_xlfn.IMAGE("https://camerareadycosmetics.com/cdn/shop/products/ardell_ind_med_sb__65064.1461769656.600.600_50x.jpeg?v=1689659568")</f>
        <v/>
      </c>
      <c r="H56">
        <f>_xlfn.IMAGE("https://m.media-amazon.com/images/I/512tm-G+CqL._AC_UL320_.jpg")</f>
        <v/>
      </c>
      <c r="K56" t="inlineStr">
        <is>
          <t>5.5</t>
        </is>
      </c>
      <c r="L56" t="n">
        <v>19.99</v>
      </c>
      <c r="M56" s="1" t="inlineStr">
        <is>
          <t>263.45%</t>
        </is>
      </c>
      <c r="N56" t="n">
        <v>4.3</v>
      </c>
      <c r="O56" t="n">
        <v>4</v>
      </c>
      <c r="Q56" t="inlineStr">
        <is>
          <t>InStock</t>
        </is>
      </c>
      <c r="R56" t="inlineStr">
        <is>
          <t>undefined</t>
        </is>
      </c>
      <c r="S56" t="inlineStr">
        <is>
          <t>7050765767</t>
        </is>
      </c>
    </row>
    <row r="57" ht="75" customHeight="1">
      <c r="A57" s="2">
        <f>HYPERLINK("https://camerareadycosmetics.com/products/ardell-individual-knot-free-flare-lashes-medium-black-65052", "https://camerareadycosmetics.com/products/ardell-individual-knot-free-flare-lashes-medium-black-65052")</f>
        <v/>
      </c>
      <c r="B57" s="2">
        <f>HYPERLINK("https://camerareadycosmetics.com/products/ardell-individual-knot-free-flare-lashes-medium-black-65052", "https://camerareadycosmetics.com/products/ardell-individual-knot-free-flare-lashes-medium-black-65052")</f>
        <v/>
      </c>
      <c r="C57" t="inlineStr">
        <is>
          <t>Ardell Individual Knot-Free Flare Lashes - Medium Black (65052)</t>
        </is>
      </c>
      <c r="D57" t="inlineStr">
        <is>
          <t>(3 Pack) ARDELL Duralash Knot Free Mega Flare Individual Black Lashes Long</t>
        </is>
      </c>
      <c r="E57" s="2">
        <f>HYPERLINK("https://www.amazon.com/ARDELL-Duralash-Flare-Individual-Lashes/dp/B01N0TJ1DF/ref=sr_1_8?keywords=Ardell+Individual+Knot-Free+Flare+Lashes+-+Medium+Black+%2865052%29&amp;qid=1695565544&amp;sr=8-8", "https://www.amazon.com/ARDELL-Duralash-Flare-Individual-Lashes/dp/B01N0TJ1DF/ref=sr_1_8?keywords=Ardell+Individual+Knot-Free+Flare+Lashes+-+Medium+Black+%2865052%29&amp;qid=1695565544&amp;sr=8-8")</f>
        <v/>
      </c>
      <c r="F57" t="inlineStr">
        <is>
          <t>B01N0TJ1DF</t>
        </is>
      </c>
      <c r="G57">
        <f>_xlfn.IMAGE("https://camerareadycosmetics.com/cdn/shop/products/ardell_ind_med_sb__65064.1461769656.600.600_50x.jpeg?v=1689659568")</f>
        <v/>
      </c>
      <c r="H57">
        <f>_xlfn.IMAGE("https://m.media-amazon.com/images/I/51qliVhbJnL._AC_UL320_.jpg")</f>
        <v/>
      </c>
      <c r="K57" t="inlineStr">
        <is>
          <t>5.5</t>
        </is>
      </c>
      <c r="L57" t="n">
        <v>14.99</v>
      </c>
      <c r="M57" s="1" t="inlineStr">
        <is>
          <t>172.55%</t>
        </is>
      </c>
      <c r="N57" t="n">
        <v>4.2</v>
      </c>
      <c r="O57" t="n">
        <v>13</v>
      </c>
      <c r="Q57" t="inlineStr">
        <is>
          <t>InStock</t>
        </is>
      </c>
      <c r="R57" t="inlineStr">
        <is>
          <t>undefined</t>
        </is>
      </c>
      <c r="S57" t="inlineStr">
        <is>
          <t>7050765767</t>
        </is>
      </c>
    </row>
    <row r="58" ht="75" customHeight="1">
      <c r="A58" s="2">
        <f>HYPERLINK("https://camerareadycosmetics.com/products/ardell-individual-knot-free-flare-lashes-medium-black-65052", "https://camerareadycosmetics.com/products/ardell-individual-knot-free-flare-lashes-medium-black-65052")</f>
        <v/>
      </c>
      <c r="B58" s="2">
        <f>HYPERLINK("https://camerareadycosmetics.com/products/ardell-individual-knot-free-flare-lashes-medium-black-65052", "https://camerareadycosmetics.com/products/ardell-individual-knot-free-flare-lashes-medium-black-65052")</f>
        <v/>
      </c>
      <c r="C58" t="inlineStr">
        <is>
          <t>Ardell Individual Knot-Free Flare Lashes - Medium Black (65052)</t>
        </is>
      </c>
      <c r="D58" t="inlineStr">
        <is>
          <t>Ardell 6 Pack Knot-Free Flares Individuals Long Black</t>
        </is>
      </c>
      <c r="E58" s="2">
        <f>HYPERLINK("https://www.amazon.com/Ardell-Individual-Lashes-Naturals-Black/dp/B001C7FEOW/ref=sr_1_1?keywords=Ardell+Individual+Knot-Free+Flare+Lashes+-+Medium+Black+%2865052%29&amp;qid=1695565544&amp;sr=8-1", "https://www.amazon.com/Ardell-Individual-Lashes-Naturals-Black/dp/B001C7FEOW/ref=sr_1_1?keywords=Ardell+Individual+Knot-Free+Flare+Lashes+-+Medium+Black+%2865052%29&amp;qid=1695565544&amp;sr=8-1")</f>
        <v/>
      </c>
      <c r="F58" t="inlineStr">
        <is>
          <t>B001C7FEOW</t>
        </is>
      </c>
      <c r="G58">
        <f>_xlfn.IMAGE("https://camerareadycosmetics.com/cdn/shop/products/ardell_ind_med_sb__65064.1461769656.600.600_50x.jpeg?v=1689659568")</f>
        <v/>
      </c>
      <c r="H58">
        <f>_xlfn.IMAGE("https://m.media-amazon.com/images/I/61lYfhG8dxL._AC_UL320_.jpg")</f>
        <v/>
      </c>
      <c r="K58" t="inlineStr">
        <is>
          <t>5.5</t>
        </is>
      </c>
      <c r="L58" t="n">
        <v>14.99</v>
      </c>
      <c r="M58" s="1" t="inlineStr">
        <is>
          <t>172.55%</t>
        </is>
      </c>
      <c r="N58" t="n">
        <v>4.3</v>
      </c>
      <c r="O58" t="n">
        <v>65</v>
      </c>
      <c r="Q58" t="inlineStr">
        <is>
          <t>InStock</t>
        </is>
      </c>
      <c r="R58" t="inlineStr">
        <is>
          <t>undefined</t>
        </is>
      </c>
      <c r="S58" t="inlineStr">
        <is>
          <t>7050765767</t>
        </is>
      </c>
    </row>
    <row r="59" ht="75" customHeight="1">
      <c r="A59" s="2">
        <f>HYPERLINK("https://camerareadycosmetics.com/products/ardell-individual-knot-free-flare-lashes-medium-black-65052", "https://camerareadycosmetics.com/products/ardell-individual-knot-free-flare-lashes-medium-black-65052")</f>
        <v/>
      </c>
      <c r="B59" s="2">
        <f>HYPERLINK("https://camerareadycosmetics.com/products/ardell-individual-knot-free-flare-lashes-medium-black-65052", "https://camerareadycosmetics.com/products/ardell-individual-knot-free-flare-lashes-medium-black-65052")</f>
        <v/>
      </c>
      <c r="C59" t="inlineStr">
        <is>
          <t>Ardell Individual Knot-Free Flare Lashes - Medium Black (65052)</t>
        </is>
      </c>
      <c r="D59" t="inlineStr">
        <is>
          <t>(3 Pack) ARDELL Duralash Knot Free Mega Flare Individual Black Lashes Short</t>
        </is>
      </c>
      <c r="E59" s="2">
        <f>HYPERLINK("https://www.amazon.com/ARDELL-Duralash-Flare-Individual-Lashes/dp/B01MY0WT7O/ref=sr_1_5?keywords=Ardell+Individual+Knot-Free+Flare+Lashes+-+Medium+Black+%2865052%29&amp;qid=1695565544&amp;sr=8-5", "https://www.amazon.com/ARDELL-Duralash-Flare-Individual-Lashes/dp/B01MY0WT7O/ref=sr_1_5?keywords=Ardell+Individual+Knot-Free+Flare+Lashes+-+Medium+Black+%2865052%29&amp;qid=1695565544&amp;sr=8-5")</f>
        <v/>
      </c>
      <c r="F59" t="inlineStr">
        <is>
          <t>B01MY0WT7O</t>
        </is>
      </c>
      <c r="G59">
        <f>_xlfn.IMAGE("https://camerareadycosmetics.com/cdn/shop/products/ardell_ind_med_sb__65064.1461769656.600.600_50x.jpeg?v=1689659568")</f>
        <v/>
      </c>
      <c r="H59">
        <f>_xlfn.IMAGE("https://m.media-amazon.com/images/I/512tm-G+CqL._AC_UL320_.jpg")</f>
        <v/>
      </c>
      <c r="K59" t="inlineStr">
        <is>
          <t>5.5</t>
        </is>
      </c>
      <c r="L59" t="n">
        <v>13.5</v>
      </c>
      <c r="M59" s="1" t="inlineStr">
        <is>
          <t>145.45%</t>
        </is>
      </c>
      <c r="N59" t="n">
        <v>3.9</v>
      </c>
      <c r="O59" t="n">
        <v>3</v>
      </c>
      <c r="Q59" t="inlineStr">
        <is>
          <t>InStock</t>
        </is>
      </c>
      <c r="R59" t="inlineStr">
        <is>
          <t>undefined</t>
        </is>
      </c>
      <c r="S59" t="inlineStr">
        <is>
          <t>7050765767</t>
        </is>
      </c>
    </row>
    <row r="60" ht="75" customHeight="1">
      <c r="A60" s="2">
        <f>HYPERLINK("https://camerareadycosmetics.com/products/ardell-individual-knot-free-flare-lashes-medium-black-65052", "https://camerareadycosmetics.com/products/ardell-individual-knot-free-flare-lashes-medium-black-65052")</f>
        <v/>
      </c>
      <c r="B60" s="2">
        <f>HYPERLINK("https://camerareadycosmetics.com/products/ardell-individual-knot-free-flare-lashes-medium-black-65052", "https://camerareadycosmetics.com/products/ardell-individual-knot-free-flare-lashes-medium-black-65052")</f>
        <v/>
      </c>
      <c r="C60" t="inlineStr">
        <is>
          <t>Ardell Individual Knot-Free Flare Lashes - Medium Black (65052)</t>
        </is>
      </c>
      <c r="D60" t="inlineStr">
        <is>
          <t>(3 Pack) ARDELL Duralash Knot-Free Mega Flare Individual Black Lashes - Medium</t>
        </is>
      </c>
      <c r="E60" s="2">
        <f>HYPERLINK("https://www.amazon.com/ARDELL-Duralash-Knot-Free-Individual-Lashes/dp/B01N2WLE3M/ref=sr_1_7?keywords=Ardell+Individual+Knot-Free+Flare+Lashes+-+Medium+Black+%2865052%29&amp;qid=1695565544&amp;sr=8-7", "https://www.amazon.com/ARDELL-Duralash-Knot-Free-Individual-Lashes/dp/B01N2WLE3M/ref=sr_1_7?keywords=Ardell+Individual+Knot-Free+Flare+Lashes+-+Medium+Black+%2865052%29&amp;qid=1695565544&amp;sr=8-7")</f>
        <v/>
      </c>
      <c r="F60" t="inlineStr">
        <is>
          <t>B01N2WLE3M</t>
        </is>
      </c>
      <c r="G60">
        <f>_xlfn.IMAGE("https://camerareadycosmetics.com/cdn/shop/products/ardell_ind_med_sb__65064.1461769656.600.600_50x.jpeg?v=1689659568")</f>
        <v/>
      </c>
      <c r="H60">
        <f>_xlfn.IMAGE("https://m.media-amazon.com/images/I/51UJL4kO--L._AC_UL320_.jpg")</f>
        <v/>
      </c>
      <c r="K60" t="inlineStr">
        <is>
          <t>5.5</t>
        </is>
      </c>
      <c r="L60" t="n">
        <v>13.5</v>
      </c>
      <c r="M60" s="1" t="inlineStr">
        <is>
          <t>145.45%</t>
        </is>
      </c>
      <c r="N60" t="n">
        <v>3.7</v>
      </c>
      <c r="O60" t="n">
        <v>10</v>
      </c>
      <c r="Q60" t="inlineStr">
        <is>
          <t>InStock</t>
        </is>
      </c>
      <c r="R60" t="inlineStr">
        <is>
          <t>undefined</t>
        </is>
      </c>
      <c r="S60" t="inlineStr">
        <is>
          <t>7050765767</t>
        </is>
      </c>
    </row>
    <row r="61" ht="75" customHeight="1">
      <c r="A61" s="2">
        <f>HYPERLINK("https://camerareadycosmetics.com/products/ardell-individual-knot-free-flare-lashes-medium-black-65052", "https://camerareadycosmetics.com/products/ardell-individual-knot-free-flare-lashes-medium-black-65052")</f>
        <v/>
      </c>
      <c r="B61" s="2">
        <f>HYPERLINK("https://camerareadycosmetics.com/products/ardell-individual-knot-free-flare-lashes-medium-black-65052", "https://camerareadycosmetics.com/products/ardell-individual-knot-free-flare-lashes-medium-black-65052")</f>
        <v/>
      </c>
      <c r="C61" t="inlineStr">
        <is>
          <t>Ardell Individual Knot-Free Flare Lashes - Medium Black (65052)</t>
        </is>
      </c>
      <c r="D61" t="inlineStr">
        <is>
          <t>Ardell False Eyelashes Triple Individuals Knot-Free Medium Black 4 Pack</t>
        </is>
      </c>
      <c r="E61" s="2">
        <f>HYPERLINK("https://www.amazon.com/Ardell-Eyelashes-Triple-Individuals-Knot-Free/dp/B07RV5P7NZ/ref=sr_1_6?keywords=Ardell+Individual+Knot-Free+Flare+Lashes+-+Medium+Black+%2865052%29&amp;qid=1695565544&amp;sr=8-6", "https://www.amazon.com/Ardell-Eyelashes-Triple-Individuals-Knot-Free/dp/B07RV5P7NZ/ref=sr_1_6?keywords=Ardell+Individual+Knot-Free+Flare+Lashes+-+Medium+Black+%2865052%29&amp;qid=1695565544&amp;sr=8-6")</f>
        <v/>
      </c>
      <c r="F61" t="inlineStr">
        <is>
          <t>B07RV5P7NZ</t>
        </is>
      </c>
      <c r="G61">
        <f>_xlfn.IMAGE("https://camerareadycosmetics.com/cdn/shop/products/ardell_ind_med_sb__65064.1461769656.600.600_50x.jpeg?v=1689659568")</f>
        <v/>
      </c>
      <c r="H61">
        <f>_xlfn.IMAGE("https://m.media-amazon.com/images/I/712tw74MaYL._AC_UL320_.jpg")</f>
        <v/>
      </c>
      <c r="K61" t="inlineStr">
        <is>
          <t>5.5</t>
        </is>
      </c>
      <c r="L61" t="n">
        <v>11.89</v>
      </c>
      <c r="M61" s="1" t="inlineStr">
        <is>
          <t>116.18%</t>
        </is>
      </c>
      <c r="N61" t="n">
        <v>4.4</v>
      </c>
      <c r="O61" t="n">
        <v>562</v>
      </c>
      <c r="Q61" t="inlineStr">
        <is>
          <t>InStock</t>
        </is>
      </c>
      <c r="R61" t="inlineStr">
        <is>
          <t>undefined</t>
        </is>
      </c>
      <c r="S61" t="inlineStr">
        <is>
          <t>7050765767</t>
        </is>
      </c>
    </row>
    <row r="62" ht="75" customHeight="1">
      <c r="A62" s="2">
        <f>HYPERLINK("https://camerareadycosmetics.com/products/ardell-individual-knot-free-flare-lashes-medium-black-65052", "https://camerareadycosmetics.com/products/ardell-individual-knot-free-flare-lashes-medium-black-65052")</f>
        <v/>
      </c>
      <c r="B62" s="2">
        <f>HYPERLINK("https://camerareadycosmetics.com/products/ardell-individual-knot-free-flare-lashes-medium-black-65052", "https://camerareadycosmetics.com/products/ardell-individual-knot-free-flare-lashes-medium-black-65052")</f>
        <v/>
      </c>
      <c r="C62" t="inlineStr">
        <is>
          <t>Ardell Individual Knot-Free Flare Lashes - Medium Black (65052)</t>
        </is>
      </c>
      <c r="D62" t="inlineStr">
        <is>
          <t>Ardell False Eyelashes Mega Individuals Knot-Free Short Black 4 Pack</t>
        </is>
      </c>
      <c r="E62" s="2">
        <f>HYPERLINK("https://www.amazon.com/Ardell-False-Eyelashes-Individuals-Knot-Free/dp/B07RV5P46V/ref=sr_1_2?keywords=Ardell+Individual+Knot-Free+Flare+Lashes+-+Medium+Black+%2865052%29&amp;qid=1695565544&amp;sr=8-2", "https://www.amazon.com/Ardell-False-Eyelashes-Individuals-Knot-Free/dp/B07RV5P46V/ref=sr_1_2?keywords=Ardell+Individual+Knot-Free+Flare+Lashes+-+Medium+Black+%2865052%29&amp;qid=1695565544&amp;sr=8-2")</f>
        <v/>
      </c>
      <c r="F62" t="inlineStr">
        <is>
          <t>B07RV5P46V</t>
        </is>
      </c>
      <c r="G62">
        <f>_xlfn.IMAGE("https://camerareadycosmetics.com/cdn/shop/products/ardell_ind_med_sb__65064.1461769656.600.600_50x.jpeg?v=1689659568")</f>
        <v/>
      </c>
      <c r="H62">
        <f>_xlfn.IMAGE("https://m.media-amazon.com/images/I/71+zluA-0EL._AC_UL320_.jpg")</f>
        <v/>
      </c>
      <c r="K62" t="inlineStr">
        <is>
          <t>5.5</t>
        </is>
      </c>
      <c r="L62" t="n">
        <v>9.779999999999999</v>
      </c>
      <c r="M62" s="1" t="inlineStr">
        <is>
          <t>77.82%</t>
        </is>
      </c>
      <c r="N62" t="n">
        <v>4.4</v>
      </c>
      <c r="O62" t="n">
        <v>106</v>
      </c>
      <c r="Q62" t="inlineStr">
        <is>
          <t>InStock</t>
        </is>
      </c>
      <c r="R62" t="inlineStr">
        <is>
          <t>undefined</t>
        </is>
      </c>
      <c r="S62" t="inlineStr">
        <is>
          <t>7050765767</t>
        </is>
      </c>
    </row>
    <row r="63" ht="75" customHeight="1">
      <c r="A63" s="2">
        <f>HYPERLINK("https://camerareadycosmetics.com/products/ardell-individual-knot-free-flare-lashes-medium-black-65052", "https://camerareadycosmetics.com/products/ardell-individual-knot-free-flare-lashes-medium-black-65052")</f>
        <v/>
      </c>
      <c r="B63" s="2">
        <f>HYPERLINK("https://camerareadycosmetics.com/products/ardell-individual-knot-free-flare-lashes-medium-black-65052", "https://camerareadycosmetics.com/products/ardell-individual-knot-free-flare-lashes-medium-black-65052")</f>
        <v/>
      </c>
      <c r="C63" t="inlineStr">
        <is>
          <t>Ardell Individual Knot-Free Flare Lashes - Medium Black (65052)</t>
        </is>
      </c>
      <c r="D63" t="inlineStr">
        <is>
          <t>Ardell False Eyelashes Multipack Knot-Free Individuals Medium Black, 2-Pack</t>
        </is>
      </c>
      <c r="E63" s="2">
        <f>HYPERLINK("https://www.amazon.com/Ardell-Eyelashes-Multipack-Knot-Free-Individuals/dp/B07S5G9S8H/ref=sr_1_4?keywords=Ardell+Individual+Knot-Free+Flare+Lashes+-+Medium+Black+%2865052%29&amp;qid=1695565544&amp;sr=8-4", "https://www.amazon.com/Ardell-Eyelashes-Multipack-Knot-Free-Individuals/dp/B07S5G9S8H/ref=sr_1_4?keywords=Ardell+Individual+Knot-Free+Flare+Lashes+-+Medium+Black+%2865052%29&amp;qid=1695565544&amp;sr=8-4")</f>
        <v/>
      </c>
      <c r="F63" t="inlineStr">
        <is>
          <t>B07S5G9S8H</t>
        </is>
      </c>
      <c r="G63">
        <f>_xlfn.IMAGE("https://camerareadycosmetics.com/cdn/shop/products/ardell_ind_med_sb__65064.1461769656.600.600_50x.jpeg?v=1689659568")</f>
        <v/>
      </c>
      <c r="H63">
        <f>_xlfn.IMAGE("https://m.media-amazon.com/images/I/618nitrfrfL._AC_UL320_.jpg")</f>
        <v/>
      </c>
      <c r="K63" t="inlineStr">
        <is>
          <t>5.5</t>
        </is>
      </c>
      <c r="L63" t="n">
        <v>9.449999999999999</v>
      </c>
      <c r="M63" s="1" t="inlineStr">
        <is>
          <t>71.82%</t>
        </is>
      </c>
      <c r="N63" t="n">
        <v>4.4</v>
      </c>
      <c r="O63" t="n">
        <v>2973</v>
      </c>
      <c r="Q63" t="inlineStr">
        <is>
          <t>InStock</t>
        </is>
      </c>
      <c r="R63" t="inlineStr">
        <is>
          <t>undefined</t>
        </is>
      </c>
      <c r="S63" t="inlineStr">
        <is>
          <t>7050765767</t>
        </is>
      </c>
    </row>
    <row r="64" ht="75" customHeight="1">
      <c r="A64" s="2">
        <f>HYPERLINK("https://camerareadycosmetics.com/products/ardell-individual-knot-free-flare-lashes-short-black-65050", "https://camerareadycosmetics.com/products/ardell-individual-knot-free-flare-lashes-short-black-65050")</f>
        <v/>
      </c>
      <c r="B64" s="2">
        <f>HYPERLINK("https://camerareadycosmetics.com/products/ardell-individual-knot-free-flare-lashes-short-black-65050", "https://camerareadycosmetics.com/products/ardell-individual-knot-free-flare-lashes-short-black-65050")</f>
        <v/>
      </c>
      <c r="C64" t="inlineStr">
        <is>
          <t>Ardell Individual Knot-Free Flare Lashes - Short Black (65050)</t>
        </is>
      </c>
      <c r="D64" t="inlineStr">
        <is>
          <t>(6 Pack) ARDELL Duralash Knot Free Mega Flare Individual Black Lashes Short</t>
        </is>
      </c>
      <c r="E64" s="2">
        <f>HYPERLINK("https://www.amazon.com/ARDELL-Duralash-Flare-Individual-Lashes/dp/B01MZ2G78K/ref=sr_1_4?keywords=Ardell+Individual+Knot-Free+Flare+Lashes+-+Short+Black+%2865050%29&amp;qid=1695565501&amp;sr=8-4", "https://www.amazon.com/ARDELL-Duralash-Flare-Individual-Lashes/dp/B01MZ2G78K/ref=sr_1_4?keywords=Ardell+Individual+Knot-Free+Flare+Lashes+-+Short+Black+%2865050%29&amp;qid=1695565501&amp;sr=8-4")</f>
        <v/>
      </c>
      <c r="F64" t="inlineStr">
        <is>
          <t>B01MZ2G78K</t>
        </is>
      </c>
      <c r="G64">
        <f>_xlfn.IMAGE("https://camerareadycosmetics.com/cdn/shop/products/ardell_ind_sb__48460.1461768604.600.600_50x.jpeg?v=1689659534")</f>
        <v/>
      </c>
      <c r="H64">
        <f>_xlfn.IMAGE("https://m.media-amazon.com/images/I/512tm-G+CqL._AC_UL320_.jpg")</f>
        <v/>
      </c>
      <c r="K64" t="inlineStr">
        <is>
          <t>5.0</t>
        </is>
      </c>
      <c r="L64" t="n">
        <v>19.99</v>
      </c>
      <c r="M64" s="1" t="inlineStr">
        <is>
          <t>299.80%</t>
        </is>
      </c>
      <c r="N64" t="n">
        <v>4.3</v>
      </c>
      <c r="O64" t="n">
        <v>4</v>
      </c>
      <c r="Q64" t="inlineStr">
        <is>
          <t>InStock</t>
        </is>
      </c>
      <c r="R64" t="inlineStr">
        <is>
          <t>undefined</t>
        </is>
      </c>
      <c r="S64" t="inlineStr">
        <is>
          <t>7050729863</t>
        </is>
      </c>
    </row>
    <row r="65" ht="75" customHeight="1">
      <c r="A65" s="2">
        <f>HYPERLINK("https://camerareadycosmetics.com/products/ardell-individual-knot-free-flare-lashes-short-black-65050", "https://camerareadycosmetics.com/products/ardell-individual-knot-free-flare-lashes-short-black-65050")</f>
        <v/>
      </c>
      <c r="B65" s="2">
        <f>HYPERLINK("https://camerareadycosmetics.com/products/ardell-individual-knot-free-flare-lashes-short-black-65050", "https://camerareadycosmetics.com/products/ardell-individual-knot-free-flare-lashes-short-black-65050")</f>
        <v/>
      </c>
      <c r="C65" t="inlineStr">
        <is>
          <t>Ardell Individual Knot-Free Flare Lashes - Short Black (65050)</t>
        </is>
      </c>
      <c r="D65" t="inlineStr">
        <is>
          <t>Ardell False Eyelashes Knot-Free Individuals Short Black, 6-Pack (contains 6 packs of lash trays with 56 Individual Lashes each)</t>
        </is>
      </c>
      <c r="E65" s="2">
        <f>HYPERLINK("https://www.amazon.com/Ardell-False-Eyelashes-Knot-Free-Individuals/dp/B07S2584GG/ref=sr_1_8?keywords=Ardell+Individual+Knot-Free+Flare+Lashes+-+Short+Black+%2865050%29&amp;qid=1695565501&amp;sr=8-8", "https://www.amazon.com/Ardell-False-Eyelashes-Knot-Free-Individuals/dp/B07S2584GG/ref=sr_1_8?keywords=Ardell+Individual+Knot-Free+Flare+Lashes+-+Short+Black+%2865050%29&amp;qid=1695565501&amp;sr=8-8")</f>
        <v/>
      </c>
      <c r="F65" t="inlineStr">
        <is>
          <t>B07S2584GG</t>
        </is>
      </c>
      <c r="G65">
        <f>_xlfn.IMAGE("https://camerareadycosmetics.com/cdn/shop/products/ardell_ind_sb__48460.1461768604.600.600_50x.jpeg?v=1689659534")</f>
        <v/>
      </c>
      <c r="H65">
        <f>_xlfn.IMAGE("https://m.media-amazon.com/images/I/61etNKQdzuL._AC_UL320_.jpg")</f>
        <v/>
      </c>
      <c r="K65" t="inlineStr">
        <is>
          <t>5.0</t>
        </is>
      </c>
      <c r="L65" t="n">
        <v>18.6</v>
      </c>
      <c r="M65" s="1" t="inlineStr">
        <is>
          <t>272.00%</t>
        </is>
      </c>
      <c r="N65" t="n">
        <v>4.5</v>
      </c>
      <c r="O65" t="n">
        <v>265</v>
      </c>
      <c r="Q65" t="inlineStr">
        <is>
          <t>InStock</t>
        </is>
      </c>
      <c r="R65" t="inlineStr">
        <is>
          <t>undefined</t>
        </is>
      </c>
      <c r="S65" t="inlineStr">
        <is>
          <t>7050729863</t>
        </is>
      </c>
    </row>
    <row r="66" ht="75" customHeight="1">
      <c r="A66" s="2">
        <f>HYPERLINK("https://camerareadycosmetics.com/products/ardell-individual-knot-free-flare-lashes-short-black-65050", "https://camerareadycosmetics.com/products/ardell-individual-knot-free-flare-lashes-short-black-65050")</f>
        <v/>
      </c>
      <c r="B66" s="2">
        <f>HYPERLINK("https://camerareadycosmetics.com/products/ardell-individual-knot-free-flare-lashes-short-black-65050", "https://camerareadycosmetics.com/products/ardell-individual-knot-free-flare-lashes-short-black-65050")</f>
        <v/>
      </c>
      <c r="C66" t="inlineStr">
        <is>
          <t>Ardell Individual Knot-Free Flare Lashes - Short Black (65050)</t>
        </is>
      </c>
      <c r="D66" t="inlineStr">
        <is>
          <t>Ardell Double Individuals Knot Free Double Flares Black Short (6 Pack)</t>
        </is>
      </c>
      <c r="E66" s="2">
        <f>HYPERLINK("https://www.amazon.com/Ardell-Double-Individuals-Flares-Black/dp/B00MSKWSF0/ref=sr_1_6?keywords=Ardell+Individual+Knot-Free+Flare+Lashes+-+Short+Black+%2865050%29&amp;qid=1695565501&amp;sr=8-6", "https://www.amazon.com/Ardell-Double-Individuals-Flares-Black/dp/B00MSKWSF0/ref=sr_1_6?keywords=Ardell+Individual+Knot-Free+Flare+Lashes+-+Short+Black+%2865050%29&amp;qid=1695565501&amp;sr=8-6")</f>
        <v/>
      </c>
      <c r="F66" t="inlineStr">
        <is>
          <t>B00MSKWSF0</t>
        </is>
      </c>
      <c r="G66">
        <f>_xlfn.IMAGE("https://camerareadycosmetics.com/cdn/shop/products/ardell_ind_sb__48460.1461768604.600.600_50x.jpeg?v=1689659534")</f>
        <v/>
      </c>
      <c r="H66">
        <f>_xlfn.IMAGE("https://m.media-amazon.com/images/I/81bcJ20u3bL._AC_UL320_.jpg")</f>
        <v/>
      </c>
      <c r="K66" t="inlineStr">
        <is>
          <t>5.0</t>
        </is>
      </c>
      <c r="L66" t="n">
        <v>15.55</v>
      </c>
      <c r="M66" s="1" t="inlineStr">
        <is>
          <t>211.00%</t>
        </is>
      </c>
      <c r="N66" t="n">
        <v>4.2</v>
      </c>
      <c r="O66" t="n">
        <v>41</v>
      </c>
      <c r="Q66" t="inlineStr">
        <is>
          <t>InStock</t>
        </is>
      </c>
      <c r="R66" t="inlineStr">
        <is>
          <t>undefined</t>
        </is>
      </c>
      <c r="S66" t="inlineStr">
        <is>
          <t>7050729863</t>
        </is>
      </c>
    </row>
    <row r="67" ht="75" customHeight="1">
      <c r="A67" s="2">
        <f>HYPERLINK("https://camerareadycosmetics.com/products/ardell-individual-knot-free-flare-lashes-short-black-65050", "https://camerareadycosmetics.com/products/ardell-individual-knot-free-flare-lashes-short-black-65050")</f>
        <v/>
      </c>
      <c r="B67" s="2">
        <f>HYPERLINK("https://camerareadycosmetics.com/products/ardell-individual-knot-free-flare-lashes-short-black-65050", "https://camerareadycosmetics.com/products/ardell-individual-knot-free-flare-lashes-short-black-65050")</f>
        <v/>
      </c>
      <c r="C67" t="inlineStr">
        <is>
          <t>Ardell Individual Knot-Free Flare Lashes - Short Black (65050)</t>
        </is>
      </c>
      <c r="D67" t="inlineStr">
        <is>
          <t>(3 Pack) ARDELL Duralash Knot Free Mega Flare Individual Black Lashes Short</t>
        </is>
      </c>
      <c r="E67" s="2">
        <f>HYPERLINK("https://www.amazon.com/ARDELL-Duralash-Flare-Individual-Lashes/dp/B01MY0WT7O/ref=sr_1_5?keywords=Ardell+Individual+Knot-Free+Flare+Lashes+-+Short+Black+%2865050%29&amp;qid=1695565501&amp;sr=8-5", "https://www.amazon.com/ARDELL-Duralash-Flare-Individual-Lashes/dp/B01MY0WT7O/ref=sr_1_5?keywords=Ardell+Individual+Knot-Free+Flare+Lashes+-+Short+Black+%2865050%29&amp;qid=1695565501&amp;sr=8-5")</f>
        <v/>
      </c>
      <c r="F67" t="inlineStr">
        <is>
          <t>B01MY0WT7O</t>
        </is>
      </c>
      <c r="G67">
        <f>_xlfn.IMAGE("https://camerareadycosmetics.com/cdn/shop/products/ardell_ind_sb__48460.1461768604.600.600_50x.jpeg?v=1689659534")</f>
        <v/>
      </c>
      <c r="H67">
        <f>_xlfn.IMAGE("https://m.media-amazon.com/images/I/512tm-G+CqL._AC_UL320_.jpg")</f>
        <v/>
      </c>
      <c r="K67" t="inlineStr">
        <is>
          <t>5.0</t>
        </is>
      </c>
      <c r="L67" t="n">
        <v>13.5</v>
      </c>
      <c r="M67" s="1" t="inlineStr">
        <is>
          <t>170.00%</t>
        </is>
      </c>
      <c r="N67" t="n">
        <v>3.9</v>
      </c>
      <c r="O67" t="n">
        <v>3</v>
      </c>
      <c r="Q67" t="inlineStr">
        <is>
          <t>InStock</t>
        </is>
      </c>
      <c r="R67" t="inlineStr">
        <is>
          <t>undefined</t>
        </is>
      </c>
      <c r="S67" t="inlineStr">
        <is>
          <t>7050729863</t>
        </is>
      </c>
    </row>
    <row r="68" ht="75" customHeight="1">
      <c r="A68" s="2">
        <f>HYPERLINK("https://camerareadycosmetics.com/products/ardell-individual-knot-free-flare-lashes-short-black-65050", "https://camerareadycosmetics.com/products/ardell-individual-knot-free-flare-lashes-short-black-65050")</f>
        <v/>
      </c>
      <c r="B68" s="2">
        <f>HYPERLINK("https://camerareadycosmetics.com/products/ardell-individual-knot-free-flare-lashes-short-black-65050", "https://camerareadycosmetics.com/products/ardell-individual-knot-free-flare-lashes-short-black-65050")</f>
        <v/>
      </c>
      <c r="C68" t="inlineStr">
        <is>
          <t>Ardell Individual Knot-Free Flare Lashes - Short Black (65050)</t>
        </is>
      </c>
      <c r="D68" t="inlineStr">
        <is>
          <t>Ardell False Eyelashes Triple Individuals Knot-Free Short Black 4 Pack</t>
        </is>
      </c>
      <c r="E68" s="2">
        <f>HYPERLINK("https://www.amazon.com/Ardell-Eyelashes-Triple-Individuals-Knot-Free/dp/B07RW4D6C7/ref=sr_1_3?keywords=Ardell+Individual+Knot-Free+Flare+Lashes+-+Short+Black+%2865050%29&amp;qid=1695565501&amp;sr=8-3", "https://www.amazon.com/Ardell-Eyelashes-Triple-Individuals-Knot-Free/dp/B07RW4D6C7/ref=sr_1_3?keywords=Ardell+Individual+Knot-Free+Flare+Lashes+-+Short+Black+%2865050%29&amp;qid=1695565501&amp;sr=8-3")</f>
        <v/>
      </c>
      <c r="F68" t="inlineStr">
        <is>
          <t>B07RW4D6C7</t>
        </is>
      </c>
      <c r="G68">
        <f>_xlfn.IMAGE("https://camerareadycosmetics.com/cdn/shop/products/ardell_ind_sb__48460.1461768604.600.600_50x.jpeg?v=1689659534")</f>
        <v/>
      </c>
      <c r="H68">
        <f>_xlfn.IMAGE("https://m.media-amazon.com/images/I/71ViG8mcA3L._AC_UL320_.jpg")</f>
        <v/>
      </c>
      <c r="K68" t="inlineStr">
        <is>
          <t>5.0</t>
        </is>
      </c>
      <c r="L68" t="n">
        <v>9.949999999999999</v>
      </c>
      <c r="M68" s="1" t="inlineStr">
        <is>
          <t>99.00%</t>
        </is>
      </c>
      <c r="N68" t="n">
        <v>4.4</v>
      </c>
      <c r="O68" t="n">
        <v>562</v>
      </c>
      <c r="Q68" t="inlineStr">
        <is>
          <t>InStock</t>
        </is>
      </c>
      <c r="R68" t="inlineStr">
        <is>
          <t>undefined</t>
        </is>
      </c>
      <c r="S68" t="inlineStr">
        <is>
          <t>7050729863</t>
        </is>
      </c>
    </row>
    <row r="69" ht="75" customHeight="1">
      <c r="A69" s="2">
        <f>HYPERLINK("https://camerareadycosmetics.com/products/ardell-individual-knot-free-flare-lashes-short-black-65050", "https://camerareadycosmetics.com/products/ardell-individual-knot-free-flare-lashes-short-black-65050")</f>
        <v/>
      </c>
      <c r="B69" s="2">
        <f>HYPERLINK("https://camerareadycosmetics.com/products/ardell-individual-knot-free-flare-lashes-short-black-65050", "https://camerareadycosmetics.com/products/ardell-individual-knot-free-flare-lashes-short-black-65050")</f>
        <v/>
      </c>
      <c r="C69" t="inlineStr">
        <is>
          <t>Ardell Individual Knot-Free Flare Lashes - Short Black (65050)</t>
        </is>
      </c>
      <c r="D69" t="inlineStr">
        <is>
          <t>Ardell False Eyelashes Mega Individuals Knot-Free Short Black 4 Pack</t>
        </is>
      </c>
      <c r="E69" s="2">
        <f>HYPERLINK("https://www.amazon.com/Ardell-False-Eyelashes-Individuals-Knot-Free/dp/B07RV5P46V/ref=sr_1_1?keywords=Ardell+Individual+Knot-Free+Flare+Lashes+-+Short+Black+%2865050%29&amp;qid=1695565501&amp;sr=8-1", "https://www.amazon.com/Ardell-False-Eyelashes-Individuals-Knot-Free/dp/B07RV5P46V/ref=sr_1_1?keywords=Ardell+Individual+Knot-Free+Flare+Lashes+-+Short+Black+%2865050%29&amp;qid=1695565501&amp;sr=8-1")</f>
        <v/>
      </c>
      <c r="F69" t="inlineStr">
        <is>
          <t>B07RV5P46V</t>
        </is>
      </c>
      <c r="G69">
        <f>_xlfn.IMAGE("https://camerareadycosmetics.com/cdn/shop/products/ardell_ind_sb__48460.1461768604.600.600_50x.jpeg?v=1689659534")</f>
        <v/>
      </c>
      <c r="H69">
        <f>_xlfn.IMAGE("https://m.media-amazon.com/images/I/71+zluA-0EL._AC_UL320_.jpg")</f>
        <v/>
      </c>
      <c r="K69" t="inlineStr">
        <is>
          <t>5.0</t>
        </is>
      </c>
      <c r="L69" t="n">
        <v>9.779999999999999</v>
      </c>
      <c r="M69" s="1" t="inlineStr">
        <is>
          <t>95.60%</t>
        </is>
      </c>
      <c r="N69" t="n">
        <v>4.4</v>
      </c>
      <c r="O69" t="n">
        <v>106</v>
      </c>
      <c r="Q69" t="inlineStr">
        <is>
          <t>InStock</t>
        </is>
      </c>
      <c r="R69" t="inlineStr">
        <is>
          <t>undefined</t>
        </is>
      </c>
      <c r="S69" t="inlineStr">
        <is>
          <t>7050729863</t>
        </is>
      </c>
    </row>
    <row r="70" ht="75" customHeight="1">
      <c r="A70" s="2">
        <f>HYPERLINK("https://camerareadycosmetics.com/products/ardell-individual-knot-free-flare-lashes-short-black-65050", "https://camerareadycosmetics.com/products/ardell-individual-knot-free-flare-lashes-short-black-65050")</f>
        <v/>
      </c>
      <c r="B70" s="2">
        <f>HYPERLINK("https://camerareadycosmetics.com/products/ardell-individual-knot-free-flare-lashes-short-black-65050", "https://camerareadycosmetics.com/products/ardell-individual-knot-free-flare-lashes-short-black-65050")</f>
        <v/>
      </c>
      <c r="C70" t="inlineStr">
        <is>
          <t>Ardell Individual Knot-Free Flare Lashes - Short Black (65050)</t>
        </is>
      </c>
      <c r="D70" t="inlineStr">
        <is>
          <t>Ardell False Eyelashes Multipack Knot-Free Individuals Short Black, 2-Pack</t>
        </is>
      </c>
      <c r="E70" s="2">
        <f>HYPERLINK("https://www.amazon.com/Ardell-Eyelashes-Multipack-Knot-Free-Individuals/dp/B07S4BZ1D4/ref=sr_1_7?keywords=Ardell+Individual+Knot-Free+Flare+Lashes+-+Short+Black+%2865050%29&amp;qid=1695565501&amp;sr=8-7", "https://www.amazon.com/Ardell-Eyelashes-Multipack-Knot-Free-Individuals/dp/B07S4BZ1D4/ref=sr_1_7?keywords=Ardell+Individual+Knot-Free+Flare+Lashes+-+Short+Black+%2865050%29&amp;qid=1695565501&amp;sr=8-7")</f>
        <v/>
      </c>
      <c r="F70" t="inlineStr">
        <is>
          <t>B07S4BZ1D4</t>
        </is>
      </c>
      <c r="G70">
        <f>_xlfn.IMAGE("https://camerareadycosmetics.com/cdn/shop/products/ardell_ind_sb__48460.1461768604.600.600_50x.jpeg?v=1689659534")</f>
        <v/>
      </c>
      <c r="H70">
        <f>_xlfn.IMAGE("https://m.media-amazon.com/images/I/617LBIEHnLL._AC_UL320_.jpg")</f>
        <v/>
      </c>
      <c r="K70" t="inlineStr">
        <is>
          <t>5.0</t>
        </is>
      </c>
      <c r="L70" t="n">
        <v>9.44</v>
      </c>
      <c r="M70" s="1" t="inlineStr">
        <is>
          <t>88.80%</t>
        </is>
      </c>
      <c r="N70" t="n">
        <v>4.4</v>
      </c>
      <c r="O70" t="n">
        <v>2973</v>
      </c>
      <c r="Q70" t="inlineStr">
        <is>
          <t>InStock</t>
        </is>
      </c>
      <c r="R70" t="inlineStr">
        <is>
          <t>undefined</t>
        </is>
      </c>
      <c r="S70" t="inlineStr">
        <is>
          <t>7050729863</t>
        </is>
      </c>
    </row>
    <row r="71" ht="75" customHeight="1">
      <c r="A71" s="2">
        <f>HYPERLINK("https://camerareadycosmetics.com/products/ardell-individual-knot-free-flare-lashes-short-black-65050", "https://camerareadycosmetics.com/products/ardell-individual-knot-free-flare-lashes-short-black-65050")</f>
        <v/>
      </c>
      <c r="B71" s="2">
        <f>HYPERLINK("https://camerareadycosmetics.com/products/ardell-individual-knot-free-flare-lashes-short-black-65050", "https://camerareadycosmetics.com/products/ardell-individual-knot-free-flare-lashes-short-black-65050")</f>
        <v/>
      </c>
      <c r="C71" t="inlineStr">
        <is>
          <t>Ardell Individual Knot-Free Flare Lashes - Short Black (65050)</t>
        </is>
      </c>
      <c r="D71" t="inlineStr">
        <is>
          <t>Ardell Double Individuals Knot Free Double Flares Black Short (2 Pack)</t>
        </is>
      </c>
      <c r="E71" s="2">
        <f>HYPERLINK("https://www.amazon.com/Ardell-Double-Individuals-Flares-Black/dp/B00NVQCOAY/ref=sr_1_10?keywords=Ardell+Individual+Knot-Free+Flare+Lashes+-+Short+Black+%2865050%29&amp;qid=1695565501&amp;sr=8-10", "https://www.amazon.com/Ardell-Double-Individuals-Flares-Black/dp/B00NVQCOAY/ref=sr_1_10?keywords=Ardell+Individual+Knot-Free+Flare+Lashes+-+Short+Black+%2865050%29&amp;qid=1695565501&amp;sr=8-10")</f>
        <v/>
      </c>
      <c r="F71" t="inlineStr">
        <is>
          <t>B00NVQCOAY</t>
        </is>
      </c>
      <c r="G71">
        <f>_xlfn.IMAGE("https://camerareadycosmetics.com/cdn/shop/products/ardell_ind_sb__48460.1461768604.600.600_50x.jpeg?v=1689659534")</f>
        <v/>
      </c>
      <c r="H71">
        <f>_xlfn.IMAGE("https://m.media-amazon.com/images/I/81bcJ20u3bL._AC_UL320_.jpg")</f>
        <v/>
      </c>
      <c r="K71" t="inlineStr">
        <is>
          <t>5.0</t>
        </is>
      </c>
      <c r="L71" t="n">
        <v>9.44</v>
      </c>
      <c r="M71" s="1" t="inlineStr">
        <is>
          <t>88.80%</t>
        </is>
      </c>
      <c r="N71" t="n">
        <v>4.1</v>
      </c>
      <c r="O71" t="n">
        <v>54</v>
      </c>
      <c r="Q71" t="inlineStr">
        <is>
          <t>InStock</t>
        </is>
      </c>
      <c r="R71" t="inlineStr">
        <is>
          <t>undefined</t>
        </is>
      </c>
      <c r="S71" t="inlineStr">
        <is>
          <t>7050729863</t>
        </is>
      </c>
    </row>
    <row r="72" ht="75" customHeight="1">
      <c r="A72" s="2">
        <f>HYPERLINK("https://camerareadycosmetics.com/products/ardell-individual-knot-free-flare-lashes-short-black-65050", "https://camerareadycosmetics.com/products/ardell-individual-knot-free-flare-lashes-short-black-65050")</f>
        <v/>
      </c>
      <c r="B72" s="2">
        <f>HYPERLINK("https://camerareadycosmetics.com/products/ardell-individual-knot-free-flare-lashes-short-black-65050", "https://camerareadycosmetics.com/products/ardell-individual-knot-free-flare-lashes-short-black-65050")</f>
        <v/>
      </c>
      <c r="C72" t="inlineStr">
        <is>
          <t>Ardell Individual Knot-Free Flare Lashes - Short Black (65050)</t>
        </is>
      </c>
      <c r="D72" t="inlineStr">
        <is>
          <t>Ardell Triple Individuals Knot-Free Short Eye Lashes, Black</t>
        </is>
      </c>
      <c r="E72" s="2">
        <f>HYPERLINK("https://www.amazon.com/Ardell-Triple-Individuals-Flares-Short/dp/B0757NM3FN/ref=sr_1_2?keywords=Ardell+Individual+Knot-Free+Flare+Lashes+-+Short+Black+%2865050%29&amp;qid=1695565501&amp;sr=8-2", "https://www.amazon.com/Ardell-Triple-Individuals-Flares-Short/dp/B0757NM3FN/ref=sr_1_2?keywords=Ardell+Individual+Knot-Free+Flare+Lashes+-+Short+Black+%2865050%29&amp;qid=1695565501&amp;sr=8-2")</f>
        <v/>
      </c>
      <c r="F72" t="inlineStr">
        <is>
          <t>B0757NM3FN</t>
        </is>
      </c>
      <c r="G72">
        <f>_xlfn.IMAGE("https://camerareadycosmetics.com/cdn/shop/products/ardell_ind_sb__48460.1461768604.600.600_50x.jpeg?v=1689659534")</f>
        <v/>
      </c>
      <c r="H72">
        <f>_xlfn.IMAGE("https://m.media-amazon.com/images/I/81bVW6HnTHL._AC_UL320_.jpg")</f>
        <v/>
      </c>
      <c r="K72" t="inlineStr">
        <is>
          <t>5.0</t>
        </is>
      </c>
      <c r="L72" t="n">
        <v>6.4</v>
      </c>
      <c r="M72" s="1" t="inlineStr">
        <is>
          <t>28.00%</t>
        </is>
      </c>
      <c r="N72" t="n">
        <v>4.2</v>
      </c>
      <c r="O72" t="n">
        <v>12</v>
      </c>
      <c r="Q72" t="inlineStr">
        <is>
          <t>InStock</t>
        </is>
      </c>
      <c r="R72" t="inlineStr">
        <is>
          <t>undefined</t>
        </is>
      </c>
      <c r="S72" t="inlineStr">
        <is>
          <t>7050729863</t>
        </is>
      </c>
    </row>
    <row r="73" ht="75" customHeight="1">
      <c r="A73" s="2">
        <f>HYPERLINK("https://camerareadycosmetics.com/products/ardell-individual-knot-free-flare-lashes-short-black-65050", "https://camerareadycosmetics.com/products/ardell-individual-knot-free-flare-lashes-short-black-65050")</f>
        <v/>
      </c>
      <c r="B73" s="2">
        <f>HYPERLINK("https://camerareadycosmetics.com/products/ardell-individual-knot-free-flare-lashes-short-black-65050", "https://camerareadycosmetics.com/products/ardell-individual-knot-free-flare-lashes-short-black-65050")</f>
        <v/>
      </c>
      <c r="C73" t="inlineStr">
        <is>
          <t>Ardell Individual Knot-Free Flare Lashes - Short Black (65050)</t>
        </is>
      </c>
      <c r="D73" t="inlineStr">
        <is>
          <t>Ardell Mega Flare - Knot-Free - Short Black</t>
        </is>
      </c>
      <c r="E73" s="2">
        <f>HYPERLINK("https://www.amazon.com/Ardell-Mega-Flare-Knot-Free-Short/dp/B01N4BINHA/ref=sr_1_9?keywords=Ardell+Individual+Knot-Free+Flare+Lashes+-+Short+Black+%2865050%29&amp;qid=1695565501&amp;sr=8-9", "https://www.amazon.com/Ardell-Mega-Flare-Knot-Free-Short/dp/B01N4BINHA/ref=sr_1_9?keywords=Ardell+Individual+Knot-Free+Flare+Lashes+-+Short+Black+%2865050%29&amp;qid=1695565501&amp;sr=8-9")</f>
        <v/>
      </c>
      <c r="F73" t="inlineStr">
        <is>
          <t>B01N4BINHA</t>
        </is>
      </c>
      <c r="G73">
        <f>_xlfn.IMAGE("https://camerareadycosmetics.com/cdn/shop/products/ardell_ind_sb__48460.1461768604.600.600_50x.jpeg?v=1689659534")</f>
        <v/>
      </c>
      <c r="H73">
        <f>_xlfn.IMAGE("https://m.media-amazon.com/images/I/81Gf+6DwAWL._AC_UL320_.jpg")</f>
        <v/>
      </c>
      <c r="K73" t="inlineStr">
        <is>
          <t>5.0</t>
        </is>
      </c>
      <c r="L73" t="n">
        <v>6.19</v>
      </c>
      <c r="M73" s="1" t="inlineStr">
        <is>
          <t>23.80%</t>
        </is>
      </c>
      <c r="N73" t="n">
        <v>3.9</v>
      </c>
      <c r="O73" t="n">
        <v>51</v>
      </c>
      <c r="Q73" t="inlineStr">
        <is>
          <t>InStock</t>
        </is>
      </c>
      <c r="R73" t="inlineStr">
        <is>
          <t>undefined</t>
        </is>
      </c>
      <c r="S73" t="inlineStr">
        <is>
          <t>7050729863</t>
        </is>
      </c>
    </row>
    <row r="74" ht="75" customHeight="1">
      <c r="A74" s="2">
        <f>HYPERLINK("https://camerareadycosmetics.com/products/ardell-individual-lashes-knotted-flare-medium-black-30210", "https://camerareadycosmetics.com/products/ardell-individual-lashes-knotted-flare-medium-black-30210")</f>
        <v/>
      </c>
      <c r="B74" s="2">
        <f>HYPERLINK("https://camerareadycosmetics.com/products/ardell-individual-lashes-knotted-flare-medium-black-30210", "https://camerareadycosmetics.com/products/ardell-individual-lashes-knotted-flare-medium-black-30210")</f>
        <v/>
      </c>
      <c r="C74" t="inlineStr">
        <is>
          <t>Ardell Individual Lashes Knotted Flare - Medium Black (65097)</t>
        </is>
      </c>
      <c r="D74" t="inlineStr">
        <is>
          <t>(6 Pack) ARDELL Duralash Knot-Free Mega Flare Individual Black Lashes - Medium</t>
        </is>
      </c>
      <c r="E74" s="2">
        <f>HYPERLINK("https://www.amazon.com/ARDELL-Duralash-Knot-Free-Individual-Lashes/dp/B01N0TJ6IN/ref=sr_1_4?keywords=Ardell+Individual+Lashes+Knotted+Flare+-+Medium+Black+%2865097%29&amp;qid=1695565619&amp;sr=8-4", "https://www.amazon.com/ARDELL-Duralash-Knot-Free-Individual-Lashes/dp/B01N0TJ6IN/ref=sr_1_4?keywords=Ardell+Individual+Lashes+Knotted+Flare+-+Medium+Black+%2865097%29&amp;qid=1695565619&amp;sr=8-4")</f>
        <v/>
      </c>
      <c r="F74" t="inlineStr">
        <is>
          <t>B01N0TJ6IN</t>
        </is>
      </c>
      <c r="G74">
        <f>_xlfn.IMAGE("https://camerareadycosmetics.com/cdn/shop/products/ardell_med_blck__63877.1461783099.600.600_50x.jpeg?v=1689659680")</f>
        <v/>
      </c>
      <c r="H74">
        <f>_xlfn.IMAGE("https://m.media-amazon.com/images/I/51UJL4kO--L._AC_UL320_.jpg")</f>
        <v/>
      </c>
      <c r="K74" t="inlineStr">
        <is>
          <t>5.5</t>
        </is>
      </c>
      <c r="L74" t="n">
        <v>26.99</v>
      </c>
      <c r="M74" s="1" t="inlineStr">
        <is>
          <t>390.73%</t>
        </is>
      </c>
      <c r="N74" t="n">
        <v>5</v>
      </c>
      <c r="O74" t="n">
        <v>13</v>
      </c>
      <c r="Q74" t="inlineStr">
        <is>
          <t>InStock</t>
        </is>
      </c>
      <c r="R74" t="inlineStr">
        <is>
          <t>undefined</t>
        </is>
      </c>
      <c r="S74" t="inlineStr">
        <is>
          <t>7050882439</t>
        </is>
      </c>
    </row>
    <row r="75" ht="75" customHeight="1">
      <c r="A75" s="2">
        <f>HYPERLINK("https://camerareadycosmetics.com/products/ardell-individual-lashes-knotted-flare-medium-black-30210", "https://camerareadycosmetics.com/products/ardell-individual-lashes-knotted-flare-medium-black-30210")</f>
        <v/>
      </c>
      <c r="B75" s="2">
        <f>HYPERLINK("https://camerareadycosmetics.com/products/ardell-individual-lashes-knotted-flare-medium-black-30210", "https://camerareadycosmetics.com/products/ardell-individual-lashes-knotted-flare-medium-black-30210")</f>
        <v/>
      </c>
      <c r="C75" t="inlineStr">
        <is>
          <t>Ardell Individual Lashes Knotted Flare - Medium Black (65097)</t>
        </is>
      </c>
      <c r="D75" t="inlineStr">
        <is>
          <t>Ardell DOUBLE UP Duralash, KNOTTED DOUBLE FLARES, Short Black, Contains 56 Individual Lashes (2-PACK with bonus Skin/Hair Glitter) (FLARES KNOTTED - Short Black)</t>
        </is>
      </c>
      <c r="E75" s="2">
        <f>HYPERLINK("https://www.amazon.com/Ardell-Duralash-Contains-Individual-Lashes/dp/B07CNHKSHV/ref=sr_1_2?keywords=Ardell+Individual+Lashes+Knotted+Flare+-+Medium+Black+%2865097%29&amp;qid=1695565619&amp;sr=8-2", "https://www.amazon.com/Ardell-Duralash-Contains-Individual-Lashes/dp/B07CNHKSHV/ref=sr_1_2?keywords=Ardell+Individual+Lashes+Knotted+Flare+-+Medium+Black+%2865097%29&amp;qid=1695565619&amp;sr=8-2")</f>
        <v/>
      </c>
      <c r="F75" t="inlineStr">
        <is>
          <t>B07CNHKSHV</t>
        </is>
      </c>
      <c r="G75">
        <f>_xlfn.IMAGE("https://camerareadycosmetics.com/cdn/shop/products/ardell_med_blck__63877.1461783099.600.600_50x.jpeg?v=1689659680")</f>
        <v/>
      </c>
      <c r="H75">
        <f>_xlfn.IMAGE("https://m.media-amazon.com/images/I/51L0NCDm3WL._AC_UL320_.jpg")</f>
        <v/>
      </c>
      <c r="K75" t="inlineStr">
        <is>
          <t>5.5</t>
        </is>
      </c>
      <c r="L75" t="n">
        <v>13.99</v>
      </c>
      <c r="M75" s="1" t="inlineStr">
        <is>
          <t>154.36%</t>
        </is>
      </c>
      <c r="N75" t="n">
        <v>4.2</v>
      </c>
      <c r="O75" t="n">
        <v>12</v>
      </c>
      <c r="Q75" t="inlineStr">
        <is>
          <t>InStock</t>
        </is>
      </c>
      <c r="R75" t="inlineStr">
        <is>
          <t>undefined</t>
        </is>
      </c>
      <c r="S75" t="inlineStr">
        <is>
          <t>7050882439</t>
        </is>
      </c>
    </row>
    <row r="76" ht="75" customHeight="1">
      <c r="A76" s="2">
        <f>HYPERLINK("https://camerareadycosmetics.com/products/ardell-individual-lashes-knotted-flare-medium-black-30210", "https://camerareadycosmetics.com/products/ardell-individual-lashes-knotted-flare-medium-black-30210")</f>
        <v/>
      </c>
      <c r="B76" s="2">
        <f>HYPERLINK("https://camerareadycosmetics.com/products/ardell-individual-lashes-knotted-flare-medium-black-30210", "https://camerareadycosmetics.com/products/ardell-individual-lashes-knotted-flare-medium-black-30210")</f>
        <v/>
      </c>
      <c r="C76" t="inlineStr">
        <is>
          <t>Ardell Individual Lashes Knotted Flare - Medium Black (65097)</t>
        </is>
      </c>
      <c r="D76" t="inlineStr">
        <is>
          <t>Set of 3 Ardell Duralash Medium Black Knotted Flare Trio Lashes bundled by Maven Gifts</t>
        </is>
      </c>
      <c r="E76" s="2">
        <f>HYPERLINK("https://www.amazon.com/Duralash-Knotted-bundled-Maven-Gifts/dp/B073XPYHV3/ref=sr_1_3?keywords=Ardell+Individual+Lashes+Knotted+Flare+-+Medium+Black+%2865097%29&amp;qid=1695565619&amp;sr=8-3", "https://www.amazon.com/Duralash-Knotted-bundled-Maven-Gifts/dp/B073XPYHV3/ref=sr_1_3?keywords=Ardell+Individual+Lashes+Knotted+Flare+-+Medium+Black+%2865097%29&amp;qid=1695565619&amp;sr=8-3")</f>
        <v/>
      </c>
      <c r="F76" t="inlineStr">
        <is>
          <t>B073XPYHV3</t>
        </is>
      </c>
      <c r="G76">
        <f>_xlfn.IMAGE("https://camerareadycosmetics.com/cdn/shop/products/ardell_med_blck__63877.1461783099.600.600_50x.jpeg?v=1689659680")</f>
        <v/>
      </c>
      <c r="H76">
        <f>_xlfn.IMAGE("https://m.media-amazon.com/images/I/81R4fpVmEFL._AC_UL320_.jpg")</f>
        <v/>
      </c>
      <c r="K76" t="inlineStr">
        <is>
          <t>5.5</t>
        </is>
      </c>
      <c r="L76" t="n">
        <v>12.99</v>
      </c>
      <c r="M76" s="1" t="inlineStr">
        <is>
          <t>136.18%</t>
        </is>
      </c>
      <c r="N76" t="n">
        <v>3.6</v>
      </c>
      <c r="O76" t="n">
        <v>2</v>
      </c>
      <c r="Q76" t="inlineStr">
        <is>
          <t>InStock</t>
        </is>
      </c>
      <c r="R76" t="inlineStr">
        <is>
          <t>undefined</t>
        </is>
      </c>
      <c r="S76" t="inlineStr">
        <is>
          <t>7050882439</t>
        </is>
      </c>
    </row>
    <row r="77" ht="75" customHeight="1">
      <c r="A77" s="2">
        <f>HYPERLINK("https://camerareadycosmetics.com/products/ardell-magnetic-gel-liner", "https://camerareadycosmetics.com/products/ardell-magnetic-gel-liner")</f>
        <v/>
      </c>
      <c r="B77" s="2">
        <f>HYPERLINK("https://camerareadycosmetics.com/products/ardell-magnetic-gel-liner", "https://camerareadycosmetics.com/products/ardell-magnetic-gel-liner")</f>
        <v/>
      </c>
      <c r="C77" t="inlineStr">
        <is>
          <t>Ardell Magnetic Gel Liner</t>
        </is>
      </c>
      <c r="D77" t="inlineStr">
        <is>
          <t>Magnetic Gel Liner(with Sleek Compact Mirror) (Magnetic Gel Liner)</t>
        </is>
      </c>
      <c r="E77" s="2">
        <f>HYPERLINK("https://www.amazon.com/Ardell-Professional-Magnetic-Compact-Mirror/dp/B07YLF4KRR/ref=sr_1_3?keywords=Ardell+Magnetic+Gel+Liner&amp;qid=1695565744&amp;sr=8-3", "https://www.amazon.com/Ardell-Professional-Magnetic-Compact-Mirror/dp/B07YLF4KRR/ref=sr_1_3?keywords=Ardell+Magnetic+Gel+Liner&amp;qid=1695565744&amp;sr=8-3")</f>
        <v/>
      </c>
      <c r="F77" t="inlineStr">
        <is>
          <t>B07YLF4KRR</t>
        </is>
      </c>
      <c r="G77">
        <f>_xlfn.IMAGE("https://camerareadycosmetics.com/cdn/shop/products/ar_magneticgelliner_stylized_brush_pot_main_lr_1_1_50x.jpg?v=1607128320")</f>
        <v/>
      </c>
      <c r="H77">
        <f>_xlfn.IMAGE("https://m.media-amazon.com/images/I/71I01EzCpFL._AC_UL320_.jpg")</f>
        <v/>
      </c>
      <c r="K77" t="inlineStr">
        <is>
          <t>10.0</t>
        </is>
      </c>
      <c r="L77" t="n">
        <v>18</v>
      </c>
      <c r="M77" s="1" t="inlineStr">
        <is>
          <t>80.00%</t>
        </is>
      </c>
      <c r="N77" t="n">
        <v>4</v>
      </c>
      <c r="O77" t="n">
        <v>56</v>
      </c>
      <c r="Q77" t="inlineStr">
        <is>
          <t>InStock</t>
        </is>
      </c>
      <c r="R77" t="inlineStr">
        <is>
          <t>undefined</t>
        </is>
      </c>
      <c r="S77" t="inlineStr">
        <is>
          <t>6144754188473</t>
        </is>
      </c>
    </row>
    <row r="78" ht="75" customHeight="1">
      <c r="A78" s="2">
        <f>HYPERLINK("https://camerareadycosmetics.com/products/ardell-magnetic-gel-liner", "https://camerareadycosmetics.com/products/ardell-magnetic-gel-liner")</f>
        <v/>
      </c>
      <c r="B78" s="2">
        <f>HYPERLINK("https://camerareadycosmetics.com/products/ardell-magnetic-gel-liner", "https://camerareadycosmetics.com/products/ardell-magnetic-gel-liner")</f>
        <v/>
      </c>
      <c r="C78" t="inlineStr">
        <is>
          <t>Ardell Magnetic Gel Liner</t>
        </is>
      </c>
      <c r="D78" t="inlineStr">
        <is>
          <t>Ardell Magnetic Liquid Liner &amp; Lash - 110</t>
        </is>
      </c>
      <c r="E78" s="2">
        <f>HYPERLINK("https://www.amazon.com/Ardell-Magnetic-Liquid-Liner-Lash/dp/B08LR2WY8Q/ref=sr_1_8?keywords=Ardell+Magnetic+Gel+Liner&amp;qid=1695565744&amp;sr=8-8", "https://www.amazon.com/Ardell-Magnetic-Liquid-Liner-Lash/dp/B08LR2WY8Q/ref=sr_1_8?keywords=Ardell+Magnetic+Gel+Liner&amp;qid=1695565744&amp;sr=8-8")</f>
        <v/>
      </c>
      <c r="F78" t="inlineStr">
        <is>
          <t>B08LR2WY8Q</t>
        </is>
      </c>
      <c r="G78">
        <f>_xlfn.IMAGE("https://camerareadycosmetics.com/cdn/shop/products/ar_magneticgelliner_stylized_brush_pot_main_lr_1_1_50x.jpg?v=1607128320")</f>
        <v/>
      </c>
      <c r="H78">
        <f>_xlfn.IMAGE("https://m.media-amazon.com/images/I/61bgTY7oXiL._AC_UL320_.jpg")</f>
        <v/>
      </c>
      <c r="K78" t="inlineStr">
        <is>
          <t>10.0</t>
        </is>
      </c>
      <c r="L78" t="n">
        <v>11.99</v>
      </c>
      <c r="M78" s="1" t="inlineStr">
        <is>
          <t>19.90%</t>
        </is>
      </c>
      <c r="N78" t="n">
        <v>3</v>
      </c>
      <c r="O78" t="n">
        <v>82</v>
      </c>
      <c r="Q78" t="inlineStr">
        <is>
          <t>InStock</t>
        </is>
      </c>
      <c r="R78" t="inlineStr">
        <is>
          <t>undefined</t>
        </is>
      </c>
      <c r="S78" t="inlineStr">
        <is>
          <t>6144754188473</t>
        </is>
      </c>
    </row>
    <row r="79" ht="75" customHeight="1">
      <c r="A79" s="2">
        <f>HYPERLINK("https://camerareadycosmetics.com/products/ardell-magnetic-gel-liner", "https://camerareadycosmetics.com/products/ardell-magnetic-gel-liner")</f>
        <v/>
      </c>
      <c r="B79" s="2">
        <f>HYPERLINK("https://camerareadycosmetics.com/products/ardell-magnetic-gel-liner", "https://camerareadycosmetics.com/products/ardell-magnetic-gel-liner")</f>
        <v/>
      </c>
      <c r="C79" t="inlineStr">
        <is>
          <t>Ardell Magnetic Gel Liner</t>
        </is>
      </c>
      <c r="D79" t="inlineStr">
        <is>
          <t>Ardell Magnetic Liquid Liner &amp; Lash - Wispies</t>
        </is>
      </c>
      <c r="E79" s="2">
        <f>HYPERLINK("https://www.amazon.com/Ardell-Magnetic-Liquid-Liner-Lash/dp/B08LQZ1YT6/ref=sr_1_7?keywords=Ardell+Magnetic+Gel+Liner&amp;qid=1695565744&amp;sr=8-7", "https://www.amazon.com/Ardell-Magnetic-Liquid-Liner-Lash/dp/B08LQZ1YT6/ref=sr_1_7?keywords=Ardell+Magnetic+Gel+Liner&amp;qid=1695565744&amp;sr=8-7")</f>
        <v/>
      </c>
      <c r="F79" t="inlineStr">
        <is>
          <t>B08LQZ1YT6</t>
        </is>
      </c>
      <c r="G79">
        <f>_xlfn.IMAGE("https://camerareadycosmetics.com/cdn/shop/products/ar_magneticgelliner_stylized_brush_pot_main_lr_1_1_50x.jpg?v=1607128320")</f>
        <v/>
      </c>
      <c r="H79">
        <f>_xlfn.IMAGE("https://m.media-amazon.com/images/I/614VcYQqqML._AC_UL320_.jpg")</f>
        <v/>
      </c>
      <c r="K79" t="inlineStr">
        <is>
          <t>10.0</t>
        </is>
      </c>
      <c r="L79" t="n">
        <v>11.78</v>
      </c>
      <c r="M79" s="1" t="inlineStr">
        <is>
          <t>17.80%</t>
        </is>
      </c>
      <c r="N79" t="n">
        <v>3.3</v>
      </c>
      <c r="O79" t="n">
        <v>94</v>
      </c>
      <c r="Q79" t="inlineStr">
        <is>
          <t>InStock</t>
        </is>
      </c>
      <c r="R79" t="inlineStr">
        <is>
          <t>undefined</t>
        </is>
      </c>
      <c r="S79" t="inlineStr">
        <is>
          <t>6144754188473</t>
        </is>
      </c>
    </row>
    <row r="80" ht="75" customHeight="1">
      <c r="A80" s="2">
        <f>HYPERLINK("https://camerareadycosmetics.com/products/ardell-magnetic-gel-liner", "https://camerareadycosmetics.com/products/ardell-magnetic-gel-liner")</f>
        <v/>
      </c>
      <c r="B80" s="2">
        <f>HYPERLINK("https://camerareadycosmetics.com/products/ardell-magnetic-gel-liner", "https://camerareadycosmetics.com/products/ardell-magnetic-gel-liner")</f>
        <v/>
      </c>
      <c r="C80" t="inlineStr">
        <is>
          <t>Ardell Magnetic Gel Liner</t>
        </is>
      </c>
      <c r="D80" t="inlineStr">
        <is>
          <t>Ardell - Magnetic Liquid Liner &amp; Lash - Accent 002</t>
        </is>
      </c>
      <c r="E80" s="2">
        <f>HYPERLINK("https://www.amazon.com/Ardell-Magnetic-Liquid-Liner-Accent/dp/B08LZP45RN/ref=sr_1_5?keywords=Ardell+Magnetic+Gel+Liner&amp;qid=1695565744&amp;sr=8-5", "https://www.amazon.com/Ardell-Magnetic-Liquid-Liner-Accent/dp/B08LZP45RN/ref=sr_1_5?keywords=Ardell+Magnetic+Gel+Liner&amp;qid=1695565744&amp;sr=8-5")</f>
        <v/>
      </c>
      <c r="F80" t="inlineStr">
        <is>
          <t>B08LZP45RN</t>
        </is>
      </c>
      <c r="G80">
        <f>_xlfn.IMAGE("https://camerareadycosmetics.com/cdn/shop/products/ar_magneticgelliner_stylized_brush_pot_main_lr_1_1_50x.jpg?v=1607128320")</f>
        <v/>
      </c>
      <c r="H80">
        <f>_xlfn.IMAGE("https://m.media-amazon.com/images/I/61t4foEZvkL._AC_UL320_.jpg")</f>
        <v/>
      </c>
      <c r="K80" t="inlineStr">
        <is>
          <t>10.0</t>
        </is>
      </c>
      <c r="L80" t="n">
        <v>9.5</v>
      </c>
      <c r="M80" s="1" t="inlineStr">
        <is>
          <t>-5.00%</t>
        </is>
      </c>
      <c r="N80" t="n">
        <v>4</v>
      </c>
      <c r="O80" t="n">
        <v>45</v>
      </c>
      <c r="Q80" t="inlineStr">
        <is>
          <t>InStock</t>
        </is>
      </c>
      <c r="R80" t="inlineStr">
        <is>
          <t>undefined</t>
        </is>
      </c>
      <c r="S80" t="inlineStr">
        <is>
          <t>6144754188473</t>
        </is>
      </c>
    </row>
    <row r="81" ht="75" customHeight="1">
      <c r="A81" s="2">
        <f>HYPERLINK("https://camerareadycosmetics.com/products/ardell-magnetic-gel-liner", "https://camerareadycosmetics.com/products/ardell-magnetic-gel-liner")</f>
        <v/>
      </c>
      <c r="B81" s="2">
        <f>HYPERLINK("https://camerareadycosmetics.com/products/ardell-magnetic-gel-liner", "https://camerareadycosmetics.com/products/ardell-magnetic-gel-liner")</f>
        <v/>
      </c>
      <c r="C81" t="inlineStr">
        <is>
          <t>Ardell Magnetic Gel Liner</t>
        </is>
      </c>
      <c r="D81" t="inlineStr">
        <is>
          <t>Ardell Magnetic Liquid Liner</t>
        </is>
      </c>
      <c r="E81" s="2">
        <f>HYPERLINK("https://www.amazon.com/Ardell-64924-Magnetic-Liquid-Liner/dp/B08LR21SBT/ref=sr_1_2?keywords=Ardell+Magnetic+Gel+Liner&amp;qid=1695565744&amp;sr=8-2", "https://www.amazon.com/Ardell-64924-Magnetic-Liquid-Liner/dp/B08LR21SBT/ref=sr_1_2?keywords=Ardell+Magnetic+Gel+Liner&amp;qid=1695565744&amp;sr=8-2")</f>
        <v/>
      </c>
      <c r="F81" t="inlineStr">
        <is>
          <t>B08LR21SBT</t>
        </is>
      </c>
      <c r="G81">
        <f>_xlfn.IMAGE("https://camerareadycosmetics.com/cdn/shop/products/ar_magneticgelliner_stylized_brush_pot_main_lr_1_1_50x.jpg?v=1607128320")</f>
        <v/>
      </c>
      <c r="H81">
        <f>_xlfn.IMAGE("https://m.media-amazon.com/images/I/31t9LTIAeaL._AC_UL320_.jpg")</f>
        <v/>
      </c>
      <c r="K81" t="inlineStr">
        <is>
          <t>10.0</t>
        </is>
      </c>
      <c r="L81" t="n">
        <v>6.99</v>
      </c>
      <c r="M81" s="1" t="inlineStr">
        <is>
          <t>-30.10%</t>
        </is>
      </c>
      <c r="N81" t="n">
        <v>3.4</v>
      </c>
      <c r="O81" t="n">
        <v>312</v>
      </c>
      <c r="Q81" t="inlineStr">
        <is>
          <t>InStock</t>
        </is>
      </c>
      <c r="R81" t="inlineStr">
        <is>
          <t>undefined</t>
        </is>
      </c>
      <c r="S81" t="inlineStr">
        <is>
          <t>6144754188473</t>
        </is>
      </c>
    </row>
    <row r="82" ht="75" customHeight="1">
      <c r="A82" s="2">
        <f>HYPERLINK("https://camerareadycosmetics.com/products/ardell-magnetic-gel-liner", "https://camerareadycosmetics.com/products/ardell-magnetic-gel-liner")</f>
        <v/>
      </c>
      <c r="B82" s="2">
        <f>HYPERLINK("https://camerareadycosmetics.com/products/ardell-magnetic-gel-liner", "https://camerareadycosmetics.com/products/ardell-magnetic-gel-liner")</f>
        <v/>
      </c>
      <c r="C82" t="inlineStr">
        <is>
          <t>Ardell Magnetic Gel Liner</t>
        </is>
      </c>
      <c r="D82" t="inlineStr">
        <is>
          <t>Ardell Magnetic Liquid Liner &amp; Lash - Demi Wispies</t>
        </is>
      </c>
      <c r="E82" s="2">
        <f>HYPERLINK("https://www.amazon.com/Ardell-Magnetic-Liquid-Liner-Lash/dp/B08LQZ1YHW/ref=sr_1_4?keywords=Ardell+Magnetic+Gel+Liner&amp;qid=1695565744&amp;sr=8-4", "https://www.amazon.com/Ardell-Magnetic-Liquid-Liner-Lash/dp/B08LQZ1YHW/ref=sr_1_4?keywords=Ardell+Magnetic+Gel+Liner&amp;qid=1695565744&amp;sr=8-4")</f>
        <v/>
      </c>
      <c r="F82" t="inlineStr">
        <is>
          <t>B08LQZ1YHW</t>
        </is>
      </c>
      <c r="G82">
        <f>_xlfn.IMAGE("https://camerareadycosmetics.com/cdn/shop/products/ar_magneticgelliner_stylized_brush_pot_main_lr_1_1_50x.jpg?v=1607128320")</f>
        <v/>
      </c>
      <c r="H82">
        <f>_xlfn.IMAGE("https://m.media-amazon.com/images/I/61Ue-b9eDFL._AC_UL320_.jpg")</f>
        <v/>
      </c>
      <c r="K82" t="inlineStr">
        <is>
          <t>10.0</t>
        </is>
      </c>
      <c r="L82" t="n">
        <v>6.99</v>
      </c>
      <c r="M82" s="1" t="inlineStr">
        <is>
          <t>-30.10%</t>
        </is>
      </c>
      <c r="N82" t="n">
        <v>3.3</v>
      </c>
      <c r="O82" t="n">
        <v>173</v>
      </c>
      <c r="Q82" t="inlineStr">
        <is>
          <t>InStock</t>
        </is>
      </c>
      <c r="R82" t="inlineStr">
        <is>
          <t>undefined</t>
        </is>
      </c>
      <c r="S82" t="inlineStr">
        <is>
          <t>6144754188473</t>
        </is>
      </c>
    </row>
    <row r="83" ht="75" customHeight="1">
      <c r="A83" s="2">
        <f>HYPERLINK("https://camerareadycosmetics.com/products/ardell-magnetic-gel-liner", "https://camerareadycosmetics.com/products/ardell-magnetic-gel-liner")</f>
        <v/>
      </c>
      <c r="B83" s="2">
        <f>HYPERLINK("https://camerareadycosmetics.com/products/ardell-magnetic-gel-liner", "https://camerareadycosmetics.com/products/ardell-magnetic-gel-liner")</f>
        <v/>
      </c>
      <c r="C83" t="inlineStr">
        <is>
          <t>Ardell Magnetic Gel Liner</t>
        </is>
      </c>
      <c r="D83" t="inlineStr">
        <is>
          <t>Ardell Magnetic MegaHold Liquid Liner &amp; Lash 054, 1 pair</t>
        </is>
      </c>
      <c r="E83" s="2">
        <f>HYPERLINK("https://www.amazon.com/Ardell-Magnetic-MegaHold-Liquid-Liner/dp/B09CB4VP8H/ref=sr_1_10?keywords=Ardell+Magnetic+Gel+Liner&amp;qid=1695565744&amp;sr=8-10", "https://www.amazon.com/Ardell-Magnetic-MegaHold-Liquid-Liner/dp/B09CB4VP8H/ref=sr_1_10?keywords=Ardell+Magnetic+Gel+Liner&amp;qid=1695565744&amp;sr=8-10")</f>
        <v/>
      </c>
      <c r="F83" t="inlineStr">
        <is>
          <t>B09CB4VP8H</t>
        </is>
      </c>
      <c r="G83">
        <f>_xlfn.IMAGE("https://camerareadycosmetics.com/cdn/shop/products/ar_magneticgelliner_stylized_brush_pot_main_lr_1_1_50x.jpg?v=1607128320")</f>
        <v/>
      </c>
      <c r="H83">
        <f>_xlfn.IMAGE("https://m.media-amazon.com/images/I/81ZiYSwUilL._AC_UL320_.jpg")</f>
        <v/>
      </c>
      <c r="K83" t="inlineStr">
        <is>
          <t>10.0</t>
        </is>
      </c>
      <c r="L83" t="n">
        <v>6.49</v>
      </c>
      <c r="M83" s="1" t="inlineStr">
        <is>
          <t>-35.10%</t>
        </is>
      </c>
      <c r="N83" t="n">
        <v>3</v>
      </c>
      <c r="O83" t="n">
        <v>131</v>
      </c>
      <c r="Q83" t="inlineStr">
        <is>
          <t>InStock</t>
        </is>
      </c>
      <c r="R83" t="inlineStr">
        <is>
          <t>undefined</t>
        </is>
      </c>
      <c r="S83" t="inlineStr">
        <is>
          <t>6144754188473</t>
        </is>
      </c>
    </row>
    <row r="84" ht="75" customHeight="1">
      <c r="A84" s="2">
        <f>HYPERLINK("https://camerareadycosmetics.com/products/ardell-magnetic-gel-liner", "https://camerareadycosmetics.com/products/ardell-magnetic-gel-liner")</f>
        <v/>
      </c>
      <c r="B84" s="2">
        <f>HYPERLINK("https://camerareadycosmetics.com/products/ardell-magnetic-gel-liner", "https://camerareadycosmetics.com/products/ardell-magnetic-gel-liner")</f>
        <v/>
      </c>
      <c r="C84" t="inlineStr">
        <is>
          <t>Ardell Magnetic Gel Liner</t>
        </is>
      </c>
      <c r="D84" t="inlineStr">
        <is>
          <t>Ardell Magnetic Gel EyeLiner &amp; False Lashes, Wispies, 1 set</t>
        </is>
      </c>
      <c r="E84" s="2">
        <f>HYPERLINK("https://www.amazon.com/Ardell-Magnetic-EyeLiner-Lashes-Wispies/dp/B07VNH84KH/ref=sr_1_1?keywords=Ardell+Magnetic+Gel+Liner&amp;qid=1695565744&amp;sr=8-1", "https://www.amazon.com/Ardell-Magnetic-EyeLiner-Lashes-Wispies/dp/B07VNH84KH/ref=sr_1_1?keywords=Ardell+Magnetic+Gel+Liner&amp;qid=1695565744&amp;sr=8-1")</f>
        <v/>
      </c>
      <c r="F84" t="inlineStr">
        <is>
          <t>B07VNH84KH</t>
        </is>
      </c>
      <c r="G84">
        <f>_xlfn.IMAGE("https://camerareadycosmetics.com/cdn/shop/products/ar_magneticgelliner_stylized_brush_pot_main_lr_1_1_50x.jpg?v=1607128320")</f>
        <v/>
      </c>
      <c r="H84">
        <f>_xlfn.IMAGE("https://m.media-amazon.com/images/I/61zwULmb2CL._AC_UL320_.jpg")</f>
        <v/>
      </c>
      <c r="K84" t="inlineStr">
        <is>
          <t>10.0</t>
        </is>
      </c>
      <c r="L84" t="n">
        <v>5</v>
      </c>
      <c r="M84" s="1" t="inlineStr">
        <is>
          <t>-50.00%</t>
        </is>
      </c>
      <c r="N84" t="n">
        <v>3.4</v>
      </c>
      <c r="O84" t="n">
        <v>3740</v>
      </c>
      <c r="Q84" t="inlineStr">
        <is>
          <t>InStock</t>
        </is>
      </c>
      <c r="R84" t="inlineStr">
        <is>
          <t>undefined</t>
        </is>
      </c>
      <c r="S84" t="inlineStr">
        <is>
          <t>6144754188473</t>
        </is>
      </c>
    </row>
    <row r="85" ht="75" customHeight="1">
      <c r="A85" s="2">
        <f>HYPERLINK("https://camerareadycosmetics.com/products/ardell-magnetic-gel-liner", "https://camerareadycosmetics.com/products/ardell-magnetic-gel-liner")</f>
        <v/>
      </c>
      <c r="B85" s="2">
        <f>HYPERLINK("https://camerareadycosmetics.com/products/ardell-magnetic-gel-liner", "https://camerareadycosmetics.com/products/ardell-magnetic-gel-liner")</f>
        <v/>
      </c>
      <c r="C85" t="inlineStr">
        <is>
          <t>Ardell Magnetic Gel Liner</t>
        </is>
      </c>
      <c r="D85" t="inlineStr">
        <is>
          <t>Ardell Magnetic Gel EyeLiner &amp; False Lashes, Wispies, 1 set</t>
        </is>
      </c>
      <c r="E85" s="2">
        <f>HYPERLINK("https://www.amazon.com/Ardell-Magnetic-EyeLiner-Lashes-Wispies/dp/B07VNH84KH/ref=sr_1_1?keywords=Ardell+Magnetic+Gel+Liner&amp;qid=1695565744&amp;sr=8-1", "https://www.amazon.com/Ardell-Magnetic-EyeLiner-Lashes-Wispies/dp/B07VNH84KH/ref=sr_1_1?keywords=Ardell+Magnetic+Gel+Liner&amp;qid=1695565744&amp;sr=8-1")</f>
        <v/>
      </c>
      <c r="F85" t="inlineStr">
        <is>
          <t>B07VNH84KH</t>
        </is>
      </c>
      <c r="G85">
        <f>_xlfn.IMAGE("https://camerareadycosmetics.com/cdn/shop/products/ar_magneticgelliner_stylized_brush_pot_main_lr_1_1_50x.jpg?v=1607128320")</f>
        <v/>
      </c>
      <c r="H85">
        <f>_xlfn.IMAGE("https://m.media-amazon.com/images/I/61zwULmb2CL._AC_UL320_.jpg")</f>
        <v/>
      </c>
      <c r="K85" t="inlineStr">
        <is>
          <t>10.0</t>
        </is>
      </c>
      <c r="L85" t="n">
        <v>5</v>
      </c>
      <c r="M85" s="1" t="inlineStr">
        <is>
          <t>-50.00%</t>
        </is>
      </c>
      <c r="N85" t="n">
        <v>3.4</v>
      </c>
      <c r="O85" t="n">
        <v>3740</v>
      </c>
      <c r="Q85" t="inlineStr">
        <is>
          <t>InStock</t>
        </is>
      </c>
      <c r="R85" t="inlineStr">
        <is>
          <t>undefined</t>
        </is>
      </c>
      <c r="S85" t="inlineStr">
        <is>
          <t>6144754188473</t>
        </is>
      </c>
    </row>
    <row r="86" ht="75" customHeight="1">
      <c r="A86" s="2">
        <f>HYPERLINK("https://camerareadycosmetics.com/products/ardell-magnetic-lashes-accents-002", "https://camerareadycosmetics.com/products/ardell-magnetic-lashes-accents-002")</f>
        <v/>
      </c>
      <c r="B86" s="2">
        <f>HYPERLINK("https://camerareadycosmetics.com/products/ardell-magnetic-lashes-accents-002", "https://camerareadycosmetics.com/products/ardell-magnetic-lashes-accents-002")</f>
        <v/>
      </c>
      <c r="C86" t="inlineStr">
        <is>
          <t>Ardell Magnetic Lashes Accents 002</t>
        </is>
      </c>
      <c r="D86" t="inlineStr">
        <is>
          <t>Ardell Magnetic Lashes Accents 002 (12 Packs)</t>
        </is>
      </c>
      <c r="E86" s="2">
        <f>HYPERLINK("https://www.amazon.com/Ardell-Magnetic-Lashes-Accents-Packs/dp/B07F1ZVJ17/ref=sr_1_6?keywords=Ardell+Magnetic+Lashes+Accents+002&amp;qid=1695565657&amp;sr=8-6", "https://www.amazon.com/Ardell-Magnetic-Lashes-Accents-Packs/dp/B07F1ZVJ17/ref=sr_1_6?keywords=Ardell+Magnetic+Lashes+Accents+002&amp;qid=1695565657&amp;sr=8-6")</f>
        <v/>
      </c>
      <c r="F86" t="inlineStr">
        <is>
          <t>B07F1ZVJ17</t>
        </is>
      </c>
      <c r="G86">
        <f>_xlfn.IMAGE("https://camerareadycosmetics.com/cdn/shop/products/ardell-lashes-magnetic-accents-002_50x.jpg?v=1515787919")</f>
        <v/>
      </c>
      <c r="H86">
        <f>_xlfn.IMAGE("https://m.media-amazon.com/images/I/614LSItM-GL._AC_UL320_.jpg")</f>
        <v/>
      </c>
      <c r="K86" t="inlineStr">
        <is>
          <t>14.0</t>
        </is>
      </c>
      <c r="L86" t="n">
        <v>133.27</v>
      </c>
      <c r="M86" s="1" t="inlineStr">
        <is>
          <t>851.93%</t>
        </is>
      </c>
      <c r="N86" t="n">
        <v>5</v>
      </c>
      <c r="O86" t="n">
        <v>1</v>
      </c>
      <c r="Q86" t="inlineStr">
        <is>
          <t>OutOfStock</t>
        </is>
      </c>
      <c r="R86" t="inlineStr">
        <is>
          <t>undefined</t>
        </is>
      </c>
      <c r="S86" t="inlineStr">
        <is>
          <t>411364687882</t>
        </is>
      </c>
    </row>
    <row r="87" ht="75" customHeight="1">
      <c r="A87" s="2">
        <f>HYPERLINK("https://camerareadycosmetics.com/products/ardell-magnetic-lashes-accents-002", "https://camerareadycosmetics.com/products/ardell-magnetic-lashes-accents-002")</f>
        <v/>
      </c>
      <c r="B87" s="2">
        <f>HYPERLINK("https://camerareadycosmetics.com/products/ardell-magnetic-lashes-accents-002", "https://camerareadycosmetics.com/products/ardell-magnetic-lashes-accents-002")</f>
        <v/>
      </c>
      <c r="C87" t="inlineStr">
        <is>
          <t>Ardell Magnetic Lashes Accents 002</t>
        </is>
      </c>
      <c r="D87" t="inlineStr">
        <is>
          <t>Ardell Magnetic Lashes Accents 002 (4 Packs)</t>
        </is>
      </c>
      <c r="E87" s="2">
        <f>HYPERLINK("https://www.amazon.com/Ardell-Magnetic-Lashes-Accents-Packs/dp/B07F23Y728/ref=sr_1_4?keywords=Ardell+Magnetic+Lashes+Accents+002&amp;qid=1695565657&amp;sr=8-4", "https://www.amazon.com/Ardell-Magnetic-Lashes-Accents-Packs/dp/B07F23Y728/ref=sr_1_4?keywords=Ardell+Magnetic+Lashes+Accents+002&amp;qid=1695565657&amp;sr=8-4")</f>
        <v/>
      </c>
      <c r="F87" t="inlineStr">
        <is>
          <t>B07F23Y728</t>
        </is>
      </c>
      <c r="G87">
        <f>_xlfn.IMAGE("https://camerareadycosmetics.com/cdn/shop/products/ardell-lashes-magnetic-accents-002_50x.jpg?v=1515787919")</f>
        <v/>
      </c>
      <c r="H87">
        <f>_xlfn.IMAGE("https://m.media-amazon.com/images/I/51lY4B3A+OL._AC_UL320_.jpg")</f>
        <v/>
      </c>
      <c r="K87" t="inlineStr">
        <is>
          <t>14.0</t>
        </is>
      </c>
      <c r="L87" t="n">
        <v>49.99</v>
      </c>
      <c r="M87" s="1" t="inlineStr">
        <is>
          <t>257.07%</t>
        </is>
      </c>
      <c r="N87" t="n">
        <v>3.4</v>
      </c>
      <c r="O87" t="n">
        <v>12</v>
      </c>
      <c r="Q87" t="inlineStr">
        <is>
          <t>OutOfStock</t>
        </is>
      </c>
      <c r="R87" t="inlineStr">
        <is>
          <t>undefined</t>
        </is>
      </c>
      <c r="S87" t="inlineStr">
        <is>
          <t>411364687882</t>
        </is>
      </c>
    </row>
    <row r="88" ht="75" customHeight="1">
      <c r="A88" s="2">
        <f>HYPERLINK("https://camerareadycosmetics.com/products/ardell-magnetic-lashes-accents-002", "https://camerareadycosmetics.com/products/ardell-magnetic-lashes-accents-002")</f>
        <v/>
      </c>
      <c r="B88" s="2">
        <f>HYPERLINK("https://camerareadycosmetics.com/products/ardell-magnetic-lashes-accents-002", "https://camerareadycosmetics.com/products/ardell-magnetic-lashes-accents-002")</f>
        <v/>
      </c>
      <c r="C88" t="inlineStr">
        <is>
          <t>Ardell Magnetic Lashes Accents 002</t>
        </is>
      </c>
      <c r="D88" t="inlineStr">
        <is>
          <t>Ardell Magnetic Lashes Accents Double 110 (4 Packs)</t>
        </is>
      </c>
      <c r="E88" s="2">
        <f>HYPERLINK("https://www.amazon.com/Ardell-Magnetic-Lashes-Accents-Double/dp/B07F2MJK4L/ref=sr_1_10?keywords=Ardell+Magnetic+Lashes+Accents+002&amp;qid=1695565657&amp;sr=8-10", "https://www.amazon.com/Ardell-Magnetic-Lashes-Accents-Double/dp/B07F2MJK4L/ref=sr_1_10?keywords=Ardell+Magnetic+Lashes+Accents+002&amp;qid=1695565657&amp;sr=8-10")</f>
        <v/>
      </c>
      <c r="F88" t="inlineStr">
        <is>
          <t>B07F2MJK4L</t>
        </is>
      </c>
      <c r="G88">
        <f>_xlfn.IMAGE("https://camerareadycosmetics.com/cdn/shop/products/ardell-lashes-magnetic-accents-002_50x.jpg?v=1515787919")</f>
        <v/>
      </c>
      <c r="H88">
        <f>_xlfn.IMAGE("https://m.media-amazon.com/images/I/51dXBEuZdVL._AC_UL320_.jpg")</f>
        <v/>
      </c>
      <c r="K88" t="inlineStr">
        <is>
          <t>14.0</t>
        </is>
      </c>
      <c r="L88" t="n">
        <v>41.16</v>
      </c>
      <c r="M88" s="1" t="inlineStr">
        <is>
          <t>194.00%</t>
        </is>
      </c>
      <c r="N88" t="n">
        <v>3.4</v>
      </c>
      <c r="O88" t="n">
        <v>10</v>
      </c>
      <c r="Q88" t="inlineStr">
        <is>
          <t>OutOfStock</t>
        </is>
      </c>
      <c r="R88" t="inlineStr">
        <is>
          <t>undefined</t>
        </is>
      </c>
      <c r="S88" t="inlineStr">
        <is>
          <t>411364687882</t>
        </is>
      </c>
    </row>
    <row r="89" ht="75" customHeight="1">
      <c r="A89" s="2">
        <f>HYPERLINK("https://camerareadycosmetics.com/products/ardell-magnetic-lashes-accents-002", "https://camerareadycosmetics.com/products/ardell-magnetic-lashes-accents-002")</f>
        <v/>
      </c>
      <c r="B89" s="2">
        <f>HYPERLINK("https://camerareadycosmetics.com/products/ardell-magnetic-lashes-accents-002", "https://camerareadycosmetics.com/products/ardell-magnetic-lashes-accents-002")</f>
        <v/>
      </c>
      <c r="C89" t="inlineStr">
        <is>
          <t>Ardell Magnetic Lashes Accents 002</t>
        </is>
      </c>
      <c r="D89" t="inlineStr">
        <is>
          <t>Ardell Magnetic Lashes Accents 002 2 pair, Black, 1 Count)</t>
        </is>
      </c>
      <c r="E89" s="2">
        <f>HYPERLINK("https://www.amazon.com/Ardell-Magnetic-Lashes-Accents-Packs/dp/B07F22WR59/ref=sr_1_1?keywords=Ardell+Magnetic+Lashes+Accents+002&amp;qid=1695565657&amp;sr=8-1", "https://www.amazon.com/Ardell-Magnetic-Lashes-Accents-Packs/dp/B07F22WR59/ref=sr_1_1?keywords=Ardell+Magnetic+Lashes+Accents+002&amp;qid=1695565657&amp;sr=8-1")</f>
        <v/>
      </c>
      <c r="F89" t="inlineStr">
        <is>
          <t>B07F22WR59</t>
        </is>
      </c>
      <c r="G89">
        <f>_xlfn.IMAGE("https://camerareadycosmetics.com/cdn/shop/products/ardell-lashes-magnetic-accents-002_50x.jpg?v=1515787919")</f>
        <v/>
      </c>
      <c r="H89">
        <f>_xlfn.IMAGE("https://m.media-amazon.com/images/I/416faoSN-xL._AC_UL320_.jpg")</f>
        <v/>
      </c>
      <c r="K89" t="inlineStr">
        <is>
          <t>14.0</t>
        </is>
      </c>
      <c r="L89" t="n">
        <v>19.6</v>
      </c>
      <c r="M89" s="1" t="inlineStr">
        <is>
          <t>40.00%</t>
        </is>
      </c>
      <c r="N89" t="n">
        <v>3.8</v>
      </c>
      <c r="O89" t="n">
        <v>381</v>
      </c>
      <c r="Q89" t="inlineStr">
        <is>
          <t>OutOfStock</t>
        </is>
      </c>
      <c r="R89" t="inlineStr">
        <is>
          <t>undefined</t>
        </is>
      </c>
      <c r="S89" t="inlineStr">
        <is>
          <t>411364687882</t>
        </is>
      </c>
    </row>
    <row r="90" ht="75" customHeight="1">
      <c r="A90" s="2">
        <f>HYPERLINK("https://camerareadycosmetics.com/products/ardell-magnetic-lashes-accents-002", "https://camerareadycosmetics.com/products/ardell-magnetic-lashes-accents-002")</f>
        <v/>
      </c>
      <c r="B90" s="2">
        <f>HYPERLINK("https://camerareadycosmetics.com/products/ardell-magnetic-lashes-accents-002", "https://camerareadycosmetics.com/products/ardell-magnetic-lashes-accents-002")</f>
        <v/>
      </c>
      <c r="C90" t="inlineStr">
        <is>
          <t>Ardell Magnetic Lashes Accents 002</t>
        </is>
      </c>
      <c r="D90" t="inlineStr">
        <is>
          <t>Ardell Magnetic Gel EyeLiner &amp; False Lashes, Accent 002, 1 set</t>
        </is>
      </c>
      <c r="E90" s="2">
        <f>HYPERLINK("https://www.amazon.com/Ardell-Magnetic-EyeLiner-Lashes-Accent/dp/B07VQN6FCG/ref=sr_1_2?keywords=Ardell+Magnetic+Lashes+Accents+002&amp;qid=1695565657&amp;sr=8-2", "https://www.amazon.com/Ardell-Magnetic-EyeLiner-Lashes-Accent/dp/B07VQN6FCG/ref=sr_1_2?keywords=Ardell+Magnetic+Lashes+Accents+002&amp;qid=1695565657&amp;sr=8-2")</f>
        <v/>
      </c>
      <c r="F90" t="inlineStr">
        <is>
          <t>B07VQN6FCG</t>
        </is>
      </c>
      <c r="G90">
        <f>_xlfn.IMAGE("https://camerareadycosmetics.com/cdn/shop/products/ardell-lashes-magnetic-accents-002_50x.jpg?v=1515787919")</f>
        <v/>
      </c>
      <c r="H90">
        <f>_xlfn.IMAGE("https://m.media-amazon.com/images/I/514hTdHckOL._AC_UL320_.jpg")</f>
        <v/>
      </c>
      <c r="K90" t="inlineStr">
        <is>
          <t>14.0</t>
        </is>
      </c>
      <c r="L90" t="n">
        <v>5</v>
      </c>
      <c r="M90" s="1" t="inlineStr">
        <is>
          <t>-64.29%</t>
        </is>
      </c>
      <c r="N90" t="n">
        <v>3.4</v>
      </c>
      <c r="O90" t="n">
        <v>3740</v>
      </c>
      <c r="Q90" t="inlineStr">
        <is>
          <t>OutOfStock</t>
        </is>
      </c>
      <c r="R90" t="inlineStr">
        <is>
          <t>undefined</t>
        </is>
      </c>
      <c r="S90" t="inlineStr">
        <is>
          <t>411364687882</t>
        </is>
      </c>
    </row>
    <row r="91" ht="75" customHeight="1">
      <c r="A91" s="2">
        <f>HYPERLINK("https://camerareadycosmetics.com/products/ardell-magnetic-lashes-accents-002", "https://camerareadycosmetics.com/products/ardell-magnetic-lashes-accents-002")</f>
        <v/>
      </c>
      <c r="B91" s="2">
        <f>HYPERLINK("https://camerareadycosmetics.com/products/ardell-magnetic-lashes-accents-002", "https://camerareadycosmetics.com/products/ardell-magnetic-lashes-accents-002")</f>
        <v/>
      </c>
      <c r="C91" t="inlineStr">
        <is>
          <t>Ardell Magnetic Lashes Accents 002</t>
        </is>
      </c>
      <c r="D91" t="inlineStr">
        <is>
          <t>Ardell Magnetic Gel EyeLiner &amp; False Lashes, Accent 002, 1 set</t>
        </is>
      </c>
      <c r="E91" s="2">
        <f>HYPERLINK("https://www.amazon.com/Ardell-Magnetic-EyeLiner-Lashes-Accent/dp/B07VQN6FCG/ref=sr_1_2?keywords=Ardell+Magnetic+Lashes+Accents+002&amp;qid=1695565657&amp;sr=8-2", "https://www.amazon.com/Ardell-Magnetic-EyeLiner-Lashes-Accent/dp/B07VQN6FCG/ref=sr_1_2?keywords=Ardell+Magnetic+Lashes+Accents+002&amp;qid=1695565657&amp;sr=8-2")</f>
        <v/>
      </c>
      <c r="F91" t="inlineStr">
        <is>
          <t>B07VQN6FCG</t>
        </is>
      </c>
      <c r="G91">
        <f>_xlfn.IMAGE("https://camerareadycosmetics.com/cdn/shop/products/ardell-lashes-magnetic-accents-002_50x.jpg?v=1515787919")</f>
        <v/>
      </c>
      <c r="H91">
        <f>_xlfn.IMAGE("https://m.media-amazon.com/images/I/514hTdHckOL._AC_UL320_.jpg")</f>
        <v/>
      </c>
      <c r="K91" t="inlineStr">
        <is>
          <t>14.0</t>
        </is>
      </c>
      <c r="L91" t="n">
        <v>5</v>
      </c>
      <c r="M91" s="1" t="inlineStr">
        <is>
          <t>-64.29%</t>
        </is>
      </c>
      <c r="N91" t="n">
        <v>3.4</v>
      </c>
      <c r="O91" t="n">
        <v>3740</v>
      </c>
      <c r="Q91" t="inlineStr">
        <is>
          <t>OutOfStock</t>
        </is>
      </c>
      <c r="R91" t="inlineStr">
        <is>
          <t>undefined</t>
        </is>
      </c>
      <c r="S91" t="inlineStr">
        <is>
          <t>411364687882</t>
        </is>
      </c>
    </row>
    <row r="92" ht="75" customHeight="1">
      <c r="A92" s="2">
        <f>HYPERLINK("https://camerareadycosmetics.com/products/ardell-magnetic-liquid-liner", "https://camerareadycosmetics.com/products/ardell-magnetic-liquid-liner")</f>
        <v/>
      </c>
      <c r="B92" s="2">
        <f>HYPERLINK("https://camerareadycosmetics.com/products/ardell-magnetic-liquid-liner", "https://camerareadycosmetics.com/products/ardell-magnetic-liquid-liner")</f>
        <v/>
      </c>
      <c r="C92" t="inlineStr">
        <is>
          <t>Ardell Magnetic Liquid Liner</t>
        </is>
      </c>
      <c r="D92" t="inlineStr">
        <is>
          <t>Ardell Magnetic Liquid Liner, 2-Pack</t>
        </is>
      </c>
      <c r="E92" s="2">
        <f>HYPERLINK("https://www.amazon.com/Ardell-Magnetic-Liquid-Liner-2-Pack/dp/B08LR18C6S/ref=sr_1_2?keywords=Ardell+Magnetic+Liquid+Liner&amp;qid=1695565766&amp;sr=8-2", "https://www.amazon.com/Ardell-Magnetic-Liquid-Liner-2-Pack/dp/B08LR18C6S/ref=sr_1_2?keywords=Ardell+Magnetic+Liquid+Liner&amp;qid=1695565766&amp;sr=8-2")</f>
        <v/>
      </c>
      <c r="F92" t="inlineStr">
        <is>
          <t>B08LR18C6S</t>
        </is>
      </c>
      <c r="G92">
        <f>_xlfn.IMAGE("https://camerareadycosmetics.com/cdn/shop/products/ar_64924_magneticliquidliner_w_tube_open_027_50x.jpg?v=1607128321")</f>
        <v/>
      </c>
      <c r="H92">
        <f>_xlfn.IMAGE("https://m.media-amazon.com/images/I/61k0COwM+aL._AC_UL320_.jpg")</f>
        <v/>
      </c>
      <c r="K92" t="inlineStr">
        <is>
          <t>10.0</t>
        </is>
      </c>
      <c r="L92" t="n">
        <v>14.99</v>
      </c>
      <c r="M92" s="1" t="inlineStr">
        <is>
          <t>49.90%</t>
        </is>
      </c>
      <c r="N92" t="n">
        <v>3.2</v>
      </c>
      <c r="O92" t="n">
        <v>20</v>
      </c>
      <c r="Q92" t="inlineStr">
        <is>
          <t>InStock</t>
        </is>
      </c>
      <c r="R92" t="inlineStr">
        <is>
          <t>undefined</t>
        </is>
      </c>
      <c r="S92" t="inlineStr">
        <is>
          <t>6145542684857</t>
        </is>
      </c>
    </row>
    <row r="93" ht="75" customHeight="1">
      <c r="A93" s="2">
        <f>HYPERLINK("https://camerareadycosmetics.com/products/ardell-magnetic-liquid-liner", "https://camerareadycosmetics.com/products/ardell-magnetic-liquid-liner")</f>
        <v/>
      </c>
      <c r="B93" s="2">
        <f>HYPERLINK("https://camerareadycosmetics.com/products/ardell-magnetic-liquid-liner", "https://camerareadycosmetics.com/products/ardell-magnetic-liquid-liner")</f>
        <v/>
      </c>
      <c r="C93" t="inlineStr">
        <is>
          <t>Ardell Magnetic Liquid Liner</t>
        </is>
      </c>
      <c r="D93" t="inlineStr">
        <is>
          <t>Ardell Magnetic Naked Liquid Liner &amp; Lashes 420, 1 pair</t>
        </is>
      </c>
      <c r="E93" s="2">
        <f>HYPERLINK("https://www.amazon.com/Ardell-Magnetic-Naked-Liquid-Lashes/dp/B09NB425JH/ref=sr_1_9?keywords=Ardell+Magnetic+Liquid+Liner&amp;qid=1695565766&amp;sr=8-9", "https://www.amazon.com/Ardell-Magnetic-Naked-Liquid-Lashes/dp/B09NB425JH/ref=sr_1_9?keywords=Ardell+Magnetic+Liquid+Liner&amp;qid=1695565766&amp;sr=8-9")</f>
        <v/>
      </c>
      <c r="F93" t="inlineStr">
        <is>
          <t>B09NB425JH</t>
        </is>
      </c>
      <c r="G93">
        <f>_xlfn.IMAGE("https://camerareadycosmetics.com/cdn/shop/products/ar_64924_magneticliquidliner_w_tube_open_027_50x.jpg?v=1607128321")</f>
        <v/>
      </c>
      <c r="H93">
        <f>_xlfn.IMAGE("https://m.media-amazon.com/images/I/810LI-svexL._AC_UL320_.jpg")</f>
        <v/>
      </c>
      <c r="K93" t="inlineStr">
        <is>
          <t>10.0</t>
        </is>
      </c>
      <c r="L93" t="n">
        <v>11.91</v>
      </c>
      <c r="M93" s="1" t="inlineStr">
        <is>
          <t>19.10%</t>
        </is>
      </c>
      <c r="N93" t="n">
        <v>3.9</v>
      </c>
      <c r="O93" t="n">
        <v>21</v>
      </c>
      <c r="Q93" t="inlineStr">
        <is>
          <t>InStock</t>
        </is>
      </c>
      <c r="R93" t="inlineStr">
        <is>
          <t>undefined</t>
        </is>
      </c>
      <c r="S93" t="inlineStr">
        <is>
          <t>6145542684857</t>
        </is>
      </c>
    </row>
    <row r="94" ht="75" customHeight="1">
      <c r="A94" s="2">
        <f>HYPERLINK("https://camerareadycosmetics.com/products/ardell-magnetic-liquid-liner", "https://camerareadycosmetics.com/products/ardell-magnetic-liquid-liner")</f>
        <v/>
      </c>
      <c r="B94" s="2">
        <f>HYPERLINK("https://camerareadycosmetics.com/products/ardell-magnetic-liquid-liner", "https://camerareadycosmetics.com/products/ardell-magnetic-liquid-liner")</f>
        <v/>
      </c>
      <c r="C94" t="inlineStr">
        <is>
          <t>Ardell Magnetic Liquid Liner</t>
        </is>
      </c>
      <c r="D94" t="inlineStr">
        <is>
          <t>Ardell Magnetic Liquid Liner &amp; Lash - Wispies</t>
        </is>
      </c>
      <c r="E94" s="2">
        <f>HYPERLINK("https://www.amazon.com/Ardell-Magnetic-Liquid-Liner-Lash/dp/B08LQZ1YT6/ref=sr_1_6?keywords=Ardell+Magnetic+Liquid+Liner&amp;qid=1695565766&amp;sr=8-6", "https://www.amazon.com/Ardell-Magnetic-Liquid-Liner-Lash/dp/B08LQZ1YT6/ref=sr_1_6?keywords=Ardell+Magnetic+Liquid+Liner&amp;qid=1695565766&amp;sr=8-6")</f>
        <v/>
      </c>
      <c r="F94" t="inlineStr">
        <is>
          <t>B08LQZ1YT6</t>
        </is>
      </c>
      <c r="G94">
        <f>_xlfn.IMAGE("https://camerareadycosmetics.com/cdn/shop/products/ar_64924_magneticliquidliner_w_tube_open_027_50x.jpg?v=1607128321")</f>
        <v/>
      </c>
      <c r="H94">
        <f>_xlfn.IMAGE("https://m.media-amazon.com/images/I/614VcYQqqML._AC_UL320_.jpg")</f>
        <v/>
      </c>
      <c r="K94" t="inlineStr">
        <is>
          <t>10.0</t>
        </is>
      </c>
      <c r="L94" t="n">
        <v>11.78</v>
      </c>
      <c r="M94" s="1" t="inlineStr">
        <is>
          <t>17.80%</t>
        </is>
      </c>
      <c r="N94" t="n">
        <v>3.3</v>
      </c>
      <c r="O94" t="n">
        <v>94</v>
      </c>
      <c r="Q94" t="inlineStr">
        <is>
          <t>InStock</t>
        </is>
      </c>
      <c r="R94" t="inlineStr">
        <is>
          <t>undefined</t>
        </is>
      </c>
      <c r="S94" t="inlineStr">
        <is>
          <t>6145542684857</t>
        </is>
      </c>
    </row>
    <row r="95" ht="75" customHeight="1">
      <c r="A95" s="2">
        <f>HYPERLINK("https://camerareadycosmetics.com/products/ardell-magnetic-liquid-liner", "https://camerareadycosmetics.com/products/ardell-magnetic-liquid-liner")</f>
        <v/>
      </c>
      <c r="B95" s="2">
        <f>HYPERLINK("https://camerareadycosmetics.com/products/ardell-magnetic-liquid-liner", "https://camerareadycosmetics.com/products/ardell-magnetic-liquid-liner")</f>
        <v/>
      </c>
      <c r="C95" t="inlineStr">
        <is>
          <t>Ardell Magnetic Liquid Liner</t>
        </is>
      </c>
      <c r="D95" t="inlineStr">
        <is>
          <t>Ardell - Magnetic Liquid Liner &amp; Lash - Accent 002</t>
        </is>
      </c>
      <c r="E95" s="2">
        <f>HYPERLINK("https://www.amazon.com/Ardell-Magnetic-Liquid-Liner-Accent/dp/B08LZP45RN/ref=sr_1_8?keywords=Ardell+Magnetic+Liquid+Liner&amp;qid=1695565766&amp;sr=8-8", "https://www.amazon.com/Ardell-Magnetic-Liquid-Liner-Accent/dp/B08LZP45RN/ref=sr_1_8?keywords=Ardell+Magnetic+Liquid+Liner&amp;qid=1695565766&amp;sr=8-8")</f>
        <v/>
      </c>
      <c r="F95" t="inlineStr">
        <is>
          <t>B08LZP45RN</t>
        </is>
      </c>
      <c r="G95">
        <f>_xlfn.IMAGE("https://camerareadycosmetics.com/cdn/shop/products/ar_64924_magneticliquidliner_w_tube_open_027_50x.jpg?v=1607128321")</f>
        <v/>
      </c>
      <c r="H95">
        <f>_xlfn.IMAGE("https://m.media-amazon.com/images/I/61t4foEZvkL._AC_UL320_.jpg")</f>
        <v/>
      </c>
      <c r="K95" t="inlineStr">
        <is>
          <t>10.0</t>
        </is>
      </c>
      <c r="L95" t="n">
        <v>9.5</v>
      </c>
      <c r="M95" s="1" t="inlineStr">
        <is>
          <t>-5.00%</t>
        </is>
      </c>
      <c r="N95" t="n">
        <v>4</v>
      </c>
      <c r="O95" t="n">
        <v>45</v>
      </c>
      <c r="Q95" t="inlineStr">
        <is>
          <t>InStock</t>
        </is>
      </c>
      <c r="R95" t="inlineStr">
        <is>
          <t>undefined</t>
        </is>
      </c>
      <c r="S95" t="inlineStr">
        <is>
          <t>6145542684857</t>
        </is>
      </c>
    </row>
    <row r="96" ht="75" customHeight="1">
      <c r="A96" s="2">
        <f>HYPERLINK("https://camerareadycosmetics.com/products/ardell-magnetic-liquid-liner", "https://camerareadycosmetics.com/products/ardell-magnetic-liquid-liner")</f>
        <v/>
      </c>
      <c r="B96" s="2">
        <f>HYPERLINK("https://camerareadycosmetics.com/products/ardell-magnetic-liquid-liner", "https://camerareadycosmetics.com/products/ardell-magnetic-liquid-liner")</f>
        <v/>
      </c>
      <c r="C96" t="inlineStr">
        <is>
          <t>Ardell Magnetic Liquid Liner</t>
        </is>
      </c>
      <c r="D96" t="inlineStr">
        <is>
          <t>Ardell Magnetic Gel EyeLiner</t>
        </is>
      </c>
      <c r="E96" s="2">
        <f>HYPERLINK("https://www.amazon.com/Ardell-36854-Magnetic-Gel-EyeLiner/dp/B07VL5RQ4T/ref=sr_1_10?keywords=Ardell+Magnetic+Liquid+Liner&amp;qid=1695565766&amp;sr=8-10", "https://www.amazon.com/Ardell-36854-Magnetic-Gel-EyeLiner/dp/B07VL5RQ4T/ref=sr_1_10?keywords=Ardell+Magnetic+Liquid+Liner&amp;qid=1695565766&amp;sr=8-10")</f>
        <v/>
      </c>
      <c r="F96" t="inlineStr">
        <is>
          <t>B07VL5RQ4T</t>
        </is>
      </c>
      <c r="G96">
        <f>_xlfn.IMAGE("https://camerareadycosmetics.com/cdn/shop/products/ar_64924_magneticliquidliner_w_tube_open_027_50x.jpg?v=1607128321")</f>
        <v/>
      </c>
      <c r="H96">
        <f>_xlfn.IMAGE("https://m.media-amazon.com/images/I/81ZJ2lObd-L._AC_UL320_.jpg")</f>
        <v/>
      </c>
      <c r="K96" t="inlineStr">
        <is>
          <t>10.0</t>
        </is>
      </c>
      <c r="L96" t="n">
        <v>7</v>
      </c>
      <c r="M96" s="1" t="inlineStr">
        <is>
          <t>-30.00%</t>
        </is>
      </c>
      <c r="N96" t="n">
        <v>3.4</v>
      </c>
      <c r="O96" t="n">
        <v>3740</v>
      </c>
      <c r="Q96" t="inlineStr">
        <is>
          <t>InStock</t>
        </is>
      </c>
      <c r="R96" t="inlineStr">
        <is>
          <t>undefined</t>
        </is>
      </c>
      <c r="S96" t="inlineStr">
        <is>
          <t>6145542684857</t>
        </is>
      </c>
    </row>
    <row r="97" ht="75" customHeight="1">
      <c r="A97" s="2">
        <f>HYPERLINK("https://camerareadycosmetics.com/products/ardell-magnetic-liquid-liner", "https://camerareadycosmetics.com/products/ardell-magnetic-liquid-liner")</f>
        <v/>
      </c>
      <c r="B97" s="2">
        <f>HYPERLINK("https://camerareadycosmetics.com/products/ardell-magnetic-liquid-liner", "https://camerareadycosmetics.com/products/ardell-magnetic-liquid-liner")</f>
        <v/>
      </c>
      <c r="C97" t="inlineStr">
        <is>
          <t>Ardell Magnetic Liquid Liner</t>
        </is>
      </c>
      <c r="D97" t="inlineStr">
        <is>
          <t>Ardell Magnetic Liquid Liner &amp; Lash - Demi Wispies</t>
        </is>
      </c>
      <c r="E97" s="2">
        <f>HYPERLINK("https://www.amazon.com/Ardell-Magnetic-Liquid-Liner-Lash/dp/B08LQZ1YHW/ref=sr_1_3?keywords=Ardell+Magnetic+Liquid+Liner&amp;qid=1695565766&amp;sr=8-3", "https://www.amazon.com/Ardell-Magnetic-Liquid-Liner-Lash/dp/B08LQZ1YHW/ref=sr_1_3?keywords=Ardell+Magnetic+Liquid+Liner&amp;qid=1695565766&amp;sr=8-3")</f>
        <v/>
      </c>
      <c r="F97" t="inlineStr">
        <is>
          <t>B08LQZ1YHW</t>
        </is>
      </c>
      <c r="G97">
        <f>_xlfn.IMAGE("https://camerareadycosmetics.com/cdn/shop/products/ar_64924_magneticliquidliner_w_tube_open_027_50x.jpg?v=1607128321")</f>
        <v/>
      </c>
      <c r="H97">
        <f>_xlfn.IMAGE("https://m.media-amazon.com/images/I/61Ue-b9eDFL._AC_UL320_.jpg")</f>
        <v/>
      </c>
      <c r="K97" t="inlineStr">
        <is>
          <t>10.0</t>
        </is>
      </c>
      <c r="L97" t="n">
        <v>6.99</v>
      </c>
      <c r="M97" s="1" t="inlineStr">
        <is>
          <t>-30.10%</t>
        </is>
      </c>
      <c r="N97" t="n">
        <v>3.3</v>
      </c>
      <c r="O97" t="n">
        <v>173</v>
      </c>
      <c r="Q97" t="inlineStr">
        <is>
          <t>InStock</t>
        </is>
      </c>
      <c r="R97" t="inlineStr">
        <is>
          <t>undefined</t>
        </is>
      </c>
      <c r="S97" t="inlineStr">
        <is>
          <t>6145542684857</t>
        </is>
      </c>
    </row>
    <row r="98" ht="75" customHeight="1">
      <c r="A98" s="2">
        <f>HYPERLINK("https://camerareadycosmetics.com/products/ardell-magnetic-liquid-liner", "https://camerareadycosmetics.com/products/ardell-magnetic-liquid-liner")</f>
        <v/>
      </c>
      <c r="B98" s="2">
        <f>HYPERLINK("https://camerareadycosmetics.com/products/ardell-magnetic-liquid-liner", "https://camerareadycosmetics.com/products/ardell-magnetic-liquid-liner")</f>
        <v/>
      </c>
      <c r="C98" t="inlineStr">
        <is>
          <t>Ardell Magnetic Liquid Liner</t>
        </is>
      </c>
      <c r="D98" t="inlineStr">
        <is>
          <t>Ardell Magnetic Liquid Liner</t>
        </is>
      </c>
      <c r="E98" s="2">
        <f>HYPERLINK("https://www.amazon.com/Ardell-64924-Magnetic-Liquid-Liner/dp/B08LR21SBT/ref=sr_1_1?keywords=Ardell+Magnetic+Liquid+Liner&amp;qid=1695565766&amp;sr=8-1", "https://www.amazon.com/Ardell-64924-Magnetic-Liquid-Liner/dp/B08LR21SBT/ref=sr_1_1?keywords=Ardell+Magnetic+Liquid+Liner&amp;qid=1695565766&amp;sr=8-1")</f>
        <v/>
      </c>
      <c r="F98" t="inlineStr">
        <is>
          <t>B08LR21SBT</t>
        </is>
      </c>
      <c r="G98">
        <f>_xlfn.IMAGE("https://camerareadycosmetics.com/cdn/shop/products/ar_64924_magneticliquidliner_w_tube_open_027_50x.jpg?v=1607128321")</f>
        <v/>
      </c>
      <c r="H98">
        <f>_xlfn.IMAGE("https://m.media-amazon.com/images/I/31t9LTIAeaL._AC_UL320_.jpg")</f>
        <v/>
      </c>
      <c r="K98" t="inlineStr">
        <is>
          <t>10.0</t>
        </is>
      </c>
      <c r="L98" t="n">
        <v>6.99</v>
      </c>
      <c r="M98" s="1" t="inlineStr">
        <is>
          <t>-30.10%</t>
        </is>
      </c>
      <c r="N98" t="n">
        <v>3.4</v>
      </c>
      <c r="O98" t="n">
        <v>312</v>
      </c>
      <c r="Q98" t="inlineStr">
        <is>
          <t>InStock</t>
        </is>
      </c>
      <c r="R98" t="inlineStr">
        <is>
          <t>undefined</t>
        </is>
      </c>
      <c r="S98" t="inlineStr">
        <is>
          <t>6145542684857</t>
        </is>
      </c>
    </row>
    <row r="99" ht="75" customHeight="1">
      <c r="A99" s="2">
        <f>HYPERLINK("https://camerareadycosmetics.com/products/ardell-magnetic-liquid-liner", "https://camerareadycosmetics.com/products/ardell-magnetic-liquid-liner")</f>
        <v/>
      </c>
      <c r="B99" s="2">
        <f>HYPERLINK("https://camerareadycosmetics.com/products/ardell-magnetic-liquid-liner", "https://camerareadycosmetics.com/products/ardell-magnetic-liquid-liner")</f>
        <v/>
      </c>
      <c r="C99" t="inlineStr">
        <is>
          <t>Ardell Magnetic Liquid Liner</t>
        </is>
      </c>
      <c r="D99" t="inlineStr">
        <is>
          <t>Ardell Magnetic MegaHold Liquid Liner &amp; Lash 054, 1 pair</t>
        </is>
      </c>
      <c r="E99" s="2">
        <f>HYPERLINK("https://www.amazon.com/Ardell-Magnetic-MegaHold-Liquid-Liner/dp/B09CB4VP8H/ref=sr_1_4?keywords=Ardell+Magnetic+Liquid+Liner&amp;qid=1695565766&amp;sr=8-4", "https://www.amazon.com/Ardell-Magnetic-MegaHold-Liquid-Liner/dp/B09CB4VP8H/ref=sr_1_4?keywords=Ardell+Magnetic+Liquid+Liner&amp;qid=1695565766&amp;sr=8-4")</f>
        <v/>
      </c>
      <c r="F99" t="inlineStr">
        <is>
          <t>B09CB4VP8H</t>
        </is>
      </c>
      <c r="G99">
        <f>_xlfn.IMAGE("https://camerareadycosmetics.com/cdn/shop/products/ar_64924_magneticliquidliner_w_tube_open_027_50x.jpg?v=1607128321")</f>
        <v/>
      </c>
      <c r="H99">
        <f>_xlfn.IMAGE("https://m.media-amazon.com/images/I/81ZiYSwUilL._AC_UL320_.jpg")</f>
        <v/>
      </c>
      <c r="K99" t="inlineStr">
        <is>
          <t>10.0</t>
        </is>
      </c>
      <c r="L99" t="n">
        <v>6.49</v>
      </c>
      <c r="M99" s="1" t="inlineStr">
        <is>
          <t>-35.10%</t>
        </is>
      </c>
      <c r="N99" t="n">
        <v>3</v>
      </c>
      <c r="O99" t="n">
        <v>131</v>
      </c>
      <c r="Q99" t="inlineStr">
        <is>
          <t>InStock</t>
        </is>
      </c>
      <c r="R99" t="inlineStr">
        <is>
          <t>undefined</t>
        </is>
      </c>
      <c r="S99" t="inlineStr">
        <is>
          <t>6145542684857</t>
        </is>
      </c>
    </row>
    <row r="100" ht="75" customHeight="1">
      <c r="A100" s="2">
        <f>HYPERLINK("https://camerareadycosmetics.com/products/ardell-magnetic-liquid-liner", "https://camerareadycosmetics.com/products/ardell-magnetic-liquid-liner")</f>
        <v/>
      </c>
      <c r="B100" s="2">
        <f>HYPERLINK("https://camerareadycosmetics.com/products/ardell-magnetic-liquid-liner", "https://camerareadycosmetics.com/products/ardell-magnetic-liquid-liner")</f>
        <v/>
      </c>
      <c r="C100" t="inlineStr">
        <is>
          <t>Ardell Magnetic Liquid Liner</t>
        </is>
      </c>
      <c r="D100" t="inlineStr">
        <is>
          <t>Ardell Magnetic Fauxmink MegaHold Liquid Liner &amp; Lash 820</t>
        </is>
      </c>
      <c r="E100" s="2">
        <f>HYPERLINK("https://www.amazon.com/Magnetic-Fauxmink-MegaHold-Liquid-Liner/dp/B09C75M14B/ref=sr_1_5?keywords=Ardell+Magnetic+Liquid+Liner&amp;qid=1695565766&amp;sr=8-5", "https://www.amazon.com/Magnetic-Fauxmink-MegaHold-Liquid-Liner/dp/B09C75M14B/ref=sr_1_5?keywords=Ardell+Magnetic+Liquid+Liner&amp;qid=1695565766&amp;sr=8-5")</f>
        <v/>
      </c>
      <c r="F100" t="inlineStr">
        <is>
          <t>B09C75M14B</t>
        </is>
      </c>
      <c r="G100">
        <f>_xlfn.IMAGE("https://camerareadycosmetics.com/cdn/shop/products/ar_64924_magneticliquidliner_w_tube_open_027_50x.jpg?v=1607128321")</f>
        <v/>
      </c>
      <c r="H100">
        <f>_xlfn.IMAGE("https://m.media-amazon.com/images/I/61qRDPPn-uL._AC_UL320_.jpg")</f>
        <v/>
      </c>
      <c r="K100" t="inlineStr">
        <is>
          <t>10.0</t>
        </is>
      </c>
      <c r="L100" t="n">
        <v>5.75</v>
      </c>
      <c r="M100" s="1" t="inlineStr">
        <is>
          <t>-42.50%</t>
        </is>
      </c>
      <c r="N100" t="n">
        <v>3.1</v>
      </c>
      <c r="O100" t="n">
        <v>17</v>
      </c>
      <c r="Q100" t="inlineStr">
        <is>
          <t>InStock</t>
        </is>
      </c>
      <c r="R100" t="inlineStr">
        <is>
          <t>undefined</t>
        </is>
      </c>
      <c r="S100" t="inlineStr">
        <is>
          <t>6145542684857</t>
        </is>
      </c>
    </row>
    <row r="101" ht="75" customHeight="1">
      <c r="A101" s="2">
        <f>HYPERLINK("https://camerareadycosmetics.com/products/ardell-mega-flare-individuals-knot-free-long-black-65281", "https://camerareadycosmetics.com/products/ardell-mega-flare-individuals-knot-free-long-black-65281")</f>
        <v/>
      </c>
      <c r="B101" s="2">
        <f>HYPERLINK("https://camerareadycosmetics.com/products/ardell-mega-flare-individuals-knot-free-long-black-65281", "https://camerareadycosmetics.com/products/ardell-mega-flare-individuals-knot-free-long-black-65281")</f>
        <v/>
      </c>
      <c r="C101" t="inlineStr">
        <is>
          <t>Ardell Mega Flare Individuals Knot-Free Long Black (65281)</t>
        </is>
      </c>
      <c r="D101" t="inlineStr">
        <is>
          <t>(6 Pack) ARDELL Duralash Knot-Free Mega Flare Individual Black Lashes - Long</t>
        </is>
      </c>
      <c r="E101" s="2">
        <f>HYPERLINK("https://www.amazon.com/ARDELL-Duralash-Knot-Free-Individual-Lashes/dp/B01NCOTVJZ/ref=sr_1_4?keywords=Ardell+Mega+Flare+Individuals+Knot-Free+Long+Black+%2865281%29&amp;qid=1695565599&amp;sr=8-4", "https://www.amazon.com/ARDELL-Duralash-Knot-Free-Individual-Lashes/dp/B01NCOTVJZ/ref=sr_1_4?keywords=Ardell+Mega+Flare+Individuals+Knot-Free+Long+Black+%2865281%29&amp;qid=1695565599&amp;sr=8-4")</f>
        <v/>
      </c>
      <c r="F101" t="inlineStr">
        <is>
          <t>B01NCOTVJZ</t>
        </is>
      </c>
      <c r="G101">
        <f>_xlfn.IMAGE("https://camerareadycosmetics.com/cdn/shop/products/65281_50x.jpg?v=1691124612")</f>
        <v/>
      </c>
      <c r="H101">
        <f>_xlfn.IMAGE("https://m.media-amazon.com/images/I/51qliVhbJnL._AC_UL320_.jpg")</f>
        <v/>
      </c>
      <c r="K101" t="inlineStr">
        <is>
          <t>5.5</t>
        </is>
      </c>
      <c r="L101" t="n">
        <v>26.99</v>
      </c>
      <c r="M101" s="1" t="inlineStr">
        <is>
          <t>390.73%</t>
        </is>
      </c>
      <c r="N101" t="n">
        <v>4.1</v>
      </c>
      <c r="O101" t="n">
        <v>17</v>
      </c>
      <c r="Q101" t="inlineStr">
        <is>
          <t>OutOfStock</t>
        </is>
      </c>
      <c r="R101" t="inlineStr">
        <is>
          <t>undefined</t>
        </is>
      </c>
      <c r="S101" t="inlineStr">
        <is>
          <t>9525511946</t>
        </is>
      </c>
    </row>
    <row r="102" ht="75" customHeight="1">
      <c r="A102" s="2">
        <f>HYPERLINK("https://camerareadycosmetics.com/products/ardell-mega-flare-individuals-knot-free-long-black-65281", "https://camerareadycosmetics.com/products/ardell-mega-flare-individuals-knot-free-long-black-65281")</f>
        <v/>
      </c>
      <c r="B102" s="2">
        <f>HYPERLINK("https://camerareadycosmetics.com/products/ardell-mega-flare-individuals-knot-free-long-black-65281", "https://camerareadycosmetics.com/products/ardell-mega-flare-individuals-knot-free-long-black-65281")</f>
        <v/>
      </c>
      <c r="C102" t="inlineStr">
        <is>
          <t>Ardell Mega Flare Individuals Knot-Free Long Black (65281)</t>
        </is>
      </c>
      <c r="D102" t="inlineStr">
        <is>
          <t>(3 Pack) ARDELL Duralash Knot Free Mega Flare Individual Black Lashes Long</t>
        </is>
      </c>
      <c r="E102" s="2">
        <f>HYPERLINK("https://www.amazon.com/ARDELL-Duralash-Flare-Individual-Lashes/dp/B01N0TJ1DF/ref=sr_1_3?keywords=Ardell+Mega+Flare+Individuals+Knot-Free+Long+Black+%2865281%29&amp;qid=1695565599&amp;sr=8-3", "https://www.amazon.com/ARDELL-Duralash-Flare-Individual-Lashes/dp/B01N0TJ1DF/ref=sr_1_3?keywords=Ardell+Mega+Flare+Individuals+Knot-Free+Long+Black+%2865281%29&amp;qid=1695565599&amp;sr=8-3")</f>
        <v/>
      </c>
      <c r="F102" t="inlineStr">
        <is>
          <t>B01N0TJ1DF</t>
        </is>
      </c>
      <c r="G102">
        <f>_xlfn.IMAGE("https://camerareadycosmetics.com/cdn/shop/products/65281_50x.jpg?v=1691124612")</f>
        <v/>
      </c>
      <c r="H102">
        <f>_xlfn.IMAGE("https://m.media-amazon.com/images/I/51qliVhbJnL._AC_UL320_.jpg")</f>
        <v/>
      </c>
      <c r="K102" t="inlineStr">
        <is>
          <t>5.5</t>
        </is>
      </c>
      <c r="L102" t="n">
        <v>14.99</v>
      </c>
      <c r="M102" s="1" t="inlineStr">
        <is>
          <t>172.55%</t>
        </is>
      </c>
      <c r="N102" t="n">
        <v>4.2</v>
      </c>
      <c r="O102" t="n">
        <v>13</v>
      </c>
      <c r="Q102" t="inlineStr">
        <is>
          <t>OutOfStock</t>
        </is>
      </c>
      <c r="R102" t="inlineStr">
        <is>
          <t>undefined</t>
        </is>
      </c>
      <c r="S102" t="inlineStr">
        <is>
          <t>9525511946</t>
        </is>
      </c>
    </row>
    <row r="103" ht="75" customHeight="1">
      <c r="A103" s="2">
        <f>HYPERLINK("https://camerareadycosmetics.com/products/ardell-mega-flare-individuals-knot-free-long-black-65281", "https://camerareadycosmetics.com/products/ardell-mega-flare-individuals-knot-free-long-black-65281")</f>
        <v/>
      </c>
      <c r="B103" s="2">
        <f>HYPERLINK("https://camerareadycosmetics.com/products/ardell-mega-flare-individuals-knot-free-long-black-65281", "https://camerareadycosmetics.com/products/ardell-mega-flare-individuals-knot-free-long-black-65281")</f>
        <v/>
      </c>
      <c r="C103" t="inlineStr">
        <is>
          <t>Ardell Mega Flare Individuals Knot-Free Long Black (65281)</t>
        </is>
      </c>
      <c r="D103" t="inlineStr">
        <is>
          <t>Ardell False Eyelashes Mega Individuals Knot-Free Long Black 4 Pack</t>
        </is>
      </c>
      <c r="E103" s="2">
        <f>HYPERLINK("https://www.amazon.com/Ardell-False-Eyelashes-Individuals-Knot-Free/dp/B07RQWDM4C/ref=sr_1_1?keywords=Ardell+Mega+Flare+Individuals+Knot-Free+Long+Black+%2865281%29&amp;qid=1695565599&amp;sr=8-1", "https://www.amazon.com/Ardell-False-Eyelashes-Individuals-Knot-Free/dp/B07RQWDM4C/ref=sr_1_1?keywords=Ardell+Mega+Flare+Individuals+Knot-Free+Long+Black+%2865281%29&amp;qid=1695565599&amp;sr=8-1")</f>
        <v/>
      </c>
      <c r="F103" t="inlineStr">
        <is>
          <t>B07RQWDM4C</t>
        </is>
      </c>
      <c r="G103">
        <f>_xlfn.IMAGE("https://camerareadycosmetics.com/cdn/shop/products/65281_50x.jpg?v=1691124612")</f>
        <v/>
      </c>
      <c r="H103">
        <f>_xlfn.IMAGE("https://m.media-amazon.com/images/I/71BFKgtFJsL._AC_UL320_.jpg")</f>
        <v/>
      </c>
      <c r="K103" t="inlineStr">
        <is>
          <t>5.5</t>
        </is>
      </c>
      <c r="L103" t="n">
        <v>14.26</v>
      </c>
      <c r="M103" s="1" t="inlineStr">
        <is>
          <t>159.27%</t>
        </is>
      </c>
      <c r="N103" t="n">
        <v>4.4</v>
      </c>
      <c r="O103" t="n">
        <v>106</v>
      </c>
      <c r="Q103" t="inlineStr">
        <is>
          <t>OutOfStock</t>
        </is>
      </c>
      <c r="R103" t="inlineStr">
        <is>
          <t>undefined</t>
        </is>
      </c>
      <c r="S103" t="inlineStr">
        <is>
          <t>9525511946</t>
        </is>
      </c>
    </row>
    <row r="104" ht="75" customHeight="1">
      <c r="A104" s="2">
        <f>HYPERLINK("https://camerareadycosmetics.com/products/ardell-mega-flare-individuals-knot-free-long-black-65281", "https://camerareadycosmetics.com/products/ardell-mega-flare-individuals-knot-free-long-black-65281")</f>
        <v/>
      </c>
      <c r="B104" s="2">
        <f>HYPERLINK("https://camerareadycosmetics.com/products/ardell-mega-flare-individuals-knot-free-long-black-65281", "https://camerareadycosmetics.com/products/ardell-mega-flare-individuals-knot-free-long-black-65281")</f>
        <v/>
      </c>
      <c r="C104" t="inlineStr">
        <is>
          <t>Ardell Mega Flare Individuals Knot-Free Long Black (65281)</t>
        </is>
      </c>
      <c r="D104" t="inlineStr">
        <is>
          <t>Ardell Mega Flare - Knot-Free - Long Black</t>
        </is>
      </c>
      <c r="E104" s="2">
        <f>HYPERLINK("https://www.amazon.com/Ardell-Mega-Flare-Knot-Free-Black/dp/B01LX3S4ZA/ref=sr_1_2?keywords=Ardell+Mega+Flare+Individuals+Knot-Free+Long+Black+%2865281%29&amp;qid=1695565599&amp;sr=8-2", "https://www.amazon.com/Ardell-Mega-Flare-Knot-Free-Black/dp/B01LX3S4ZA/ref=sr_1_2?keywords=Ardell+Mega+Flare+Individuals+Knot-Free+Long+Black+%2865281%29&amp;qid=1695565599&amp;sr=8-2")</f>
        <v/>
      </c>
      <c r="F104" t="inlineStr">
        <is>
          <t>B01LX3S4ZA</t>
        </is>
      </c>
      <c r="G104">
        <f>_xlfn.IMAGE("https://camerareadycosmetics.com/cdn/shop/products/65281_50x.jpg?v=1691124612")</f>
        <v/>
      </c>
      <c r="H104">
        <f>_xlfn.IMAGE("https://m.media-amazon.com/images/I/91WPUm9hE3L._AC_UL320_.jpg")</f>
        <v/>
      </c>
      <c r="K104" t="inlineStr">
        <is>
          <t>5.5</t>
        </is>
      </c>
      <c r="L104" t="n">
        <v>6.95</v>
      </c>
      <c r="M104" s="1" t="inlineStr">
        <is>
          <t>26.36%</t>
        </is>
      </c>
      <c r="N104" t="n">
        <v>4.4</v>
      </c>
      <c r="O104" t="n">
        <v>168</v>
      </c>
      <c r="Q104" t="inlineStr">
        <is>
          <t>OutOfStock</t>
        </is>
      </c>
      <c r="R104" t="inlineStr">
        <is>
          <t>undefined</t>
        </is>
      </c>
      <c r="S104" t="inlineStr">
        <is>
          <t>9525511946</t>
        </is>
      </c>
    </row>
    <row r="105" ht="75" customHeight="1">
      <c r="A105" s="2">
        <f>HYPERLINK("https://camerareadycosmetics.com/products/ardell-mega-flare-individuals-knot-free-medium-black-65280", "https://camerareadycosmetics.com/products/ardell-mega-flare-individuals-knot-free-medium-black-65280")</f>
        <v/>
      </c>
      <c r="B105" s="2">
        <f>HYPERLINK("https://camerareadycosmetics.com/products/ardell-mega-flare-individuals-knot-free-medium-black-65280", "https://camerareadycosmetics.com/products/ardell-mega-flare-individuals-knot-free-medium-black-65280")</f>
        <v/>
      </c>
      <c r="C105" t="inlineStr">
        <is>
          <t>Ardell Mega Flare Individuals Knot-Free Medium Black (65280)</t>
        </is>
      </c>
      <c r="D105" t="inlineStr">
        <is>
          <t>(6 Pack) ARDELL Duralash Knot-Free Mega Flare Individual Black Lashes - Medium</t>
        </is>
      </c>
      <c r="E105" s="2">
        <f>HYPERLINK("https://www.amazon.com/ARDELL-Duralash-Knot-Free-Individual-Lashes/dp/B01N0TJ6IN/ref=sr_1_6?keywords=Ardell+Mega+Flare+Individuals+Knot-Free+Medium+Black+%2865280%29&amp;qid=1695565567&amp;sr=8-6", "https://www.amazon.com/ARDELL-Duralash-Knot-Free-Individual-Lashes/dp/B01N0TJ6IN/ref=sr_1_6?keywords=Ardell+Mega+Flare+Individuals+Knot-Free+Medium+Black+%2865280%29&amp;qid=1695565567&amp;sr=8-6")</f>
        <v/>
      </c>
      <c r="F105" t="inlineStr">
        <is>
          <t>B01N0TJ6IN</t>
        </is>
      </c>
      <c r="G105">
        <f>_xlfn.IMAGE("https://camerareadycosmetics.com/cdn/shop/products/65280_50x.jpg?v=1691124608")</f>
        <v/>
      </c>
      <c r="H105">
        <f>_xlfn.IMAGE("https://m.media-amazon.com/images/I/51UJL4kO--L._AC_UL320_.jpg")</f>
        <v/>
      </c>
      <c r="K105" t="inlineStr">
        <is>
          <t>5.5</t>
        </is>
      </c>
      <c r="L105" t="n">
        <v>26.99</v>
      </c>
      <c r="M105" s="1" t="inlineStr">
        <is>
          <t>390.73%</t>
        </is>
      </c>
      <c r="N105" t="n">
        <v>5</v>
      </c>
      <c r="O105" t="n">
        <v>13</v>
      </c>
      <c r="Q105" t="inlineStr">
        <is>
          <t>InStock</t>
        </is>
      </c>
      <c r="R105" t="inlineStr">
        <is>
          <t>undefined</t>
        </is>
      </c>
      <c r="S105" t="inlineStr">
        <is>
          <t>9525502346</t>
        </is>
      </c>
    </row>
    <row r="106" ht="75" customHeight="1">
      <c r="A106" s="2">
        <f>HYPERLINK("https://camerareadycosmetics.com/products/ardell-mega-flare-individuals-knot-free-medium-black-65280", "https://camerareadycosmetics.com/products/ardell-mega-flare-individuals-knot-free-medium-black-65280")</f>
        <v/>
      </c>
      <c r="B106" s="2">
        <f>HYPERLINK("https://camerareadycosmetics.com/products/ardell-mega-flare-individuals-knot-free-medium-black-65280", "https://camerareadycosmetics.com/products/ardell-mega-flare-individuals-knot-free-medium-black-65280")</f>
        <v/>
      </c>
      <c r="C106" t="inlineStr">
        <is>
          <t>Ardell Mega Flare Individuals Knot-Free Medium Black (65280)</t>
        </is>
      </c>
      <c r="D106" t="inlineStr">
        <is>
          <t>(3 Pack) ARDELL Duralash Knot-Free Mega Flare Individual Black Lashes - Medium</t>
        </is>
      </c>
      <c r="E106" s="2">
        <f>HYPERLINK("https://www.amazon.com/ARDELL-Duralash-Knot-Free-Individual-Lashes/dp/B01N2WLE3M/ref=sr_1_4?keywords=Ardell+Mega+Flare+Individuals+Knot-Free+Medium+Black+%2865280%29&amp;qid=1695565567&amp;sr=8-4", "https://www.amazon.com/ARDELL-Duralash-Knot-Free-Individual-Lashes/dp/B01N2WLE3M/ref=sr_1_4?keywords=Ardell+Mega+Flare+Individuals+Knot-Free+Medium+Black+%2865280%29&amp;qid=1695565567&amp;sr=8-4")</f>
        <v/>
      </c>
      <c r="F106" t="inlineStr">
        <is>
          <t>B01N2WLE3M</t>
        </is>
      </c>
      <c r="G106">
        <f>_xlfn.IMAGE("https://camerareadycosmetics.com/cdn/shop/products/65280_50x.jpg?v=1691124608")</f>
        <v/>
      </c>
      <c r="H106">
        <f>_xlfn.IMAGE("https://m.media-amazon.com/images/I/51UJL4kO--L._AC_UL320_.jpg")</f>
        <v/>
      </c>
      <c r="K106" t="inlineStr">
        <is>
          <t>5.5</t>
        </is>
      </c>
      <c r="L106" t="n">
        <v>13.5</v>
      </c>
      <c r="M106" s="1" t="inlineStr">
        <is>
          <t>145.45%</t>
        </is>
      </c>
      <c r="N106" t="n">
        <v>3.7</v>
      </c>
      <c r="O106" t="n">
        <v>10</v>
      </c>
      <c r="Q106" t="inlineStr">
        <is>
          <t>InStock</t>
        </is>
      </c>
      <c r="R106" t="inlineStr">
        <is>
          <t>undefined</t>
        </is>
      </c>
      <c r="S106" t="inlineStr">
        <is>
          <t>9525502346</t>
        </is>
      </c>
    </row>
    <row r="107" ht="75" customHeight="1">
      <c r="A107" s="2">
        <f>HYPERLINK("https://camerareadycosmetics.com/products/ardell-mega-flare-individuals-knot-free-medium-black-65280", "https://camerareadycosmetics.com/products/ardell-mega-flare-individuals-knot-free-medium-black-65280")</f>
        <v/>
      </c>
      <c r="B107" s="2">
        <f>HYPERLINK("https://camerareadycosmetics.com/products/ardell-mega-flare-individuals-knot-free-medium-black-65280", "https://camerareadycosmetics.com/products/ardell-mega-flare-individuals-knot-free-medium-black-65280")</f>
        <v/>
      </c>
      <c r="C107" t="inlineStr">
        <is>
          <t>Ardell Mega Flare Individuals Knot-Free Medium Black (65280)</t>
        </is>
      </c>
      <c r="D107" t="inlineStr">
        <is>
          <t>Ardell Mega Flare - Knot-Free - Medium Black</t>
        </is>
      </c>
      <c r="E107" s="2">
        <f>HYPERLINK("https://www.amazon.com/Ardell-Mega-Flare-Knot-Free-Medium/dp/B01LOV34TC/ref=sr_1_1?keywords=Ardell+Mega+Flare+Individuals+Knot-Free+Medium+Black+%2865280%29&amp;qid=1695565567&amp;sr=8-1", "https://www.amazon.com/Ardell-Mega-Flare-Knot-Free-Medium/dp/B01LOV34TC/ref=sr_1_1?keywords=Ardell+Mega+Flare+Individuals+Knot-Free+Medium+Black+%2865280%29&amp;qid=1695565567&amp;sr=8-1")</f>
        <v/>
      </c>
      <c r="F107" t="inlineStr">
        <is>
          <t>B01LOV34TC</t>
        </is>
      </c>
      <c r="G107">
        <f>_xlfn.IMAGE("https://camerareadycosmetics.com/cdn/shop/products/65280_50x.jpg?v=1691124608")</f>
        <v/>
      </c>
      <c r="H107">
        <f>_xlfn.IMAGE("https://m.media-amazon.com/images/I/812I5Hta3hL._AC_UL320_.jpg")</f>
        <v/>
      </c>
      <c r="K107" t="inlineStr">
        <is>
          <t>5.5</t>
        </is>
      </c>
      <c r="L107" t="n">
        <v>3.15</v>
      </c>
      <c r="M107" s="1" t="inlineStr">
        <is>
          <t>-42.73%</t>
        </is>
      </c>
      <c r="N107" t="n">
        <v>4.3</v>
      </c>
      <c r="O107" t="n">
        <v>68</v>
      </c>
      <c r="Q107" t="inlineStr">
        <is>
          <t>InStock</t>
        </is>
      </c>
      <c r="R107" t="inlineStr">
        <is>
          <t>undefined</t>
        </is>
      </c>
      <c r="S107" t="inlineStr">
        <is>
          <t>9525502346</t>
        </is>
      </c>
    </row>
    <row r="108" ht="75" customHeight="1">
      <c r="A108" s="2">
        <f>HYPERLINK("https://camerareadycosmetics.com/products/ardell-mega-flare-individuals-knot-free-short-black-65279", "https://camerareadycosmetics.com/products/ardell-mega-flare-individuals-knot-free-short-black-65279")</f>
        <v/>
      </c>
      <c r="B108" s="2">
        <f>HYPERLINK("https://camerareadycosmetics.com/products/ardell-mega-flare-individuals-knot-free-short-black-65279", "https://camerareadycosmetics.com/products/ardell-mega-flare-individuals-knot-free-short-black-65279")</f>
        <v/>
      </c>
      <c r="C108" t="inlineStr">
        <is>
          <t>Ardell Mega Flare Individuals Knot-Free Short Black (65279)</t>
        </is>
      </c>
      <c r="D108" t="inlineStr">
        <is>
          <t>(6 Pack) ARDELL Duralash Knot Free Mega Flare Individual Black Lashes Short</t>
        </is>
      </c>
      <c r="E108" s="2">
        <f>HYPERLINK("https://www.amazon.com/ARDELL-Duralash-Flare-Individual-Lashes/dp/B01MZ2G78K/ref=sr_1_3?keywords=Ardell+Mega+Flare+Individuals+Knot-Free+Short+Black+%2865279%29&amp;qid=1695565582&amp;sr=8-3", "https://www.amazon.com/ARDELL-Duralash-Flare-Individual-Lashes/dp/B01MZ2G78K/ref=sr_1_3?keywords=Ardell+Mega+Flare+Individuals+Knot-Free+Short+Black+%2865279%29&amp;qid=1695565582&amp;sr=8-3")</f>
        <v/>
      </c>
      <c r="F108" t="inlineStr">
        <is>
          <t>B01MZ2G78K</t>
        </is>
      </c>
      <c r="G108">
        <f>_xlfn.IMAGE("https://camerareadycosmetics.com/cdn/shop/products/65279_50x.jpg?v=1691124656")</f>
        <v/>
      </c>
      <c r="H108">
        <f>_xlfn.IMAGE("https://m.media-amazon.com/images/I/512tm-G+CqL._AC_UL320_.jpg")</f>
        <v/>
      </c>
      <c r="K108" t="inlineStr">
        <is>
          <t>5.5</t>
        </is>
      </c>
      <c r="L108" t="n">
        <v>19.99</v>
      </c>
      <c r="M108" s="1" t="inlineStr">
        <is>
          <t>263.45%</t>
        </is>
      </c>
      <c r="N108" t="n">
        <v>4.3</v>
      </c>
      <c r="O108" t="n">
        <v>4</v>
      </c>
      <c r="Q108" t="inlineStr">
        <is>
          <t>InStock</t>
        </is>
      </c>
      <c r="R108" t="inlineStr">
        <is>
          <t>undefined</t>
        </is>
      </c>
      <c r="S108" t="inlineStr">
        <is>
          <t>9558583882</t>
        </is>
      </c>
    </row>
    <row r="109" ht="75" customHeight="1">
      <c r="A109" s="2">
        <f>HYPERLINK("https://camerareadycosmetics.com/products/ardell-mega-flare-individuals-knot-free-short-black-65279", "https://camerareadycosmetics.com/products/ardell-mega-flare-individuals-knot-free-short-black-65279")</f>
        <v/>
      </c>
      <c r="B109" s="2">
        <f>HYPERLINK("https://camerareadycosmetics.com/products/ardell-mega-flare-individuals-knot-free-short-black-65279", "https://camerareadycosmetics.com/products/ardell-mega-flare-individuals-knot-free-short-black-65279")</f>
        <v/>
      </c>
      <c r="C109" t="inlineStr">
        <is>
          <t>Ardell Mega Flare Individuals Knot-Free Short Black (65279)</t>
        </is>
      </c>
      <c r="D109" t="inlineStr">
        <is>
          <t>(3 Pack) ARDELL Duralash Knot Free Mega Flare Individual Black Lashes Short</t>
        </is>
      </c>
      <c r="E109" s="2">
        <f>HYPERLINK("https://www.amazon.com/ARDELL-Duralash-Flare-Individual-Lashes/dp/B01MY0WT7O/ref=sr_1_4?keywords=Ardell+Mega+Flare+Individuals+Knot-Free+Short+Black+%2865279%29&amp;qid=1695565582&amp;sr=8-4", "https://www.amazon.com/ARDELL-Duralash-Flare-Individual-Lashes/dp/B01MY0WT7O/ref=sr_1_4?keywords=Ardell+Mega+Flare+Individuals+Knot-Free+Short+Black+%2865279%29&amp;qid=1695565582&amp;sr=8-4")</f>
        <v/>
      </c>
      <c r="F109" t="inlineStr">
        <is>
          <t>B01MY0WT7O</t>
        </is>
      </c>
      <c r="G109">
        <f>_xlfn.IMAGE("https://camerareadycosmetics.com/cdn/shop/products/65279_50x.jpg?v=1691124656")</f>
        <v/>
      </c>
      <c r="H109">
        <f>_xlfn.IMAGE("https://m.media-amazon.com/images/I/512tm-G+CqL._AC_UL320_.jpg")</f>
        <v/>
      </c>
      <c r="K109" t="inlineStr">
        <is>
          <t>5.5</t>
        </is>
      </c>
      <c r="L109" t="n">
        <v>13.5</v>
      </c>
      <c r="M109" s="1" t="inlineStr">
        <is>
          <t>145.45%</t>
        </is>
      </c>
      <c r="N109" t="n">
        <v>3.9</v>
      </c>
      <c r="O109" t="n">
        <v>3</v>
      </c>
      <c r="Q109" t="inlineStr">
        <is>
          <t>InStock</t>
        </is>
      </c>
      <c r="R109" t="inlineStr">
        <is>
          <t>undefined</t>
        </is>
      </c>
      <c r="S109" t="inlineStr">
        <is>
          <t>9558583882</t>
        </is>
      </c>
    </row>
    <row r="110" ht="75" customHeight="1">
      <c r="A110" s="2">
        <f>HYPERLINK("https://camerareadycosmetics.com/products/ardell-mega-flare-individuals-knot-free-short-black-65279", "https://camerareadycosmetics.com/products/ardell-mega-flare-individuals-knot-free-short-black-65279")</f>
        <v/>
      </c>
      <c r="B110" s="2">
        <f>HYPERLINK("https://camerareadycosmetics.com/products/ardell-mega-flare-individuals-knot-free-short-black-65279", "https://camerareadycosmetics.com/products/ardell-mega-flare-individuals-knot-free-short-black-65279")</f>
        <v/>
      </c>
      <c r="C110" t="inlineStr">
        <is>
          <t>Ardell Mega Flare Individuals Knot-Free Short Black (65279)</t>
        </is>
      </c>
      <c r="D110" t="inlineStr">
        <is>
          <t>Ardell False Eyelashes Mega Individuals Knot-Free Short Black 4 Pack</t>
        </is>
      </c>
      <c r="E110" s="2">
        <f>HYPERLINK("https://www.amazon.com/Ardell-False-Eyelashes-Individuals-Knot-Free/dp/B07RV5P46V/ref=sr_1_1?keywords=Ardell+Mega+Flare+Individuals+Knot-Free+Short+Black+%2865279%29&amp;qid=1695565582&amp;sr=8-1", "https://www.amazon.com/Ardell-False-Eyelashes-Individuals-Knot-Free/dp/B07RV5P46V/ref=sr_1_1?keywords=Ardell+Mega+Flare+Individuals+Knot-Free+Short+Black+%2865279%29&amp;qid=1695565582&amp;sr=8-1")</f>
        <v/>
      </c>
      <c r="F110" t="inlineStr">
        <is>
          <t>B07RV5P46V</t>
        </is>
      </c>
      <c r="G110">
        <f>_xlfn.IMAGE("https://camerareadycosmetics.com/cdn/shop/products/65279_50x.jpg?v=1691124656")</f>
        <v/>
      </c>
      <c r="H110">
        <f>_xlfn.IMAGE("https://m.media-amazon.com/images/I/71+zluA-0EL._AC_UL320_.jpg")</f>
        <v/>
      </c>
      <c r="K110" t="inlineStr">
        <is>
          <t>5.5</t>
        </is>
      </c>
      <c r="L110" t="n">
        <v>9.789999999999999</v>
      </c>
      <c r="M110" s="1" t="inlineStr">
        <is>
          <t>78.00%</t>
        </is>
      </c>
      <c r="N110" t="n">
        <v>4.4</v>
      </c>
      <c r="O110" t="n">
        <v>106</v>
      </c>
      <c r="Q110" t="inlineStr">
        <is>
          <t>InStock</t>
        </is>
      </c>
      <c r="R110" t="inlineStr">
        <is>
          <t>undefined</t>
        </is>
      </c>
      <c r="S110" t="inlineStr">
        <is>
          <t>9558583882</t>
        </is>
      </c>
    </row>
    <row r="111" ht="75" customHeight="1">
      <c r="A111" s="2">
        <f>HYPERLINK("https://camerareadycosmetics.com/products/ardell-mega-flare-individuals-knot-free-short-black-65279", "https://camerareadycosmetics.com/products/ardell-mega-flare-individuals-knot-free-short-black-65279")</f>
        <v/>
      </c>
      <c r="B111" s="2">
        <f>HYPERLINK("https://camerareadycosmetics.com/products/ardell-mega-flare-individuals-knot-free-short-black-65279", "https://camerareadycosmetics.com/products/ardell-mega-flare-individuals-knot-free-short-black-65279")</f>
        <v/>
      </c>
      <c r="C111" t="inlineStr">
        <is>
          <t>Ardell Mega Flare Individuals Knot-Free Short Black (65279)</t>
        </is>
      </c>
      <c r="D111" t="inlineStr">
        <is>
          <t>Ardell Double Individuals Knot Free Double Flares Black Short (2 Pack)</t>
        </is>
      </c>
      <c r="E111" s="2">
        <f>HYPERLINK("https://www.amazon.com/Ardell-Double-Individuals-Flares-Black/dp/B00NVQCOAY/ref=sr_1_7?keywords=Ardell+Mega+Flare+Individuals+Knot-Free+Short+Black+%2865279%29&amp;qid=1695565582&amp;sr=8-7", "https://www.amazon.com/Ardell-Double-Individuals-Flares-Black/dp/B00NVQCOAY/ref=sr_1_7?keywords=Ardell+Mega+Flare+Individuals+Knot-Free+Short+Black+%2865279%29&amp;qid=1695565582&amp;sr=8-7")</f>
        <v/>
      </c>
      <c r="F111" t="inlineStr">
        <is>
          <t>B00NVQCOAY</t>
        </is>
      </c>
      <c r="G111">
        <f>_xlfn.IMAGE("https://camerareadycosmetics.com/cdn/shop/products/65279_50x.jpg?v=1691124656")</f>
        <v/>
      </c>
      <c r="H111">
        <f>_xlfn.IMAGE("https://m.media-amazon.com/images/I/81bcJ20u3bL._AC_UL320_.jpg")</f>
        <v/>
      </c>
      <c r="K111" t="inlineStr">
        <is>
          <t>5.5</t>
        </is>
      </c>
      <c r="L111" t="n">
        <v>9.44</v>
      </c>
      <c r="M111" s="1" t="inlineStr">
        <is>
          <t>71.64%</t>
        </is>
      </c>
      <c r="N111" t="n">
        <v>4.1</v>
      </c>
      <c r="O111" t="n">
        <v>54</v>
      </c>
      <c r="Q111" t="inlineStr">
        <is>
          <t>InStock</t>
        </is>
      </c>
      <c r="R111" t="inlineStr">
        <is>
          <t>undefined</t>
        </is>
      </c>
      <c r="S111" t="inlineStr">
        <is>
          <t>9558583882</t>
        </is>
      </c>
    </row>
    <row r="112" ht="75" customHeight="1">
      <c r="A112" s="2">
        <f>HYPERLINK("https://camerareadycosmetics.com/products/ardell-mega-flare-individuals-knot-free-short-black-65279", "https://camerareadycosmetics.com/products/ardell-mega-flare-individuals-knot-free-short-black-65279")</f>
        <v/>
      </c>
      <c r="B112" s="2">
        <f>HYPERLINK("https://camerareadycosmetics.com/products/ardell-mega-flare-individuals-knot-free-short-black-65279", "https://camerareadycosmetics.com/products/ardell-mega-flare-individuals-knot-free-short-black-65279")</f>
        <v/>
      </c>
      <c r="C112" t="inlineStr">
        <is>
          <t>Ardell Mega Flare Individuals Knot-Free Short Black (65279)</t>
        </is>
      </c>
      <c r="D112" t="inlineStr">
        <is>
          <t>Ardell Mega Flare - Knot-Free - Short Black</t>
        </is>
      </c>
      <c r="E112" s="2">
        <f>HYPERLINK("https://www.amazon.com/Ardell-Mega-Flare-Knot-Free-Short/dp/B01N4BINHA/ref=sr_1_2?keywords=Ardell+Mega+Flare+Individuals+Knot-Free+Short+Black+%2865279%29&amp;qid=1695565582&amp;sr=8-2", "https://www.amazon.com/Ardell-Mega-Flare-Knot-Free-Short/dp/B01N4BINHA/ref=sr_1_2?keywords=Ardell+Mega+Flare+Individuals+Knot-Free+Short+Black+%2865279%29&amp;qid=1695565582&amp;sr=8-2")</f>
        <v/>
      </c>
      <c r="F112" t="inlineStr">
        <is>
          <t>B01N4BINHA</t>
        </is>
      </c>
      <c r="G112">
        <f>_xlfn.IMAGE("https://camerareadycosmetics.com/cdn/shop/products/65279_50x.jpg?v=1691124656")</f>
        <v/>
      </c>
      <c r="H112">
        <f>_xlfn.IMAGE("https://m.media-amazon.com/images/I/81Gf+6DwAWL._AC_UL320_.jpg")</f>
        <v/>
      </c>
      <c r="K112" t="inlineStr">
        <is>
          <t>5.5</t>
        </is>
      </c>
      <c r="L112" t="n">
        <v>6.19</v>
      </c>
      <c r="M112" s="1" t="inlineStr">
        <is>
          <t>12.55%</t>
        </is>
      </c>
      <c r="N112" t="n">
        <v>3.9</v>
      </c>
      <c r="O112" t="n">
        <v>51</v>
      </c>
      <c r="Q112" t="inlineStr">
        <is>
          <t>InStock</t>
        </is>
      </c>
      <c r="R112" t="inlineStr">
        <is>
          <t>undefined</t>
        </is>
      </c>
      <c r="S112" t="inlineStr">
        <is>
          <t>9558583882</t>
        </is>
      </c>
    </row>
    <row r="113" ht="75" customHeight="1">
      <c r="A113" s="2">
        <f>HYPERLINK("https://camerareadycosmetics.com/products/ardell-mini-knot-free-natural-individuals-65282", "https://camerareadycosmetics.com/products/ardell-mini-knot-free-natural-individuals-65282")</f>
        <v/>
      </c>
      <c r="B113" s="2">
        <f>HYPERLINK("https://camerareadycosmetics.com/products/ardell-mini-knot-free-natural-individuals-65282", "https://camerareadycosmetics.com/products/ardell-mini-knot-free-natural-individuals-65282")</f>
        <v/>
      </c>
      <c r="C113" t="inlineStr">
        <is>
          <t>Ardell Mini Knot-Free Natural Individuals (65282)</t>
        </is>
      </c>
      <c r="D113" t="inlineStr">
        <is>
          <t>(6 Pack) ARDELL Duralash Knot Free Naturals Individual Black Lashes Mini</t>
        </is>
      </c>
      <c r="E113" s="2">
        <f>HYPERLINK("https://www.amazon.com/ARDELL-Duralash-Naturals-Individual-Lashes/dp/B01N9KAQIM/ref=sr_1_3?keywords=Ardell+Mini+Knot-Free+Natural+Individuals+%2865282%29&amp;qid=1695565591&amp;sr=8-3", "https://www.amazon.com/ARDELL-Duralash-Naturals-Individual-Lashes/dp/B01N9KAQIM/ref=sr_1_3?keywords=Ardell+Mini+Knot-Free+Natural+Individuals+%2865282%29&amp;qid=1695565591&amp;sr=8-3")</f>
        <v/>
      </c>
      <c r="F113" t="inlineStr">
        <is>
          <t>B01N9KAQIM</t>
        </is>
      </c>
      <c r="G113">
        <f>_xlfn.IMAGE("https://camerareadycosmetics.com/cdn/shop/products/65282_50x.jpg?v=1691124616")</f>
        <v/>
      </c>
      <c r="H113">
        <f>_xlfn.IMAGE("https://m.media-amazon.com/images/I/71B1BLw5hEL._AC_UL320_.jpg")</f>
        <v/>
      </c>
      <c r="K113" t="inlineStr">
        <is>
          <t>5.0</t>
        </is>
      </c>
      <c r="L113" t="n">
        <v>18.29</v>
      </c>
      <c r="M113" s="1" t="inlineStr">
        <is>
          <t>265.80%</t>
        </is>
      </c>
      <c r="N113" t="n">
        <v>3.7</v>
      </c>
      <c r="O113" t="n">
        <v>4</v>
      </c>
      <c r="Q113" t="inlineStr">
        <is>
          <t>InStock</t>
        </is>
      </c>
      <c r="R113" t="inlineStr">
        <is>
          <t>undefined</t>
        </is>
      </c>
      <c r="S113" t="inlineStr">
        <is>
          <t>9525517770</t>
        </is>
      </c>
    </row>
    <row r="114" ht="75" customHeight="1">
      <c r="A114" s="2">
        <f>HYPERLINK("https://camerareadycosmetics.com/products/ardell-mini-knot-free-natural-individuals-65282", "https://camerareadycosmetics.com/products/ardell-mini-knot-free-natural-individuals-65282")</f>
        <v/>
      </c>
      <c r="B114" s="2">
        <f>HYPERLINK("https://camerareadycosmetics.com/products/ardell-mini-knot-free-natural-individuals-65282", "https://camerareadycosmetics.com/products/ardell-mini-knot-free-natural-individuals-65282")</f>
        <v/>
      </c>
      <c r="C114" t="inlineStr">
        <is>
          <t>Ardell Mini Knot-Free Natural Individuals (65282)</t>
        </is>
      </c>
      <c r="D114" t="inlineStr">
        <is>
          <t>(3 Pack) ARDELL Duralash Knot-Free Naturals Individual Black Lashes - Mini</t>
        </is>
      </c>
      <c r="E114" s="2">
        <f>HYPERLINK("https://www.amazon.com/ARDELL-Duralash-Knot-Free-Naturals-Individual/dp/B01N5I3GKN/ref=sr_1_2?keywords=Ardell+Mini+Knot-Free+Natural+Individuals+%2865282%29&amp;qid=1695565591&amp;sr=8-2", "https://www.amazon.com/ARDELL-Duralash-Knot-Free-Naturals-Individual/dp/B01N5I3GKN/ref=sr_1_2?keywords=Ardell+Mini+Knot-Free+Natural+Individuals+%2865282%29&amp;qid=1695565591&amp;sr=8-2")</f>
        <v/>
      </c>
      <c r="F114" t="inlineStr">
        <is>
          <t>B01N5I3GKN</t>
        </is>
      </c>
      <c r="G114">
        <f>_xlfn.IMAGE("https://camerareadycosmetics.com/cdn/shop/products/65282_50x.jpg?v=1691124616")</f>
        <v/>
      </c>
      <c r="H114">
        <f>_xlfn.IMAGE("https://m.media-amazon.com/images/I/513fsDSkAQL._AC_UL320_.jpg")</f>
        <v/>
      </c>
      <c r="K114" t="inlineStr">
        <is>
          <t>5.0</t>
        </is>
      </c>
      <c r="L114" t="n">
        <v>11.99</v>
      </c>
      <c r="M114" s="1" t="inlineStr">
        <is>
          <t>139.80%</t>
        </is>
      </c>
      <c r="N114" t="n">
        <v>3.8</v>
      </c>
      <c r="O114" t="n">
        <v>9</v>
      </c>
      <c r="Q114" t="inlineStr">
        <is>
          <t>InStock</t>
        </is>
      </c>
      <c r="R114" t="inlineStr">
        <is>
          <t>undefined</t>
        </is>
      </c>
      <c r="S114" t="inlineStr">
        <is>
          <t>9525517770</t>
        </is>
      </c>
    </row>
    <row r="115" ht="75" customHeight="1">
      <c r="A115" s="2">
        <f>HYPERLINK("https://camerareadycosmetics.com/products/ardell-mini-knot-free-natural-individuals-65282", "https://camerareadycosmetics.com/products/ardell-mini-knot-free-natural-individuals-65282")</f>
        <v/>
      </c>
      <c r="B115" s="2">
        <f>HYPERLINK("https://camerareadycosmetics.com/products/ardell-mini-knot-free-natural-individuals-65282", "https://camerareadycosmetics.com/products/ardell-mini-knot-free-natural-individuals-65282")</f>
        <v/>
      </c>
      <c r="C115" t="inlineStr">
        <is>
          <t>Ardell Mini Knot-Free Natural Individuals (65282)</t>
        </is>
      </c>
      <c r="D115" t="inlineStr">
        <is>
          <t>Ardell Mini Knot-Free Natural Individuals Black</t>
        </is>
      </c>
      <c r="E115" s="2">
        <f>HYPERLINK("https://www.amazon.com/Ardell-Knot-Free-Natural-Individuals-Black/dp/B01M0D11ED/ref=sr_1_1?keywords=Ardell+Mini+Knot-Free+Natural+Individuals+%2865282%29&amp;qid=1695565591&amp;sr=8-1", "https://www.amazon.com/Ardell-Knot-Free-Natural-Individuals-Black/dp/B01M0D11ED/ref=sr_1_1?keywords=Ardell+Mini+Knot-Free+Natural+Individuals+%2865282%29&amp;qid=1695565591&amp;sr=8-1")</f>
        <v/>
      </c>
      <c r="F115" t="inlineStr">
        <is>
          <t>B01M0D11ED</t>
        </is>
      </c>
      <c r="G115">
        <f>_xlfn.IMAGE("https://camerareadycosmetics.com/cdn/shop/products/65282_50x.jpg?v=1691124616")</f>
        <v/>
      </c>
      <c r="H115">
        <f>_xlfn.IMAGE("https://m.media-amazon.com/images/I/61rb0xMkhCS._AC_UL320_.jpg")</f>
        <v/>
      </c>
      <c r="K115" t="inlineStr">
        <is>
          <t>5.0</t>
        </is>
      </c>
      <c r="L115" t="n">
        <v>7</v>
      </c>
      <c r="M115" s="1" t="inlineStr">
        <is>
          <t>40.00%</t>
        </is>
      </c>
      <c r="N115" t="n">
        <v>3.4</v>
      </c>
      <c r="O115" t="n">
        <v>14</v>
      </c>
      <c r="Q115" t="inlineStr">
        <is>
          <t>InStock</t>
        </is>
      </c>
      <c r="R115" t="inlineStr">
        <is>
          <t>undefined</t>
        </is>
      </c>
      <c r="S115" t="inlineStr">
        <is>
          <t>9525517770</t>
        </is>
      </c>
    </row>
    <row r="116" ht="75" customHeight="1">
      <c r="A116" s="2">
        <f>HYPERLINK("https://camerareadycosmetics.com/products/ardell-natural-110-black-65004", "https://camerareadycosmetics.com/products/ardell-natural-110-black-65004")</f>
        <v/>
      </c>
      <c r="B116" s="2">
        <f>HYPERLINK("https://camerareadycosmetics.com/products/ardell-natural-110-black-65004", "https://camerareadycosmetics.com/products/ardell-natural-110-black-65004")</f>
        <v/>
      </c>
      <c r="C116" t="inlineStr">
        <is>
          <t>Ardell Natural 110 - Black (65004)</t>
        </is>
      </c>
      <c r="D116" t="inlineStr">
        <is>
          <t>Ardell False Eyelashes Starter Kit Natural 110 Black 4 Pack</t>
        </is>
      </c>
      <c r="E116" s="2">
        <f>HYPERLINK("https://www.amazon.com/Ardell-False-Eyelashes-Starter-Natural/dp/B07RWQMXLS/ref=sr_1_4?keywords=Ardell+Natural+110+-+Black+%2865004%29&amp;qid=1695565659&amp;sr=8-4", "https://www.amazon.com/Ardell-False-Eyelashes-Starter-Natural/dp/B07RWQMXLS/ref=sr_1_4?keywords=Ardell+Natural+110+-+Black+%2865004%29&amp;qid=1695565659&amp;sr=8-4")</f>
        <v/>
      </c>
      <c r="F116" t="inlineStr">
        <is>
          <t>B07RWQMXLS</t>
        </is>
      </c>
      <c r="G116">
        <f>_xlfn.IMAGE("https://camerareadycosmetics.com/cdn/shop/files/600_2c9990ac-b51f-42e2-bfcd-cfee6165c444_50x.jpg?v=1687198257")</f>
        <v/>
      </c>
      <c r="H116">
        <f>_xlfn.IMAGE("https://m.media-amazon.com/images/I/71PJqyS5JqL._AC_UL320_.jpg")</f>
        <v/>
      </c>
      <c r="K116" t="inlineStr">
        <is>
          <t>5.0</t>
        </is>
      </c>
      <c r="L116" t="n">
        <v>29.95</v>
      </c>
      <c r="M116" s="1" t="inlineStr">
        <is>
          <t>499.00%</t>
        </is>
      </c>
      <c r="N116" t="n">
        <v>3.8</v>
      </c>
      <c r="O116" t="n">
        <v>7</v>
      </c>
      <c r="Q116" t="inlineStr">
        <is>
          <t>InStock</t>
        </is>
      </c>
      <c r="R116" t="inlineStr">
        <is>
          <t>undefined</t>
        </is>
      </c>
      <c r="S116" t="inlineStr">
        <is>
          <t>7050721799</t>
        </is>
      </c>
    </row>
    <row r="117" ht="75" customHeight="1">
      <c r="A117" s="2">
        <f>HYPERLINK("https://camerareadycosmetics.com/products/ardell-natural-110-black-65004", "https://camerareadycosmetics.com/products/ardell-natural-110-black-65004")</f>
        <v/>
      </c>
      <c r="B117" s="2">
        <f>HYPERLINK("https://camerareadycosmetics.com/products/ardell-natural-110-black-65004", "https://camerareadycosmetics.com/products/ardell-natural-110-black-65004")</f>
        <v/>
      </c>
      <c r="C117" t="inlineStr">
        <is>
          <t>Ardell Natural 110 - Black (65004)</t>
        </is>
      </c>
      <c r="D117" t="inlineStr">
        <is>
          <t>(3 Pack) ARDELL Professional Natural Multipack - 110 Black by Ardell</t>
        </is>
      </c>
      <c r="E117" s="2">
        <f>HYPERLINK("https://www.amazon.com/Pack-ARDELL-Professional-Natural-Multipack/dp/B00ILQ4CHC/ref=sr_1_10?keywords=Ardell+Natural+110+-+Black+%2865004%29&amp;qid=1695565659&amp;sr=8-10", "https://www.amazon.com/Pack-ARDELL-Professional-Natural-Multipack/dp/B00ILQ4CHC/ref=sr_1_10?keywords=Ardell+Natural+110+-+Black+%2865004%29&amp;qid=1695565659&amp;sr=8-10")</f>
        <v/>
      </c>
      <c r="F117" t="inlineStr">
        <is>
          <t>B00ILQ4CHC</t>
        </is>
      </c>
      <c r="G117">
        <f>_xlfn.IMAGE("https://camerareadycosmetics.com/cdn/shop/files/600_2c9990ac-b51f-42e2-bfcd-cfee6165c444_50x.jpg?v=1687198257")</f>
        <v/>
      </c>
      <c r="H117">
        <f>_xlfn.IMAGE("https://m.media-amazon.com/images/I/61CdrJZ2tQL._AC_UL320_.jpg")</f>
        <v/>
      </c>
      <c r="K117" t="inlineStr">
        <is>
          <t>5.0</t>
        </is>
      </c>
      <c r="L117" t="n">
        <v>24</v>
      </c>
      <c r="M117" s="1" t="inlineStr">
        <is>
          <t>380.00%</t>
        </is>
      </c>
      <c r="N117" t="n">
        <v>4.7</v>
      </c>
      <c r="O117" t="n">
        <v>269</v>
      </c>
      <c r="Q117" t="inlineStr">
        <is>
          <t>InStock</t>
        </is>
      </c>
      <c r="R117" t="inlineStr">
        <is>
          <t>undefined</t>
        </is>
      </c>
      <c r="S117" t="inlineStr">
        <is>
          <t>7050721799</t>
        </is>
      </c>
    </row>
    <row r="118" ht="75" customHeight="1">
      <c r="A118" s="2">
        <f>HYPERLINK("https://camerareadycosmetics.com/products/ardell-natural-110-black-65004", "https://camerareadycosmetics.com/products/ardell-natural-110-black-65004")</f>
        <v/>
      </c>
      <c r="B118" s="2">
        <f>HYPERLINK("https://camerareadycosmetics.com/products/ardell-natural-110-black-65004", "https://camerareadycosmetics.com/products/ardell-natural-110-black-65004")</f>
        <v/>
      </c>
      <c r="C118" t="inlineStr">
        <is>
          <t>Ardell Natural 110 - Black (65004)</t>
        </is>
      </c>
      <c r="D118" t="inlineStr">
        <is>
          <t>Ardell Natural Multipack 110 Black, 4 Pairs x 2 Packs</t>
        </is>
      </c>
      <c r="E118" s="2">
        <f>HYPERLINK("https://www.amazon.com/Ardell-Natural-Black-Pairs-Packs/dp/B07SBG3SG9/ref=sr_1_3?keywords=Ardell+Natural+110+-+Black+%2865004%29&amp;qid=1695565659&amp;sr=8-3", "https://www.amazon.com/Ardell-Natural-Black-Pairs-Packs/dp/B07SBG3SG9/ref=sr_1_3?keywords=Ardell+Natural+110+-+Black+%2865004%29&amp;qid=1695565659&amp;sr=8-3")</f>
        <v/>
      </c>
      <c r="F118" t="inlineStr">
        <is>
          <t>B07SBG3SG9</t>
        </is>
      </c>
      <c r="G118">
        <f>_xlfn.IMAGE("https://camerareadycosmetics.com/cdn/shop/files/600_2c9990ac-b51f-42e2-bfcd-cfee6165c444_50x.jpg?v=1687198257")</f>
        <v/>
      </c>
      <c r="H118">
        <f>_xlfn.IMAGE("https://m.media-amazon.com/images/I/61Pu+LEJJAL._AC_UL320_.jpg")</f>
        <v/>
      </c>
      <c r="K118" t="inlineStr">
        <is>
          <t>5.0</t>
        </is>
      </c>
      <c r="L118" t="n">
        <v>17</v>
      </c>
      <c r="M118" s="1" t="inlineStr">
        <is>
          <t>240.00%</t>
        </is>
      </c>
      <c r="N118" t="n">
        <v>4.6</v>
      </c>
      <c r="O118" t="n">
        <v>124</v>
      </c>
      <c r="Q118" t="inlineStr">
        <is>
          <t>InStock</t>
        </is>
      </c>
      <c r="R118" t="inlineStr">
        <is>
          <t>undefined</t>
        </is>
      </c>
      <c r="S118" t="inlineStr">
        <is>
          <t>7050721799</t>
        </is>
      </c>
    </row>
    <row r="119" ht="75" customHeight="1">
      <c r="A119" s="2">
        <f>HYPERLINK("https://camerareadycosmetics.com/products/ardell-natural-110-black-65004", "https://camerareadycosmetics.com/products/ardell-natural-110-black-65004")</f>
        <v/>
      </c>
      <c r="B119" s="2">
        <f>HYPERLINK("https://camerareadycosmetics.com/products/ardell-natural-110-black-65004", "https://camerareadycosmetics.com/products/ardell-natural-110-black-65004")</f>
        <v/>
      </c>
      <c r="C119" t="inlineStr">
        <is>
          <t>Ardell Natural 110 - Black (65004)</t>
        </is>
      </c>
      <c r="D119" t="inlineStr">
        <is>
          <t>Ardell Natural 110 Black Strip False Eyelashes, (6 pairs per pack) x 1 pack</t>
        </is>
      </c>
      <c r="E119" s="2">
        <f>HYPERLINK("https://www.amazon.com/Ardell-Natural-Lashes-Black-Count/dp/B001C7FENS/ref=sr_1_5?keywords=Ardell+Natural+110+-+Black+%2865004%29&amp;qid=1695565659&amp;sr=8-5", "https://www.amazon.com/Ardell-Natural-Lashes-Black-Count/dp/B001C7FENS/ref=sr_1_5?keywords=Ardell+Natural+110+-+Black+%2865004%29&amp;qid=1695565659&amp;sr=8-5")</f>
        <v/>
      </c>
      <c r="F119" t="inlineStr">
        <is>
          <t>B001C7FENS</t>
        </is>
      </c>
      <c r="G119">
        <f>_xlfn.IMAGE("https://camerareadycosmetics.com/cdn/shop/files/600_2c9990ac-b51f-42e2-bfcd-cfee6165c444_50x.jpg?v=1687198257")</f>
        <v/>
      </c>
      <c r="H119">
        <f>_xlfn.IMAGE("https://m.media-amazon.com/images/I/61ODI+VR42L._AC_UL320_.jpg")</f>
        <v/>
      </c>
      <c r="K119" t="inlineStr">
        <is>
          <t>5.0</t>
        </is>
      </c>
      <c r="L119" t="n">
        <v>10</v>
      </c>
      <c r="M119" s="1" t="inlineStr">
        <is>
          <t>100.00%</t>
        </is>
      </c>
      <c r="N119" t="n">
        <v>4.4</v>
      </c>
      <c r="O119" t="n">
        <v>166</v>
      </c>
      <c r="Q119" t="inlineStr">
        <is>
          <t>InStock</t>
        </is>
      </c>
      <c r="R119" t="inlineStr">
        <is>
          <t>undefined</t>
        </is>
      </c>
      <c r="S119" t="inlineStr">
        <is>
          <t>7050721799</t>
        </is>
      </c>
    </row>
    <row r="120" ht="75" customHeight="1">
      <c r="A120" s="2">
        <f>HYPERLINK("https://camerareadycosmetics.com/products/ardell-natural-110-black-65004", "https://camerareadycosmetics.com/products/ardell-natural-110-black-65004")</f>
        <v/>
      </c>
      <c r="B120" s="2">
        <f>HYPERLINK("https://camerareadycosmetics.com/products/ardell-natural-110-black-65004", "https://camerareadycosmetics.com/products/ardell-natural-110-black-65004")</f>
        <v/>
      </c>
      <c r="C120" t="inlineStr">
        <is>
          <t>Ardell Natural 110 - Black (65004)</t>
        </is>
      </c>
      <c r="D120" t="inlineStr">
        <is>
          <t>Ardell Natural Lashes False Eyelashes 110 Black (4 pack)</t>
        </is>
      </c>
      <c r="E120" s="2">
        <f>HYPERLINK("https://www.amazon.com/Ardell-Natural-Lashes-False-Eyelashes/dp/B07R8HHQRL/ref=sr_1_1?keywords=Ardell+Natural+110+-+Black+%2865004%29&amp;qid=1695565659&amp;sr=8-1", "https://www.amazon.com/Ardell-Natural-Lashes-False-Eyelashes/dp/B07R8HHQRL/ref=sr_1_1?keywords=Ardell+Natural+110+-+Black+%2865004%29&amp;qid=1695565659&amp;sr=8-1")</f>
        <v/>
      </c>
      <c r="F120" t="inlineStr">
        <is>
          <t>B07R8HHQRL</t>
        </is>
      </c>
      <c r="G120">
        <f>_xlfn.IMAGE("https://camerareadycosmetics.com/cdn/shop/files/600_2c9990ac-b51f-42e2-bfcd-cfee6165c444_50x.jpg?v=1687198257")</f>
        <v/>
      </c>
      <c r="H120">
        <f>_xlfn.IMAGE("https://m.media-amazon.com/images/I/611N9mEykOL._AC_UL320_.jpg")</f>
        <v/>
      </c>
      <c r="K120" t="inlineStr">
        <is>
          <t>5.0</t>
        </is>
      </c>
      <c r="L120" t="n">
        <v>9.99</v>
      </c>
      <c r="M120" s="1" t="inlineStr">
        <is>
          <t>99.80%</t>
        </is>
      </c>
      <c r="N120" t="n">
        <v>4.6</v>
      </c>
      <c r="O120" t="n">
        <v>1681</v>
      </c>
      <c r="Q120" t="inlineStr">
        <is>
          <t>InStock</t>
        </is>
      </c>
      <c r="R120" t="inlineStr">
        <is>
          <t>undefined</t>
        </is>
      </c>
      <c r="S120" t="inlineStr">
        <is>
          <t>7050721799</t>
        </is>
      </c>
    </row>
    <row r="121" ht="75" customHeight="1">
      <c r="A121" s="2">
        <f>HYPERLINK("https://camerareadycosmetics.com/products/ardell-natural-110-black-65004", "https://camerareadycosmetics.com/products/ardell-natural-110-black-65004")</f>
        <v/>
      </c>
      <c r="B121" s="2">
        <f>HYPERLINK("https://camerareadycosmetics.com/products/ardell-natural-110-black-65004", "https://camerareadycosmetics.com/products/ardell-natural-110-black-65004")</f>
        <v/>
      </c>
      <c r="C121" t="inlineStr">
        <is>
          <t>Ardell Natural 110 - Black (65004)</t>
        </is>
      </c>
      <c r="D121" t="inlineStr">
        <is>
          <t>Ardell Natural Multipack 110 Black, 4 Pairs x 1 Pack</t>
        </is>
      </c>
      <c r="E121" s="2">
        <f>HYPERLINK("https://www.amazon.com/Ardell-fake-Eyelashes-pack-pairs/dp/B007TLE4JG/ref=sr_1_2?keywords=Ardell+Natural+110+-+Black+%2865004%29&amp;qid=1695565659&amp;sr=8-2", "https://www.amazon.com/Ardell-fake-Eyelashes-pack-pairs/dp/B007TLE4JG/ref=sr_1_2?keywords=Ardell+Natural+110+-+Black+%2865004%29&amp;qid=1695565659&amp;sr=8-2")</f>
        <v/>
      </c>
      <c r="F121" t="inlineStr">
        <is>
          <t>B007TLE4JG</t>
        </is>
      </c>
      <c r="G121">
        <f>_xlfn.IMAGE("https://camerareadycosmetics.com/cdn/shop/files/600_2c9990ac-b51f-42e2-bfcd-cfee6165c444_50x.jpg?v=1687198257")</f>
        <v/>
      </c>
      <c r="H121">
        <f>_xlfn.IMAGE("https://m.media-amazon.com/images/I/61Os2A2YhJL._AC_UL320_.jpg")</f>
        <v/>
      </c>
      <c r="K121" t="inlineStr">
        <is>
          <t>5.0</t>
        </is>
      </c>
      <c r="L121" t="n">
        <v>8.210000000000001</v>
      </c>
      <c r="M121" s="1" t="inlineStr">
        <is>
          <t>64.20%</t>
        </is>
      </c>
      <c r="N121" t="n">
        <v>4.5</v>
      </c>
      <c r="O121" t="n">
        <v>2088</v>
      </c>
      <c r="Q121" t="inlineStr">
        <is>
          <t>InStock</t>
        </is>
      </c>
      <c r="R121" t="inlineStr">
        <is>
          <t>undefined</t>
        </is>
      </c>
      <c r="S121" t="inlineStr">
        <is>
          <t>7050721799</t>
        </is>
      </c>
    </row>
    <row r="122" ht="75" customHeight="1">
      <c r="A122" s="2">
        <f>HYPERLINK("https://camerareadycosmetics.com/products/ardell-natural-120-black-demi-65092", "https://camerareadycosmetics.com/products/ardell-natural-120-black-demi-65092")</f>
        <v/>
      </c>
      <c r="B122" s="2">
        <f>HYPERLINK("https://camerareadycosmetics.com/products/ardell-natural-120-black-demi-65092", "https://camerareadycosmetics.com/products/ardell-natural-120-black-demi-65092")</f>
        <v/>
      </c>
      <c r="C122" t="inlineStr">
        <is>
          <t>Ardell Natural 120 - Black Demi (65092)</t>
        </is>
      </c>
      <c r="D122" t="inlineStr">
        <is>
          <t>Ardell Fashion Lashes Natural Strip Lash, (Black) [120] 1 each ( Pack of 8)</t>
        </is>
      </c>
      <c r="E122" s="2">
        <f>HYPERLINK("https://www.amazon.com/Ardell-Fashion-Lashes-Natural-Strip/dp/B00OTW8GYM/ref=sr_1_7?keywords=Ardell+Natural+120+-+Black+Demi+%2865092%29&amp;qid=1695565576&amp;sr=8-7", "https://www.amazon.com/Ardell-Fashion-Lashes-Natural-Strip/dp/B00OTW8GYM/ref=sr_1_7?keywords=Ardell+Natural+120+-+Black+Demi+%2865092%29&amp;qid=1695565576&amp;sr=8-7")</f>
        <v/>
      </c>
      <c r="F122" t="inlineStr">
        <is>
          <t>B00OTW8GYM</t>
        </is>
      </c>
      <c r="G122">
        <f>_xlfn.IMAGE("https://camerareadycosmetics.com/cdn/shop/products/AR_65092_120blackdemi__58057.1461769376.600.600_50x.jpeg?v=1689659563")</f>
        <v/>
      </c>
      <c r="H122">
        <f>_xlfn.IMAGE("https://m.media-amazon.com/images/I/81Bh5Fo2uZL._AC_UL320_.jpg")</f>
        <v/>
      </c>
      <c r="K122" t="inlineStr">
        <is>
          <t>5.0</t>
        </is>
      </c>
      <c r="L122" t="n">
        <v>20.29</v>
      </c>
      <c r="M122" s="1" t="inlineStr">
        <is>
          <t>305.80%</t>
        </is>
      </c>
      <c r="N122" t="n">
        <v>4.7</v>
      </c>
      <c r="O122" t="n">
        <v>127</v>
      </c>
      <c r="Q122" t="inlineStr">
        <is>
          <t>InStock</t>
        </is>
      </c>
      <c r="R122" t="inlineStr">
        <is>
          <t>undefined</t>
        </is>
      </c>
      <c r="S122" t="inlineStr">
        <is>
          <t>7050762951</t>
        </is>
      </c>
    </row>
    <row r="123" ht="75" customHeight="1">
      <c r="A123" s="2">
        <f>HYPERLINK("https://camerareadycosmetics.com/products/ardell-natural-120-black-demi-65092", "https://camerareadycosmetics.com/products/ardell-natural-120-black-demi-65092")</f>
        <v/>
      </c>
      <c r="B123" s="2">
        <f>HYPERLINK("https://camerareadycosmetics.com/products/ardell-natural-120-black-demi-65092", "https://camerareadycosmetics.com/products/ardell-natural-120-black-demi-65092")</f>
        <v/>
      </c>
      <c r="C123" t="inlineStr">
        <is>
          <t>Ardell Natural 120 - Black Demi (65092)</t>
        </is>
      </c>
      <c r="D123" t="inlineStr">
        <is>
          <t>Ardell Natural Lashes for Women, 120 Demi Black</t>
        </is>
      </c>
      <c r="E123" s="2">
        <f>HYPERLINK("https://www.amazon.com/Ardell-Natural-Lashes-Women-Black/dp/B01IAEGK8S/ref=sr_1_4?keywords=Ardell+Natural+120+-+Black+Demi+%2865092%29&amp;qid=1695565576&amp;sr=8-4", "https://www.amazon.com/Ardell-Natural-Lashes-Women-Black/dp/B01IAEGK8S/ref=sr_1_4?keywords=Ardell+Natural+120+-+Black+Demi+%2865092%29&amp;qid=1695565576&amp;sr=8-4")</f>
        <v/>
      </c>
      <c r="F123" t="inlineStr">
        <is>
          <t>B01IAEGK8S</t>
        </is>
      </c>
      <c r="G123">
        <f>_xlfn.IMAGE("https://camerareadycosmetics.com/cdn/shop/products/AR_65092_120blackdemi__58057.1461769376.600.600_50x.jpeg?v=1689659563")</f>
        <v/>
      </c>
      <c r="H123">
        <f>_xlfn.IMAGE("https://m.media-amazon.com/images/I/61afPk1dqgL._AC_UL320_.jpg")</f>
        <v/>
      </c>
      <c r="K123" t="inlineStr">
        <is>
          <t>5.0</t>
        </is>
      </c>
      <c r="L123" t="n">
        <v>15.99</v>
      </c>
      <c r="M123" s="1" t="inlineStr">
        <is>
          <t>219.80%</t>
        </is>
      </c>
      <c r="N123" t="n">
        <v>4.4</v>
      </c>
      <c r="O123" t="n">
        <v>21</v>
      </c>
      <c r="Q123" t="inlineStr">
        <is>
          <t>InStock</t>
        </is>
      </c>
      <c r="R123" t="inlineStr">
        <is>
          <t>undefined</t>
        </is>
      </c>
      <c r="S123" t="inlineStr">
        <is>
          <t>7050762951</t>
        </is>
      </c>
    </row>
    <row r="124" ht="75" customHeight="1">
      <c r="A124" s="2">
        <f>HYPERLINK("https://camerareadycosmetics.com/products/ardell-natural-120-black-demi-65092", "https://camerareadycosmetics.com/products/ardell-natural-120-black-demi-65092")</f>
        <v/>
      </c>
      <c r="B124" s="2">
        <f>HYPERLINK("https://camerareadycosmetics.com/products/ardell-natural-120-black-demi-65092", "https://camerareadycosmetics.com/products/ardell-natural-120-black-demi-65092")</f>
        <v/>
      </c>
      <c r="C124" t="inlineStr">
        <is>
          <t>Ardell Natural 120 - Black Demi (65092)</t>
        </is>
      </c>
      <c r="D124" t="inlineStr">
        <is>
          <t>Ardell Fashion Lashes Natural Strip Lash, Black [120] 1 ea (Pack of 5)</t>
        </is>
      </c>
      <c r="E124" s="2">
        <f>HYPERLINK("https://www.amazon.com/Ardell-Fashion-Lashes-Natural-Strip/dp/B01IAEGDAS/ref=sr_1_9?keywords=Ardell+Natural+120+-+Black+Demi+%2865092%29&amp;qid=1695565576&amp;sr=8-9", "https://www.amazon.com/Ardell-Fashion-Lashes-Natural-Strip/dp/B01IAEGDAS/ref=sr_1_9?keywords=Ardell+Natural+120+-+Black+Demi+%2865092%29&amp;qid=1695565576&amp;sr=8-9")</f>
        <v/>
      </c>
      <c r="F124" t="inlineStr">
        <is>
          <t>B01IAEGDAS</t>
        </is>
      </c>
      <c r="G124">
        <f>_xlfn.IMAGE("https://camerareadycosmetics.com/cdn/shop/products/AR_65092_120blackdemi__58057.1461769376.600.600_50x.jpeg?v=1689659563")</f>
        <v/>
      </c>
      <c r="H124">
        <f>_xlfn.IMAGE("https://m.media-amazon.com/images/I/71tH+QXmj2L._AC_UL320_.jpg")</f>
        <v/>
      </c>
      <c r="K124" t="inlineStr">
        <is>
          <t>5.0</t>
        </is>
      </c>
      <c r="L124" t="n">
        <v>14.5</v>
      </c>
      <c r="M124" s="1" t="inlineStr">
        <is>
          <t>190.00%</t>
        </is>
      </c>
      <c r="N124" t="n">
        <v>4.5</v>
      </c>
      <c r="O124" t="n">
        <v>26</v>
      </c>
      <c r="Q124" t="inlineStr">
        <is>
          <t>InStock</t>
        </is>
      </c>
      <c r="R124" t="inlineStr">
        <is>
          <t>undefined</t>
        </is>
      </c>
      <c r="S124" t="inlineStr">
        <is>
          <t>7050762951</t>
        </is>
      </c>
    </row>
    <row r="125" ht="75" customHeight="1">
      <c r="A125" s="2">
        <f>HYPERLINK("https://camerareadycosmetics.com/products/ardell-natural-120-black-demi-65092", "https://camerareadycosmetics.com/products/ardell-natural-120-black-demi-65092")</f>
        <v/>
      </c>
      <c r="B125" s="2">
        <f>HYPERLINK("https://camerareadycosmetics.com/products/ardell-natural-120-black-demi-65092", "https://camerareadycosmetics.com/products/ardell-natural-120-black-demi-65092")</f>
        <v/>
      </c>
      <c r="C125" t="inlineStr">
        <is>
          <t>Ardell Natural 120 - Black Demi (65092)</t>
        </is>
      </c>
      <c r="D125" t="inlineStr">
        <is>
          <t>Ardell Fashion Lashes Natural Strip Lash, Black [120] 1 ea ( Pack of 4)</t>
        </is>
      </c>
      <c r="E125" s="2">
        <f>HYPERLINK("https://www.amazon.com/Ardell-Fashion-Lashes-Natural-Strip/dp/B003ZS6OJK/ref=sr_1_3?keywords=Ardell+Natural+120+-+Black+Demi+%2865092%29&amp;qid=1695565576&amp;sr=8-3", "https://www.amazon.com/Ardell-Fashion-Lashes-Natural-Strip/dp/B003ZS6OJK/ref=sr_1_3?keywords=Ardell+Natural+120+-+Black+Demi+%2865092%29&amp;qid=1695565576&amp;sr=8-3")</f>
        <v/>
      </c>
      <c r="F125" t="inlineStr">
        <is>
          <t>B003ZS6OJK</t>
        </is>
      </c>
      <c r="G125">
        <f>_xlfn.IMAGE("https://camerareadycosmetics.com/cdn/shop/products/AR_65092_120blackdemi__58057.1461769376.600.600_50x.jpeg?v=1689659563")</f>
        <v/>
      </c>
      <c r="H125">
        <f>_xlfn.IMAGE("https://m.media-amazon.com/images/I/614+h+udclL._AC_UL320_.jpg")</f>
        <v/>
      </c>
      <c r="K125" t="inlineStr">
        <is>
          <t>5.0</t>
        </is>
      </c>
      <c r="L125" t="n">
        <v>12</v>
      </c>
      <c r="M125" s="1" t="inlineStr">
        <is>
          <t>140.00%</t>
        </is>
      </c>
      <c r="N125" t="n">
        <v>4.1</v>
      </c>
      <c r="O125" t="n">
        <v>1007</v>
      </c>
      <c r="Q125" t="inlineStr">
        <is>
          <t>InStock</t>
        </is>
      </c>
      <c r="R125" t="inlineStr">
        <is>
          <t>undefined</t>
        </is>
      </c>
      <c r="S125" t="inlineStr">
        <is>
          <t>7050762951</t>
        </is>
      </c>
    </row>
    <row r="126" ht="75" customHeight="1">
      <c r="A126" s="2">
        <f>HYPERLINK("https://camerareadycosmetics.com/products/ardell-natural-120-black-demi-65092", "https://camerareadycosmetics.com/products/ardell-natural-120-black-demi-65092")</f>
        <v/>
      </c>
      <c r="B126" s="2">
        <f>HYPERLINK("https://camerareadycosmetics.com/products/ardell-natural-120-black-demi-65092", "https://camerareadycosmetics.com/products/ardell-natural-120-black-demi-65092")</f>
        <v/>
      </c>
      <c r="C126" t="inlineStr">
        <is>
          <t>Ardell Natural 120 - Black Demi (65092)</t>
        </is>
      </c>
      <c r="D126" t="inlineStr">
        <is>
          <t>Ardell Natural Lashes False Eyelashes 102 Black Demi (4 pack)</t>
        </is>
      </c>
      <c r="E126" s="2">
        <f>HYPERLINK("https://www.amazon.com/Ardell-Natural-Lashes-False-Eyelashes/dp/B07R6B3YFQ/ref=sr_1_8?keywords=Ardell+Natural+120+-+Black+Demi+%2865092%29&amp;qid=1695565576&amp;sr=8-8", "https://www.amazon.com/Ardell-Natural-Lashes-False-Eyelashes/dp/B07R6B3YFQ/ref=sr_1_8?keywords=Ardell+Natural+120+-+Black+Demi+%2865092%29&amp;qid=1695565576&amp;sr=8-8")</f>
        <v/>
      </c>
      <c r="F126" t="inlineStr">
        <is>
          <t>B07R6B3YFQ</t>
        </is>
      </c>
      <c r="G126">
        <f>_xlfn.IMAGE("https://camerareadycosmetics.com/cdn/shop/products/AR_65092_120blackdemi__58057.1461769376.600.600_50x.jpeg?v=1689659563")</f>
        <v/>
      </c>
      <c r="H126">
        <f>_xlfn.IMAGE("https://m.media-amazon.com/images/I/61P-x6XaGaL._AC_UL320_.jpg")</f>
        <v/>
      </c>
      <c r="K126" t="inlineStr">
        <is>
          <t>5.0</t>
        </is>
      </c>
      <c r="L126" t="n">
        <v>9.859999999999999</v>
      </c>
      <c r="M126" s="1" t="inlineStr">
        <is>
          <t>97.20%</t>
        </is>
      </c>
      <c r="N126" t="n">
        <v>4.7</v>
      </c>
      <c r="O126" t="n">
        <v>214</v>
      </c>
      <c r="Q126" t="inlineStr">
        <is>
          <t>InStock</t>
        </is>
      </c>
      <c r="R126" t="inlineStr">
        <is>
          <t>undefined</t>
        </is>
      </c>
      <c r="S126" t="inlineStr">
        <is>
          <t>7050762951</t>
        </is>
      </c>
    </row>
    <row r="127" ht="75" customHeight="1">
      <c r="A127" s="2">
        <f>HYPERLINK("https://camerareadycosmetics.com/products/ardell-natural-120-black-demi-65092", "https://camerareadycosmetics.com/products/ardell-natural-120-black-demi-65092")</f>
        <v/>
      </c>
      <c r="B127" s="2">
        <f>HYPERLINK("https://camerareadycosmetics.com/products/ardell-natural-120-black-demi-65092", "https://camerareadycosmetics.com/products/ardell-natural-120-black-demi-65092")</f>
        <v/>
      </c>
      <c r="C127" t="inlineStr">
        <is>
          <t>Ardell Natural 120 - Black Demi (65092)</t>
        </is>
      </c>
      <c r="D127" t="inlineStr">
        <is>
          <t>Ardell Fashion Lashes Natural Strip Lash, Black [120] 1 ea (Pack of 3)</t>
        </is>
      </c>
      <c r="E127" s="2">
        <f>HYPERLINK("https://www.amazon.com/Ardell-Fashion-Lashes-Natural-Strip/dp/B01IAEG8SK/ref=sr_1_6?keywords=Ardell+Natural+120+-+Black+Demi+%2865092%29&amp;qid=1695565576&amp;sr=8-6", "https://www.amazon.com/Ardell-Fashion-Lashes-Natural-Strip/dp/B01IAEG8SK/ref=sr_1_6?keywords=Ardell+Natural+120+-+Black+Demi+%2865092%29&amp;qid=1695565576&amp;sr=8-6")</f>
        <v/>
      </c>
      <c r="F127" t="inlineStr">
        <is>
          <t>B01IAEG8SK</t>
        </is>
      </c>
      <c r="G127">
        <f>_xlfn.IMAGE("https://camerareadycosmetics.com/cdn/shop/products/AR_65092_120blackdemi__58057.1461769376.600.600_50x.jpeg?v=1689659563")</f>
        <v/>
      </c>
      <c r="H127">
        <f>_xlfn.IMAGE("https://m.media-amazon.com/images/I/71tH+QXmj2L._AC_UL320_.jpg")</f>
        <v/>
      </c>
      <c r="K127" t="inlineStr">
        <is>
          <t>5.0</t>
        </is>
      </c>
      <c r="L127" t="n">
        <v>8.99</v>
      </c>
      <c r="M127" s="1" t="inlineStr">
        <is>
          <t>79.80%</t>
        </is>
      </c>
      <c r="N127" t="n">
        <v>4.2</v>
      </c>
      <c r="O127" t="n">
        <v>15</v>
      </c>
      <c r="Q127" t="inlineStr">
        <is>
          <t>InStock</t>
        </is>
      </c>
      <c r="R127" t="inlineStr">
        <is>
          <t>undefined</t>
        </is>
      </c>
      <c r="S127" t="inlineStr">
        <is>
          <t>7050762951</t>
        </is>
      </c>
    </row>
    <row r="128" ht="75" customHeight="1">
      <c r="A128" s="2">
        <f>HYPERLINK("https://camerareadycosmetics.com/products/ardell-natural-120-black-demi-65092", "https://camerareadycosmetics.com/products/ardell-natural-120-black-demi-65092")</f>
        <v/>
      </c>
      <c r="B128" s="2">
        <f>HYPERLINK("https://camerareadycosmetics.com/products/ardell-natural-120-black-demi-65092", "https://camerareadycosmetics.com/products/ardell-natural-120-black-demi-65092")</f>
        <v/>
      </c>
      <c r="C128" t="inlineStr">
        <is>
          <t>Ardell Natural 120 - Black Demi (65092)</t>
        </is>
      </c>
      <c r="D128" t="inlineStr">
        <is>
          <t>Ardell Ardell Fashion Lashes Strip Lashes - 1 Pair/Pack, 0.5 Oz, 120 Demi Black</t>
        </is>
      </c>
      <c r="E128" s="2">
        <f>HYPERLINK("https://www.amazon.com/Ardell-Natural-Lashes-Black-Eyelashes/dp/B01DIQZIT0/ref=sr_1_2?keywords=Ardell+Natural+120+-+Black+Demi+%2865092%29&amp;qid=1695565576&amp;sr=8-2", "https://www.amazon.com/Ardell-Natural-Lashes-Black-Eyelashes/dp/B01DIQZIT0/ref=sr_1_2?keywords=Ardell+Natural+120+-+Black+Demi+%2865092%29&amp;qid=1695565576&amp;sr=8-2")</f>
        <v/>
      </c>
      <c r="F128" t="inlineStr">
        <is>
          <t>B01DIQZIT0</t>
        </is>
      </c>
      <c r="G128">
        <f>_xlfn.IMAGE("https://camerareadycosmetics.com/cdn/shop/products/AR_65092_120blackdemi__58057.1461769376.600.600_50x.jpeg?v=1689659563")</f>
        <v/>
      </c>
      <c r="H128">
        <f>_xlfn.IMAGE("https://m.media-amazon.com/images/I/810XBNH+zqL._AC_UL320_.jpg")</f>
        <v/>
      </c>
      <c r="K128" t="inlineStr">
        <is>
          <t>5.0</t>
        </is>
      </c>
      <c r="L128" t="n">
        <v>4.49</v>
      </c>
      <c r="M128" s="1" t="inlineStr">
        <is>
          <t>-10.20%</t>
        </is>
      </c>
      <c r="N128" t="n">
        <v>4.3</v>
      </c>
      <c r="O128" t="n">
        <v>305</v>
      </c>
      <c r="Q128" t="inlineStr">
        <is>
          <t>InStock</t>
        </is>
      </c>
      <c r="R128" t="inlineStr">
        <is>
          <t>undefined</t>
        </is>
      </c>
      <c r="S128" t="inlineStr">
        <is>
          <t>7050762951</t>
        </is>
      </c>
    </row>
    <row r="129" ht="75" customHeight="1">
      <c r="A129" s="2">
        <f>HYPERLINK("https://camerareadycosmetics.com/products/ardell-natural-demi-wispies-black-65012", "https://camerareadycosmetics.com/products/ardell-natural-demi-wispies-black-65012")</f>
        <v/>
      </c>
      <c r="B129" s="2">
        <f>HYPERLINK("https://camerareadycosmetics.com/products/ardell-natural-demi-wispies-black-65012", "https://camerareadycosmetics.com/products/ardell-natural-demi-wispies-black-65012")</f>
        <v/>
      </c>
      <c r="C129" t="inlineStr">
        <is>
          <t>Ardell Natural Demi Wispies - Black (65012)</t>
        </is>
      </c>
      <c r="D129" t="inlineStr">
        <is>
          <t>ARDELL Professional Natural Multipack - Demi Wispies Black by Ardell, Pack of 3</t>
        </is>
      </c>
      <c r="E129" s="2">
        <f>HYPERLINK("https://www.amazon.com/ARDELL-Professional-Natural-Multipack-Wispies/dp/B00ILPRW2U/ref=sr_1_9?keywords=Ardell+Natural+Demi+Wispies+-+Black+%2865012%29&amp;qid=1695565510&amp;sr=8-9", "https://www.amazon.com/ARDELL-Professional-Natural-Multipack-Wispies/dp/B00ILPRW2U/ref=sr_1_9?keywords=Ardell+Natural+Demi+Wispies+-+Black+%2865012%29&amp;qid=1695565510&amp;sr=8-9")</f>
        <v/>
      </c>
      <c r="F129" t="inlineStr">
        <is>
          <t>B00ILPRW2U</t>
        </is>
      </c>
      <c r="G129">
        <f>_xlfn.IMAGE("https://camerareadycosmetics.com/cdn/shop/products/08demiwispiesblack__80334.1461773308.600.600_50x.jpeg?v=1689659648")</f>
        <v/>
      </c>
      <c r="H129">
        <f>_xlfn.IMAGE("https://m.media-amazon.com/images/I/91U+X7NBoxL._AC_UL320_.jpg")</f>
        <v/>
      </c>
      <c r="K129" t="inlineStr">
        <is>
          <t>5.0</t>
        </is>
      </c>
      <c r="L129" t="n">
        <v>24.73</v>
      </c>
      <c r="M129" s="1" t="inlineStr">
        <is>
          <t>394.60%</t>
        </is>
      </c>
      <c r="N129" t="n">
        <v>4.6</v>
      </c>
      <c r="O129" t="n">
        <v>900</v>
      </c>
      <c r="Q129" t="inlineStr">
        <is>
          <t>InStock</t>
        </is>
      </c>
      <c r="R129" t="inlineStr">
        <is>
          <t>undefined</t>
        </is>
      </c>
      <c r="S129" t="inlineStr">
        <is>
          <t>7050849223</t>
        </is>
      </c>
    </row>
    <row r="130" ht="75" customHeight="1">
      <c r="A130" s="2">
        <f>HYPERLINK("https://camerareadycosmetics.com/products/ardell-natural-demi-wispies-black-65012", "https://camerareadycosmetics.com/products/ardell-natural-demi-wispies-black-65012")</f>
        <v/>
      </c>
      <c r="B130" s="2">
        <f>HYPERLINK("https://camerareadycosmetics.com/products/ardell-natural-demi-wispies-black-65012", "https://camerareadycosmetics.com/products/ardell-natural-demi-wispies-black-65012")</f>
        <v/>
      </c>
      <c r="C130" t="inlineStr">
        <is>
          <t>Ardell Natural Demi Wispies - Black (65012)</t>
        </is>
      </c>
      <c r="D130" t="inlineStr">
        <is>
          <t>Ardell Professional Natural Demi Wispies Multipack Black</t>
        </is>
      </c>
      <c r="E130" s="2">
        <f>HYPERLINK("https://www.amazon.com/Ardell-Professional-Natural-Wispies-Multipack/dp/B01M3YT9J7/ref=sr_1_1?keywords=Ardell+Natural+Demi+Wispies+-+Black+%2865012%29&amp;qid=1695565510&amp;sr=8-1", "https://www.amazon.com/Ardell-Professional-Natural-Wispies-Multipack/dp/B01M3YT9J7/ref=sr_1_1?keywords=Ardell+Natural+Demi+Wispies+-+Black+%2865012%29&amp;qid=1695565510&amp;sr=8-1")</f>
        <v/>
      </c>
      <c r="F130" t="inlineStr">
        <is>
          <t>B01M3YT9J7</t>
        </is>
      </c>
      <c r="G130">
        <f>_xlfn.IMAGE("https://camerareadycosmetics.com/cdn/shop/products/08demiwispiesblack__80334.1461773308.600.600_50x.jpeg?v=1689659648")</f>
        <v/>
      </c>
      <c r="H130">
        <f>_xlfn.IMAGE("https://m.media-amazon.com/images/I/51ZmuNFb8ZL._AC_UL320_.jpg")</f>
        <v/>
      </c>
      <c r="K130" t="inlineStr">
        <is>
          <t>5.0</t>
        </is>
      </c>
      <c r="L130" t="n">
        <v>19.95</v>
      </c>
      <c r="M130" s="1" t="inlineStr">
        <is>
          <t>299.00%</t>
        </is>
      </c>
      <c r="N130" t="n">
        <v>5</v>
      </c>
      <c r="O130" t="n">
        <v>2</v>
      </c>
      <c r="Q130" t="inlineStr">
        <is>
          <t>InStock</t>
        </is>
      </c>
      <c r="R130" t="inlineStr">
        <is>
          <t>undefined</t>
        </is>
      </c>
      <c r="S130" t="inlineStr">
        <is>
          <t>7050849223</t>
        </is>
      </c>
    </row>
    <row r="131" ht="75" customHeight="1">
      <c r="A131" s="2">
        <f>HYPERLINK("https://camerareadycosmetics.com/products/ardell-natural-demi-wispies-black-65012", "https://camerareadycosmetics.com/products/ardell-natural-demi-wispies-black-65012")</f>
        <v/>
      </c>
      <c r="B131" s="2">
        <f>HYPERLINK("https://camerareadycosmetics.com/products/ardell-natural-demi-wispies-black-65012", "https://camerareadycosmetics.com/products/ardell-natural-demi-wispies-black-65012")</f>
        <v/>
      </c>
      <c r="C131" t="inlineStr">
        <is>
          <t>Ardell Natural Demi Wispies - Black (65012)</t>
        </is>
      </c>
      <c r="D131" t="inlineStr">
        <is>
          <t>Ardell False Eyelashes Strip Lashes Demi Wispies Black, (6 pairs per pack) x 1 pack</t>
        </is>
      </c>
      <c r="E131" s="2">
        <f>HYPERLINK("https://www.amazon.com/Ardell-Invisibands-False-Eyelashes-6-Count/dp/B00GI0A03S/ref=sr_1_7?keywords=Ardell+Natural+Demi+Wispies+-+Black+%2865012%29&amp;qid=1695565510&amp;sr=8-7", "https://www.amazon.com/Ardell-Invisibands-False-Eyelashes-6-Count/dp/B00GI0A03S/ref=sr_1_7?keywords=Ardell+Natural+Demi+Wispies+-+Black+%2865012%29&amp;qid=1695565510&amp;sr=8-7")</f>
        <v/>
      </c>
      <c r="F131" t="inlineStr">
        <is>
          <t>B00GI0A03S</t>
        </is>
      </c>
      <c r="G131">
        <f>_xlfn.IMAGE("https://camerareadycosmetics.com/cdn/shop/products/08demiwispiesblack__80334.1461773308.600.600_50x.jpeg?v=1689659648")</f>
        <v/>
      </c>
      <c r="H131">
        <f>_xlfn.IMAGE("https://m.media-amazon.com/images/I/71kvIu78YiL._AC_UL320_.jpg")</f>
        <v/>
      </c>
      <c r="K131" t="inlineStr">
        <is>
          <t>5.0</t>
        </is>
      </c>
      <c r="L131" t="n">
        <v>11.95</v>
      </c>
      <c r="M131" s="1" t="inlineStr">
        <is>
          <t>139.00%</t>
        </is>
      </c>
      <c r="N131" t="n">
        <v>4.4</v>
      </c>
      <c r="O131" t="n">
        <v>166</v>
      </c>
      <c r="Q131" t="inlineStr">
        <is>
          <t>InStock</t>
        </is>
      </c>
      <c r="R131" t="inlineStr">
        <is>
          <t>undefined</t>
        </is>
      </c>
      <c r="S131" t="inlineStr">
        <is>
          <t>7050849223</t>
        </is>
      </c>
    </row>
    <row r="132" ht="75" customHeight="1">
      <c r="A132" s="2">
        <f>HYPERLINK("https://camerareadycosmetics.com/products/ardell-natural-demi-wispies-black-65012", "https://camerareadycosmetics.com/products/ardell-natural-demi-wispies-black-65012")</f>
        <v/>
      </c>
      <c r="B132" s="2">
        <f>HYPERLINK("https://camerareadycosmetics.com/products/ardell-natural-demi-wispies-black-65012", "https://camerareadycosmetics.com/products/ardell-natural-demi-wispies-black-65012")</f>
        <v/>
      </c>
      <c r="C132" t="inlineStr">
        <is>
          <t>Ardell Natural Demi Wispies - Black (65012)</t>
        </is>
      </c>
      <c r="D132" t="inlineStr">
        <is>
          <t>Ardell False Eyelashes - Natural - Demi Wispies (Black) by Ardell</t>
        </is>
      </c>
      <c r="E132" s="2">
        <f>HYPERLINK("https://www.amazon.com/Ardell-False-Eyelashes-Natural-Wispies/dp/B0063H7ED0/ref=sr_1_2?keywords=Ardell+Natural+Demi+Wispies+-+Black+%2865012%29&amp;qid=1695565510&amp;sr=8-2", "https://www.amazon.com/Ardell-False-Eyelashes-Natural-Wispies/dp/B0063H7ED0/ref=sr_1_2?keywords=Ardell+Natural+Demi+Wispies+-+Black+%2865012%29&amp;qid=1695565510&amp;sr=8-2")</f>
        <v/>
      </c>
      <c r="F132" t="inlineStr">
        <is>
          <t>B0063H7ED0</t>
        </is>
      </c>
      <c r="G132">
        <f>_xlfn.IMAGE("https://camerareadycosmetics.com/cdn/shop/products/08demiwispiesblack__80334.1461773308.600.600_50x.jpeg?v=1689659648")</f>
        <v/>
      </c>
      <c r="H132">
        <f>_xlfn.IMAGE("https://m.media-amazon.com/images/I/61NdPZDytXL._AC_UL320_.jpg")</f>
        <v/>
      </c>
      <c r="K132" t="inlineStr">
        <is>
          <t>5.0</t>
        </is>
      </c>
      <c r="L132" t="n">
        <v>6.9</v>
      </c>
      <c r="M132" s="1" t="inlineStr">
        <is>
          <t>38.00%</t>
        </is>
      </c>
      <c r="N132" t="n">
        <v>4</v>
      </c>
      <c r="O132" t="n">
        <v>2</v>
      </c>
      <c r="Q132" t="inlineStr">
        <is>
          <t>InStock</t>
        </is>
      </c>
      <c r="R132" t="inlineStr">
        <is>
          <t>undefined</t>
        </is>
      </c>
      <c r="S132" t="inlineStr">
        <is>
          <t>7050849223</t>
        </is>
      </c>
    </row>
    <row r="133" ht="75" customHeight="1">
      <c r="A133" s="2">
        <f>HYPERLINK("https://camerareadycosmetics.com/products/ardell-natural-demi-wispies-black-65012", "https://camerareadycosmetics.com/products/ardell-natural-demi-wispies-black-65012")</f>
        <v/>
      </c>
      <c r="B133" s="2">
        <f>HYPERLINK("https://camerareadycosmetics.com/products/ardell-natural-demi-wispies-black-65012", "https://camerareadycosmetics.com/products/ardell-natural-demi-wispies-black-65012")</f>
        <v/>
      </c>
      <c r="C133" t="inlineStr">
        <is>
          <t>Ardell Natural Demi Wispies - Black (65012)</t>
        </is>
      </c>
      <c r="D133" t="inlineStr">
        <is>
          <t>Ardell Faux Mink Demi Wispies, Black</t>
        </is>
      </c>
      <c r="E133" s="2">
        <f>HYPERLINK("https://www.amazon.com/Ardell-Faux-Mink-Demi-Wispies/dp/B07BH4BD5G/ref=sr_1_3?keywords=Ardell+Natural+Demi+Wispies+-+Black+%2865012%29&amp;qid=1695565510&amp;sr=8-3", "https://www.amazon.com/Ardell-Faux-Mink-Demi-Wispies/dp/B07BH4BD5G/ref=sr_1_3?keywords=Ardell+Natural+Demi+Wispies+-+Black+%2865012%29&amp;qid=1695565510&amp;sr=8-3")</f>
        <v/>
      </c>
      <c r="F133" t="inlineStr">
        <is>
          <t>B07BH4BD5G</t>
        </is>
      </c>
      <c r="G133">
        <f>_xlfn.IMAGE("https://camerareadycosmetics.com/cdn/shop/products/08demiwispiesblack__80334.1461773308.600.600_50x.jpeg?v=1689659648")</f>
        <v/>
      </c>
      <c r="H133">
        <f>_xlfn.IMAGE("https://m.media-amazon.com/images/I/61cfRdL1DPL._AC_UL320_.jpg")</f>
        <v/>
      </c>
      <c r="K133" t="inlineStr">
        <is>
          <t>5.0</t>
        </is>
      </c>
      <c r="L133" t="n">
        <v>6.49</v>
      </c>
      <c r="M133" s="1" t="inlineStr">
        <is>
          <t>29.80%</t>
        </is>
      </c>
      <c r="N133" t="n">
        <v>4.5</v>
      </c>
      <c r="O133" t="n">
        <v>279</v>
      </c>
      <c r="Q133" t="inlineStr">
        <is>
          <t>InStock</t>
        </is>
      </c>
      <c r="R133" t="inlineStr">
        <is>
          <t>undefined</t>
        </is>
      </c>
      <c r="S133" t="inlineStr">
        <is>
          <t>7050849223</t>
        </is>
      </c>
    </row>
    <row r="134" ht="75" customHeight="1">
      <c r="A134" s="2">
        <f>HYPERLINK("https://camerareadycosmetics.com/products/ardell-natural-demi-wispies-black-65012", "https://camerareadycosmetics.com/products/ardell-natural-demi-wispies-black-65012")</f>
        <v/>
      </c>
      <c r="B134" s="2">
        <f>HYPERLINK("https://camerareadycosmetics.com/products/ardell-natural-demi-wispies-black-65012", "https://camerareadycosmetics.com/products/ardell-natural-demi-wispies-black-65012")</f>
        <v/>
      </c>
      <c r="C134" t="inlineStr">
        <is>
          <t>Ardell Natural Demi Wispies - Black (65012)</t>
        </is>
      </c>
      <c r="D134" t="inlineStr">
        <is>
          <t>Ardell Invisiband Lashes, Demi Wispies Black, 1 pair</t>
        </is>
      </c>
      <c r="E134" s="2">
        <f>HYPERLINK("https://www.amazon.com/Ardell-Invisiband-Lashes-Wispies-Black/dp/B0035LCW4S/ref=sr_1_6?keywords=Ardell+Natural+Demi+Wispies+-+Black+%2865012%29&amp;qid=1695565510&amp;sr=8-6", "https://www.amazon.com/Ardell-Invisiband-Lashes-Wispies-Black/dp/B0035LCW4S/ref=sr_1_6?keywords=Ardell+Natural+Demi+Wispies+-+Black+%2865012%29&amp;qid=1695565510&amp;sr=8-6")</f>
        <v/>
      </c>
      <c r="F134" t="inlineStr">
        <is>
          <t>B0035LCW4S</t>
        </is>
      </c>
      <c r="G134">
        <f>_xlfn.IMAGE("https://camerareadycosmetics.com/cdn/shop/products/08demiwispiesblack__80334.1461773308.600.600_50x.jpeg?v=1689659648")</f>
        <v/>
      </c>
      <c r="H134">
        <f>_xlfn.IMAGE("https://m.media-amazon.com/images/I/71I50RZuLKL._AC_UL320_.jpg")</f>
        <v/>
      </c>
      <c r="K134" t="inlineStr">
        <is>
          <t>5.0</t>
        </is>
      </c>
      <c r="L134" t="n">
        <v>5.55</v>
      </c>
      <c r="M134" s="1" t="inlineStr">
        <is>
          <t>11.00%</t>
        </is>
      </c>
      <c r="N134" t="n">
        <v>4</v>
      </c>
      <c r="O134" t="n">
        <v>148</v>
      </c>
      <c r="Q134" t="inlineStr">
        <is>
          <t>InStock</t>
        </is>
      </c>
      <c r="R134" t="inlineStr">
        <is>
          <t>undefined</t>
        </is>
      </c>
      <c r="S134" t="inlineStr">
        <is>
          <t>7050849223</t>
        </is>
      </c>
    </row>
    <row r="135" ht="75" customHeight="1">
      <c r="A135" s="2">
        <f>HYPERLINK("https://camerareadycosmetics.com/products/ardell-natural-demi-wispies-black-65012", "https://camerareadycosmetics.com/products/ardell-natural-demi-wispies-black-65012")</f>
        <v/>
      </c>
      <c r="B135" s="2">
        <f>HYPERLINK("https://camerareadycosmetics.com/products/ardell-natural-demi-wispies-black-65012", "https://camerareadycosmetics.com/products/ardell-natural-demi-wispies-black-65012")</f>
        <v/>
      </c>
      <c r="C135" t="inlineStr">
        <is>
          <t>Ardell Natural Demi Wispies - Black (65012)</t>
        </is>
      </c>
      <c r="D135" t="inlineStr">
        <is>
          <t>Ardell Eye Lashes Baby Demi Wispies, Black</t>
        </is>
      </c>
      <c r="E135" s="2">
        <f>HYPERLINK("https://www.amazon.com/Ardell-Natural-Baby-Wispies-Black/dp/B00YYKL920/ref=sr_1_10?keywords=Ardell+Natural+Demi+Wispies+-+Black+%2865012%29&amp;qid=1695565510&amp;sr=8-10", "https://www.amazon.com/Ardell-Natural-Baby-Wispies-Black/dp/B00YYKL920/ref=sr_1_10?keywords=Ardell+Natural+Demi+Wispies+-+Black+%2865012%29&amp;qid=1695565510&amp;sr=8-10")</f>
        <v/>
      </c>
      <c r="F135" t="inlineStr">
        <is>
          <t>B00YYKL920</t>
        </is>
      </c>
      <c r="G135">
        <f>_xlfn.IMAGE("https://camerareadycosmetics.com/cdn/shop/products/08demiwispiesblack__80334.1461773308.600.600_50x.jpeg?v=1689659648")</f>
        <v/>
      </c>
      <c r="H135">
        <f>_xlfn.IMAGE("https://m.media-amazon.com/images/I/61CoYTBp1AL._AC_UL320_.jpg")</f>
        <v/>
      </c>
      <c r="K135" t="inlineStr">
        <is>
          <t>5.0</t>
        </is>
      </c>
      <c r="L135" t="n">
        <v>4.35</v>
      </c>
      <c r="M135" s="1" t="inlineStr">
        <is>
          <t>-13.00%</t>
        </is>
      </c>
      <c r="N135" t="n">
        <v>4.3</v>
      </c>
      <c r="O135" t="n">
        <v>359</v>
      </c>
      <c r="Q135" t="inlineStr">
        <is>
          <t>InStock</t>
        </is>
      </c>
      <c r="R135" t="inlineStr">
        <is>
          <t>undefined</t>
        </is>
      </c>
      <c r="S135" t="inlineStr">
        <is>
          <t>7050849223</t>
        </is>
      </c>
    </row>
    <row r="136" ht="75" customHeight="1">
      <c r="A136" s="2">
        <f>HYPERLINK("https://camerareadycosmetics.com/products/ardell-natural-demi-wispies-black-65012", "https://camerareadycosmetics.com/products/ardell-natural-demi-wispies-black-65012")</f>
        <v/>
      </c>
      <c r="B136" s="2">
        <f>HYPERLINK("https://camerareadycosmetics.com/products/ardell-natural-demi-wispies-black-65012", "https://camerareadycosmetics.com/products/ardell-natural-demi-wispies-black-65012")</f>
        <v/>
      </c>
      <c r="C136" t="inlineStr">
        <is>
          <t>Ardell Natural Demi Wispies - Black (65012)</t>
        </is>
      </c>
      <c r="D136" t="inlineStr">
        <is>
          <t>Ardell Eye Lashes Demi Wispies Black</t>
        </is>
      </c>
      <c r="E136" s="2">
        <f>HYPERLINK("https://www.amazon.com/Ardell-InvisiBands-Lashes-Glamour-Wispies/dp/B01DJHDQ92/ref=sr_1_8?keywords=Ardell+Natural+Demi+Wispies+-+Black+%2865012%29&amp;qid=1695565510&amp;sr=8-8", "https://www.amazon.com/Ardell-InvisiBands-Lashes-Glamour-Wispies/dp/B01DJHDQ92/ref=sr_1_8?keywords=Ardell+Natural+Demi+Wispies+-+Black+%2865012%29&amp;qid=1695565510&amp;sr=8-8")</f>
        <v/>
      </c>
      <c r="F136" t="inlineStr">
        <is>
          <t>B01DJHDQ92</t>
        </is>
      </c>
      <c r="G136">
        <f>_xlfn.IMAGE("https://camerareadycosmetics.com/cdn/shop/products/08demiwispiesblack__80334.1461773308.600.600_50x.jpeg?v=1689659648")</f>
        <v/>
      </c>
      <c r="H136">
        <f>_xlfn.IMAGE("https://m.media-amazon.com/images/I/61-SRPTVymL._AC_UL320_.jpg")</f>
        <v/>
      </c>
      <c r="K136" t="inlineStr">
        <is>
          <t>5.0</t>
        </is>
      </c>
      <c r="L136" t="n">
        <v>4.14</v>
      </c>
      <c r="M136" s="1" t="inlineStr">
        <is>
          <t>-17.20%</t>
        </is>
      </c>
      <c r="N136" t="n">
        <v>4</v>
      </c>
      <c r="O136" t="n">
        <v>54</v>
      </c>
      <c r="Q136" t="inlineStr">
        <is>
          <t>InStock</t>
        </is>
      </c>
      <c r="R136" t="inlineStr">
        <is>
          <t>undefined</t>
        </is>
      </c>
      <c r="S136" t="inlineStr">
        <is>
          <t>7050849223</t>
        </is>
      </c>
    </row>
    <row r="137" ht="75" customHeight="1">
      <c r="A137" s="2">
        <f>HYPERLINK("https://camerareadycosmetics.com/products/ardell-natural-demi-wispies-brown-65013", "https://camerareadycosmetics.com/products/ardell-natural-demi-wispies-brown-65013")</f>
        <v/>
      </c>
      <c r="B137" s="2">
        <f>HYPERLINK("https://camerareadycosmetics.com/products/ardell-natural-demi-wispies-brown-65013", "https://camerareadycosmetics.com/products/ardell-natural-demi-wispies-brown-65013")</f>
        <v/>
      </c>
      <c r="C137" t="inlineStr">
        <is>
          <t>Ardell Natural Demi Wispies - Brown (65013)</t>
        </is>
      </c>
      <c r="D137" t="inlineStr">
        <is>
          <t>(6 Pack) ARDELL False Eyelashes - Invisibands DEMI Wispies Brown</t>
        </is>
      </c>
      <c r="E137" s="2">
        <f>HYPERLINK("https://www.amazon.com/Pack-ARDELL-False-Eyelashes-Invisibands/dp/B00MSKXZ3O/ref=sr_1_5?keywords=Ardell+Natural+Demi+Wispies+-+Brown+%2865013%29&amp;qid=1695565691&amp;sr=8-5", "https://www.amazon.com/Pack-ARDELL-False-Eyelashes-Invisibands/dp/B00MSKXZ3O/ref=sr_1_5?keywords=Ardell+Natural+Demi+Wispies+-+Brown+%2865013%29&amp;qid=1695565691&amp;sr=8-5")</f>
        <v/>
      </c>
      <c r="F137" t="inlineStr">
        <is>
          <t>B00MSKXZ3O</t>
        </is>
      </c>
      <c r="G137">
        <f>_xlfn.IMAGE("https://camerareadycosmetics.com/cdn/shop/products/09demiwispiesbrown__53380.1461773462.600.600_50x.jpeg?v=1689659651")</f>
        <v/>
      </c>
      <c r="H137">
        <f>_xlfn.IMAGE("https://m.media-amazon.com/images/I/31q0COUBwOL._AC_UL320_.jpg")</f>
        <v/>
      </c>
      <c r="K137" t="inlineStr">
        <is>
          <t>5.0</t>
        </is>
      </c>
      <c r="L137" t="n">
        <v>19.5</v>
      </c>
      <c r="M137" s="1" t="inlineStr">
        <is>
          <t>290.00%</t>
        </is>
      </c>
      <c r="N137" t="n">
        <v>4.3</v>
      </c>
      <c r="O137" t="n">
        <v>87</v>
      </c>
      <c r="Q137" t="inlineStr">
        <is>
          <t>InStock</t>
        </is>
      </c>
      <c r="R137" t="inlineStr">
        <is>
          <t>undefined</t>
        </is>
      </c>
      <c r="S137" t="inlineStr">
        <is>
          <t>7050851655</t>
        </is>
      </c>
    </row>
    <row r="138" ht="75" customHeight="1">
      <c r="A138" s="2">
        <f>HYPERLINK("https://camerareadycosmetics.com/products/ardell-natural-demi-wispies-brown-65013", "https://camerareadycosmetics.com/products/ardell-natural-demi-wispies-brown-65013")</f>
        <v/>
      </c>
      <c r="B138" s="2">
        <f>HYPERLINK("https://camerareadycosmetics.com/products/ardell-natural-demi-wispies-brown-65013", "https://camerareadycosmetics.com/products/ardell-natural-demi-wispies-brown-65013")</f>
        <v/>
      </c>
      <c r="C138" t="inlineStr">
        <is>
          <t>Ardell Natural Demi Wispies - Brown (65013)</t>
        </is>
      </c>
      <c r="D138" t="inlineStr">
        <is>
          <t>(3 Pack) ARDELL False Eyelashes - Invisibands DEMI Wispies Brown</t>
        </is>
      </c>
      <c r="E138" s="2">
        <f>HYPERLINK("https://www.amazon.com/Pack-ARDELL-False-Eyelashes-Invisibands/dp/B00GEH630O/ref=sr_1_9?keywords=Ardell+Natural+Demi+Wispies+-+Brown+%2865013%29&amp;qid=1695565691&amp;sr=8-9", "https://www.amazon.com/Pack-ARDELL-False-Eyelashes-Invisibands/dp/B00GEH630O/ref=sr_1_9?keywords=Ardell+Natural+Demi+Wispies+-+Brown+%2865013%29&amp;qid=1695565691&amp;sr=8-9")</f>
        <v/>
      </c>
      <c r="F138" t="inlineStr">
        <is>
          <t>B00GEH630O</t>
        </is>
      </c>
      <c r="G138">
        <f>_xlfn.IMAGE("https://camerareadycosmetics.com/cdn/shop/products/09demiwispiesbrown__53380.1461773462.600.600_50x.jpeg?v=1689659651")</f>
        <v/>
      </c>
      <c r="H138">
        <f>_xlfn.IMAGE("https://m.media-amazon.com/images/I/31JED991hvL._AC_UL320_.jpg")</f>
        <v/>
      </c>
      <c r="K138" t="inlineStr">
        <is>
          <t>5.0</t>
        </is>
      </c>
      <c r="L138" t="n">
        <v>12.99</v>
      </c>
      <c r="M138" s="1" t="inlineStr">
        <is>
          <t>159.80%</t>
        </is>
      </c>
      <c r="N138" t="n">
        <v>4.4</v>
      </c>
      <c r="O138" t="n">
        <v>34</v>
      </c>
      <c r="Q138" t="inlineStr">
        <is>
          <t>InStock</t>
        </is>
      </c>
      <c r="R138" t="inlineStr">
        <is>
          <t>undefined</t>
        </is>
      </c>
      <c r="S138" t="inlineStr">
        <is>
          <t>7050851655</t>
        </is>
      </c>
    </row>
    <row r="139" ht="75" customHeight="1">
      <c r="A139" s="2">
        <f>HYPERLINK("https://camerareadycosmetics.com/products/ardell-natural-demi-wispies-brown-65013", "https://camerareadycosmetics.com/products/ardell-natural-demi-wispies-brown-65013")</f>
        <v/>
      </c>
      <c r="B139" s="2">
        <f>HYPERLINK("https://camerareadycosmetics.com/products/ardell-natural-demi-wispies-brown-65013", "https://camerareadycosmetics.com/products/ardell-natural-demi-wispies-brown-65013")</f>
        <v/>
      </c>
      <c r="C139" t="inlineStr">
        <is>
          <t>Ardell Natural Demi Wispies - Brown (65013)</t>
        </is>
      </c>
      <c r="D139" t="inlineStr">
        <is>
          <t>Ardell False Eyelashes Demi Wispies Brown (4 Pack)</t>
        </is>
      </c>
      <c r="E139" s="2">
        <f>HYPERLINK("https://www.amazon.com/Ardell-False-Eyelashes-Wispies-Brown/dp/B07QXTY9BM/ref=sr_1_1?keywords=Ardell+Natural+Demi+Wispies+-+Brown+%2865013%29&amp;qid=1695565691&amp;sr=8-1", "https://www.amazon.com/Ardell-False-Eyelashes-Wispies-Brown/dp/B07QXTY9BM/ref=sr_1_1?keywords=Ardell+Natural+Demi+Wispies+-+Brown+%2865013%29&amp;qid=1695565691&amp;sr=8-1")</f>
        <v/>
      </c>
      <c r="F139" t="inlineStr">
        <is>
          <t>B07QXTY9BM</t>
        </is>
      </c>
      <c r="G139">
        <f>_xlfn.IMAGE("https://camerareadycosmetics.com/cdn/shop/products/09demiwispiesbrown__53380.1461773462.600.600_50x.jpeg?v=1689659651")</f>
        <v/>
      </c>
      <c r="H139">
        <f>_xlfn.IMAGE("https://m.media-amazon.com/images/I/61HuNMumQZL._AC_UL320_.jpg")</f>
        <v/>
      </c>
      <c r="K139" t="inlineStr">
        <is>
          <t>5.0</t>
        </is>
      </c>
      <c r="L139" t="n">
        <v>11.9</v>
      </c>
      <c r="M139" s="1" t="inlineStr">
        <is>
          <t>138.00%</t>
        </is>
      </c>
      <c r="N139" t="n">
        <v>4.4</v>
      </c>
      <c r="O139" t="n">
        <v>302</v>
      </c>
      <c r="Q139" t="inlineStr">
        <is>
          <t>InStock</t>
        </is>
      </c>
      <c r="R139" t="inlineStr">
        <is>
          <t>undefined</t>
        </is>
      </c>
      <c r="S139" t="inlineStr">
        <is>
          <t>7050851655</t>
        </is>
      </c>
    </row>
    <row r="140" ht="75" customHeight="1">
      <c r="A140" s="2">
        <f>HYPERLINK("https://camerareadycosmetics.com/products/ardell-natural-demi-wispies-brown-65013", "https://camerareadycosmetics.com/products/ardell-natural-demi-wispies-brown-65013")</f>
        <v/>
      </c>
      <c r="B140" s="2">
        <f>HYPERLINK("https://camerareadycosmetics.com/products/ardell-natural-demi-wispies-brown-65013", "https://camerareadycosmetics.com/products/ardell-natural-demi-wispies-brown-65013")</f>
        <v/>
      </c>
      <c r="C140" t="inlineStr">
        <is>
          <t>Ardell Natural Demi Wispies - Brown (65013)</t>
        </is>
      </c>
      <c r="D140" t="inlineStr">
        <is>
          <t>Ardell Invisiband Lashes, Demi Wispies Brown, 1 Pair (Pack of 3)</t>
        </is>
      </c>
      <c r="E140" s="2">
        <f>HYPERLINK("https://www.amazon.com/Ardell-Invisiband-Lashes-Wispies-Brown/dp/B0035LCW52/ref=sr_1_2?keywords=Ardell+Natural+Demi+Wispies+-+Brown+%2865013%29&amp;qid=1695565691&amp;sr=8-2", "https://www.amazon.com/Ardell-Invisiband-Lashes-Wispies-Brown/dp/B0035LCW52/ref=sr_1_2?keywords=Ardell+Natural+Demi+Wispies+-+Brown+%2865013%29&amp;qid=1695565691&amp;sr=8-2")</f>
        <v/>
      </c>
      <c r="F140" t="inlineStr">
        <is>
          <t>B0035LCW52</t>
        </is>
      </c>
      <c r="G140">
        <f>_xlfn.IMAGE("https://camerareadycosmetics.com/cdn/shop/products/09demiwispiesbrown__53380.1461773462.600.600_50x.jpeg?v=1689659651")</f>
        <v/>
      </c>
      <c r="H140">
        <f>_xlfn.IMAGE("https://m.media-amazon.com/images/I/71+iFmkmBwL._AC_UL320_.jpg")</f>
        <v/>
      </c>
      <c r="K140" t="inlineStr">
        <is>
          <t>5.0</t>
        </is>
      </c>
      <c r="L140" t="n">
        <v>11.5</v>
      </c>
      <c r="M140" s="1" t="inlineStr">
        <is>
          <t>130.00%</t>
        </is>
      </c>
      <c r="N140" t="n">
        <v>4.3</v>
      </c>
      <c r="O140" t="n">
        <v>64</v>
      </c>
      <c r="Q140" t="inlineStr">
        <is>
          <t>InStock</t>
        </is>
      </c>
      <c r="R140" t="inlineStr">
        <is>
          <t>undefined</t>
        </is>
      </c>
      <c r="S140" t="inlineStr">
        <is>
          <t>7050851655</t>
        </is>
      </c>
    </row>
    <row r="141" ht="75" customHeight="1">
      <c r="A141" s="2">
        <f>HYPERLINK("https://camerareadycosmetics.com/products/ardell-natural-demi-wispies-brown-65013", "https://camerareadycosmetics.com/products/ardell-natural-demi-wispies-brown-65013")</f>
        <v/>
      </c>
      <c r="B141" s="2">
        <f>HYPERLINK("https://camerareadycosmetics.com/products/ardell-natural-demi-wispies-brown-65013", "https://camerareadycosmetics.com/products/ardell-natural-demi-wispies-brown-65013")</f>
        <v/>
      </c>
      <c r="C141" t="inlineStr">
        <is>
          <t>Ardell Natural Demi Wispies - Brown (65013)</t>
        </is>
      </c>
      <c r="D141" t="inlineStr">
        <is>
          <t>Ardell Natural Baby Demi Wispies (4 pack)</t>
        </is>
      </c>
      <c r="E141" s="2">
        <f>HYPERLINK("https://www.amazon.com/Ardell-Natural-Baby-Demi-Wispies/dp/B017OGL0LK/ref=sr_1_4?keywords=Ardell+Natural+Demi+Wispies+-+Brown+%2865013%29&amp;qid=1695565691&amp;sr=8-4", "https://www.amazon.com/Ardell-Natural-Baby-Demi-Wispies/dp/B017OGL0LK/ref=sr_1_4?keywords=Ardell+Natural+Demi+Wispies+-+Brown+%2865013%29&amp;qid=1695565691&amp;sr=8-4")</f>
        <v/>
      </c>
      <c r="F141" t="inlineStr">
        <is>
          <t>B017OGL0LK</t>
        </is>
      </c>
      <c r="G141">
        <f>_xlfn.IMAGE("https://camerareadycosmetics.com/cdn/shop/products/09demiwispiesbrown__53380.1461773462.600.600_50x.jpeg?v=1689659651")</f>
        <v/>
      </c>
      <c r="H141">
        <f>_xlfn.IMAGE("https://m.media-amazon.com/images/I/61JeVoc2UFL._AC_UL320_.jpg")</f>
        <v/>
      </c>
      <c r="K141" t="inlineStr">
        <is>
          <t>5.0</t>
        </is>
      </c>
      <c r="L141" t="n">
        <v>9.69</v>
      </c>
      <c r="M141" s="1" t="inlineStr">
        <is>
          <t>93.80%</t>
        </is>
      </c>
      <c r="N141" t="n">
        <v>4.7</v>
      </c>
      <c r="O141" t="n">
        <v>385</v>
      </c>
      <c r="Q141" t="inlineStr">
        <is>
          <t>InStock</t>
        </is>
      </c>
      <c r="R141" t="inlineStr">
        <is>
          <t>undefined</t>
        </is>
      </c>
      <c r="S141" t="inlineStr">
        <is>
          <t>7050851655</t>
        </is>
      </c>
    </row>
    <row r="142" ht="75" customHeight="1">
      <c r="A142" s="2">
        <f>HYPERLINK("https://camerareadycosmetics.com/products/ardell-natural-lashes-multipack-110-61407", "https://camerareadycosmetics.com/products/ardell-natural-lashes-multipack-110-61407")</f>
        <v/>
      </c>
      <c r="B142" s="2">
        <f>HYPERLINK("https://camerareadycosmetics.com/products/ardell-natural-lashes-multipack-110-61407", "https://camerareadycosmetics.com/products/ardell-natural-lashes-multipack-110-61407")</f>
        <v/>
      </c>
      <c r="C142" t="inlineStr">
        <is>
          <t>Ardell Natural Lashes Multipack 110 (68981)</t>
        </is>
      </c>
      <c r="D142" t="inlineStr">
        <is>
          <t>Ardell False Eyelashes, Natural 110, 5 pair + bonus pair Multipack for Eye-Lifting Effect</t>
        </is>
      </c>
      <c r="E142" s="2">
        <f>HYPERLINK("https://www.amazon.com/Ardell-Multipack-Lashes-0-06-Pound/dp/B01C2XBQQE/ref=sr_1_3?keywords=Ardell+Natural+Lashes+Multipack+110+%2868981%29&amp;qid=1695565467&amp;sr=8-3", "https://www.amazon.com/Ardell-Multipack-Lashes-0-06-Pound/dp/B01C2XBQQE/ref=sr_1_3?keywords=Ardell+Natural+Lashes+Multipack+110+%2868981%29&amp;qid=1695565467&amp;sr=8-3")</f>
        <v/>
      </c>
      <c r="F142" t="inlineStr">
        <is>
          <t>B01C2XBQQE</t>
        </is>
      </c>
      <c r="G142">
        <f>_xlfn.IMAGE("https://camerareadycosmetics.com/cdn/shop/products/Ardell-Natural-Lashes-Multipack-110-_68981_50x.jpg?v=1689659749")</f>
        <v/>
      </c>
      <c r="H142">
        <f>_xlfn.IMAGE("https://m.media-amazon.com/images/I/613RtLLRAmL._AC_UL320_.jpg")</f>
        <v/>
      </c>
      <c r="K142" t="inlineStr">
        <is>
          <t>14.5</t>
        </is>
      </c>
      <c r="L142" t="n">
        <v>9.74</v>
      </c>
      <c r="M142" s="1" t="inlineStr">
        <is>
          <t>-32.83%</t>
        </is>
      </c>
      <c r="N142" t="n">
        <v>4.5</v>
      </c>
      <c r="O142" t="n">
        <v>3276</v>
      </c>
      <c r="Q142" t="inlineStr">
        <is>
          <t>OutOfStock</t>
        </is>
      </c>
      <c r="R142" t="inlineStr">
        <is>
          <t>undefined</t>
        </is>
      </c>
      <c r="S142" t="inlineStr">
        <is>
          <t>7050966663</t>
        </is>
      </c>
    </row>
    <row r="143" ht="75" customHeight="1">
      <c r="A143" s="2">
        <f>HYPERLINK("https://camerareadycosmetics.com/products/ardell-natural-lashes-multipack-110-61407", "https://camerareadycosmetics.com/products/ardell-natural-lashes-multipack-110-61407")</f>
        <v/>
      </c>
      <c r="B143" s="2">
        <f>HYPERLINK("https://camerareadycosmetics.com/products/ardell-natural-lashes-multipack-110-61407", "https://camerareadycosmetics.com/products/ardell-natural-lashes-multipack-110-61407")</f>
        <v/>
      </c>
      <c r="C143" t="inlineStr">
        <is>
          <t>Ardell Natural Lashes Multipack 110 (68981)</t>
        </is>
      </c>
      <c r="D143" t="inlineStr">
        <is>
          <t>Ardell False Eyelashes, Natural 110, 5 pair + bonus pair Multipack for Eye-Lifting Effect</t>
        </is>
      </c>
      <c r="E143" s="2">
        <f>HYPERLINK("https://www.amazon.com/Ardell-Eyelashes-Natural-Multipack-Eye-Lifting/dp/B07VWCM49P/ref=sr_1_1?keywords=Ardell+Natural+Lashes+Multipack+110+%2868981%29&amp;qid=1695565467&amp;sr=8-1", "https://www.amazon.com/Ardell-Eyelashes-Natural-Multipack-Eye-Lifting/dp/B07VWCM49P/ref=sr_1_1?keywords=Ardell+Natural+Lashes+Multipack+110+%2868981%29&amp;qid=1695565467&amp;sr=8-1")</f>
        <v/>
      </c>
      <c r="F143" t="inlineStr">
        <is>
          <t>B07VWCM49P</t>
        </is>
      </c>
      <c r="G143">
        <f>_xlfn.IMAGE("https://camerareadycosmetics.com/cdn/shop/products/Ardell-Natural-Lashes-Multipack-110-_68981_50x.jpg?v=1689659749")</f>
        <v/>
      </c>
      <c r="H143">
        <f>_xlfn.IMAGE("https://m.media-amazon.com/images/I/61FDQ1bLvjL._AC_UL320_.jpg")</f>
        <v/>
      </c>
      <c r="K143" t="inlineStr">
        <is>
          <t>14.5</t>
        </is>
      </c>
      <c r="L143" t="n">
        <v>9.35</v>
      </c>
      <c r="M143" s="1" t="inlineStr">
        <is>
          <t>-35.52%</t>
        </is>
      </c>
      <c r="N143" t="n">
        <v>4.5</v>
      </c>
      <c r="O143" t="n">
        <v>613</v>
      </c>
      <c r="Q143" t="inlineStr">
        <is>
          <t>OutOfStock</t>
        </is>
      </c>
      <c r="R143" t="inlineStr">
        <is>
          <t>undefined</t>
        </is>
      </c>
      <c r="S143" t="inlineStr">
        <is>
          <t>7050966663</t>
        </is>
      </c>
    </row>
    <row r="144" ht="75" customHeight="1">
      <c r="A144" s="2">
        <f>HYPERLINK("https://camerareadycosmetics.com/products/ardell-natural-lashes-multipack-demi-wispies-61494", "https://camerareadycosmetics.com/products/ardell-natural-lashes-multipack-demi-wispies-61494")</f>
        <v/>
      </c>
      <c r="B144" s="2">
        <f>HYPERLINK("https://camerareadycosmetics.com/products/ardell-natural-lashes-multipack-demi-wispies-61494", "https://camerareadycosmetics.com/products/ardell-natural-lashes-multipack-demi-wispies-61494")</f>
        <v/>
      </c>
      <c r="C144" t="inlineStr">
        <is>
          <t>Multipack Demi Wispies (68980)</t>
        </is>
      </c>
      <c r="D144" t="inlineStr">
        <is>
          <t>Ardell - Multipack Demi Wispies Fake Eyelashes 4 Pair (Pack of 3)</t>
        </is>
      </c>
      <c r="E144" s="2">
        <f>HYPERLINK("https://www.amazon.com/Ardell-Multipack-Demi-Wispies-Eyelashes/dp/B00XUMGY8C/ref=sr_1_4?keywords=Multipack+Demi+Wispies+%2868980%29&amp;qid=1695565428&amp;sr=8-4", "https://www.amazon.com/Ardell-Multipack-Demi-Wispies-Eyelashes/dp/B00XUMGY8C/ref=sr_1_4?keywords=Multipack+Demi+Wispies+%2868980%29&amp;qid=1695565428&amp;sr=8-4")</f>
        <v/>
      </c>
      <c r="F144" t="inlineStr">
        <is>
          <t>B00XUMGY8C</t>
        </is>
      </c>
      <c r="G144">
        <f>_xlfn.IMAGE("https://camerareadycosmetics.com/cdn/shop/products/ArdellLashesMultipackDemiWispies_68980_-model_50x.jpg?v=1630513263")</f>
        <v/>
      </c>
      <c r="H144">
        <f>_xlfn.IMAGE("https://m.media-amazon.com/images/I/81Z+2BVxfLL._AC_UL320_.jpg")</f>
        <v/>
      </c>
      <c r="K144" t="inlineStr">
        <is>
          <t>14.5</t>
        </is>
      </c>
      <c r="L144" t="n">
        <v>27.48</v>
      </c>
      <c r="M144" s="1" t="inlineStr">
        <is>
          <t>89.52%</t>
        </is>
      </c>
      <c r="N144" t="n">
        <v>4.6</v>
      </c>
      <c r="O144" t="n">
        <v>131</v>
      </c>
      <c r="Q144" t="inlineStr">
        <is>
          <t>OutOfStock</t>
        </is>
      </c>
      <c r="R144" t="inlineStr">
        <is>
          <t>undefined</t>
        </is>
      </c>
      <c r="S144" t="inlineStr">
        <is>
          <t>7042776967</t>
        </is>
      </c>
    </row>
    <row r="145" ht="75" customHeight="1">
      <c r="A145" s="2">
        <f>HYPERLINK("https://camerareadycosmetics.com/products/ardell-natural-lashes-multipack-demi-wispies-61494", "https://camerareadycosmetics.com/products/ardell-natural-lashes-multipack-demi-wispies-61494")</f>
        <v/>
      </c>
      <c r="B145" s="2">
        <f>HYPERLINK("https://camerareadycosmetics.com/products/ardell-natural-lashes-multipack-demi-wispies-61494", "https://camerareadycosmetics.com/products/ardell-natural-lashes-multipack-demi-wispies-61494")</f>
        <v/>
      </c>
      <c r="C145" t="inlineStr">
        <is>
          <t>Multipack Demi Wispies (68980)</t>
        </is>
      </c>
      <c r="D145" t="inlineStr">
        <is>
          <t>ARDELL Professional Natural Multipack - Demi Wispies Black by Ardell, Pack of 3</t>
        </is>
      </c>
      <c r="E145" s="2">
        <f>HYPERLINK("https://www.amazon.com/ARDELL-Professional-Natural-Multipack-Wispies/dp/B00ILPRW2U/ref=sr_1_6?keywords=Multipack+Demi+Wispies+%2868980%29&amp;qid=1695565428&amp;sr=8-6", "https://www.amazon.com/ARDELL-Professional-Natural-Multipack-Wispies/dp/B00ILPRW2U/ref=sr_1_6?keywords=Multipack+Demi+Wispies+%2868980%29&amp;qid=1695565428&amp;sr=8-6")</f>
        <v/>
      </c>
      <c r="F145" t="inlineStr">
        <is>
          <t>B00ILPRW2U</t>
        </is>
      </c>
      <c r="G145">
        <f>_xlfn.IMAGE("https://camerareadycosmetics.com/cdn/shop/products/ArdellLashesMultipackDemiWispies_68980_-model_50x.jpg?v=1630513263")</f>
        <v/>
      </c>
      <c r="H145">
        <f>_xlfn.IMAGE("https://m.media-amazon.com/images/I/91U+X7NBoxL._AC_UL320_.jpg")</f>
        <v/>
      </c>
      <c r="K145" t="inlineStr">
        <is>
          <t>14.5</t>
        </is>
      </c>
      <c r="L145" t="n">
        <v>24.73</v>
      </c>
      <c r="M145" s="1" t="inlineStr">
        <is>
          <t>70.55%</t>
        </is>
      </c>
      <c r="N145" t="n">
        <v>4.6</v>
      </c>
      <c r="O145" t="n">
        <v>900</v>
      </c>
      <c r="Q145" t="inlineStr">
        <is>
          <t>OutOfStock</t>
        </is>
      </c>
      <c r="R145" t="inlineStr">
        <is>
          <t>undefined</t>
        </is>
      </c>
      <c r="S145" t="inlineStr">
        <is>
          <t>7042776967</t>
        </is>
      </c>
    </row>
    <row r="146" ht="75" customHeight="1">
      <c r="A146" s="2">
        <f>HYPERLINK("https://camerareadycosmetics.com/products/ardell-natural-lashes-multipack-demi-wispies-61494", "https://camerareadycosmetics.com/products/ardell-natural-lashes-multipack-demi-wispies-61494")</f>
        <v/>
      </c>
      <c r="B146" s="2">
        <f>HYPERLINK("https://camerareadycosmetics.com/products/ardell-natural-lashes-multipack-demi-wispies-61494", "https://camerareadycosmetics.com/products/ardell-natural-lashes-multipack-demi-wispies-61494")</f>
        <v/>
      </c>
      <c r="C146" t="inlineStr">
        <is>
          <t>Multipack Demi Wispies (68980)</t>
        </is>
      </c>
      <c r="D146" t="inlineStr">
        <is>
          <t>Ardell Multipack Demi Wispies Fake Eyelashes, Pack of 2</t>
        </is>
      </c>
      <c r="E146" s="2">
        <f>HYPERLINK("https://www.amazon.com/Ardell-Multipack-Demi-Wispies-Eyelashes/dp/B01F5YU56Y/ref=sr_1_7?keywords=Multipack+Demi+Wispies+%2868980%29&amp;qid=1695565428&amp;sr=8-7", "https://www.amazon.com/Ardell-Multipack-Demi-Wispies-Eyelashes/dp/B01F5YU56Y/ref=sr_1_7?keywords=Multipack+Demi+Wispies+%2868980%29&amp;qid=1695565428&amp;sr=8-7")</f>
        <v/>
      </c>
      <c r="F146" t="inlineStr">
        <is>
          <t>B01F5YU56Y</t>
        </is>
      </c>
      <c r="G146">
        <f>_xlfn.IMAGE("https://camerareadycosmetics.com/cdn/shop/products/ArdellLashesMultipackDemiWispies_68980_-model_50x.jpg?v=1630513263")</f>
        <v/>
      </c>
      <c r="H146">
        <f>_xlfn.IMAGE("https://m.media-amazon.com/images/I/714fYJSNvXS._AC_UL320_.jpg")</f>
        <v/>
      </c>
      <c r="K146" t="inlineStr">
        <is>
          <t>14.5</t>
        </is>
      </c>
      <c r="L146" t="n">
        <v>19.99</v>
      </c>
      <c r="M146" s="1" t="inlineStr">
        <is>
          <t>37.86%</t>
        </is>
      </c>
      <c r="N146" t="n">
        <v>4.6</v>
      </c>
      <c r="O146" t="n">
        <v>325</v>
      </c>
      <c r="Q146" t="inlineStr">
        <is>
          <t>OutOfStock</t>
        </is>
      </c>
      <c r="R146" t="inlineStr">
        <is>
          <t>undefined</t>
        </is>
      </c>
      <c r="S146" t="inlineStr">
        <is>
          <t>7042776967</t>
        </is>
      </c>
    </row>
    <row r="147" ht="75" customHeight="1">
      <c r="A147" s="2">
        <f>HYPERLINK("https://camerareadycosmetics.com/products/ardell-natural-lashes-multipack-demi-wispies-61494", "https://camerareadycosmetics.com/products/ardell-natural-lashes-multipack-demi-wispies-61494")</f>
        <v/>
      </c>
      <c r="B147" s="2">
        <f>HYPERLINK("https://camerareadycosmetics.com/products/ardell-natural-lashes-multipack-demi-wispies-61494", "https://camerareadycosmetics.com/products/ardell-natural-lashes-multipack-demi-wispies-61494")</f>
        <v/>
      </c>
      <c r="C147" t="inlineStr">
        <is>
          <t>Multipack Demi Wispies (68980)</t>
        </is>
      </c>
      <c r="D147" t="inlineStr">
        <is>
          <t>Ardell Multipack Demi Wispies Fake Eyelashes 2 Pack, 16 Piece Assortment</t>
        </is>
      </c>
      <c r="E147" s="2">
        <f>HYPERLINK("https://www.amazon.com/Ardell-Multipack-Demi-Wispies-Eyelashes/dp/B00TFZU73Q/ref=sr_1_8?keywords=Multipack+Demi+Wispies+%2868980%29&amp;qid=1695565428&amp;sr=8-8", "https://www.amazon.com/Ardell-Multipack-Demi-Wispies-Eyelashes/dp/B00TFZU73Q/ref=sr_1_8?keywords=Multipack+Demi+Wispies+%2868980%29&amp;qid=1695565428&amp;sr=8-8")</f>
        <v/>
      </c>
      <c r="F147" t="inlineStr">
        <is>
          <t>B00TFZU73Q</t>
        </is>
      </c>
      <c r="G147">
        <f>_xlfn.IMAGE("https://camerareadycosmetics.com/cdn/shop/products/ArdellLashesMultipackDemiWispies_68980_-model_50x.jpg?v=1630513263")</f>
        <v/>
      </c>
      <c r="H147">
        <f>_xlfn.IMAGE("https://m.media-amazon.com/images/I/81Uxk402EyL._AC_UL320_.jpg")</f>
        <v/>
      </c>
      <c r="K147" t="inlineStr">
        <is>
          <t>14.5</t>
        </is>
      </c>
      <c r="L147" t="n">
        <v>19.98</v>
      </c>
      <c r="M147" s="1" t="inlineStr">
        <is>
          <t>37.79%</t>
        </is>
      </c>
      <c r="N147" t="n">
        <v>4.4</v>
      </c>
      <c r="O147" t="n">
        <v>851</v>
      </c>
      <c r="Q147" t="inlineStr">
        <is>
          <t>OutOfStock</t>
        </is>
      </c>
      <c r="R147" t="inlineStr">
        <is>
          <t>undefined</t>
        </is>
      </c>
      <c r="S147" t="inlineStr">
        <is>
          <t>7042776967</t>
        </is>
      </c>
    </row>
    <row r="148" ht="75" customHeight="1">
      <c r="A148" s="2">
        <f>HYPERLINK("https://camerareadycosmetics.com/products/ardell-natural-lashes-multipack-demi-wispies-61494", "https://camerareadycosmetics.com/products/ardell-natural-lashes-multipack-demi-wispies-61494")</f>
        <v/>
      </c>
      <c r="B148" s="2">
        <f>HYPERLINK("https://camerareadycosmetics.com/products/ardell-natural-lashes-multipack-demi-wispies-61494", "https://camerareadycosmetics.com/products/ardell-natural-lashes-multipack-demi-wispies-61494")</f>
        <v/>
      </c>
      <c r="C148" t="inlineStr">
        <is>
          <t>Multipack Demi Wispies (68980)</t>
        </is>
      </c>
      <c r="D148" t="inlineStr">
        <is>
          <t>Ardell Multipack Demi Wispies False Lashes 5 Pairs x 2 pack</t>
        </is>
      </c>
      <c r="E148" s="2">
        <f>HYPERLINK("https://www.amazon.com/Ardell-Multipack-Wispies-False-Lashes/dp/B0CB6BY1YN/ref=sr_1_2?keywords=Multipack+Demi+Wispies+%2868980%29&amp;qid=1695565428&amp;sr=8-2", "https://www.amazon.com/Ardell-Multipack-Wispies-False-Lashes/dp/B0CB6BY1YN/ref=sr_1_2?keywords=Multipack+Demi+Wispies+%2868980%29&amp;qid=1695565428&amp;sr=8-2")</f>
        <v/>
      </c>
      <c r="F148" t="inlineStr">
        <is>
          <t>B0CB6BY1YN</t>
        </is>
      </c>
      <c r="G148">
        <f>_xlfn.IMAGE("https://camerareadycosmetics.com/cdn/shop/products/ArdellLashesMultipackDemiWispies_68980_-model_50x.jpg?v=1630513263")</f>
        <v/>
      </c>
      <c r="H148">
        <f>_xlfn.IMAGE("https://m.media-amazon.com/images/I/61dB1VEs3ZL._AC_UL320_.jpg")</f>
        <v/>
      </c>
      <c r="K148" t="inlineStr">
        <is>
          <t>14.5</t>
        </is>
      </c>
      <c r="L148" t="n">
        <v>17.94</v>
      </c>
      <c r="M148" s="1" t="inlineStr">
        <is>
          <t>23.72%</t>
        </is>
      </c>
      <c r="N148" t="n">
        <v>4.6</v>
      </c>
      <c r="O148" t="n">
        <v>22019</v>
      </c>
      <c r="Q148" t="inlineStr">
        <is>
          <t>OutOfStock</t>
        </is>
      </c>
      <c r="R148" t="inlineStr">
        <is>
          <t>undefined</t>
        </is>
      </c>
      <c r="S148" t="inlineStr">
        <is>
          <t>7042776967</t>
        </is>
      </c>
    </row>
    <row r="149" ht="75" customHeight="1">
      <c r="A149" s="2">
        <f>HYPERLINK("https://camerareadycosmetics.com/products/ardell-natural-lashes-multipack-demi-wispies-61494", "https://camerareadycosmetics.com/products/ardell-natural-lashes-multipack-demi-wispies-61494")</f>
        <v/>
      </c>
      <c r="B149" s="2">
        <f>HYPERLINK("https://camerareadycosmetics.com/products/ardell-natural-lashes-multipack-demi-wispies-61494", "https://camerareadycosmetics.com/products/ardell-natural-lashes-multipack-demi-wispies-61494")</f>
        <v/>
      </c>
      <c r="C149" t="inlineStr">
        <is>
          <t>Multipack Demi Wispies (68980)</t>
        </is>
      </c>
      <c r="D149" t="inlineStr">
        <is>
          <t>DESIRES LASHES Multipack Demi Wispies Fake Eyelashes 5Pairs Per Kits, 01 Monday</t>
        </is>
      </c>
      <c r="E149" s="2">
        <f>HYPERLINK("https://www.amazon.com/DESIRES-LASHES-Multipack-Wispies-Eyelashes/dp/B07FZXLK3H/ref=sr_1_10?keywords=Multipack+Demi+Wispies+%2868980%29&amp;qid=1695565428&amp;sr=8-10", "https://www.amazon.com/DESIRES-LASHES-Multipack-Wispies-Eyelashes/dp/B07FZXLK3H/ref=sr_1_10?keywords=Multipack+Demi+Wispies+%2868980%29&amp;qid=1695565428&amp;sr=8-10")</f>
        <v/>
      </c>
      <c r="F149" t="inlineStr">
        <is>
          <t>B07FZXLK3H</t>
        </is>
      </c>
      <c r="G149">
        <f>_xlfn.IMAGE("https://camerareadycosmetics.com/cdn/shop/products/ArdellLashesMultipackDemiWispies_68980_-model_50x.jpg?v=1630513263")</f>
        <v/>
      </c>
      <c r="H149">
        <f>_xlfn.IMAGE("https://m.media-amazon.com/images/I/61HRFLRxL+L._AC_UL320_.jpg")</f>
        <v/>
      </c>
      <c r="K149" t="inlineStr">
        <is>
          <t>14.5</t>
        </is>
      </c>
      <c r="L149" t="n">
        <v>10.98</v>
      </c>
      <c r="M149" s="1" t="inlineStr">
        <is>
          <t>-24.28%</t>
        </is>
      </c>
      <c r="N149" t="n">
        <v>4</v>
      </c>
      <c r="O149" t="n">
        <v>227</v>
      </c>
      <c r="Q149" t="inlineStr">
        <is>
          <t>OutOfStock</t>
        </is>
      </c>
      <c r="R149" t="inlineStr">
        <is>
          <t>undefined</t>
        </is>
      </c>
      <c r="S149" t="inlineStr">
        <is>
          <t>7042776967</t>
        </is>
      </c>
    </row>
    <row r="150" ht="75" customHeight="1">
      <c r="A150" s="2">
        <f>HYPERLINK("https://camerareadycosmetics.com/products/ardell-natural-lashes-multipack-demi-wispies-61494", "https://camerareadycosmetics.com/products/ardell-natural-lashes-multipack-demi-wispies-61494")</f>
        <v/>
      </c>
      <c r="B150" s="2">
        <f>HYPERLINK("https://camerareadycosmetics.com/products/ardell-natural-lashes-multipack-demi-wispies-61494", "https://camerareadycosmetics.com/products/ardell-natural-lashes-multipack-demi-wispies-61494")</f>
        <v/>
      </c>
      <c r="C150" t="inlineStr">
        <is>
          <t>Multipack Demi Wispies (68980)</t>
        </is>
      </c>
      <c r="D150" t="inlineStr">
        <is>
          <t>THE Best 4 Pairs Ardell Demi Wispies Natural Multipack False Eyelashes Fake Eye Lashes</t>
        </is>
      </c>
      <c r="E150" s="2">
        <f>HYPERLINK("https://www.amazon.com/Ardell-Wispies-Natural-Multipack-Eyelashes/dp/B0175V88R8/ref=sr_1_5?keywords=Multipack+Demi+Wispies+%2868980%29&amp;qid=1695565428&amp;sr=8-5", "https://www.amazon.com/Ardell-Wispies-Natural-Multipack-Eyelashes/dp/B0175V88R8/ref=sr_1_5?keywords=Multipack+Demi+Wispies+%2868980%29&amp;qid=1695565428&amp;sr=8-5")</f>
        <v/>
      </c>
      <c r="F150" t="inlineStr">
        <is>
          <t>B0175V88R8</t>
        </is>
      </c>
      <c r="G150">
        <f>_xlfn.IMAGE("https://camerareadycosmetics.com/cdn/shop/products/ArdellLashesMultipackDemiWispies_68980_-model_50x.jpg?v=1630513263")</f>
        <v/>
      </c>
      <c r="H150">
        <f>_xlfn.IMAGE("https://m.media-amazon.com/images/I/81xkyJr1GPL._AC_UL320_.jpg")</f>
        <v/>
      </c>
      <c r="K150" t="inlineStr">
        <is>
          <t>14.5</t>
        </is>
      </c>
      <c r="L150" t="n">
        <v>9.949999999999999</v>
      </c>
      <c r="M150" s="1" t="inlineStr">
        <is>
          <t>-31.38%</t>
        </is>
      </c>
      <c r="N150" t="n">
        <v>4.5</v>
      </c>
      <c r="O150" t="n">
        <v>739</v>
      </c>
      <c r="Q150" t="inlineStr">
        <is>
          <t>OutOfStock</t>
        </is>
      </c>
      <c r="R150" t="inlineStr">
        <is>
          <t>undefined</t>
        </is>
      </c>
      <c r="S150" t="inlineStr">
        <is>
          <t>7042776967</t>
        </is>
      </c>
    </row>
    <row r="151" ht="75" customHeight="1">
      <c r="A151" s="2">
        <f>HYPERLINK("https://camerareadycosmetics.com/products/ardell-natural-multipack-individual-lashes-knot-free-medium-61487", "https://camerareadycosmetics.com/products/ardell-natural-multipack-individual-lashes-knot-free-medium-61487")</f>
        <v/>
      </c>
      <c r="B151" s="2">
        <f>HYPERLINK("https://camerareadycosmetics.com/products/ardell-natural-multipack-individual-lashes-knot-free-medium-61487", "https://camerareadycosmetics.com/products/ardell-natural-multipack-individual-lashes-knot-free-medium-61487")</f>
        <v/>
      </c>
      <c r="C151" t="inlineStr">
        <is>
          <t>Ardell Natural Multipack Individual Lashes Knot Free Medium (61487)</t>
        </is>
      </c>
      <c r="D151" t="inlineStr">
        <is>
          <t>Ardell Duralash Individual Eyelashes Knot Free Naturals Medium Black (12 Pack)</t>
        </is>
      </c>
      <c r="E151" s="2">
        <f>HYPERLINK("https://www.amazon.com/Ardell-Duralash-Individual-Eyelashes-Naturals/dp/B0190ZGK3G/ref=sr_1_2?keywords=Ardell+Natural+Multipack+Individual+Lashes+Knot+Free+Medium+%2861487%29&amp;qid=1695565545&amp;sr=8-2", "https://www.amazon.com/Ardell-Duralash-Individual-Eyelashes-Naturals/dp/B0190ZGK3G/ref=sr_1_2?keywords=Ardell+Natural+Multipack+Individual+Lashes+Knot+Free+Medium+%2861487%29&amp;qid=1695565545&amp;sr=8-2")</f>
        <v/>
      </c>
      <c r="F151" t="inlineStr">
        <is>
          <t>B0190ZGK3G</t>
        </is>
      </c>
      <c r="G151">
        <f>_xlfn.IMAGE("https://camerareadycosmetics.com/cdn/shop/products/multipacksIndLashKnotfreeMedium61487__32225.1461795534.600.600_50x.jpeg?v=1689659768")</f>
        <v/>
      </c>
      <c r="H151">
        <f>_xlfn.IMAGE("https://m.media-amazon.com/images/I/61lICRJyBmL._AC_UL320_.jpg")</f>
        <v/>
      </c>
      <c r="K151" t="inlineStr">
        <is>
          <t>6.0</t>
        </is>
      </c>
      <c r="L151" t="n">
        <v>29.99</v>
      </c>
      <c r="M151" s="1" t="inlineStr">
        <is>
          <t>399.83%</t>
        </is>
      </c>
      <c r="N151" t="n">
        <v>5</v>
      </c>
      <c r="O151" t="n">
        <v>7</v>
      </c>
      <c r="Q151" t="inlineStr">
        <is>
          <t>OutOfStock</t>
        </is>
      </c>
      <c r="R151" t="inlineStr">
        <is>
          <t>undefined</t>
        </is>
      </c>
      <c r="S151" t="inlineStr">
        <is>
          <t>7050977095</t>
        </is>
      </c>
    </row>
    <row r="152" ht="75" customHeight="1">
      <c r="A152" s="2">
        <f>HYPERLINK("https://camerareadycosmetics.com/products/ardell-natural-multipack-individual-lashes-knot-free-medium-61487", "https://camerareadycosmetics.com/products/ardell-natural-multipack-individual-lashes-knot-free-medium-61487")</f>
        <v/>
      </c>
      <c r="B152" s="2">
        <f>HYPERLINK("https://camerareadycosmetics.com/products/ardell-natural-multipack-individual-lashes-knot-free-medium-61487", "https://camerareadycosmetics.com/products/ardell-natural-multipack-individual-lashes-knot-free-medium-61487")</f>
        <v/>
      </c>
      <c r="C152" t="inlineStr">
        <is>
          <t>Ardell Natural Multipack Individual Lashes Knot Free Medium (61487)</t>
        </is>
      </c>
      <c r="D152" t="inlineStr">
        <is>
          <t>2 Set of 112 Ardell Multipack Individual Lashes, Knot-Free Medium bundled by Maven Gifts</t>
        </is>
      </c>
      <c r="E152" s="2">
        <f>HYPERLINK("https://www.amazon.com/Ardell-Multipack-Individual-Knot-Free-bundled/dp/B01F5YUHAS/ref=sr_1_4?keywords=Ardell+Natural+Multipack+Individual+Lashes+Knot+Free+Medium+%2861487%29&amp;qid=1695565545&amp;sr=8-4", "https://www.amazon.com/Ardell-Multipack-Individual-Knot-Free-bundled/dp/B01F5YUHAS/ref=sr_1_4?keywords=Ardell+Natural+Multipack+Individual+Lashes+Knot+Free+Medium+%2861487%29&amp;qid=1695565545&amp;sr=8-4")</f>
        <v/>
      </c>
      <c r="F152" t="inlineStr">
        <is>
          <t>B01F5YUHAS</t>
        </is>
      </c>
      <c r="G152">
        <f>_xlfn.IMAGE("https://camerareadycosmetics.com/cdn/shop/products/multipacksIndLashKnotfreeMedium61487__32225.1461795534.600.600_50x.jpeg?v=1689659768")</f>
        <v/>
      </c>
      <c r="H152">
        <f>_xlfn.IMAGE("https://m.media-amazon.com/images/I/91Iypxj4erL._AC_UL320_.jpg")</f>
        <v/>
      </c>
      <c r="K152" t="inlineStr">
        <is>
          <t>6.0</t>
        </is>
      </c>
      <c r="L152" t="n">
        <v>9.75</v>
      </c>
      <c r="M152" s="1" t="inlineStr">
        <is>
          <t>62.50%</t>
        </is>
      </c>
      <c r="N152" t="n">
        <v>4.6</v>
      </c>
      <c r="O152" t="n">
        <v>336</v>
      </c>
      <c r="Q152" t="inlineStr">
        <is>
          <t>OutOfStock</t>
        </is>
      </c>
      <c r="R152" t="inlineStr">
        <is>
          <t>undefined</t>
        </is>
      </c>
      <c r="S152" t="inlineStr">
        <is>
          <t>7050977095</t>
        </is>
      </c>
    </row>
    <row r="153" ht="75" customHeight="1">
      <c r="A153" s="2">
        <f>HYPERLINK("https://camerareadycosmetics.com/products/ardell-natural-multipack-individual-lashes-knot-free-medium-61487", "https://camerareadycosmetics.com/products/ardell-natural-multipack-individual-lashes-knot-free-medium-61487")</f>
        <v/>
      </c>
      <c r="B153" s="2">
        <f>HYPERLINK("https://camerareadycosmetics.com/products/ardell-natural-multipack-individual-lashes-knot-free-medium-61487", "https://camerareadycosmetics.com/products/ardell-natural-multipack-individual-lashes-knot-free-medium-61487")</f>
        <v/>
      </c>
      <c r="C153" t="inlineStr">
        <is>
          <t>Ardell Natural Multipack Individual Lashes Knot Free Medium (61487)</t>
        </is>
      </c>
      <c r="D153" t="inlineStr">
        <is>
          <t>Ardell False Eyelashes Multipack Knot-Free Individuals Medium Black, 2-Pack</t>
        </is>
      </c>
      <c r="E153" s="2">
        <f>HYPERLINK("https://www.amazon.com/Ardell-Eyelashes-Multipack-Knot-Free-Individuals/dp/B07S5G9S8H/ref=sr_1_1?keywords=Ardell+Natural+Multipack+Individual+Lashes+Knot+Free+Medium+%2861487%29&amp;qid=1695565545&amp;sr=8-1", "https://www.amazon.com/Ardell-Eyelashes-Multipack-Knot-Free-Individuals/dp/B07S5G9S8H/ref=sr_1_1?keywords=Ardell+Natural+Multipack+Individual+Lashes+Knot+Free+Medium+%2861487%29&amp;qid=1695565545&amp;sr=8-1")</f>
        <v/>
      </c>
      <c r="F153" t="inlineStr">
        <is>
          <t>B07S5G9S8H</t>
        </is>
      </c>
      <c r="G153">
        <f>_xlfn.IMAGE("https://camerareadycosmetics.com/cdn/shop/products/multipacksIndLashKnotfreeMedium61487__32225.1461795534.600.600_50x.jpeg?v=1689659768")</f>
        <v/>
      </c>
      <c r="H153">
        <f>_xlfn.IMAGE("https://m.media-amazon.com/images/I/618nitrfrfL._AC_UL320_.jpg")</f>
        <v/>
      </c>
      <c r="K153" t="inlineStr">
        <is>
          <t>6.0</t>
        </is>
      </c>
      <c r="L153" t="n">
        <v>9.449999999999999</v>
      </c>
      <c r="M153" s="1" t="inlineStr">
        <is>
          <t>57.50%</t>
        </is>
      </c>
      <c r="N153" t="n">
        <v>4.4</v>
      </c>
      <c r="O153" t="n">
        <v>2973</v>
      </c>
      <c r="Q153" t="inlineStr">
        <is>
          <t>OutOfStock</t>
        </is>
      </c>
      <c r="R153" t="inlineStr">
        <is>
          <t>undefined</t>
        </is>
      </c>
      <c r="S153" t="inlineStr">
        <is>
          <t>7050977095</t>
        </is>
      </c>
    </row>
    <row r="154" ht="75" customHeight="1">
      <c r="A154" s="2">
        <f>HYPERLINK("https://camerareadycosmetics.com/products/ardell-natural-wispies-black-65010", "https://camerareadycosmetics.com/products/ardell-natural-wispies-black-65010")</f>
        <v/>
      </c>
      <c r="B154" s="2">
        <f>HYPERLINK("https://camerareadycosmetics.com/products/ardell-natural-wispies-black-65010", "https://camerareadycosmetics.com/products/ardell-natural-wispies-black-65010")</f>
        <v/>
      </c>
      <c r="C154" t="inlineStr">
        <is>
          <t>Ardell Natural Wispies - Black (65010)</t>
        </is>
      </c>
      <c r="D154" t="inlineStr">
        <is>
          <t>ARDELL Professional Natural Multipack - Demi Wispies Black by Ardell, Pack of 3</t>
        </is>
      </c>
      <c r="E154" s="2">
        <f>HYPERLINK("https://www.amazon.com/ARDELL-Professional-Natural-Multipack-Wispies/dp/B00ILPRW2U/ref=sr_1_5?keywords=Ardell+Natural+Wispies+-+Black+%2865010%29&amp;qid=1695565523&amp;sr=8-5", "https://www.amazon.com/ARDELL-Professional-Natural-Multipack-Wispies/dp/B00ILPRW2U/ref=sr_1_5?keywords=Ardell+Natural+Wispies+-+Black+%2865010%29&amp;qid=1695565523&amp;sr=8-5")</f>
        <v/>
      </c>
      <c r="F154" t="inlineStr">
        <is>
          <t>B00ILPRW2U</t>
        </is>
      </c>
      <c r="G154">
        <f>_xlfn.IMAGE("https://camerareadycosmetics.com/cdn/shop/products/04wispiesblack__91640.1461772282.600.600_50x.jpeg?v=1689659632")</f>
        <v/>
      </c>
      <c r="H154">
        <f>_xlfn.IMAGE("https://m.media-amazon.com/images/I/91U+X7NBoxL._AC_UL320_.jpg")</f>
        <v/>
      </c>
      <c r="K154" t="inlineStr">
        <is>
          <t>5.0</t>
        </is>
      </c>
      <c r="L154" t="n">
        <v>24.73</v>
      </c>
      <c r="M154" s="1" t="inlineStr">
        <is>
          <t>394.60%</t>
        </is>
      </c>
      <c r="N154" t="n">
        <v>4.6</v>
      </c>
      <c r="O154" t="n">
        <v>900</v>
      </c>
      <c r="Q154" t="inlineStr">
        <is>
          <t>InStock</t>
        </is>
      </c>
      <c r="R154" t="inlineStr">
        <is>
          <t>undefined</t>
        </is>
      </c>
      <c r="S154" t="inlineStr">
        <is>
          <t>7050837703</t>
        </is>
      </c>
    </row>
    <row r="155" ht="75" customHeight="1">
      <c r="A155" s="2">
        <f>HYPERLINK("https://camerareadycosmetics.com/products/ardell-natural-wispies-black-65010", "https://camerareadycosmetics.com/products/ardell-natural-wispies-black-65010")</f>
        <v/>
      </c>
      <c r="B155" s="2">
        <f>HYPERLINK("https://camerareadycosmetics.com/products/ardell-natural-wispies-black-65010", "https://camerareadycosmetics.com/products/ardell-natural-wispies-black-65010")</f>
        <v/>
      </c>
      <c r="C155" t="inlineStr">
        <is>
          <t>Ardell Natural Wispies - Black (65010)</t>
        </is>
      </c>
      <c r="D155" t="inlineStr">
        <is>
          <t>Ardell Professional Natural Demi Wispies Multipack Black</t>
        </is>
      </c>
      <c r="E155" s="2">
        <f>HYPERLINK("https://www.amazon.com/Ardell-Professional-Natural-Wispies-Multipack/dp/B01M3YT9J7/ref=sr_1_1?keywords=Ardell+Natural+Wispies+-+Black+%2865010%29&amp;qid=1695565523&amp;sr=8-1", "https://www.amazon.com/Ardell-Professional-Natural-Wispies-Multipack/dp/B01M3YT9J7/ref=sr_1_1?keywords=Ardell+Natural+Wispies+-+Black+%2865010%29&amp;qid=1695565523&amp;sr=8-1")</f>
        <v/>
      </c>
      <c r="F155" t="inlineStr">
        <is>
          <t>B01M3YT9J7</t>
        </is>
      </c>
      <c r="G155">
        <f>_xlfn.IMAGE("https://camerareadycosmetics.com/cdn/shop/products/04wispiesblack__91640.1461772282.600.600_50x.jpeg?v=1689659632")</f>
        <v/>
      </c>
      <c r="H155">
        <f>_xlfn.IMAGE("https://m.media-amazon.com/images/I/51ZmuNFb8ZL._AC_UL320_.jpg")</f>
        <v/>
      </c>
      <c r="K155" t="inlineStr">
        <is>
          <t>5.0</t>
        </is>
      </c>
      <c r="L155" t="n">
        <v>19.95</v>
      </c>
      <c r="M155" s="1" t="inlineStr">
        <is>
          <t>299.00%</t>
        </is>
      </c>
      <c r="N155" t="n">
        <v>5</v>
      </c>
      <c r="O155" t="n">
        <v>2</v>
      </c>
      <c r="Q155" t="inlineStr">
        <is>
          <t>InStock</t>
        </is>
      </c>
      <c r="R155" t="inlineStr">
        <is>
          <t>undefined</t>
        </is>
      </c>
      <c r="S155" t="inlineStr">
        <is>
          <t>7050837703</t>
        </is>
      </c>
    </row>
    <row r="156" ht="75" customHeight="1">
      <c r="A156" s="2">
        <f>HYPERLINK("https://camerareadycosmetics.com/products/ardell-professional-strip-lashes-6-pack-demi-wispies-black-60066", "https://camerareadycosmetics.com/products/ardell-professional-strip-lashes-6-pack-demi-wispies-black-60066")</f>
        <v/>
      </c>
      <c r="B156" s="2">
        <f>HYPERLINK("https://camerareadycosmetics.com/products/ardell-professional-strip-lashes-6-pack-demi-wispies-black-60066", "https://camerareadycosmetics.com/products/ardell-professional-strip-lashes-6-pack-demi-wispies-black-60066")</f>
        <v/>
      </c>
      <c r="C156" t="inlineStr">
        <is>
          <t>Ardell Professional Strip Lashes 6 Pack Demi Wispies - Black (60066)</t>
        </is>
      </c>
      <c r="D156" t="inlineStr">
        <is>
          <t>Ardell Demi Wispies False Eyelashes Black, Eye Make-Up Enhancement, Full Volume Strip Lashes - 4 pairs, 2 Pack</t>
        </is>
      </c>
      <c r="E156" s="2">
        <f>HYPERLINK("https://www.amazon.com/Ardell-Demi-Wispies-Pairs-Packs/dp/B07SBGTSWD/ref=sr_1_7?keywords=Ardell+Professional+Strip+Lashes+6+Pack+Demi+Wispies+-+Black+%2860066%29&amp;qid=1695565524&amp;sr=8-7", "https://www.amazon.com/Ardell-Demi-Wispies-Pairs-Packs/dp/B07SBGTSWD/ref=sr_1_7?keywords=Ardell+Professional+Strip+Lashes+6+Pack+Demi+Wispies+-+Black+%2860066%29&amp;qid=1695565524&amp;sr=8-7")</f>
        <v/>
      </c>
      <c r="F156" t="inlineStr">
        <is>
          <t>B07SBGTSWD</t>
        </is>
      </c>
      <c r="G156">
        <f>_xlfn.IMAGE("https://camerareadycosmetics.com/cdn/shop/products/ard_6_dw__34477.1461793443.600.600_50x.jpeg?v=1689659731")</f>
        <v/>
      </c>
      <c r="H156">
        <f>_xlfn.IMAGE("https://m.media-amazon.com/images/I/612V+68f2uL._AC_UL320_.jpg")</f>
        <v/>
      </c>
      <c r="K156" t="inlineStr">
        <is>
          <t>20.0</t>
        </is>
      </c>
      <c r="L156" t="n">
        <v>17.52</v>
      </c>
      <c r="M156" s="1" t="inlineStr">
        <is>
          <t>-12.40%</t>
        </is>
      </c>
      <c r="N156" t="n">
        <v>4.6</v>
      </c>
      <c r="O156" t="n">
        <v>22019</v>
      </c>
      <c r="Q156" t="inlineStr">
        <is>
          <t>InStock</t>
        </is>
      </c>
      <c r="R156" t="inlineStr">
        <is>
          <t>undefined</t>
        </is>
      </c>
      <c r="S156" t="inlineStr">
        <is>
          <t>7050931591</t>
        </is>
      </c>
    </row>
    <row r="157" ht="75" customHeight="1">
      <c r="A157" s="2">
        <f>HYPERLINK("https://camerareadycosmetics.com/products/ardell-professional-strip-lashes-6-pack-demi-wispies-black-60066", "https://camerareadycosmetics.com/products/ardell-professional-strip-lashes-6-pack-demi-wispies-black-60066")</f>
        <v/>
      </c>
      <c r="B157" s="2">
        <f>HYPERLINK("https://camerareadycosmetics.com/products/ardell-professional-strip-lashes-6-pack-demi-wispies-black-60066", "https://camerareadycosmetics.com/products/ardell-professional-strip-lashes-6-pack-demi-wispies-black-60066")</f>
        <v/>
      </c>
      <c r="C157" t="inlineStr">
        <is>
          <t>Ardell Professional Strip Lashes 6 Pack Demi Wispies - Black (60066)</t>
        </is>
      </c>
      <c r="D157" t="inlineStr">
        <is>
          <t>Ardell 6 Pack Strip Lashes Demi Wispies Black</t>
        </is>
      </c>
      <c r="E157" s="2">
        <f>HYPERLINK("https://www.amazon.com/Ardell-Natural-Lashes-Wispies-6-Count/dp/B001C7MEKO/ref=sr_1_2?keywords=Ardell+Professional+Strip+Lashes+6+Pack+Demi+Wispies+-+Black+%2860066%29&amp;qid=1695565524&amp;sr=8-2", "https://www.amazon.com/Ardell-Natural-Lashes-Wispies-6-Count/dp/B001C7MEKO/ref=sr_1_2?keywords=Ardell+Professional+Strip+Lashes+6+Pack+Demi+Wispies+-+Black+%2860066%29&amp;qid=1695565524&amp;sr=8-2")</f>
        <v/>
      </c>
      <c r="F157" t="inlineStr">
        <is>
          <t>B001C7MEKO</t>
        </is>
      </c>
      <c r="G157">
        <f>_xlfn.IMAGE("https://camerareadycosmetics.com/cdn/shop/products/ard_6_dw__34477.1461793443.600.600_50x.jpeg?v=1689659731")</f>
        <v/>
      </c>
      <c r="H157">
        <f>_xlfn.IMAGE("https://m.media-amazon.com/images/I/71kvIu78YiL._AC_UL320_.jpg")</f>
        <v/>
      </c>
      <c r="K157" t="inlineStr">
        <is>
          <t>20.0</t>
        </is>
      </c>
      <c r="L157" t="n">
        <v>15.32</v>
      </c>
      <c r="M157" s="1" t="inlineStr">
        <is>
          <t>-23.40%</t>
        </is>
      </c>
      <c r="N157" t="n">
        <v>4.5</v>
      </c>
      <c r="O157" t="n">
        <v>165</v>
      </c>
      <c r="Q157" t="inlineStr">
        <is>
          <t>InStock</t>
        </is>
      </c>
      <c r="R157" t="inlineStr">
        <is>
          <t>undefined</t>
        </is>
      </c>
      <c r="S157" t="inlineStr">
        <is>
          <t>7050931591</t>
        </is>
      </c>
    </row>
    <row r="158" ht="75" customHeight="1">
      <c r="A158" s="2">
        <f>HYPERLINK("https://camerareadycosmetics.com/products/ardell-professional-strip-lashes-6-pack-demi-wispies-black-60066", "https://camerareadycosmetics.com/products/ardell-professional-strip-lashes-6-pack-demi-wispies-black-60066")</f>
        <v/>
      </c>
      <c r="B158" s="2">
        <f>HYPERLINK("https://camerareadycosmetics.com/products/ardell-professional-strip-lashes-6-pack-demi-wispies-black-60066", "https://camerareadycosmetics.com/products/ardell-professional-strip-lashes-6-pack-demi-wispies-black-60066")</f>
        <v/>
      </c>
      <c r="C158" t="inlineStr">
        <is>
          <t>Ardell Professional Strip Lashes 6 Pack Demi Wispies - Black (60066)</t>
        </is>
      </c>
      <c r="D158" t="inlineStr">
        <is>
          <t>Ardell False Eyelashes Strip Lashes Demi Wispies Black, (6 pairs per pack) x 1 pack</t>
        </is>
      </c>
      <c r="E158" s="2">
        <f>HYPERLINK("https://www.amazon.com/Ardell-Invisibands-False-Eyelashes-6-Count/dp/B00GI0A03S/ref=sr_1_1?keywords=Ardell+Professional+Strip+Lashes+6+Pack+Demi+Wispies+-+Black+%2860066%29&amp;qid=1695565524&amp;sr=8-1", "https://www.amazon.com/Ardell-Invisibands-False-Eyelashes-6-Count/dp/B00GI0A03S/ref=sr_1_1?keywords=Ardell+Professional+Strip+Lashes+6+Pack+Demi+Wispies+-+Black+%2860066%29&amp;qid=1695565524&amp;sr=8-1")</f>
        <v/>
      </c>
      <c r="F158" t="inlineStr">
        <is>
          <t>B00GI0A03S</t>
        </is>
      </c>
      <c r="G158">
        <f>_xlfn.IMAGE("https://camerareadycosmetics.com/cdn/shop/products/ard_6_dw__34477.1461793443.600.600_50x.jpeg?v=1689659731")</f>
        <v/>
      </c>
      <c r="H158">
        <f>_xlfn.IMAGE("https://m.media-amazon.com/images/I/71kvIu78YiL._AC_UL320_.jpg")</f>
        <v/>
      </c>
      <c r="K158" t="inlineStr">
        <is>
          <t>20.0</t>
        </is>
      </c>
      <c r="L158" t="n">
        <v>11.95</v>
      </c>
      <c r="M158" s="1" t="inlineStr">
        <is>
          <t>-40.25%</t>
        </is>
      </c>
      <c r="N158" t="n">
        <v>4.4</v>
      </c>
      <c r="O158" t="n">
        <v>166</v>
      </c>
      <c r="Q158" t="inlineStr">
        <is>
          <t>InStock</t>
        </is>
      </c>
      <c r="R158" t="inlineStr">
        <is>
          <t>undefined</t>
        </is>
      </c>
      <c r="S158" t="inlineStr">
        <is>
          <t>7050931591</t>
        </is>
      </c>
    </row>
    <row r="159" ht="75" customHeight="1">
      <c r="A159" s="2">
        <f>HYPERLINK("https://camerareadycosmetics.com/products/ardell-studio-demi-wispies-black-61993", "https://camerareadycosmetics.com/products/ardell-studio-demi-wispies-black-61993")</f>
        <v/>
      </c>
      <c r="B159" s="2">
        <f>HYPERLINK("https://camerareadycosmetics.com/products/ardell-studio-demi-wispies-black-61993", "https://camerareadycosmetics.com/products/ardell-studio-demi-wispies-black-61993")</f>
        <v/>
      </c>
      <c r="C159" t="inlineStr">
        <is>
          <t>Ardell Studio Effects Demi Wispies Black (61993)</t>
        </is>
      </c>
      <c r="D159" t="inlineStr">
        <is>
          <t>Ardell Studio Effects Demi Wispies (Pack of 6)</t>
        </is>
      </c>
      <c r="E159" s="2">
        <f>HYPERLINK("https://www.amazon.com/Ardell-Studio-Effects-Demi-Wispies/dp/B08MBCM59D/ref=sr_1_4?keywords=Ardell+Studio+Effects+Demi+Wispies+Black+%2861993%29&amp;qid=1695565478&amp;sr=8-4", "https://www.amazon.com/Ardell-Studio-Effects-Demi-Wispies/dp/B08MBCM59D/ref=sr_1_4?keywords=Ardell+Studio+Effects+Demi+Wispies+Black+%2861993%29&amp;qid=1695565478&amp;sr=8-4")</f>
        <v/>
      </c>
      <c r="F159" t="inlineStr">
        <is>
          <t>B08MBCM59D</t>
        </is>
      </c>
      <c r="G159">
        <f>_xlfn.IMAGE("https://camerareadycosmetics.com/cdn/shop/products/61993_50x.jpg?v=1691124555")</f>
        <v/>
      </c>
      <c r="H159">
        <f>_xlfn.IMAGE("https://m.media-amazon.com/images/I/51V3FemwIYL._AC_UL320_.jpg")</f>
        <v/>
      </c>
      <c r="K159" t="inlineStr">
        <is>
          <t>5.5</t>
        </is>
      </c>
      <c r="L159" t="n">
        <v>25.95</v>
      </c>
      <c r="M159" s="1" t="inlineStr">
        <is>
          <t>371.82%</t>
        </is>
      </c>
      <c r="N159" t="n">
        <v>5</v>
      </c>
      <c r="O159" t="n">
        <v>6</v>
      </c>
      <c r="Q159" t="inlineStr">
        <is>
          <t>InStock</t>
        </is>
      </c>
      <c r="R159" t="inlineStr">
        <is>
          <t>undefined</t>
        </is>
      </c>
      <c r="S159" t="inlineStr">
        <is>
          <t>9524864778</t>
        </is>
      </c>
    </row>
    <row r="160" ht="75" customHeight="1">
      <c r="A160" s="2">
        <f>HYPERLINK("https://camerareadycosmetics.com/products/ardell-studio-demi-wispies-black-61993", "https://camerareadycosmetics.com/products/ardell-studio-demi-wispies-black-61993")</f>
        <v/>
      </c>
      <c r="B160" s="2">
        <f>HYPERLINK("https://camerareadycosmetics.com/products/ardell-studio-demi-wispies-black-61993", "https://camerareadycosmetics.com/products/ardell-studio-demi-wispies-black-61993")</f>
        <v/>
      </c>
      <c r="C160" t="inlineStr">
        <is>
          <t>Ardell Studio Effects Demi Wispies Black (61993)</t>
        </is>
      </c>
      <c r="D160" t="inlineStr">
        <is>
          <t>Ardell Studio Effects Wispies Black, 4 Pack</t>
        </is>
      </c>
      <c r="E160" s="2">
        <f>HYPERLINK("https://www.amazon.com/Ardell-Studio-Effects-Wispies-Black/dp/B07Q5JWX1P/ref=sr_1_2?keywords=Ardell+Studio+Effects+Demi+Wispies+Black+%2861993%29&amp;qid=1695565478&amp;sr=8-2", "https://www.amazon.com/Ardell-Studio-Effects-Wispies-Black/dp/B07Q5JWX1P/ref=sr_1_2?keywords=Ardell+Studio+Effects+Demi+Wispies+Black+%2861993%29&amp;qid=1695565478&amp;sr=8-2")</f>
        <v/>
      </c>
      <c r="F160" t="inlineStr">
        <is>
          <t>B07Q5JWX1P</t>
        </is>
      </c>
      <c r="G160">
        <f>_xlfn.IMAGE("https://camerareadycosmetics.com/cdn/shop/products/61993_50x.jpg?v=1691124555")</f>
        <v/>
      </c>
      <c r="H160">
        <f>_xlfn.IMAGE("https://m.media-amazon.com/images/I/613BgeejrpL._AC_UL320_.jpg")</f>
        <v/>
      </c>
      <c r="K160" t="inlineStr">
        <is>
          <t>5.5</t>
        </is>
      </c>
      <c r="L160" t="n">
        <v>16.5</v>
      </c>
      <c r="M160" s="1" t="inlineStr">
        <is>
          <t>200.00%</t>
        </is>
      </c>
      <c r="N160" t="n">
        <v>4.7</v>
      </c>
      <c r="O160" t="n">
        <v>564</v>
      </c>
      <c r="Q160" t="inlineStr">
        <is>
          <t>InStock</t>
        </is>
      </c>
      <c r="R160" t="inlineStr">
        <is>
          <t>undefined</t>
        </is>
      </c>
      <c r="S160" t="inlineStr">
        <is>
          <t>9524864778</t>
        </is>
      </c>
    </row>
    <row r="161" ht="75" customHeight="1">
      <c r="A161" s="2">
        <f>HYPERLINK("https://camerareadycosmetics.com/products/ardell-studio-demi-wispies-black-61993", "https://camerareadycosmetics.com/products/ardell-studio-demi-wispies-black-61993")</f>
        <v/>
      </c>
      <c r="B161" s="2">
        <f>HYPERLINK("https://camerareadycosmetics.com/products/ardell-studio-demi-wispies-black-61993", "https://camerareadycosmetics.com/products/ardell-studio-demi-wispies-black-61993")</f>
        <v/>
      </c>
      <c r="C161" t="inlineStr">
        <is>
          <t>Ardell Studio Effects Demi Wispies Black (61993)</t>
        </is>
      </c>
      <c r="D161" t="inlineStr">
        <is>
          <t>Ardell Lashes Studio Effect Demi Wispies Black</t>
        </is>
      </c>
      <c r="E161" s="2">
        <f>HYPERLINK("https://www.amazon.com/Ardell-Lashes-Studio-Effect-Wispies/dp/B06XF1ZZ7G/ref=sr_1_1?keywords=Ardell+Studio+Effects+Demi+Wispies+Black+%2861993%29&amp;qid=1695565478&amp;sr=8-1", "https://www.amazon.com/Ardell-Lashes-Studio-Effect-Wispies/dp/B06XF1ZZ7G/ref=sr_1_1?keywords=Ardell+Studio+Effects+Demi+Wispies+Black+%2861993%29&amp;qid=1695565478&amp;sr=8-1")</f>
        <v/>
      </c>
      <c r="F161" t="inlineStr">
        <is>
          <t>B06XF1ZZ7G</t>
        </is>
      </c>
      <c r="G161">
        <f>_xlfn.IMAGE("https://camerareadycosmetics.com/cdn/shop/products/61993_50x.jpg?v=1691124555")</f>
        <v/>
      </c>
      <c r="H161">
        <f>_xlfn.IMAGE("https://m.media-amazon.com/images/I/91w+1O5Z-pL._AC_UL320_.jpg")</f>
        <v/>
      </c>
      <c r="K161" t="inlineStr">
        <is>
          <t>5.5</t>
        </is>
      </c>
      <c r="L161" t="n">
        <v>5</v>
      </c>
      <c r="M161" s="1" t="inlineStr">
        <is>
          <t>-9.09%</t>
        </is>
      </c>
      <c r="N161" t="n">
        <v>4.3</v>
      </c>
      <c r="O161" t="n">
        <v>304</v>
      </c>
      <c r="Q161" t="inlineStr">
        <is>
          <t>InStock</t>
        </is>
      </c>
      <c r="R161" t="inlineStr">
        <is>
          <t>undefined</t>
        </is>
      </c>
      <c r="S161" t="inlineStr">
        <is>
          <t>9524864778</t>
        </is>
      </c>
    </row>
    <row r="162" ht="75" customHeight="1">
      <c r="A162" s="2">
        <f>HYPERLINK("https://camerareadycosmetics.com/products/ardell-studio-effects-110-61996", "https://camerareadycosmetics.com/products/ardell-studio-effects-110-61996")</f>
        <v/>
      </c>
      <c r="B162" s="2">
        <f>HYPERLINK("https://camerareadycosmetics.com/products/ardell-studio-effects-110-61996", "https://camerareadycosmetics.com/products/ardell-studio-effects-110-61996")</f>
        <v/>
      </c>
      <c r="C162" t="inlineStr">
        <is>
          <t>Ardell Studio Effects 110 (61996)</t>
        </is>
      </c>
      <c r="D162" t="inlineStr">
        <is>
          <t>(6 Pack) ARDELL Studio Effects Custom Layered Lashes 110 Black</t>
        </is>
      </c>
      <c r="E162" s="2">
        <f>HYPERLINK("https://www.amazon.com/ARDELL-Studio-Effects-Custom-Layered/dp/B01N9KARF6/ref=sr_1_6?keywords=Ardell+Studio+Effects+110+%2861996%29&amp;qid=1695565563&amp;sr=8-6", "https://www.amazon.com/ARDELL-Studio-Effects-Custom-Layered/dp/B01N9KARF6/ref=sr_1_6?keywords=Ardell+Studio+Effects+110+%2861996%29&amp;qid=1695565563&amp;sr=8-6")</f>
        <v/>
      </c>
      <c r="F162" t="inlineStr">
        <is>
          <t>B01N9KARF6</t>
        </is>
      </c>
      <c r="G162">
        <f>_xlfn.IMAGE("https://camerareadycosmetics.com/cdn/shop/products/61996_50x.jpg?v=1691124565")</f>
        <v/>
      </c>
      <c r="H162">
        <f>_xlfn.IMAGE("https://m.media-amazon.com/images/I/51aDzh-zm+L._AC_UL320_.jpg")</f>
        <v/>
      </c>
      <c r="K162" t="inlineStr">
        <is>
          <t>5.5</t>
        </is>
      </c>
      <c r="L162" t="n">
        <v>24.99</v>
      </c>
      <c r="M162" s="1" t="inlineStr">
        <is>
          <t>354.36%</t>
        </is>
      </c>
      <c r="N162" t="n">
        <v>4.5</v>
      </c>
      <c r="O162" t="n">
        <v>10</v>
      </c>
      <c r="Q162" t="inlineStr">
        <is>
          <t>InStock</t>
        </is>
      </c>
      <c r="R162" t="inlineStr">
        <is>
          <t>undefined</t>
        </is>
      </c>
      <c r="S162" t="inlineStr">
        <is>
          <t>9524954122</t>
        </is>
      </c>
    </row>
    <row r="163" ht="75" customHeight="1">
      <c r="A163" s="2">
        <f>HYPERLINK("https://camerareadycosmetics.com/products/ardell-studio-effects-110-61996", "https://camerareadycosmetics.com/products/ardell-studio-effects-110-61996")</f>
        <v/>
      </c>
      <c r="B163" s="2">
        <f>HYPERLINK("https://camerareadycosmetics.com/products/ardell-studio-effects-110-61996", "https://camerareadycosmetics.com/products/ardell-studio-effects-110-61996")</f>
        <v/>
      </c>
      <c r="C163" t="inlineStr">
        <is>
          <t>Ardell Studio Effects 110 (61996)</t>
        </is>
      </c>
      <c r="D163" t="inlineStr">
        <is>
          <t>Ardell Studio Effects 110 Black, 4 Pack</t>
        </is>
      </c>
      <c r="E163" s="2">
        <f>HYPERLINK("https://www.amazon.com/Ardell-Studio-Effects-Black-Pack/dp/B07Q6L5L61/ref=sr_1_1?keywords=Ardell+Studio+Effects+110+%2861996%29&amp;qid=1695565563&amp;sr=8-1", "https://www.amazon.com/Ardell-Studio-Effects-Black-Pack/dp/B07Q6L5L61/ref=sr_1_1?keywords=Ardell+Studio+Effects+110+%2861996%29&amp;qid=1695565563&amp;sr=8-1")</f>
        <v/>
      </c>
      <c r="F163" t="inlineStr">
        <is>
          <t>B07Q6L5L61</t>
        </is>
      </c>
      <c r="G163">
        <f>_xlfn.IMAGE("https://camerareadycosmetics.com/cdn/shop/products/61996_50x.jpg?v=1691124565")</f>
        <v/>
      </c>
      <c r="H163">
        <f>_xlfn.IMAGE("https://m.media-amazon.com/images/I/61uYkjBVb7L._AC_UL320_.jpg")</f>
        <v/>
      </c>
      <c r="K163" t="inlineStr">
        <is>
          <t>5.5</t>
        </is>
      </c>
      <c r="L163" t="n">
        <v>15.99</v>
      </c>
      <c r="M163" s="1" t="inlineStr">
        <is>
          <t>190.73%</t>
        </is>
      </c>
      <c r="N163" t="n">
        <v>4.7</v>
      </c>
      <c r="O163" t="n">
        <v>564</v>
      </c>
      <c r="Q163" t="inlineStr">
        <is>
          <t>InStock</t>
        </is>
      </c>
      <c r="R163" t="inlineStr">
        <is>
          <t>undefined</t>
        </is>
      </c>
      <c r="S163" t="inlineStr">
        <is>
          <t>9524954122</t>
        </is>
      </c>
    </row>
    <row r="164" ht="75" customHeight="1">
      <c r="A164" s="2">
        <f>HYPERLINK("https://camerareadycosmetics.com/products/ardell-studio-effects-110-61996", "https://camerareadycosmetics.com/products/ardell-studio-effects-110-61996")</f>
        <v/>
      </c>
      <c r="B164" s="2">
        <f>HYPERLINK("https://camerareadycosmetics.com/products/ardell-studio-effects-110-61996", "https://camerareadycosmetics.com/products/ardell-studio-effects-110-61996")</f>
        <v/>
      </c>
      <c r="C164" t="inlineStr">
        <is>
          <t>Ardell Studio Effects 110 (61996)</t>
        </is>
      </c>
      <c r="D164" t="inlineStr">
        <is>
          <t>(3 Pack) ARDELL Studio Effects Custom Layered Lashes - 110 Black</t>
        </is>
      </c>
      <c r="E164" s="2">
        <f>HYPERLINK("https://www.amazon.com/ARDELL-Studio-Effects-Custom-Layered/dp/B01N7KVLW3/ref=sr_1_3?keywords=Ardell+Studio+Effects+110+%2861996%29&amp;qid=1695565563&amp;sr=8-3", "https://www.amazon.com/ARDELL-Studio-Effects-Custom-Layered/dp/B01N7KVLW3/ref=sr_1_3?keywords=Ardell+Studio+Effects+110+%2861996%29&amp;qid=1695565563&amp;sr=8-3")</f>
        <v/>
      </c>
      <c r="F164" t="inlineStr">
        <is>
          <t>B01N7KVLW3</t>
        </is>
      </c>
      <c r="G164">
        <f>_xlfn.IMAGE("https://camerareadycosmetics.com/cdn/shop/products/61996_50x.jpg?v=1691124565")</f>
        <v/>
      </c>
      <c r="H164">
        <f>_xlfn.IMAGE("https://m.media-amazon.com/images/I/51aDzh-zm+L._AC_UL320_.jpg")</f>
        <v/>
      </c>
      <c r="K164" t="inlineStr">
        <is>
          <t>5.5</t>
        </is>
      </c>
      <c r="L164" t="n">
        <v>13.99</v>
      </c>
      <c r="M164" s="1" t="inlineStr">
        <is>
          <t>154.36%</t>
        </is>
      </c>
      <c r="N164" t="n">
        <v>4</v>
      </c>
      <c r="O164" t="n">
        <v>4</v>
      </c>
      <c r="Q164" t="inlineStr">
        <is>
          <t>InStock</t>
        </is>
      </c>
      <c r="R164" t="inlineStr">
        <is>
          <t>undefined</t>
        </is>
      </c>
      <c r="S164" t="inlineStr">
        <is>
          <t>9524954122</t>
        </is>
      </c>
    </row>
    <row r="165" ht="75" customHeight="1">
      <c r="A165" s="2">
        <f>HYPERLINK("https://camerareadycosmetics.com/products/ardell-studio-effects-110-61996", "https://camerareadycosmetics.com/products/ardell-studio-effects-110-61996")</f>
        <v/>
      </c>
      <c r="B165" s="2">
        <f>HYPERLINK("https://camerareadycosmetics.com/products/ardell-studio-effects-110-61996", "https://camerareadycosmetics.com/products/ardell-studio-effects-110-61996")</f>
        <v/>
      </c>
      <c r="C165" t="inlineStr">
        <is>
          <t>Ardell Studio Effects 110 (61996)</t>
        </is>
      </c>
      <c r="D165" t="inlineStr">
        <is>
          <t>Ardell Studio Effects Custom Layered Lashes 110 Black</t>
        </is>
      </c>
      <c r="E165" s="2">
        <f>HYPERLINK("https://www.amazon.com/ARDELL-Studio-Effects-Layered-Lashes/dp/B01N0TJ5P1/ref=sr_1_2?keywords=Ardell+Studio+Effects+110+%2861996%29&amp;qid=1695565563&amp;sr=8-2", "https://www.amazon.com/ARDELL-Studio-Effects-Layered-Lashes/dp/B01N0TJ5P1/ref=sr_1_2?keywords=Ardell+Studio+Effects+110+%2861996%29&amp;qid=1695565563&amp;sr=8-2")</f>
        <v/>
      </c>
      <c r="F165" t="inlineStr">
        <is>
          <t>B01N0TJ5P1</t>
        </is>
      </c>
      <c r="G165">
        <f>_xlfn.IMAGE("https://camerareadycosmetics.com/cdn/shop/products/61996_50x.jpg?v=1691124565")</f>
        <v/>
      </c>
      <c r="H165">
        <f>_xlfn.IMAGE("https://m.media-amazon.com/images/I/91HvyBEus4L._AC_UL320_.jpg")</f>
        <v/>
      </c>
      <c r="K165" t="inlineStr">
        <is>
          <t>5.5</t>
        </is>
      </c>
      <c r="L165" t="n">
        <v>6.89</v>
      </c>
      <c r="M165" s="1" t="inlineStr">
        <is>
          <t>25.27%</t>
        </is>
      </c>
      <c r="N165" t="n">
        <v>5</v>
      </c>
      <c r="O165" t="n">
        <v>3</v>
      </c>
      <c r="Q165" t="inlineStr">
        <is>
          <t>InStock</t>
        </is>
      </c>
      <c r="R165" t="inlineStr">
        <is>
          <t>undefined</t>
        </is>
      </c>
      <c r="S165" t="inlineStr">
        <is>
          <t>9524954122</t>
        </is>
      </c>
    </row>
    <row r="166" ht="75" customHeight="1">
      <c r="A166" s="2">
        <f>HYPERLINK("https://camerareadycosmetics.com/products/ardell-studio-effect-wispies-black-61994", "https://camerareadycosmetics.com/products/ardell-studio-effect-wispies-black-61994")</f>
        <v/>
      </c>
      <c r="B166" s="2">
        <f>HYPERLINK("https://camerareadycosmetics.com/products/ardell-studio-effect-wispies-black-61994", "https://camerareadycosmetics.com/products/ardell-studio-effect-wispies-black-61994")</f>
        <v/>
      </c>
      <c r="C166" t="inlineStr">
        <is>
          <t>Ardell Studio Effects Wispies Black (61994)</t>
        </is>
      </c>
      <c r="D166" t="inlineStr">
        <is>
          <t>Ardell Studio Effects Wispies Black, 4 Pack</t>
        </is>
      </c>
      <c r="E166" s="2">
        <f>HYPERLINK("https://www.amazon.com/Ardell-Studio-Effects-Wispies-Black/dp/B07Q5JWX1P/ref=sr_1_1?keywords=Ardell+Studio+Effects+Wispies+Black+%2861994%29&amp;qid=1695565540&amp;sr=8-1", "https://www.amazon.com/Ardell-Studio-Effects-Wispies-Black/dp/B07Q5JWX1P/ref=sr_1_1?keywords=Ardell+Studio+Effects+Wispies+Black+%2861994%29&amp;qid=1695565540&amp;sr=8-1")</f>
        <v/>
      </c>
      <c r="F166" t="inlineStr">
        <is>
          <t>B07Q5JWX1P</t>
        </is>
      </c>
      <c r="G166">
        <f>_xlfn.IMAGE("https://camerareadycosmetics.com/cdn/shop/products/studio-effect-wispies_50x.jpg?v=1506726166")</f>
        <v/>
      </c>
      <c r="H166">
        <f>_xlfn.IMAGE("https://m.media-amazon.com/images/I/613BgeejrpL._AC_UL320_.jpg")</f>
        <v/>
      </c>
      <c r="K166" t="inlineStr">
        <is>
          <t>5.5</t>
        </is>
      </c>
      <c r="L166" t="n">
        <v>16.5</v>
      </c>
      <c r="M166" s="1" t="inlineStr">
        <is>
          <t>200.00%</t>
        </is>
      </c>
      <c r="N166" t="n">
        <v>4.7</v>
      </c>
      <c r="O166" t="n">
        <v>564</v>
      </c>
      <c r="Q166" t="inlineStr">
        <is>
          <t>InStock</t>
        </is>
      </c>
      <c r="R166" t="inlineStr">
        <is>
          <t>undefined</t>
        </is>
      </c>
      <c r="S166" t="inlineStr">
        <is>
          <t>9524834250</t>
        </is>
      </c>
    </row>
    <row r="167" ht="75" customHeight="1">
      <c r="A167" s="2">
        <f>HYPERLINK("https://camerareadycosmetics.com/products/ardell-wispies-113-black-66462", "https://camerareadycosmetics.com/products/ardell-wispies-113-black-66462")</f>
        <v/>
      </c>
      <c r="B167" s="2">
        <f>HYPERLINK("https://camerareadycosmetics.com/products/ardell-wispies-113-black-66462", "https://camerareadycosmetics.com/products/ardell-wispies-113-black-66462")</f>
        <v/>
      </c>
      <c r="C167" t="inlineStr">
        <is>
          <t>Ardell Wispies 113 Black (66462)</t>
        </is>
      </c>
      <c r="D167" t="inlineStr">
        <is>
          <t>Ardell Wispies 113 Black, 6 Pairs x 2 Pack</t>
        </is>
      </c>
      <c r="E167" s="2">
        <f>HYPERLINK("https://www.amazon.com/Ardell-Wispies-113-Pairs-Pack/dp/B07WZQL9LR/ref=sr_1_1?keywords=Ardell+Wispies+113+Black+%2866462%29&amp;qid=1695565632&amp;sr=8-1", "https://www.amazon.com/Ardell-Wispies-113-Pairs-Pack/dp/B07WZQL9LR/ref=sr_1_1?keywords=Ardell+Wispies+113+Black+%2866462%29&amp;qid=1695565632&amp;sr=8-1")</f>
        <v/>
      </c>
      <c r="F167" t="inlineStr">
        <is>
          <t>B07WZQL9LR</t>
        </is>
      </c>
      <c r="G167">
        <f>_xlfn.IMAGE("https://camerareadycosmetics.com/cdn/shop/files/products_img_21_50x.jpg?v=1687199322")</f>
        <v/>
      </c>
      <c r="H167">
        <f>_xlfn.IMAGE("https://m.media-amazon.com/images/I/81Bl9Vih9LL._AC_UL320_.jpg")</f>
        <v/>
      </c>
      <c r="K167" t="inlineStr">
        <is>
          <t>5.0</t>
        </is>
      </c>
      <c r="L167" t="n">
        <v>19.8</v>
      </c>
      <c r="M167" s="1" t="inlineStr">
        <is>
          <t>296.00%</t>
        </is>
      </c>
      <c r="N167" t="n">
        <v>4.5</v>
      </c>
      <c r="O167" t="n">
        <v>245</v>
      </c>
      <c r="Q167" t="inlineStr">
        <is>
          <t>InStock</t>
        </is>
      </c>
      <c r="R167" t="inlineStr">
        <is>
          <t>undefined</t>
        </is>
      </c>
      <c r="S167" t="inlineStr">
        <is>
          <t>10425919050</t>
        </is>
      </c>
    </row>
    <row r="168" ht="75" customHeight="1">
      <c r="A168" s="2">
        <f>HYPERLINK("https://camerareadycosmetics.com/products/ardell-wispies-113-black-66462", "https://camerareadycosmetics.com/products/ardell-wispies-113-black-66462")</f>
        <v/>
      </c>
      <c r="B168" s="2">
        <f>HYPERLINK("https://camerareadycosmetics.com/products/ardell-wispies-113-black-66462", "https://camerareadycosmetics.com/products/ardell-wispies-113-black-66462")</f>
        <v/>
      </c>
      <c r="C168" t="inlineStr">
        <is>
          <t>Ardell Wispies 113 Black (66462)</t>
        </is>
      </c>
      <c r="D168" t="inlineStr">
        <is>
          <t>Ardell Wispies 113 Black, 6 Pairs x 1 Pack</t>
        </is>
      </c>
      <c r="E168" s="2">
        <f>HYPERLINK("https://www.amazon.com/Ardell-67516-Wispies-5-Pack/dp/B07NT8XNNR/ref=sr_1_3?keywords=Ardell+Wispies+113+Black+%2866462%29&amp;qid=1695565632&amp;sr=8-3", "https://www.amazon.com/Ardell-67516-Wispies-5-Pack/dp/B07NT8XNNR/ref=sr_1_3?keywords=Ardell+Wispies+113+Black+%2866462%29&amp;qid=1695565632&amp;sr=8-3")</f>
        <v/>
      </c>
      <c r="F168" t="inlineStr">
        <is>
          <t>B07NT8XNNR</t>
        </is>
      </c>
      <c r="G168">
        <f>_xlfn.IMAGE("https://camerareadycosmetics.com/cdn/shop/files/products_img_21_50x.jpg?v=1687199322")</f>
        <v/>
      </c>
      <c r="H168">
        <f>_xlfn.IMAGE("https://m.media-amazon.com/images/I/81ZY7u6jwHL._AC_UL320_.jpg")</f>
        <v/>
      </c>
      <c r="K168" t="inlineStr">
        <is>
          <t>5.0</t>
        </is>
      </c>
      <c r="L168" t="n">
        <v>9.74</v>
      </c>
      <c r="M168" s="1" t="inlineStr">
        <is>
          <t>94.80%</t>
        </is>
      </c>
      <c r="N168" t="n">
        <v>4.6</v>
      </c>
      <c r="O168" t="n">
        <v>924</v>
      </c>
      <c r="Q168" t="inlineStr">
        <is>
          <t>InStock</t>
        </is>
      </c>
      <c r="R168" t="inlineStr">
        <is>
          <t>undefined</t>
        </is>
      </c>
      <c r="S168" t="inlineStr">
        <is>
          <t>10425919050</t>
        </is>
      </c>
    </row>
    <row r="169" ht="75" customHeight="1">
      <c r="A169" s="2">
        <f>HYPERLINK("https://camerareadycosmetics.com/products/ardell-wispies-113-black-66462", "https://camerareadycosmetics.com/products/ardell-wispies-113-black-66462")</f>
        <v/>
      </c>
      <c r="B169" s="2">
        <f>HYPERLINK("https://camerareadycosmetics.com/products/ardell-wispies-113-black-66462", "https://camerareadycosmetics.com/products/ardell-wispies-113-black-66462")</f>
        <v/>
      </c>
      <c r="C169" t="inlineStr">
        <is>
          <t>Ardell Wispies 113 Black (66462)</t>
        </is>
      </c>
      <c r="D169" t="inlineStr">
        <is>
          <t>Ardell False Eyelashes Wispies 113 Black (4 Pairs)</t>
        </is>
      </c>
      <c r="E169" s="2">
        <f>HYPERLINK("https://www.amazon.com/Ardell-False-Eyelashes-Wispies-Black/dp/B073VMJXN5/ref=sr_1_2?keywords=Ardell+Wispies+113+Black+%2866462%29&amp;qid=1695565632&amp;sr=8-2", "https://www.amazon.com/Ardell-False-Eyelashes-Wispies-Black/dp/B073VMJXN5/ref=sr_1_2?keywords=Ardell+Wispies+113+Black+%2866462%29&amp;qid=1695565632&amp;sr=8-2")</f>
        <v/>
      </c>
      <c r="F169" t="inlineStr">
        <is>
          <t>B073VMJXN5</t>
        </is>
      </c>
      <c r="G169">
        <f>_xlfn.IMAGE("https://camerareadycosmetics.com/cdn/shop/files/products_img_21_50x.jpg?v=1687199322")</f>
        <v/>
      </c>
      <c r="H169">
        <f>_xlfn.IMAGE("https://m.media-amazon.com/images/I/71BP9OB6LZL._AC_UL320_.jpg")</f>
        <v/>
      </c>
      <c r="K169" t="inlineStr">
        <is>
          <t>5.0</t>
        </is>
      </c>
      <c r="L169" t="n">
        <v>8.949999999999999</v>
      </c>
      <c r="M169" s="1" t="inlineStr">
        <is>
          <t>79.00%</t>
        </is>
      </c>
      <c r="N169" t="n">
        <v>4.5</v>
      </c>
      <c r="O169" t="n">
        <v>2092</v>
      </c>
      <c r="Q169" t="inlineStr">
        <is>
          <t>InStock</t>
        </is>
      </c>
      <c r="R169" t="inlineStr">
        <is>
          <t>undefined</t>
        </is>
      </c>
      <c r="S169" t="inlineStr">
        <is>
          <t>10425919050</t>
        </is>
      </c>
    </row>
    <row r="170" ht="75" customHeight="1">
      <c r="A170" s="2">
        <f>HYPERLINK("https://camerareadycosmetics.com/products/ardell-wispies-122-black-66461", "https://camerareadycosmetics.com/products/ardell-wispies-122-black-66461")</f>
        <v/>
      </c>
      <c r="B170" s="2">
        <f>HYPERLINK("https://camerareadycosmetics.com/products/ardell-wispies-122-black-66461", "https://camerareadycosmetics.com/products/ardell-wispies-122-black-66461")</f>
        <v/>
      </c>
      <c r="C170" t="inlineStr">
        <is>
          <t>Ardell Wispies 122 Black (66461)</t>
        </is>
      </c>
      <c r="D170" t="inlineStr">
        <is>
          <t>Ardell False Eyelashes Wispies 122 Black (4 Pack)</t>
        </is>
      </c>
      <c r="E170" s="2">
        <f>HYPERLINK("https://www.amazon.com/Ardell-False-Eyelashes-Wispies-Black/dp/B07R244VRY/ref=sr_1_1?keywords=Ardell+Wispies+122+Black+%2866461%29&amp;qid=1695565658&amp;sr=8-1", "https://www.amazon.com/Ardell-False-Eyelashes-Wispies-Black/dp/B07R244VRY/ref=sr_1_1?keywords=Ardell+Wispies+122+Black+%2866461%29&amp;qid=1695565658&amp;sr=8-1")</f>
        <v/>
      </c>
      <c r="F170" t="inlineStr">
        <is>
          <t>B07R244VRY</t>
        </is>
      </c>
      <c r="G170">
        <f>_xlfn.IMAGE("https://camerareadycosmetics.com/cdn/shop/files/products_img_33_50x.jpg?v=1687199333")</f>
        <v/>
      </c>
      <c r="H170">
        <f>_xlfn.IMAGE("https://m.media-amazon.com/images/I/61aGO7xc8cL._AC_UL320_.jpg")</f>
        <v/>
      </c>
      <c r="K170" t="inlineStr">
        <is>
          <t>5.0</t>
        </is>
      </c>
      <c r="L170" t="n">
        <v>9.949999999999999</v>
      </c>
      <c r="M170" s="1" t="inlineStr">
        <is>
          <t>99.00%</t>
        </is>
      </c>
      <c r="N170" t="n">
        <v>4.5</v>
      </c>
      <c r="O170" t="n">
        <v>2092</v>
      </c>
      <c r="Q170" t="inlineStr">
        <is>
          <t>InStock</t>
        </is>
      </c>
      <c r="R170" t="inlineStr">
        <is>
          <t>undefined</t>
        </is>
      </c>
      <c r="S170" t="inlineStr">
        <is>
          <t>10425934090</t>
        </is>
      </c>
    </row>
    <row r="171" ht="75" customHeight="1">
      <c r="A171" s="2">
        <f>HYPERLINK("https://camerareadycosmetics.com/products/ardell-wispies-122-black-66461", "https://camerareadycosmetics.com/products/ardell-wispies-122-black-66461")</f>
        <v/>
      </c>
      <c r="B171" s="2">
        <f>HYPERLINK("https://camerareadycosmetics.com/products/ardell-wispies-122-black-66461", "https://camerareadycosmetics.com/products/ardell-wispies-122-black-66461")</f>
        <v/>
      </c>
      <c r="C171" t="inlineStr">
        <is>
          <t>Ardell Wispies 122 Black (66461)</t>
        </is>
      </c>
      <c r="D171" t="inlineStr">
        <is>
          <t>Ardell Wispies Eye Lashes, No. 122 Black</t>
        </is>
      </c>
      <c r="E171" s="2">
        <f>HYPERLINK("https://www.amazon.com/Ardell-Wispies-Eye-Lashes-Black/dp/B0002W09VG/ref=sr_1_2?keywords=Ardell+Wispies+122+Black+%2866461%29&amp;qid=1695565658&amp;sr=8-2", "https://www.amazon.com/Ardell-Wispies-Eye-Lashes-Black/dp/B0002W09VG/ref=sr_1_2?keywords=Ardell+Wispies+122+Black+%2866461%29&amp;qid=1695565658&amp;sr=8-2")</f>
        <v/>
      </c>
      <c r="F171" t="inlineStr">
        <is>
          <t>B0002W09VG</t>
        </is>
      </c>
      <c r="G171">
        <f>_xlfn.IMAGE("https://camerareadycosmetics.com/cdn/shop/files/products_img_33_50x.jpg?v=1687199333")</f>
        <v/>
      </c>
      <c r="H171">
        <f>_xlfn.IMAGE("https://m.media-amazon.com/images/I/6109wFc8UxL._AC_UL320_.jpg")</f>
        <v/>
      </c>
      <c r="K171" t="inlineStr">
        <is>
          <t>5.0</t>
        </is>
      </c>
      <c r="L171" t="n">
        <v>5.35</v>
      </c>
      <c r="M171" s="1" t="inlineStr">
        <is>
          <t>7.00%</t>
        </is>
      </c>
      <c r="N171" t="n">
        <v>4.2</v>
      </c>
      <c r="O171" t="n">
        <v>206</v>
      </c>
      <c r="Q171" t="inlineStr">
        <is>
          <t>InStock</t>
        </is>
      </c>
      <c r="R171" t="inlineStr">
        <is>
          <t>undefined</t>
        </is>
      </c>
      <c r="S171" t="inlineStr">
        <is>
          <t>10425934090</t>
        </is>
      </c>
    </row>
    <row r="172" ht="75" customHeight="1">
      <c r="A172" s="2">
        <f>HYPERLINK("https://camerareadycosmetics.com/products/ardell-wispies-black-lashes-5-pack-68984", "https://camerareadycosmetics.com/products/ardell-wispies-black-lashes-5-pack-68984")</f>
        <v/>
      </c>
      <c r="B172" s="2">
        <f>HYPERLINK("https://camerareadycosmetics.com/products/ardell-wispies-black-lashes-5-pack-68984", "https://camerareadycosmetics.com/products/ardell-wispies-black-lashes-5-pack-68984")</f>
        <v/>
      </c>
      <c r="C172" t="inlineStr">
        <is>
          <t>Ardell 5 Pack Wispies Lashes - Black (68984)</t>
        </is>
      </c>
      <c r="D172" t="inlineStr">
        <is>
          <t>Ardell False Eyelashes Strip Lashes Demi Wispies Black, (6 pairs per pack) x 1 pack</t>
        </is>
      </c>
      <c r="E172" s="2">
        <f>HYPERLINK("https://www.amazon.com/Ardell-Invisibands-False-Eyelashes-6-Count/dp/B00GI0A03S/ref=sr_1_4?keywords=Ardell+5+Pack+Wispies+Lashes+-+Black+%2868984%29&amp;qid=1695565519&amp;sr=8-4", "https://www.amazon.com/Ardell-Invisibands-False-Eyelashes-6-Count/dp/B00GI0A03S/ref=sr_1_4?keywords=Ardell+5+Pack+Wispies+Lashes+-+Black+%2868984%29&amp;qid=1695565519&amp;sr=8-4")</f>
        <v/>
      </c>
      <c r="F172" t="inlineStr">
        <is>
          <t>B00GI0A03S</t>
        </is>
      </c>
      <c r="G172">
        <f>_xlfn.IMAGE("https://camerareadycosmetics.com/cdn/shop/products/ardell-wispies-lashes-mulitpack-5-black_50x.jpg?v=1535713933")</f>
        <v/>
      </c>
      <c r="H172">
        <f>_xlfn.IMAGE("https://m.media-amazon.com/images/I/71kvIu78YiL._AC_UL320_.jpg")</f>
        <v/>
      </c>
      <c r="K172" t="inlineStr">
        <is>
          <t>14.5</t>
        </is>
      </c>
      <c r="L172" t="n">
        <v>11.95</v>
      </c>
      <c r="M172" s="1" t="inlineStr">
        <is>
          <t>-17.59%</t>
        </is>
      </c>
      <c r="N172" t="n">
        <v>4.4</v>
      </c>
      <c r="O172" t="n">
        <v>166</v>
      </c>
      <c r="Q172" t="inlineStr">
        <is>
          <t>OutOfStock</t>
        </is>
      </c>
      <c r="R172" t="inlineStr">
        <is>
          <t>undefined</t>
        </is>
      </c>
      <c r="S172" t="inlineStr">
        <is>
          <t>1475129180271</t>
        </is>
      </c>
    </row>
    <row r="173" ht="75" customHeight="1">
      <c r="A173" s="2">
        <f>HYPERLINK("https://camerareadycosmetics.com/products/ardell-wispies-black-lashes-5-pack-68984", "https://camerareadycosmetics.com/products/ardell-wispies-black-lashes-5-pack-68984")</f>
        <v/>
      </c>
      <c r="B173" s="2">
        <f>HYPERLINK("https://camerareadycosmetics.com/products/ardell-wispies-black-lashes-5-pack-68984", "https://camerareadycosmetics.com/products/ardell-wispies-black-lashes-5-pack-68984")</f>
        <v/>
      </c>
      <c r="C173" t="inlineStr">
        <is>
          <t>Ardell 5 Pack Wispies Lashes - Black (68984)</t>
        </is>
      </c>
      <c r="D173" t="inlineStr">
        <is>
          <t>Ardell 5 Count Wispies Black Strip Lashes</t>
        </is>
      </c>
      <c r="E173" s="2">
        <f>HYPERLINK("https://www.amazon.com/5-Pack-Black-Wispies-Lashes/dp/B00YYHOXBW/ref=sr_1_2?keywords=Ardell+5+Pack+Wispies+Lashes+-+Black+%2868984%29&amp;qid=1695565519&amp;sr=8-2", "https://www.amazon.com/5-Pack-Black-Wispies-Lashes/dp/B00YYHOXBW/ref=sr_1_2?keywords=Ardell+5+Pack+Wispies+Lashes+-+Black+%2868984%29&amp;qid=1695565519&amp;sr=8-2")</f>
        <v/>
      </c>
      <c r="F173" t="inlineStr">
        <is>
          <t>B00YYHOXBW</t>
        </is>
      </c>
      <c r="G173">
        <f>_xlfn.IMAGE("https://camerareadycosmetics.com/cdn/shop/products/ardell-wispies-lashes-mulitpack-5-black_50x.jpg?v=1535713933")</f>
        <v/>
      </c>
      <c r="H173">
        <f>_xlfn.IMAGE("https://m.media-amazon.com/images/I/81BaY0kAn7L._AC_UL320_.jpg")</f>
        <v/>
      </c>
      <c r="K173" t="inlineStr">
        <is>
          <t>14.5</t>
        </is>
      </c>
      <c r="L173" t="n">
        <v>9.74</v>
      </c>
      <c r="M173" s="1" t="inlineStr">
        <is>
          <t>-32.83%</t>
        </is>
      </c>
      <c r="N173" t="n">
        <v>4.6</v>
      </c>
      <c r="O173" t="n">
        <v>1656</v>
      </c>
      <c r="Q173" t="inlineStr">
        <is>
          <t>OutOfStock</t>
        </is>
      </c>
      <c r="R173" t="inlineStr">
        <is>
          <t>undefined</t>
        </is>
      </c>
      <c r="S173" t="inlineStr">
        <is>
          <t>1475129180271</t>
        </is>
      </c>
    </row>
    <row r="174" ht="75" customHeight="1">
      <c r="A174" s="2">
        <f>HYPERLINK("https://camerareadycosmetics.com/products/ardell-wispies-black-lashes-5-pack-68984", "https://camerareadycosmetics.com/products/ardell-wispies-black-lashes-5-pack-68984")</f>
        <v/>
      </c>
      <c r="B174" s="2">
        <f>HYPERLINK("https://camerareadycosmetics.com/products/ardell-wispies-black-lashes-5-pack-68984", "https://camerareadycosmetics.com/products/ardell-wispies-black-lashes-5-pack-68984")</f>
        <v/>
      </c>
      <c r="C174" t="inlineStr">
        <is>
          <t>Ardell 5 Pack Wispies Lashes - Black (68984)</t>
        </is>
      </c>
      <c r="D174" t="inlineStr">
        <is>
          <t>Ardell False Eyelashes Natural 105 Black, 5 pairs pack</t>
        </is>
      </c>
      <c r="E174" s="2">
        <f>HYPERLINK("https://www.amazon.com/Ardell-68985-Pack-105-Lashes/dp/B00YT6HB30/ref=sr_1_9?keywords=Ardell+5+Pack+Wispies+Lashes+-+Black+%2868984%29&amp;qid=1695565519&amp;sr=8-9", "https://www.amazon.com/Ardell-68985-Pack-105-Lashes/dp/B00YT6HB30/ref=sr_1_9?keywords=Ardell+5+Pack+Wispies+Lashes+-+Black+%2868984%29&amp;qid=1695565519&amp;sr=8-9")</f>
        <v/>
      </c>
      <c r="F174" t="inlineStr">
        <is>
          <t>B00YT6HB30</t>
        </is>
      </c>
      <c r="G174">
        <f>_xlfn.IMAGE("https://camerareadycosmetics.com/cdn/shop/products/ardell-wispies-lashes-mulitpack-5-black_50x.jpg?v=1535713933")</f>
        <v/>
      </c>
      <c r="H174">
        <f>_xlfn.IMAGE("https://m.media-amazon.com/images/I/91UMlpKHX+L._AC_UL320_.jpg")</f>
        <v/>
      </c>
      <c r="K174" t="inlineStr">
        <is>
          <t>14.5</t>
        </is>
      </c>
      <c r="L174" t="n">
        <v>9.74</v>
      </c>
      <c r="M174" s="1" t="inlineStr">
        <is>
          <t>-32.83%</t>
        </is>
      </c>
      <c r="N174" t="n">
        <v>4.6</v>
      </c>
      <c r="O174" t="n">
        <v>1681</v>
      </c>
      <c r="Q174" t="inlineStr">
        <is>
          <t>OutOfStock</t>
        </is>
      </c>
      <c r="R174" t="inlineStr">
        <is>
          <t>undefined</t>
        </is>
      </c>
      <c r="S174" t="inlineStr">
        <is>
          <t>1475129180271</t>
        </is>
      </c>
    </row>
    <row r="175" ht="75" customHeight="1">
      <c r="A175" s="2">
        <f>HYPERLINK("https://camerareadycosmetics.com/products/ardell-wispies-black-lashes-5-pack-68984", "https://camerareadycosmetics.com/products/ardell-wispies-black-lashes-5-pack-68984")</f>
        <v/>
      </c>
      <c r="B175" s="2">
        <f>HYPERLINK("https://camerareadycosmetics.com/products/ardell-wispies-black-lashes-5-pack-68984", "https://camerareadycosmetics.com/products/ardell-wispies-black-lashes-5-pack-68984")</f>
        <v/>
      </c>
      <c r="C175" t="inlineStr">
        <is>
          <t>Ardell 5 Pack Wispies Lashes - Black (68984)</t>
        </is>
      </c>
      <c r="D175" t="inlineStr">
        <is>
          <t>Ardell False Eyelashes Wispies Black, 1 pack (5 pairs of strip lashes per pack)</t>
        </is>
      </c>
      <c r="E175" s="2">
        <f>HYPERLINK("https://www.amazon.com/Ardell-Black-Wispies-Eyelashes-Pack/dp/B00417SN70/ref=sr_1_1?keywords=Ardell+5+Pack+Wispies+Lashes+-+Black+%2868984%29&amp;qid=1695565519&amp;sr=8-1", "https://www.amazon.com/Ardell-Black-Wispies-Eyelashes-Pack/dp/B00417SN70/ref=sr_1_1?keywords=Ardell+5+Pack+Wispies+Lashes+-+Black+%2868984%29&amp;qid=1695565519&amp;sr=8-1")</f>
        <v/>
      </c>
      <c r="F175" t="inlineStr">
        <is>
          <t>B00417SN70</t>
        </is>
      </c>
      <c r="G175">
        <f>_xlfn.IMAGE("https://camerareadycosmetics.com/cdn/shop/products/ardell-wispies-lashes-mulitpack-5-black_50x.jpg?v=1535713933")</f>
        <v/>
      </c>
      <c r="H175">
        <f>_xlfn.IMAGE("https://m.media-amazon.com/images/I/911fMVcO2uL._AC_UL320_.jpg")</f>
        <v/>
      </c>
      <c r="K175" t="inlineStr">
        <is>
          <t>14.5</t>
        </is>
      </c>
      <c r="L175" t="n">
        <v>8.99</v>
      </c>
      <c r="M175" s="1" t="inlineStr">
        <is>
          <t>-38.00%</t>
        </is>
      </c>
      <c r="N175" t="n">
        <v>4.6</v>
      </c>
      <c r="O175" t="n">
        <v>22019</v>
      </c>
      <c r="Q175" t="inlineStr">
        <is>
          <t>OutOfStock</t>
        </is>
      </c>
      <c r="R175" t="inlineStr">
        <is>
          <t>undefined</t>
        </is>
      </c>
      <c r="S175" t="inlineStr">
        <is>
          <t>1475129180271</t>
        </is>
      </c>
    </row>
    <row r="176" ht="75" customHeight="1">
      <c r="A176" s="2">
        <f>HYPERLINK("https://camerareadycosmetics.com/products/ardell-wispies-clusters-600-52608", "https://camerareadycosmetics.com/products/ardell-wispies-clusters-600-52608")</f>
        <v/>
      </c>
      <c r="B176" s="2">
        <f>HYPERLINK("https://camerareadycosmetics.com/products/ardell-wispies-clusters-600-52608", "https://camerareadycosmetics.com/products/ardell-wispies-clusters-600-52608")</f>
        <v/>
      </c>
      <c r="C176" t="inlineStr">
        <is>
          <t>Ardell Wispies Clusters 600 (52608)</t>
        </is>
      </c>
      <c r="D176" t="inlineStr">
        <is>
          <t>Ardell Lashes Wispies Clusters 600 with Free DUO Glue</t>
        </is>
      </c>
      <c r="E176" s="2">
        <f>HYPERLINK("https://www.amazon.com/Ardell-Lashes-Wispies-Clusters-Free/dp/B01FIL1QNA/ref=sr_1_3?keywords=Ardell+Wispies+Clusters+600+%2852608%29&amp;qid=1695565578&amp;sr=8-3", "https://www.amazon.com/Ardell-Lashes-Wispies-Clusters-Free/dp/B01FIL1QNA/ref=sr_1_3?keywords=Ardell+Wispies+Clusters+600+%2852608%29&amp;qid=1695565578&amp;sr=8-3")</f>
        <v/>
      </c>
      <c r="F176" t="inlineStr">
        <is>
          <t>B01FIL1QNA</t>
        </is>
      </c>
      <c r="G176">
        <f>_xlfn.IMAGE("https://camerareadycosmetics.com/cdn/shop/products/52608_50x.jpg?v=1691124571")</f>
        <v/>
      </c>
      <c r="H176">
        <f>_xlfn.IMAGE("https://m.media-amazon.com/images/I/71TjH5651TL._AC_UL320_.jpg")</f>
        <v/>
      </c>
      <c r="K176" t="inlineStr">
        <is>
          <t>5.5</t>
        </is>
      </c>
      <c r="L176" t="n">
        <v>5.99</v>
      </c>
      <c r="M176" s="1" t="inlineStr">
        <is>
          <t>8.91%</t>
        </is>
      </c>
      <c r="N176" t="n">
        <v>4.2</v>
      </c>
      <c r="O176" t="n">
        <v>82</v>
      </c>
      <c r="Q176" t="inlineStr">
        <is>
          <t>InStock</t>
        </is>
      </c>
      <c r="R176" t="inlineStr">
        <is>
          <t>undefined</t>
        </is>
      </c>
      <c r="S176" t="inlineStr">
        <is>
          <t>9524985674</t>
        </is>
      </c>
    </row>
    <row r="177" ht="75" customHeight="1">
      <c r="A177" s="2">
        <f>HYPERLINK("https://camerareadycosmetics.com/products/avene-cicalfate-restorative-lip-cream", "https://camerareadycosmetics.com/products/avene-cicalfate-restorative-lip-cream")</f>
        <v/>
      </c>
      <c r="B177" s="2">
        <f>HYPERLINK("https://camerareadycosmetics.com/products/avene-cicalfate-restorative-lip-cream", "https://camerareadycosmetics.com/products/avene-cicalfate-restorative-lip-cream")</f>
        <v/>
      </c>
      <c r="C177" t="inlineStr">
        <is>
          <t>Cicalfate Restorative Lip Cream</t>
        </is>
      </c>
      <c r="D177" t="inlineStr">
        <is>
          <t>Eau Thermale Avene Cicalfate+ Restorative Protective Cream - Wound Care - Helps Reduce Look of Scars - Postbiotic Skincare - Non-Comedogenic</t>
        </is>
      </c>
      <c r="E177" s="2">
        <f>HYPERLINK("https://www.amazon.com/Eau-Thermale-Restorative-Protective-recommended/dp/B07XG1PLJF/ref=sr_1_2?keywords=Cicalfate+Restorative+Lip+Cream&amp;qid=1695565801&amp;sr=8-2", "https://www.amazon.com/Eau-Thermale-Restorative-Protective-recommended/dp/B07XG1PLJF/ref=sr_1_2?keywords=Cicalfate+Restorative+Lip+Cream&amp;qid=1695565801&amp;sr=8-2")</f>
        <v/>
      </c>
      <c r="F177" t="inlineStr">
        <is>
          <t>B07XG1PLJF</t>
        </is>
      </c>
      <c r="G177">
        <f>_xlfn.IMAGE("https://camerareadycosmetics.com/cdn/shop/products/cicalfate-lips-restorative-lip-cream_p0004845_50x.jpg?v=1628223503")</f>
        <v/>
      </c>
      <c r="H177">
        <f>_xlfn.IMAGE("https://m.media-amazon.com/images/I/61bxCfpl8kL._AC_UL320_.jpg")</f>
        <v/>
      </c>
      <c r="K177" t="inlineStr">
        <is>
          <t>20.0</t>
        </is>
      </c>
      <c r="L177" t="n">
        <v>28</v>
      </c>
      <c r="M177" s="1" t="inlineStr">
        <is>
          <t>40.00%</t>
        </is>
      </c>
      <c r="N177" t="n">
        <v>4.1</v>
      </c>
      <c r="O177" t="n">
        <v>5350</v>
      </c>
      <c r="Q177" t="inlineStr">
        <is>
          <t>OutOfStock</t>
        </is>
      </c>
      <c r="R177" t="inlineStr">
        <is>
          <t>undefined</t>
        </is>
      </c>
      <c r="S177" t="inlineStr">
        <is>
          <t>6883006709945</t>
        </is>
      </c>
    </row>
    <row r="178" ht="75" customHeight="1">
      <c r="A178" s="2">
        <f>HYPERLINK("https://camerareadycosmetics.com/products/avene-cicalfate-restorative-lip-cream", "https://camerareadycosmetics.com/products/avene-cicalfate-restorative-lip-cream")</f>
        <v/>
      </c>
      <c r="B178" s="2">
        <f>HYPERLINK("https://camerareadycosmetics.com/products/avene-cicalfate-restorative-lip-cream", "https://camerareadycosmetics.com/products/avene-cicalfate-restorative-lip-cream")</f>
        <v/>
      </c>
      <c r="C178" t="inlineStr">
        <is>
          <t>Cicalfate Restorative Lip Cream</t>
        </is>
      </c>
      <c r="D178" t="inlineStr">
        <is>
          <t>Eau Thermale Avène Cicalfate Restorative Lip Cream, Long Lasting Moisture to Soothe Dry, Cracked Lips, 0.3 oz.</t>
        </is>
      </c>
      <c r="E178" s="2">
        <f>HYPERLINK("https://www.amazon.com/Eau-Thermale-Av%C3%A8ne-Cicalfate-Restorative/dp/B07H827D59/ref=sr_1_1?keywords=Cicalfate+Restorative+Lip+Cream&amp;qid=1695565801&amp;sr=8-1", "https://www.amazon.com/Eau-Thermale-Av%C3%A8ne-Cicalfate-Restorative/dp/B07H827D59/ref=sr_1_1?keywords=Cicalfate+Restorative+Lip+Cream&amp;qid=1695565801&amp;sr=8-1")</f>
        <v/>
      </c>
      <c r="F178" t="inlineStr">
        <is>
          <t>B07H827D59</t>
        </is>
      </c>
      <c r="G178">
        <f>_xlfn.IMAGE("https://camerareadycosmetics.com/cdn/shop/products/cicalfate-lips-restorative-lip-cream_p0004845_50x.jpg?v=1628223503")</f>
        <v/>
      </c>
      <c r="H178">
        <f>_xlfn.IMAGE("https://m.media-amazon.com/images/I/41E8MbWH0DL._AC_UL320_.jpg")</f>
        <v/>
      </c>
      <c r="K178" t="inlineStr">
        <is>
          <t>20.0</t>
        </is>
      </c>
      <c r="L178" t="n">
        <v>13.5</v>
      </c>
      <c r="M178" s="1" t="inlineStr">
        <is>
          <t>-32.50%</t>
        </is>
      </c>
      <c r="N178" t="n">
        <v>4.5</v>
      </c>
      <c r="O178" t="n">
        <v>1166</v>
      </c>
      <c r="Q178" t="inlineStr">
        <is>
          <t>OutOfStock</t>
        </is>
      </c>
      <c r="R178" t="inlineStr">
        <is>
          <t>undefined</t>
        </is>
      </c>
      <c r="S178" t="inlineStr">
        <is>
          <t>6883006709945</t>
        </is>
      </c>
    </row>
    <row r="179" ht="75" customHeight="1">
      <c r="A179" s="2">
        <f>HYPERLINK("https://camerareadycosmetics.com/products/avene-cold-cream-nourishing-lip-balm", "https://camerareadycosmetics.com/products/avene-cold-cream-nourishing-lip-balm")</f>
        <v/>
      </c>
      <c r="B179" s="2">
        <f>HYPERLINK("https://camerareadycosmetics.com/products/avene-cold-cream-nourishing-lip-balm", "https://camerareadycosmetics.com/products/avene-cold-cream-nourishing-lip-balm")</f>
        <v/>
      </c>
      <c r="C179" t="inlineStr">
        <is>
          <t>Cold Cream Nourishing Lip Balm</t>
        </is>
      </c>
      <c r="D179" t="inlineStr">
        <is>
          <t>Eau Thermale Avene Cold Cream Nutrition Nourishing Lip Balm, 0.1 Ounce</t>
        </is>
      </c>
      <c r="E179" s="2">
        <f>HYPERLINK("https://www.amazon.com/Eau-Thermale-Av%C3%A8ne-Cream-Nourishing/dp/B01M25BNNO/ref=sr_1_1?keywords=Cold+Cream+Nourishing+Lip+Balm&amp;qid=1695565730&amp;sr=8-1", "https://www.amazon.com/Eau-Thermale-Av%C3%A8ne-Cream-Nourishing/dp/B01M25BNNO/ref=sr_1_1?keywords=Cold+Cream+Nourishing+Lip+Balm&amp;qid=1695565730&amp;sr=8-1")</f>
        <v/>
      </c>
      <c r="F179" t="inlineStr">
        <is>
          <t>B01M25BNNO</t>
        </is>
      </c>
      <c r="G179">
        <f>_xlfn.IMAGE("https://camerareadycosmetics.com/cdn/shop/products/cold-cream-nourishing-lip-balm_p0001232-swatch_50x.jpg?v=1629338133")</f>
        <v/>
      </c>
      <c r="H179">
        <f>_xlfn.IMAGE("https://m.media-amazon.com/images/I/61DCqTZ2YNL._AC_UL320_.jpg")</f>
        <v/>
      </c>
      <c r="K179" t="inlineStr">
        <is>
          <t>18.0</t>
        </is>
      </c>
      <c r="L179" t="n">
        <v>10.5</v>
      </c>
      <c r="M179" s="1" t="inlineStr">
        <is>
          <t>-41.67%</t>
        </is>
      </c>
      <c r="N179" t="n">
        <v>4.5</v>
      </c>
      <c r="O179" t="n">
        <v>1017</v>
      </c>
      <c r="Q179" t="inlineStr">
        <is>
          <t>InStock</t>
        </is>
      </c>
      <c r="R179" t="inlineStr">
        <is>
          <t>undefined</t>
        </is>
      </c>
      <c r="S179" t="inlineStr">
        <is>
          <t>6899244630201</t>
        </is>
      </c>
    </row>
    <row r="180" ht="75" customHeight="1">
      <c r="A180" s="2">
        <f>HYPERLINK("https://camerareadycosmetics.com/products/ben-nye-banana-light-powder", "https://camerareadycosmetics.com/products/ben-nye-banana-light-powder")</f>
        <v/>
      </c>
      <c r="B180" s="2">
        <f>HYPERLINK("https://camerareadycosmetics.com/products/ben-nye-banana-light-powder", "https://camerareadycosmetics.com/products/ben-nye-banana-light-powder")</f>
        <v/>
      </c>
      <c r="C180" t="inlineStr">
        <is>
          <t>Banana Light Powder</t>
        </is>
      </c>
      <c r="D180" t="inlineStr">
        <is>
          <t>Crystal Light Sugar-Free Strawberry Orange Banana Low Calories Powdered Drink Mix, 72 Count Pitcher Packets</t>
        </is>
      </c>
      <c r="E180" s="2">
        <f>HYPERLINK("https://www.amazon.com/Crystal-Light-Strawberry-Pitcher-Canisters/dp/B00CJSW3II/ref=sr_1_7?keywords=Banana+Light+Powder&amp;qid=1695565431&amp;sr=8-7", "https://www.amazon.com/Crystal-Light-Strawberry-Pitcher-Canisters/dp/B00CJSW3II/ref=sr_1_7?keywords=Banana+Light+Powder&amp;qid=1695565431&amp;sr=8-7")</f>
        <v/>
      </c>
      <c r="F180" t="inlineStr">
        <is>
          <t>B00CJSW3II</t>
        </is>
      </c>
      <c r="G180">
        <f>_xlfn.IMAGE("https://camerareadycosmetics.com/cdn/shop/products/bennye_luxury-banana-light-powder-3oz_50x.jpg?v=1544152876")</f>
        <v/>
      </c>
      <c r="H180">
        <f>_xlfn.IMAGE("https://m.media-amazon.com/images/I/81VDoRnqasL._AC_UL320_.jpg")</f>
        <v/>
      </c>
      <c r="K180" t="inlineStr">
        <is>
          <t>16.0</t>
        </is>
      </c>
      <c r="L180" t="n">
        <v>37.86</v>
      </c>
      <c r="M180" s="1" t="inlineStr">
        <is>
          <t>136.62%</t>
        </is>
      </c>
      <c r="N180" t="n">
        <v>4.8</v>
      </c>
      <c r="O180" t="n">
        <v>956</v>
      </c>
      <c r="Q180" t="inlineStr">
        <is>
          <t>InStock</t>
        </is>
      </c>
      <c r="R180" t="inlineStr">
        <is>
          <t>undefined</t>
        </is>
      </c>
      <c r="S180" t="inlineStr">
        <is>
          <t>1811547160687</t>
        </is>
      </c>
    </row>
    <row r="181" ht="75" customHeight="1">
      <c r="A181" s="2">
        <f>HYPERLINK("https://camerareadycosmetics.com/products/ben-nye-banana-light-powder", "https://camerareadycosmetics.com/products/ben-nye-banana-light-powder")</f>
        <v/>
      </c>
      <c r="B181" s="2">
        <f>HYPERLINK("https://camerareadycosmetics.com/products/ben-nye-banana-light-powder", "https://camerareadycosmetics.com/products/ben-nye-banana-light-powder")</f>
        <v/>
      </c>
      <c r="C181" t="inlineStr">
        <is>
          <t>Banana Light Powder</t>
        </is>
      </c>
      <c r="D181" t="inlineStr">
        <is>
          <t>bellapierre Pressed Banana Setting Powder | Lightweight Compact Color-Correcting Powder with All Day Makeup Protection | Eliminates Blotchiness and Dark Spots | Talc-Free | Matte Tint - Medium - 0.28 Oz</t>
        </is>
      </c>
      <c r="E181" s="2">
        <f>HYPERLINK("https://www.amazon.com/bellapierre-Lightweight-Color-Correcting-Protection-Blotchiness/dp/B0B431425K/ref=sr_1_3?keywords=Banana+Light+Powder&amp;qid=1695565431&amp;sr=8-3", "https://www.amazon.com/bellapierre-Lightweight-Color-Correcting-Protection-Blotchiness/dp/B0B431425K/ref=sr_1_3?keywords=Banana+Light+Powder&amp;qid=1695565431&amp;sr=8-3")</f>
        <v/>
      </c>
      <c r="F181" t="inlineStr">
        <is>
          <t>B0B431425K</t>
        </is>
      </c>
      <c r="G181">
        <f>_xlfn.IMAGE("https://camerareadycosmetics.com/cdn/shop/products/bennye_luxury-banana-light-powder-3oz_50x.jpg?v=1544152876")</f>
        <v/>
      </c>
      <c r="H181">
        <f>_xlfn.IMAGE("https://m.media-amazon.com/images/I/61xhpcj9aJL._AC_UL320_.jpg")</f>
        <v/>
      </c>
      <c r="K181" t="inlineStr">
        <is>
          <t>16.0</t>
        </is>
      </c>
      <c r="L181" t="n">
        <v>24.99</v>
      </c>
      <c r="M181" s="1" t="inlineStr">
        <is>
          <t>56.19%</t>
        </is>
      </c>
      <c r="N181" t="n">
        <v>4.4</v>
      </c>
      <c r="O181" t="n">
        <v>45</v>
      </c>
      <c r="Q181" t="inlineStr">
        <is>
          <t>InStock</t>
        </is>
      </c>
      <c r="R181" t="inlineStr">
        <is>
          <t>undefined</t>
        </is>
      </c>
      <c r="S181" t="inlineStr">
        <is>
          <t>1811547160687</t>
        </is>
      </c>
    </row>
    <row r="182" ht="75" customHeight="1">
      <c r="A182" s="2">
        <f>HYPERLINK("https://camerareadycosmetics.com/products/ben-nye-banana-light-powder", "https://camerareadycosmetics.com/products/ben-nye-banana-light-powder")</f>
        <v/>
      </c>
      <c r="B182" s="2">
        <f>HYPERLINK("https://camerareadycosmetics.com/products/ben-nye-banana-light-powder", "https://camerareadycosmetics.com/products/ben-nye-banana-light-powder")</f>
        <v/>
      </c>
      <c r="C182" t="inlineStr">
        <is>
          <t>Banana Light Powder</t>
        </is>
      </c>
      <c r="D182" t="inlineStr">
        <is>
          <t>Makeup Revolution, Bake &amp; Blot, Banana (Light), Powder, 5.5g</t>
        </is>
      </c>
      <c r="E182" s="2">
        <f>HYPERLINK("https://www.amazon.com/Makeup-Revolution-Pressed-Powder-Banana/dp/B07NCQ2BD8/ref=sr_1_6?keywords=Banana+Light+Powder&amp;qid=1695565431&amp;sr=8-6", "https://www.amazon.com/Makeup-Revolution-Pressed-Powder-Banana/dp/B07NCQ2BD8/ref=sr_1_6?keywords=Banana+Light+Powder&amp;qid=1695565431&amp;sr=8-6")</f>
        <v/>
      </c>
      <c r="F182" t="inlineStr">
        <is>
          <t>B07NCQ2BD8</t>
        </is>
      </c>
      <c r="G182">
        <f>_xlfn.IMAGE("https://camerareadycosmetics.com/cdn/shop/products/bennye_luxury-banana-light-powder-3oz_50x.jpg?v=1544152876")</f>
        <v/>
      </c>
      <c r="H182">
        <f>_xlfn.IMAGE("https://m.media-amazon.com/images/I/91KSsgAUS4S._AC_UL320_.jpg")</f>
        <v/>
      </c>
      <c r="K182" t="inlineStr">
        <is>
          <t>16.0</t>
        </is>
      </c>
      <c r="L182" t="n">
        <v>17.39</v>
      </c>
      <c r="M182" s="1" t="inlineStr">
        <is>
          <t>8.69%</t>
        </is>
      </c>
      <c r="N182" t="n">
        <v>4.8</v>
      </c>
      <c r="O182" t="n">
        <v>16</v>
      </c>
      <c r="Q182" t="inlineStr">
        <is>
          <t>InStock</t>
        </is>
      </c>
      <c r="R182" t="inlineStr">
        <is>
          <t>undefined</t>
        </is>
      </c>
      <c r="S182" t="inlineStr">
        <is>
          <t>1811547160687</t>
        </is>
      </c>
    </row>
    <row r="183" ht="75" customHeight="1">
      <c r="A183" s="2">
        <f>HYPERLINK("https://camerareadycosmetics.com/products/ben-nye-banana-light-powder", "https://camerareadycosmetics.com/products/ben-nye-banana-light-powder")</f>
        <v/>
      </c>
      <c r="B183" s="2">
        <f>HYPERLINK("https://camerareadycosmetics.com/products/ben-nye-banana-light-powder", "https://camerareadycosmetics.com/products/ben-nye-banana-light-powder")</f>
        <v/>
      </c>
      <c r="C183" t="inlineStr">
        <is>
          <t>Banana Light Powder</t>
        </is>
      </c>
      <c r="D183" t="inlineStr">
        <is>
          <t>Makeup Revolution Loose Baking Powder, Banana Light, For Light Skin Tones, Balances Skin Tone &amp; Banishes Shine, Matte Finish, Vegan &amp; Cruelty-Free, 0.15 Oz</t>
        </is>
      </c>
      <c r="E183" s="2">
        <f>HYPERLINK("https://www.amazon.com/Makeup-Revolution-Baking-Powder-Banana/dp/B07NGQ2TWQ/ref=sr_1_2?keywords=Banana+Light+Powder&amp;qid=1695565431&amp;sr=8-2", "https://www.amazon.com/Makeup-Revolution-Baking-Powder-Banana/dp/B07NGQ2TWQ/ref=sr_1_2?keywords=Banana+Light+Powder&amp;qid=1695565431&amp;sr=8-2")</f>
        <v/>
      </c>
      <c r="F183" t="inlineStr">
        <is>
          <t>B07NGQ2TWQ</t>
        </is>
      </c>
      <c r="G183">
        <f>_xlfn.IMAGE("https://camerareadycosmetics.com/cdn/shop/products/bennye_luxury-banana-light-powder-3oz_50x.jpg?v=1544152876")</f>
        <v/>
      </c>
      <c r="H183">
        <f>_xlfn.IMAGE("https://m.media-amazon.com/images/I/51ac6j7VrgL._AC_UL320_.jpg")</f>
        <v/>
      </c>
      <c r="K183" t="inlineStr">
        <is>
          <t>16.0</t>
        </is>
      </c>
      <c r="L183" t="n">
        <v>14.83</v>
      </c>
      <c r="M183" s="1" t="inlineStr">
        <is>
          <t>-7.31%</t>
        </is>
      </c>
      <c r="N183" t="n">
        <v>4.1</v>
      </c>
      <c r="O183" t="n">
        <v>1019</v>
      </c>
      <c r="Q183" t="inlineStr">
        <is>
          <t>InStock</t>
        </is>
      </c>
      <c r="R183" t="inlineStr">
        <is>
          <t>undefined</t>
        </is>
      </c>
      <c r="S183" t="inlineStr">
        <is>
          <t>1811547160687</t>
        </is>
      </c>
    </row>
    <row r="184" ht="75" customHeight="1">
      <c r="A184" s="2">
        <f>HYPERLINK("https://camerareadycosmetics.com/products/ben-nye-banana-light-powder", "https://camerareadycosmetics.com/products/ben-nye-banana-light-powder")</f>
        <v/>
      </c>
      <c r="B184" s="2">
        <f>HYPERLINK("https://camerareadycosmetics.com/products/ben-nye-banana-light-powder", "https://camerareadycosmetics.com/products/ben-nye-banana-light-powder")</f>
        <v/>
      </c>
      <c r="C184" t="inlineStr">
        <is>
          <t>Banana Light Powder</t>
        </is>
      </c>
      <c r="D184" t="inlineStr">
        <is>
          <t>bellapierre Banana Setting Powder | Lightweight Color-Correcting Powder with All Day Makeup Protection | Eliminates Blotchiness and Dark Under-Eye Circles | Talc-Free | Matte Tint - Original - 0.14 Oz</t>
        </is>
      </c>
      <c r="E184" s="2">
        <f>HYPERLINK("https://www.amazon.com/Bellapierre-Lightweight-Color-Correcting-Protection-Blotchiness/dp/B01IJ25GHM/ref=sr_1_4?keywords=Banana+Light+Powder&amp;qid=1695565431&amp;sr=8-4", "https://www.amazon.com/Bellapierre-Lightweight-Color-Correcting-Protection-Blotchiness/dp/B01IJ25GHM/ref=sr_1_4?keywords=Banana+Light+Powder&amp;qid=1695565431&amp;sr=8-4")</f>
        <v/>
      </c>
      <c r="F184" t="inlineStr">
        <is>
          <t>B01IJ25GHM</t>
        </is>
      </c>
      <c r="G184">
        <f>_xlfn.IMAGE("https://camerareadycosmetics.com/cdn/shop/products/bennye_luxury-banana-light-powder-3oz_50x.jpg?v=1544152876")</f>
        <v/>
      </c>
      <c r="H184">
        <f>_xlfn.IMAGE("https://m.media-amazon.com/images/I/71SLO1HlGxL._AC_UL320_.jpg")</f>
        <v/>
      </c>
      <c r="K184" t="inlineStr">
        <is>
          <t>16.0</t>
        </is>
      </c>
      <c r="L184" t="n">
        <v>12.99</v>
      </c>
      <c r="M184" s="1" t="inlineStr">
        <is>
          <t>-18.81%</t>
        </is>
      </c>
      <c r="N184" t="n">
        <v>4.5</v>
      </c>
      <c r="O184" t="n">
        <v>1483</v>
      </c>
      <c r="Q184" t="inlineStr">
        <is>
          <t>InStock</t>
        </is>
      </c>
      <c r="R184" t="inlineStr">
        <is>
          <t>undefined</t>
        </is>
      </c>
      <c r="S184" t="inlineStr">
        <is>
          <t>1811547160687</t>
        </is>
      </c>
    </row>
    <row r="185" ht="75" customHeight="1">
      <c r="A185" s="2">
        <f>HYPERLINK("https://camerareadycosmetics.com/products/ben-nye-banana-light-powder", "https://camerareadycosmetics.com/products/ben-nye-banana-light-powder")</f>
        <v/>
      </c>
      <c r="B185" s="2">
        <f>HYPERLINK("https://camerareadycosmetics.com/products/ben-nye-banana-light-powder", "https://camerareadycosmetics.com/products/ben-nye-banana-light-powder")</f>
        <v/>
      </c>
      <c r="C185" t="inlineStr">
        <is>
          <t>Banana Light Powder</t>
        </is>
      </c>
      <c r="D185" t="inlineStr">
        <is>
          <t>Makeup Revolution Loose Baking Powder, Make Up Setting Powder, Provides Long-lasting Coverage, Reduces Shine, For Light Skin Tones, Banana Light, 32g</t>
        </is>
      </c>
      <c r="E185" s="2">
        <f>HYPERLINK("https://www.amazon.com/Revolution-Setting-Provides-Long-lasting-Coverage/dp/B08B36528M/ref=sr_1_1?keywords=Banana+Light+Powder&amp;qid=1695565431&amp;sr=8-1", "https://www.amazon.com/Revolution-Setting-Provides-Long-lasting-Coverage/dp/B08B36528M/ref=sr_1_1?keywords=Banana+Light+Powder&amp;qid=1695565431&amp;sr=8-1")</f>
        <v/>
      </c>
      <c r="F185" t="inlineStr">
        <is>
          <t>B08B36528M</t>
        </is>
      </c>
      <c r="G185">
        <f>_xlfn.IMAGE("https://camerareadycosmetics.com/cdn/shop/products/bennye_luxury-banana-light-powder-3oz_50x.jpg?v=1544152876")</f>
        <v/>
      </c>
      <c r="H185">
        <f>_xlfn.IMAGE("https://m.media-amazon.com/images/I/519axv6KPQS._AC_UL320_.jpg")</f>
        <v/>
      </c>
      <c r="K185" t="inlineStr">
        <is>
          <t>16.0</t>
        </is>
      </c>
      <c r="L185" t="n">
        <v>8</v>
      </c>
      <c r="M185" s="1" t="inlineStr">
        <is>
          <t>-50.00%</t>
        </is>
      </c>
      <c r="N185" t="n">
        <v>4.3</v>
      </c>
      <c r="O185" t="n">
        <v>1766</v>
      </c>
      <c r="Q185" t="inlineStr">
        <is>
          <t>InStock</t>
        </is>
      </c>
      <c r="R185" t="inlineStr">
        <is>
          <t>undefined</t>
        </is>
      </c>
      <c r="S185" t="inlineStr">
        <is>
          <t>1811547160687</t>
        </is>
      </c>
    </row>
    <row r="186" ht="75" customHeight="1">
      <c r="A186" s="2">
        <f>HYPERLINK("https://camerareadycosmetics.com/products/ben-nye-banana-light-powder", "https://camerareadycosmetics.com/products/ben-nye-banana-light-powder")</f>
        <v/>
      </c>
      <c r="B186" s="2">
        <f>HYPERLINK("https://camerareadycosmetics.com/products/ben-nye-banana-light-powder", "https://camerareadycosmetics.com/products/ben-nye-banana-light-powder")</f>
        <v/>
      </c>
      <c r="C186" t="inlineStr">
        <is>
          <t>Banana Light Powder</t>
        </is>
      </c>
      <c r="D186" t="inlineStr">
        <is>
          <t>Makeup Revolution Loose Baking Powder, Make Up Setting Powder, Provides Long-lasting Coverage, Reduces Shine, For Light Skin Tones, Banana Light, 32g</t>
        </is>
      </c>
      <c r="E186" s="2">
        <f>HYPERLINK("https://www.amazon.com/Revolution-Setting-Provides-Long-lasting-Coverage/dp/B08B36528M/ref=sr_1_1?keywords=Banana+Light+Powder&amp;qid=1695565431&amp;sr=8-1", "https://www.amazon.com/Revolution-Setting-Provides-Long-lasting-Coverage/dp/B08B36528M/ref=sr_1_1?keywords=Banana+Light+Powder&amp;qid=1695565431&amp;sr=8-1")</f>
        <v/>
      </c>
      <c r="F186" t="inlineStr">
        <is>
          <t>B08B36528M</t>
        </is>
      </c>
      <c r="G186">
        <f>_xlfn.IMAGE("https://camerareadycosmetics.com/cdn/shop/products/bennye_luxury-banana-light-powder-3oz_50x.jpg?v=1544152876")</f>
        <v/>
      </c>
      <c r="H186">
        <f>_xlfn.IMAGE("https://m.media-amazon.com/images/I/519axv6KPQS._AC_UL320_.jpg")</f>
        <v/>
      </c>
      <c r="K186" t="inlineStr">
        <is>
          <t>16.0</t>
        </is>
      </c>
      <c r="L186" t="n">
        <v>8</v>
      </c>
      <c r="M186" s="1" t="inlineStr">
        <is>
          <t>-50.00%</t>
        </is>
      </c>
      <c r="N186" t="n">
        <v>4.3</v>
      </c>
      <c r="O186" t="n">
        <v>1766</v>
      </c>
      <c r="Q186" t="inlineStr">
        <is>
          <t>InStock</t>
        </is>
      </c>
      <c r="R186" t="inlineStr">
        <is>
          <t>undefined</t>
        </is>
      </c>
      <c r="S186" t="inlineStr">
        <is>
          <t>1811547160687</t>
        </is>
      </c>
    </row>
    <row r="187" ht="75" customHeight="1">
      <c r="A187" s="2">
        <f>HYPERLINK("https://camerareadycosmetics.com/products/ben-nye-bella-luxury-powder-banana", "https://camerareadycosmetics.com/products/ben-nye-bella-luxury-powder-banana")</f>
        <v/>
      </c>
      <c r="B187" s="2">
        <f>HYPERLINK("https://camerareadycosmetics.com/products/ben-nye-bella-luxury-powder-banana", "https://camerareadycosmetics.com/products/ben-nye-bella-luxury-powder-banana")</f>
        <v/>
      </c>
      <c r="C187" t="inlineStr">
        <is>
          <t>Banana Powder</t>
        </is>
      </c>
      <c r="D187" t="inlineStr">
        <is>
          <t>Nutritional Designs Nana Flakes Anti-Diarrheal Banana Powder, IBS Relief &amp; Heart Burn Remedy, 100% Pure Banana Flakes Medical Food - Natural - Great Source of Protein &amp; Fiber (Two Pound Bag)</t>
        </is>
      </c>
      <c r="E187" s="2" t="n"/>
      <c r="F187" t="inlineStr">
        <is>
          <t>B01M7QBXNY</t>
        </is>
      </c>
      <c r="G187">
        <f>_xlfn.IMAGE("https://camerareadycosmetics.com/cdn/shop/products/Ben-Nye-Luxury-Powder-2__50539.1464625679.600.600_50x.jpeg?v=1689627812")</f>
        <v/>
      </c>
      <c r="H187">
        <f>_xlfn.IMAGE("https://m.media-amazon.com/images/I/811jSYI5whL._AC_UL320_.jpg")</f>
        <v/>
      </c>
      <c r="K187" t="inlineStr">
        <is>
          <t>16.0</t>
        </is>
      </c>
      <c r="L187" t="n">
        <v>49.99</v>
      </c>
      <c r="M187" s="1" t="inlineStr">
        <is>
          <t>212.44%</t>
        </is>
      </c>
      <c r="N187" t="n">
        <v>4.3</v>
      </c>
      <c r="O187" t="n">
        <v>494</v>
      </c>
      <c r="Q187" t="inlineStr">
        <is>
          <t>InStock</t>
        </is>
      </c>
      <c r="R187" t="inlineStr">
        <is>
          <t>undefined</t>
        </is>
      </c>
      <c r="S187" t="inlineStr">
        <is>
          <t>7034997191</t>
        </is>
      </c>
    </row>
    <row r="188" ht="75" customHeight="1">
      <c r="A188" s="2">
        <f>HYPERLINK("https://camerareadycosmetics.com/products/ben-nye-bella-luxury-powder-banana", "https://camerareadycosmetics.com/products/ben-nye-bella-luxury-powder-banana")</f>
        <v/>
      </c>
      <c r="B188" s="2">
        <f>HYPERLINK("https://camerareadycosmetics.com/products/ben-nye-bella-luxury-powder-banana", "https://camerareadycosmetics.com/products/ben-nye-bella-luxury-powder-banana")</f>
        <v/>
      </c>
      <c r="C188" t="inlineStr">
        <is>
          <t>Banana Powder</t>
        </is>
      </c>
      <c r="D188" t="inlineStr">
        <is>
          <t>BulkSupplements.com Banana Powder - Dried Bananas Powder - Banana Powder Setting Powder - Fruit Powder - Banana Flavoring Powder - Smoothie Powder (500 Grams - 1.1 lbs)</t>
        </is>
      </c>
      <c r="E188" s="2" t="n"/>
      <c r="F188" t="inlineStr">
        <is>
          <t>B0883WHZD4</t>
        </is>
      </c>
      <c r="G188">
        <f>_xlfn.IMAGE("https://camerareadycosmetics.com/cdn/shop/products/Ben-Nye-Luxury-Powder-2__50539.1464625679.600.600_50x.jpeg?v=1689627812")</f>
        <v/>
      </c>
      <c r="H188">
        <f>_xlfn.IMAGE("https://m.media-amazon.com/images/I/6154sNBQ5LL._AC_UL320_.jpg")</f>
        <v/>
      </c>
      <c r="K188" t="inlineStr">
        <is>
          <t>16.0</t>
        </is>
      </c>
      <c r="L188" t="n">
        <v>25.96</v>
      </c>
      <c r="M188" s="1" t="inlineStr">
        <is>
          <t>62.25%</t>
        </is>
      </c>
      <c r="N188" t="n">
        <v>4.1</v>
      </c>
      <c r="O188" t="n">
        <v>66</v>
      </c>
      <c r="Q188" t="inlineStr">
        <is>
          <t>InStock</t>
        </is>
      </c>
      <c r="R188" t="inlineStr">
        <is>
          <t>undefined</t>
        </is>
      </c>
      <c r="S188" t="inlineStr">
        <is>
          <t>7034997191</t>
        </is>
      </c>
    </row>
    <row r="189" ht="75" customHeight="1">
      <c r="A189" s="2">
        <f>HYPERLINK("https://camerareadycosmetics.com/products/ben-nye-bella-luxury-powder-banana", "https://camerareadycosmetics.com/products/ben-nye-bella-luxury-powder-banana")</f>
        <v/>
      </c>
      <c r="B189" s="2">
        <f>HYPERLINK("https://camerareadycosmetics.com/products/ben-nye-bella-luxury-powder-banana", "https://camerareadycosmetics.com/products/ben-nye-bella-luxury-powder-banana")</f>
        <v/>
      </c>
      <c r="C189" t="inlineStr">
        <is>
          <t>Banana Powder</t>
        </is>
      </c>
      <c r="D189" t="inlineStr">
        <is>
          <t>KOYAH - Organic Freeze-dried Banana Powder (1 Scoop = 1/4 Cup Fresh): 22 Servings, 220 g (7.8 oz)</t>
        </is>
      </c>
      <c r="E189" s="2" t="n"/>
      <c r="F189" t="inlineStr">
        <is>
          <t>B07WMMBZJZ</t>
        </is>
      </c>
      <c r="G189">
        <f>_xlfn.IMAGE("https://camerareadycosmetics.com/cdn/shop/products/Ben-Nye-Luxury-Powder-2__50539.1464625679.600.600_50x.jpeg?v=1689627812")</f>
        <v/>
      </c>
      <c r="H189">
        <f>_xlfn.IMAGE("https://m.media-amazon.com/images/I/61w5DETJ+UL._AC_UL320_.jpg")</f>
        <v/>
      </c>
      <c r="K189" t="inlineStr">
        <is>
          <t>16.0</t>
        </is>
      </c>
      <c r="L189" t="n">
        <v>24.99</v>
      </c>
      <c r="M189" s="1" t="inlineStr">
        <is>
          <t>56.19%</t>
        </is>
      </c>
      <c r="N189" t="n">
        <v>4.1</v>
      </c>
      <c r="O189" t="n">
        <v>460</v>
      </c>
      <c r="Q189" t="inlineStr">
        <is>
          <t>InStock</t>
        </is>
      </c>
      <c r="R189" t="inlineStr">
        <is>
          <t>undefined</t>
        </is>
      </c>
      <c r="S189" t="inlineStr">
        <is>
          <t>7034997191</t>
        </is>
      </c>
    </row>
    <row r="190" ht="75" customHeight="1">
      <c r="A190" s="2">
        <f>HYPERLINK("https://camerareadycosmetics.com/products/ben-nye-bella-luxury-powder-banana", "https://camerareadycosmetics.com/products/ben-nye-bella-luxury-powder-banana")</f>
        <v/>
      </c>
      <c r="B190" s="2">
        <f>HYPERLINK("https://camerareadycosmetics.com/products/ben-nye-bella-luxury-powder-banana", "https://camerareadycosmetics.com/products/ben-nye-bella-luxury-powder-banana")</f>
        <v/>
      </c>
      <c r="C190" t="inlineStr">
        <is>
          <t>Banana Powder</t>
        </is>
      </c>
      <c r="D190" t="inlineStr">
        <is>
          <t>Nutritional Designs Nana Flakes Anti-Diarrheal Banana Powder, IBS Relief &amp; Heart Burn Remedy, 100% Pure Banana Flakes Medical Food - Natural - High Protein &amp; Fiber (25 Single-Serve Packs)</t>
        </is>
      </c>
      <c r="E190" s="2" t="n"/>
      <c r="F190" t="inlineStr">
        <is>
          <t>B08HSR4DXV</t>
        </is>
      </c>
      <c r="G190">
        <f>_xlfn.IMAGE("https://camerareadycosmetics.com/cdn/shop/products/Ben-Nye-Luxury-Powder-2__50539.1464625679.600.600_50x.jpeg?v=1689627812")</f>
        <v/>
      </c>
      <c r="H190">
        <f>_xlfn.IMAGE("https://m.media-amazon.com/images/I/81Sd8xJoWoL._AC_UL320_.jpg")</f>
        <v/>
      </c>
      <c r="K190" t="inlineStr">
        <is>
          <t>16.0</t>
        </is>
      </c>
      <c r="L190" t="n">
        <v>22.99</v>
      </c>
      <c r="M190" s="1" t="inlineStr">
        <is>
          <t>43.69%</t>
        </is>
      </c>
      <c r="N190" t="n">
        <v>4.3</v>
      </c>
      <c r="O190" t="n">
        <v>108</v>
      </c>
      <c r="Q190" t="inlineStr">
        <is>
          <t>InStock</t>
        </is>
      </c>
      <c r="R190" t="inlineStr">
        <is>
          <t>undefined</t>
        </is>
      </c>
      <c r="S190" t="inlineStr">
        <is>
          <t>7034997191</t>
        </is>
      </c>
    </row>
    <row r="191" ht="75" customHeight="1">
      <c r="A191" s="2">
        <f>HYPERLINK("https://camerareadycosmetics.com/products/ben-nye-bella-luxury-powder-banana", "https://camerareadycosmetics.com/products/ben-nye-bella-luxury-powder-banana")</f>
        <v/>
      </c>
      <c r="B191" s="2">
        <f>HYPERLINK("https://camerareadycosmetics.com/products/ben-nye-bella-luxury-powder-banana", "https://camerareadycosmetics.com/products/ben-nye-bella-luxury-powder-banana")</f>
        <v/>
      </c>
      <c r="C191" t="inlineStr">
        <is>
          <t>Banana Powder</t>
        </is>
      </c>
      <c r="D191" t="inlineStr">
        <is>
          <t>Makeup Revolution Loose Baking Powder, Make Up Setting Powder, Provides Long-lasting Coverage, Reduces Shine, For Light Skin Tones, Banana Light, 32g</t>
        </is>
      </c>
      <c r="E191" s="2">
        <f>HYPERLINK("https://www.amazon.com/Revolution-Setting-Provides-Long-lasting-Coverage/dp/B08B36528M/ref=sr_1_10?keywords=Banana+Powder&amp;qid=1695565414&amp;sr=8-10", "https://www.amazon.com/Revolution-Setting-Provides-Long-lasting-Coverage/dp/B08B36528M/ref=sr_1_10?keywords=Banana+Powder&amp;qid=1695565414&amp;sr=8-10")</f>
        <v/>
      </c>
      <c r="F191" t="inlineStr">
        <is>
          <t>B08B36528M</t>
        </is>
      </c>
      <c r="G191">
        <f>_xlfn.IMAGE("https://camerareadycosmetics.com/cdn/shop/products/Ben-Nye-Luxury-Powder-2__50539.1464625679.600.600_50x.jpeg?v=1689627812")</f>
        <v/>
      </c>
      <c r="H191">
        <f>_xlfn.IMAGE("https://m.media-amazon.com/images/I/519axv6KPQS._AC_UL320_.jpg")</f>
        <v/>
      </c>
      <c r="K191" t="inlineStr">
        <is>
          <t>16.0</t>
        </is>
      </c>
      <c r="L191" t="n">
        <v>8</v>
      </c>
      <c r="M191" s="1" t="inlineStr">
        <is>
          <t>-50.00%</t>
        </is>
      </c>
      <c r="N191" t="n">
        <v>4.3</v>
      </c>
      <c r="O191" t="n">
        <v>1766</v>
      </c>
      <c r="Q191" t="inlineStr">
        <is>
          <t>InStock</t>
        </is>
      </c>
      <c r="R191" t="inlineStr">
        <is>
          <t>undefined</t>
        </is>
      </c>
      <c r="S191" t="inlineStr">
        <is>
          <t>7034997191</t>
        </is>
      </c>
    </row>
    <row r="192" ht="75" customHeight="1">
      <c r="A192" s="2">
        <f>HYPERLINK("https://camerareadycosmetics.com/products/ben-nye-bella-luxury-powder-banana", "https://camerareadycosmetics.com/products/ben-nye-bella-luxury-powder-banana")</f>
        <v/>
      </c>
      <c r="B192" s="2">
        <f>HYPERLINK("https://camerareadycosmetics.com/products/ben-nye-bella-luxury-powder-banana", "https://camerareadycosmetics.com/products/ben-nye-bella-luxury-powder-banana")</f>
        <v/>
      </c>
      <c r="C192" t="inlineStr">
        <is>
          <t>Banana Powder</t>
        </is>
      </c>
      <c r="D192" t="inlineStr">
        <is>
          <t>Black Radiance True Complexion Loose Setting Powder, Banana, 0.64 Ounce</t>
        </is>
      </c>
      <c r="E192" s="2">
        <f>HYPERLINK("https://www.amazon.com/Black-Radiance-Complexion-Setting-Powder/dp/B0784G54FT/ref=sr_1_8?keywords=Banana+Powder&amp;qid=1695565414&amp;sr=8-8", "https://www.amazon.com/Black-Radiance-Complexion-Setting-Powder/dp/B0784G54FT/ref=sr_1_8?keywords=Banana+Powder&amp;qid=1695565414&amp;sr=8-8")</f>
        <v/>
      </c>
      <c r="F192" t="inlineStr">
        <is>
          <t>B0784G54FT</t>
        </is>
      </c>
      <c r="G192">
        <f>_xlfn.IMAGE("https://camerareadycosmetics.com/cdn/shop/products/Ben-Nye-Luxury-Powder-2__50539.1464625679.600.600_50x.jpeg?v=1689627812")</f>
        <v/>
      </c>
      <c r="H192">
        <f>_xlfn.IMAGE("https://m.media-amazon.com/images/I/71P4YDQWvHL._AC_UL320_.jpg")</f>
        <v/>
      </c>
      <c r="K192" t="inlineStr">
        <is>
          <t>16.0</t>
        </is>
      </c>
      <c r="L192" t="n">
        <v>6.87</v>
      </c>
      <c r="M192" s="1" t="inlineStr">
        <is>
          <t>-57.06%</t>
        </is>
      </c>
      <c r="N192" t="n">
        <v>4.4</v>
      </c>
      <c r="O192" t="n">
        <v>7389</v>
      </c>
      <c r="Q192" t="inlineStr">
        <is>
          <t>InStock</t>
        </is>
      </c>
      <c r="R192" t="inlineStr">
        <is>
          <t>undefined</t>
        </is>
      </c>
      <c r="S192" t="inlineStr">
        <is>
          <t>7034997191</t>
        </is>
      </c>
    </row>
    <row r="193" ht="75" customHeight="1">
      <c r="A193" s="2">
        <f>HYPERLINK("https://camerareadycosmetics.com/products/ben-nye-bella-luxury-powder-banana", "https://camerareadycosmetics.com/products/ben-nye-bella-luxury-powder-banana")</f>
        <v/>
      </c>
      <c r="B193" s="2">
        <f>HYPERLINK("https://camerareadycosmetics.com/products/ben-nye-bella-luxury-powder-banana", "https://camerareadycosmetics.com/products/ben-nye-bella-luxury-powder-banana")</f>
        <v/>
      </c>
      <c r="C193" t="inlineStr">
        <is>
          <t>Banana Powder</t>
        </is>
      </c>
      <c r="D193" t="inlineStr">
        <is>
          <t>J.Cat Beauty Luxe Pro Powder, 1.5 Ounce - LPP101 Banana</t>
        </is>
      </c>
      <c r="E193" s="2">
        <f>HYPERLINK("https://www.amazon.com/J-Cat-Beauty-Luxe-Powder-Ounce/dp/B07283TQ9D/ref=sr_1_6?keywords=Banana+Powder&amp;qid=1695565414&amp;sr=8-6", "https://www.amazon.com/J-Cat-Beauty-Luxe-Powder-Ounce/dp/B07283TQ9D/ref=sr_1_6?keywords=Banana+Powder&amp;qid=1695565414&amp;sr=8-6")</f>
        <v/>
      </c>
      <c r="F193" t="inlineStr">
        <is>
          <t>B07283TQ9D</t>
        </is>
      </c>
      <c r="G193">
        <f>_xlfn.IMAGE("https://camerareadycosmetics.com/cdn/shop/products/Ben-Nye-Luxury-Powder-2__50539.1464625679.600.600_50x.jpeg?v=1689627812")</f>
        <v/>
      </c>
      <c r="H193">
        <f>_xlfn.IMAGE("https://m.media-amazon.com/images/I/61jsS3-2loL._AC_UL320_.jpg")</f>
        <v/>
      </c>
      <c r="K193" t="inlineStr">
        <is>
          <t>16.0</t>
        </is>
      </c>
      <c r="L193" t="n">
        <v>5.85</v>
      </c>
      <c r="M193" s="1" t="inlineStr">
        <is>
          <t>-63.44%</t>
        </is>
      </c>
      <c r="N193" t="n">
        <v>4.3</v>
      </c>
      <c r="O193" t="n">
        <v>1807</v>
      </c>
      <c r="Q193" t="inlineStr">
        <is>
          <t>InStock</t>
        </is>
      </c>
      <c r="R193" t="inlineStr">
        <is>
          <t>undefined</t>
        </is>
      </c>
      <c r="S193" t="inlineStr">
        <is>
          <t>7034997191</t>
        </is>
      </c>
    </row>
    <row r="194" ht="75" customHeight="1">
      <c r="A194" s="2">
        <f>HYPERLINK("https://camerareadycosmetics.com/products/ben-nye-bella-luxury-powder-banana", "https://camerareadycosmetics.com/products/ben-nye-bella-luxury-powder-banana")</f>
        <v/>
      </c>
      <c r="B194" s="2">
        <f>HYPERLINK("https://camerareadycosmetics.com/products/ben-nye-bella-luxury-powder-banana", "https://camerareadycosmetics.com/products/ben-nye-bella-luxury-powder-banana")</f>
        <v/>
      </c>
      <c r="C194" t="inlineStr">
        <is>
          <t>Banana Powder</t>
        </is>
      </c>
      <c r="D194" t="inlineStr">
        <is>
          <t>Wet n Wild Photo Focus Loose Baking Setting Powder, Highlighter Makeup, Suitable for All Skin Tones, Banana</t>
        </is>
      </c>
      <c r="E194" s="2">
        <f>HYPERLINK("https://www.amazon.com/Photo-Focus-Loose-Setting-Powder/dp/B0847RYJMK/ref=sr_1_5?keywords=Banana+Powder&amp;qid=1695565414&amp;rdc=1&amp;sr=8-5", "https://www.amazon.com/Photo-Focus-Loose-Setting-Powder/dp/B0847RYJMK/ref=sr_1_5?keywords=Banana+Powder&amp;qid=1695565414&amp;rdc=1&amp;sr=8-5")</f>
        <v/>
      </c>
      <c r="F194" t="inlineStr">
        <is>
          <t>B0847RYJMK</t>
        </is>
      </c>
      <c r="G194">
        <f>_xlfn.IMAGE("https://camerareadycosmetics.com/cdn/shop/products/Ben-Nye-Luxury-Powder-2__50539.1464625679.600.600_50x.jpeg?v=1689627812")</f>
        <v/>
      </c>
      <c r="H194">
        <f>_xlfn.IMAGE("https://m.media-amazon.com/images/I/71RlpAlEw7L._AC_UL320_.jpg")</f>
        <v/>
      </c>
      <c r="K194" t="inlineStr">
        <is>
          <t>16.0</t>
        </is>
      </c>
      <c r="L194" t="n">
        <v>5.59</v>
      </c>
      <c r="M194" s="1" t="inlineStr">
        <is>
          <t>-65.06%</t>
        </is>
      </c>
      <c r="N194" t="n">
        <v>4.6</v>
      </c>
      <c r="O194" t="n">
        <v>4320</v>
      </c>
      <c r="Q194" t="inlineStr">
        <is>
          <t>InStock</t>
        </is>
      </c>
      <c r="R194" t="inlineStr">
        <is>
          <t>undefined</t>
        </is>
      </c>
      <c r="S194" t="inlineStr">
        <is>
          <t>7034997191</t>
        </is>
      </c>
    </row>
    <row r="195" ht="75" customHeight="1">
      <c r="A195" s="2">
        <f>HYPERLINK("https://camerareadycosmetics.com/products/ben-nye-bella-luxury-powder-banana", "https://camerareadycosmetics.com/products/ben-nye-bella-luxury-powder-banana")</f>
        <v/>
      </c>
      <c r="B195" s="2">
        <f>HYPERLINK("https://camerareadycosmetics.com/products/ben-nye-bella-luxury-powder-banana", "https://camerareadycosmetics.com/products/ben-nye-bella-luxury-powder-banana")</f>
        <v/>
      </c>
      <c r="C195" t="inlineStr">
        <is>
          <t>Banana Powder</t>
        </is>
      </c>
      <c r="D195" t="inlineStr">
        <is>
          <t>W7 Banana Dreams Loose Setting Powder - Weightless Yellow Blurring Powder For All Skin Tones</t>
        </is>
      </c>
      <c r="E195" s="2">
        <f>HYPERLINK("https://www.amazon.com/W7-Banana-Dreams-Loose-Powder/dp/B0159ZECGI/ref=sr_1_7?keywords=Banana+Powder&amp;qid=1695565414&amp;sr=8-7", "https://www.amazon.com/W7-Banana-Dreams-Loose-Powder/dp/B0159ZECGI/ref=sr_1_7?keywords=Banana+Powder&amp;qid=1695565414&amp;sr=8-7")</f>
        <v/>
      </c>
      <c r="F195" t="inlineStr">
        <is>
          <t>B0159ZECGI</t>
        </is>
      </c>
      <c r="G195">
        <f>_xlfn.IMAGE("https://camerareadycosmetics.com/cdn/shop/products/Ben-Nye-Luxury-Powder-2__50539.1464625679.600.600_50x.jpeg?v=1689627812")</f>
        <v/>
      </c>
      <c r="H195">
        <f>_xlfn.IMAGE("https://m.media-amazon.com/images/I/81si+7h91ZL._AC_UL320_.jpg")</f>
        <v/>
      </c>
      <c r="K195" t="inlineStr">
        <is>
          <t>16.0</t>
        </is>
      </c>
      <c r="L195" t="n">
        <v>4.19</v>
      </c>
      <c r="M195" s="1" t="inlineStr">
        <is>
          <t>-73.81%</t>
        </is>
      </c>
      <c r="N195" t="n">
        <v>4.3</v>
      </c>
      <c r="O195" t="n">
        <v>4890</v>
      </c>
      <c r="Q195" t="inlineStr">
        <is>
          <t>InStock</t>
        </is>
      </c>
      <c r="R195" t="inlineStr">
        <is>
          <t>undefined</t>
        </is>
      </c>
      <c r="S195" t="inlineStr">
        <is>
          <t>7034997191</t>
        </is>
      </c>
    </row>
    <row r="196" ht="75" customHeight="1">
      <c r="A196" s="2">
        <f>HYPERLINK("https://camerareadycosmetics.com/products/ben-nye-bella-luxury-powder-banana", "https://camerareadycosmetics.com/products/ben-nye-bella-luxury-powder-banana")</f>
        <v/>
      </c>
      <c r="B196" s="2">
        <f>HYPERLINK("https://camerareadycosmetics.com/products/ben-nye-bella-luxury-powder-banana", "https://camerareadycosmetics.com/products/ben-nye-bella-luxury-powder-banana")</f>
        <v/>
      </c>
      <c r="C196" t="inlineStr">
        <is>
          <t>Banana Powder</t>
        </is>
      </c>
      <c r="D196" t="inlineStr">
        <is>
          <t>Makeup Revolution Loose Baking Powder, Make Up Setting Powder, Provides Long-lasting Coverage, Reduces Shine, For Light Skin Tones, Banana Light, 32g</t>
        </is>
      </c>
      <c r="E196" s="2">
        <f>HYPERLINK("https://www.amazon.com/Revolution-Setting-Provides-Long-lasting-Coverage/dp/B08B36528M/ref=sr_1_10?keywords=Banana+Powder&amp;qid=1695565414&amp;sr=8-10", "https://www.amazon.com/Revolution-Setting-Provides-Long-lasting-Coverage/dp/B08B36528M/ref=sr_1_10?keywords=Banana+Powder&amp;qid=1695565414&amp;sr=8-10")</f>
        <v/>
      </c>
      <c r="F196" t="inlineStr">
        <is>
          <t>B08B36528M</t>
        </is>
      </c>
      <c r="G196">
        <f>_xlfn.IMAGE("https://camerareadycosmetics.com/cdn/shop/products/Ben-Nye-Luxury-Powder-2__50539.1464625679.600.600_50x.jpeg?v=1689627812")</f>
        <v/>
      </c>
      <c r="H196">
        <f>_xlfn.IMAGE("https://m.media-amazon.com/images/I/519axv6KPQS._AC_UL320_.jpg")</f>
        <v/>
      </c>
      <c r="K196" t="inlineStr">
        <is>
          <t>16.0</t>
        </is>
      </c>
      <c r="L196" t="n">
        <v>8</v>
      </c>
      <c r="M196" s="1" t="inlineStr">
        <is>
          <t>-50.00%</t>
        </is>
      </c>
      <c r="N196" t="n">
        <v>4.3</v>
      </c>
      <c r="O196" t="n">
        <v>1766</v>
      </c>
      <c r="Q196" t="inlineStr">
        <is>
          <t>InStock</t>
        </is>
      </c>
      <c r="R196" t="inlineStr">
        <is>
          <t>undefined</t>
        </is>
      </c>
      <c r="S196" t="inlineStr">
        <is>
          <t>7034997191</t>
        </is>
      </c>
    </row>
    <row r="197" ht="75" customHeight="1">
      <c r="A197" s="2">
        <f>HYPERLINK("https://camerareadycosmetics.com/products/ben-nye-bella-luxury-powder-banana", "https://camerareadycosmetics.com/products/ben-nye-bella-luxury-powder-banana")</f>
        <v/>
      </c>
      <c r="B197" s="2">
        <f>HYPERLINK("https://camerareadycosmetics.com/products/ben-nye-bella-luxury-powder-banana", "https://camerareadycosmetics.com/products/ben-nye-bella-luxury-powder-banana")</f>
        <v/>
      </c>
      <c r="C197" t="inlineStr">
        <is>
          <t>Banana Powder</t>
        </is>
      </c>
      <c r="D197" t="inlineStr">
        <is>
          <t>Black Radiance True Complexion Loose Setting Powder, Banana, 0.64 Ounce</t>
        </is>
      </c>
      <c r="E197" s="2">
        <f>HYPERLINK("https://www.amazon.com/Black-Radiance-Complexion-Setting-Powder/dp/B0784G54FT/ref=sr_1_8?keywords=Banana+Powder&amp;qid=1695565414&amp;sr=8-8", "https://www.amazon.com/Black-Radiance-Complexion-Setting-Powder/dp/B0784G54FT/ref=sr_1_8?keywords=Banana+Powder&amp;qid=1695565414&amp;sr=8-8")</f>
        <v/>
      </c>
      <c r="F197" t="inlineStr">
        <is>
          <t>B0784G54FT</t>
        </is>
      </c>
      <c r="G197">
        <f>_xlfn.IMAGE("https://camerareadycosmetics.com/cdn/shop/products/Ben-Nye-Luxury-Powder-2__50539.1464625679.600.600_50x.jpeg?v=1689627812")</f>
        <v/>
      </c>
      <c r="H197">
        <f>_xlfn.IMAGE("https://m.media-amazon.com/images/I/71P4YDQWvHL._AC_UL320_.jpg")</f>
        <v/>
      </c>
      <c r="K197" t="inlineStr">
        <is>
          <t>16.0</t>
        </is>
      </c>
      <c r="L197" t="n">
        <v>6.87</v>
      </c>
      <c r="M197" s="1" t="inlineStr">
        <is>
          <t>-57.06%</t>
        </is>
      </c>
      <c r="N197" t="n">
        <v>4.4</v>
      </c>
      <c r="O197" t="n">
        <v>7389</v>
      </c>
      <c r="Q197" t="inlineStr">
        <is>
          <t>InStock</t>
        </is>
      </c>
      <c r="R197" t="inlineStr">
        <is>
          <t>undefined</t>
        </is>
      </c>
      <c r="S197" t="inlineStr">
        <is>
          <t>7034997191</t>
        </is>
      </c>
    </row>
    <row r="198" ht="75" customHeight="1">
      <c r="A198" s="2">
        <f>HYPERLINK("https://camerareadycosmetics.com/products/ben-nye-bella-luxury-powder-banana", "https://camerareadycosmetics.com/products/ben-nye-bella-luxury-powder-banana")</f>
        <v/>
      </c>
      <c r="B198" s="2">
        <f>HYPERLINK("https://camerareadycosmetics.com/products/ben-nye-bella-luxury-powder-banana", "https://camerareadycosmetics.com/products/ben-nye-bella-luxury-powder-banana")</f>
        <v/>
      </c>
      <c r="C198" t="inlineStr">
        <is>
          <t>Banana Powder</t>
        </is>
      </c>
      <c r="D198" t="inlineStr">
        <is>
          <t>J.Cat Beauty Luxe Pro Powder, 1.5 Ounce - LPP101 Banana</t>
        </is>
      </c>
      <c r="E198" s="2">
        <f>HYPERLINK("https://www.amazon.com/J-Cat-Beauty-Luxe-Powder-Ounce/dp/B07283TQ9D/ref=sr_1_6?keywords=Banana+Powder&amp;qid=1695565414&amp;sr=8-6", "https://www.amazon.com/J-Cat-Beauty-Luxe-Powder-Ounce/dp/B07283TQ9D/ref=sr_1_6?keywords=Banana+Powder&amp;qid=1695565414&amp;sr=8-6")</f>
        <v/>
      </c>
      <c r="F198" t="inlineStr">
        <is>
          <t>B07283TQ9D</t>
        </is>
      </c>
      <c r="G198">
        <f>_xlfn.IMAGE("https://camerareadycosmetics.com/cdn/shop/products/Ben-Nye-Luxury-Powder-2__50539.1464625679.600.600_50x.jpeg?v=1689627812")</f>
        <v/>
      </c>
      <c r="H198">
        <f>_xlfn.IMAGE("https://m.media-amazon.com/images/I/61jsS3-2loL._AC_UL320_.jpg")</f>
        <v/>
      </c>
      <c r="K198" t="inlineStr">
        <is>
          <t>16.0</t>
        </is>
      </c>
      <c r="L198" t="n">
        <v>5.85</v>
      </c>
      <c r="M198" s="1" t="inlineStr">
        <is>
          <t>-63.44%</t>
        </is>
      </c>
      <c r="N198" t="n">
        <v>4.3</v>
      </c>
      <c r="O198" t="n">
        <v>1807</v>
      </c>
      <c r="Q198" t="inlineStr">
        <is>
          <t>InStock</t>
        </is>
      </c>
      <c r="R198" t="inlineStr">
        <is>
          <t>undefined</t>
        </is>
      </c>
      <c r="S198" t="inlineStr">
        <is>
          <t>7034997191</t>
        </is>
      </c>
    </row>
    <row r="199" ht="75" customHeight="1">
      <c r="A199" s="2">
        <f>HYPERLINK("https://camerareadycosmetics.com/products/ben-nye-bella-luxury-powder-banana", "https://camerareadycosmetics.com/products/ben-nye-bella-luxury-powder-banana")</f>
        <v/>
      </c>
      <c r="B199" s="2">
        <f>HYPERLINK("https://camerareadycosmetics.com/products/ben-nye-bella-luxury-powder-banana", "https://camerareadycosmetics.com/products/ben-nye-bella-luxury-powder-banana")</f>
        <v/>
      </c>
      <c r="C199" t="inlineStr">
        <is>
          <t>Banana Powder</t>
        </is>
      </c>
      <c r="D199" t="inlineStr">
        <is>
          <t>Wet n Wild Photo Focus Loose Baking Setting Powder, Highlighter Makeup, Suitable for All Skin Tones, Banana</t>
        </is>
      </c>
      <c r="E199" s="2">
        <f>HYPERLINK("https://www.amazon.com/Photo-Focus-Loose-Setting-Powder/dp/B0847RYJMK/ref=sr_1_5?keywords=Banana+Powder&amp;qid=1695565414&amp;rdc=1&amp;sr=8-5", "https://www.amazon.com/Photo-Focus-Loose-Setting-Powder/dp/B0847RYJMK/ref=sr_1_5?keywords=Banana+Powder&amp;qid=1695565414&amp;rdc=1&amp;sr=8-5")</f>
        <v/>
      </c>
      <c r="F199" t="inlineStr">
        <is>
          <t>B0847RYJMK</t>
        </is>
      </c>
      <c r="G199">
        <f>_xlfn.IMAGE("https://camerareadycosmetics.com/cdn/shop/products/Ben-Nye-Luxury-Powder-2__50539.1464625679.600.600_50x.jpeg?v=1689627812")</f>
        <v/>
      </c>
      <c r="H199">
        <f>_xlfn.IMAGE("https://m.media-amazon.com/images/I/71RlpAlEw7L._AC_UL320_.jpg")</f>
        <v/>
      </c>
      <c r="K199" t="inlineStr">
        <is>
          <t>16.0</t>
        </is>
      </c>
      <c r="L199" t="n">
        <v>5.59</v>
      </c>
      <c r="M199" s="1" t="inlineStr">
        <is>
          <t>-65.06%</t>
        </is>
      </c>
      <c r="N199" t="n">
        <v>4.6</v>
      </c>
      <c r="O199" t="n">
        <v>4320</v>
      </c>
      <c r="Q199" t="inlineStr">
        <is>
          <t>InStock</t>
        </is>
      </c>
      <c r="R199" t="inlineStr">
        <is>
          <t>undefined</t>
        </is>
      </c>
      <c r="S199" t="inlineStr">
        <is>
          <t>7034997191</t>
        </is>
      </c>
    </row>
    <row r="200" ht="75" customHeight="1">
      <c r="A200" s="2">
        <f>HYPERLINK("https://camerareadycosmetics.com/products/ben-nye-bella-luxury-powder-banana", "https://camerareadycosmetics.com/products/ben-nye-bella-luxury-powder-banana")</f>
        <v/>
      </c>
      <c r="B200" s="2">
        <f>HYPERLINK("https://camerareadycosmetics.com/products/ben-nye-bella-luxury-powder-banana", "https://camerareadycosmetics.com/products/ben-nye-bella-luxury-powder-banana")</f>
        <v/>
      </c>
      <c r="C200" t="inlineStr">
        <is>
          <t>Banana Powder</t>
        </is>
      </c>
      <c r="D200" t="inlineStr">
        <is>
          <t>W7 Banana Dreams Loose Setting Powder - Weightless Yellow Blurring Powder For All Skin Tones</t>
        </is>
      </c>
      <c r="E200" s="2">
        <f>HYPERLINK("https://www.amazon.com/W7-Banana-Dreams-Loose-Powder/dp/B0159ZECGI/ref=sr_1_7?keywords=Banana+Powder&amp;qid=1695565414&amp;sr=8-7", "https://www.amazon.com/W7-Banana-Dreams-Loose-Powder/dp/B0159ZECGI/ref=sr_1_7?keywords=Banana+Powder&amp;qid=1695565414&amp;sr=8-7")</f>
        <v/>
      </c>
      <c r="F200" t="inlineStr">
        <is>
          <t>B0159ZECGI</t>
        </is>
      </c>
      <c r="G200">
        <f>_xlfn.IMAGE("https://camerareadycosmetics.com/cdn/shop/products/Ben-Nye-Luxury-Powder-2__50539.1464625679.600.600_50x.jpeg?v=1689627812")</f>
        <v/>
      </c>
      <c r="H200">
        <f>_xlfn.IMAGE("https://m.media-amazon.com/images/I/81si+7h91ZL._AC_UL320_.jpg")</f>
        <v/>
      </c>
      <c r="K200" t="inlineStr">
        <is>
          <t>16.0</t>
        </is>
      </c>
      <c r="L200" t="n">
        <v>4.19</v>
      </c>
      <c r="M200" s="1" t="inlineStr">
        <is>
          <t>-73.81%</t>
        </is>
      </c>
      <c r="N200" t="n">
        <v>4.3</v>
      </c>
      <c r="O200" t="n">
        <v>4890</v>
      </c>
      <c r="Q200" t="inlineStr">
        <is>
          <t>InStock</t>
        </is>
      </c>
      <c r="R200" t="inlineStr">
        <is>
          <t>undefined</t>
        </is>
      </c>
      <c r="S200" t="inlineStr">
        <is>
          <t>7034997191</t>
        </is>
      </c>
    </row>
    <row r="201" ht="75" customHeight="1">
      <c r="A201" s="2">
        <f>HYPERLINK("https://camerareadycosmetics.com/products/ben-nye-bella-luxury-powder-buff", "https://camerareadycosmetics.com/products/ben-nye-bella-luxury-powder-buff")</f>
        <v/>
      </c>
      <c r="B201" s="2">
        <f>HYPERLINK("https://camerareadycosmetics.com/products/ben-nye-bella-luxury-powder-buff", "https://camerareadycosmetics.com/products/ben-nye-bella-luxury-powder-buff")</f>
        <v/>
      </c>
      <c r="C201" t="inlineStr">
        <is>
          <t>Buff Bella Luxury Powder</t>
        </is>
      </c>
      <c r="D201" t="inlineStr">
        <is>
          <t>Ben Nye Luxury Powder Buff 1.5oz Shaker Bottle</t>
        </is>
      </c>
      <c r="E201" s="2">
        <f>HYPERLINK("https://www.amazon.com/Ben-Nye-Luxury-Powder-Shaker/dp/B00AZRGJA8/ref=sr_1_1?keywords=Buff+Bella+Luxury+Powder&amp;qid=1695565416&amp;sr=8-1", "https://www.amazon.com/Ben-Nye-Luxury-Powder-Shaker/dp/B00AZRGJA8/ref=sr_1_1?keywords=Buff+Bella+Luxury+Powder&amp;qid=1695565416&amp;sr=8-1")</f>
        <v/>
      </c>
      <c r="F201" t="inlineStr">
        <is>
          <t>B00AZRGJA8</t>
        </is>
      </c>
      <c r="G201">
        <f>_xlfn.IMAGE("https://camerareadycosmetics.com/cdn/shop/products/ben-nye-face-powder-BV52_Buff_50x.jpg?v=1689656605")</f>
        <v/>
      </c>
      <c r="H201">
        <f>_xlfn.IMAGE("https://m.media-amazon.com/images/I/51mhor5uRuL._AC_UL320_.jpg")</f>
        <v/>
      </c>
      <c r="K201" t="inlineStr">
        <is>
          <t>16.0</t>
        </is>
      </c>
      <c r="L201" t="n">
        <v>19.65</v>
      </c>
      <c r="M201" s="1" t="inlineStr">
        <is>
          <t>22.81%</t>
        </is>
      </c>
      <c r="N201" t="n">
        <v>4.5</v>
      </c>
      <c r="O201" t="n">
        <v>21</v>
      </c>
      <c r="Q201" t="inlineStr">
        <is>
          <t>InStock</t>
        </is>
      </c>
      <c r="R201" t="inlineStr">
        <is>
          <t>undefined</t>
        </is>
      </c>
      <c r="S201" t="inlineStr">
        <is>
          <t>7049836999</t>
        </is>
      </c>
    </row>
    <row r="202" ht="75" customHeight="1">
      <c r="A202" s="2">
        <f>HYPERLINK("https://camerareadycosmetics.com/products/ben-nye-bella-luxury-powder-cameo", "https://camerareadycosmetics.com/products/ben-nye-bella-luxury-powder-cameo")</f>
        <v/>
      </c>
      <c r="B202" s="2">
        <f>HYPERLINK("https://camerareadycosmetics.com/products/ben-nye-bella-luxury-powder-cameo", "https://camerareadycosmetics.com/products/ben-nye-bella-luxury-powder-cameo")</f>
        <v/>
      </c>
      <c r="C202" t="inlineStr">
        <is>
          <t>Cameo Bella Luxury Powder</t>
        </is>
      </c>
      <c r="D202" t="inlineStr">
        <is>
          <t>Ben Nye Bella Luxury Powder .92 oz Dome Jar (4 Color Options) (Banana)</t>
        </is>
      </c>
      <c r="E202" s="2">
        <f>HYPERLINK("https://www.amazon.com/Ben-Nye-Luxury-Powder-Options/dp/B017OE3VDW/ref=sr_1_2?keywords=Cameo+Bella+Luxury+Powder&amp;qid=1695565412&amp;sr=8-2", "https://www.amazon.com/Ben-Nye-Luxury-Powder-Options/dp/B017OE3VDW/ref=sr_1_2?keywords=Cameo+Bella+Luxury+Powder&amp;qid=1695565412&amp;sr=8-2")</f>
        <v/>
      </c>
      <c r="F202" t="inlineStr">
        <is>
          <t>B017OE3VDW</t>
        </is>
      </c>
      <c r="G202">
        <f>_xlfn.IMAGE("https://camerareadycosmetics.com/cdn/shop/products/ben-nye-face-powder-BV32_Cameo_50x.jpg?v=1689656629")</f>
        <v/>
      </c>
      <c r="H202">
        <f>_xlfn.IMAGE("https://m.media-amazon.com/images/I/51jrgxBRBsL._AC_UL320_.jpg")</f>
        <v/>
      </c>
      <c r="K202" t="inlineStr">
        <is>
          <t>16.0</t>
        </is>
      </c>
      <c r="L202" t="n">
        <v>29.99</v>
      </c>
      <c r="M202" s="1" t="inlineStr">
        <is>
          <t>87.44%</t>
        </is>
      </c>
      <c r="N202" t="n">
        <v>4.4</v>
      </c>
      <c r="O202" t="n">
        <v>44</v>
      </c>
      <c r="Q202" t="inlineStr">
        <is>
          <t>InStock</t>
        </is>
      </c>
      <c r="R202" t="inlineStr">
        <is>
          <t>undefined</t>
        </is>
      </c>
      <c r="S202" t="inlineStr">
        <is>
          <t>7049839111</t>
        </is>
      </c>
    </row>
    <row r="203" ht="75" customHeight="1">
      <c r="A203" s="2">
        <f>HYPERLINK("https://camerareadycosmetics.com/products/ben-nye-bella-luxury-powder-cameo", "https://camerareadycosmetics.com/products/ben-nye-bella-luxury-powder-cameo")</f>
        <v/>
      </c>
      <c r="B203" s="2">
        <f>HYPERLINK("https://camerareadycosmetics.com/products/ben-nye-bella-luxury-powder-cameo", "https://camerareadycosmetics.com/products/ben-nye-bella-luxury-powder-cameo")</f>
        <v/>
      </c>
      <c r="C203" t="inlineStr">
        <is>
          <t>Cameo Bella Luxury Powder</t>
        </is>
      </c>
      <c r="D203" t="inlineStr">
        <is>
          <t>BEN NYE Cameo Luxury Powder 1.5 Oz</t>
        </is>
      </c>
      <c r="E203" s="2">
        <f>HYPERLINK("https://www.amazon.com/BEN-NYE-Cameo-Luxury-Powder/dp/B00AZRGHZU/ref=sr_1_1?keywords=Cameo+Bella+Luxury+Powder&amp;qid=1695565412&amp;sr=8-1", "https://www.amazon.com/BEN-NYE-Cameo-Luxury-Powder/dp/B00AZRGHZU/ref=sr_1_1?keywords=Cameo+Bella+Luxury+Powder&amp;qid=1695565412&amp;sr=8-1")</f>
        <v/>
      </c>
      <c r="F203" t="inlineStr">
        <is>
          <t>B00AZRGHZU</t>
        </is>
      </c>
      <c r="G203">
        <f>_xlfn.IMAGE("https://camerareadycosmetics.com/cdn/shop/products/ben-nye-face-powder-BV32_Cameo_50x.jpg?v=1689656629")</f>
        <v/>
      </c>
      <c r="H203">
        <f>_xlfn.IMAGE("https://m.media-amazon.com/images/I/51w2dZc9K1L._AC_UL320_.jpg")</f>
        <v/>
      </c>
      <c r="K203" t="inlineStr">
        <is>
          <t>16.0</t>
        </is>
      </c>
      <c r="L203" t="n">
        <v>21.5</v>
      </c>
      <c r="M203" s="1" t="inlineStr">
        <is>
          <t>34.38%</t>
        </is>
      </c>
      <c r="N203" t="n">
        <v>4.7</v>
      </c>
      <c r="O203" t="n">
        <v>54</v>
      </c>
      <c r="Q203" t="inlineStr">
        <is>
          <t>InStock</t>
        </is>
      </c>
      <c r="R203" t="inlineStr">
        <is>
          <t>undefined</t>
        </is>
      </c>
      <c r="S203" t="inlineStr">
        <is>
          <t>7049839111</t>
        </is>
      </c>
    </row>
    <row r="204" ht="75" customHeight="1">
      <c r="A204" s="2">
        <f>HYPERLINK("https://camerareadycosmetics.com/products/ben-nye-cake-eye-liner", "https://camerareadycosmetics.com/products/ben-nye-cake-eye-liner")</f>
        <v/>
      </c>
      <c r="B204" s="2">
        <f>HYPERLINK("https://camerareadycosmetics.com/products/ben-nye-cake-eye-liner", "https://camerareadycosmetics.com/products/ben-nye-cake-eye-liner")</f>
        <v/>
      </c>
      <c r="C204" t="inlineStr">
        <is>
          <t>Cake Eye Liner</t>
        </is>
      </c>
      <c r="D204" t="inlineStr">
        <is>
          <t>Laura Mercier Tightline Cake Eye Liner, Black Ebony , 0.05 Ounce (Pack of 1)</t>
        </is>
      </c>
      <c r="E204" s="2">
        <f>HYPERLINK("https://www.amazon.com/Laura-Mercier-Tightline-Cake-Liner/dp/B004O46T30/ref=sr_1_5?keywords=Cake+Eye+Liner&amp;qid=1695565435&amp;sr=8-5", "https://www.amazon.com/Laura-Mercier-Tightline-Cake-Liner/dp/B004O46T30/ref=sr_1_5?keywords=Cake+Eye+Liner&amp;qid=1695565435&amp;sr=8-5")</f>
        <v/>
      </c>
      <c r="F204" t="inlineStr">
        <is>
          <t>B004O46T30</t>
        </is>
      </c>
      <c r="G204">
        <f>_xlfn.IMAGE("https://camerareadycosmetics.com/cdn/shop/products/Ben_Nye_Cake_Eyeliner_A_size__63154.1400002882.600.600_50x.jpeg?v=1689630868")</f>
        <v/>
      </c>
      <c r="H204">
        <f>_xlfn.IMAGE("https://m.media-amazon.com/images/I/71X-XUtkTOL._AC_UL320_.jpg")</f>
        <v/>
      </c>
      <c r="K204" t="inlineStr">
        <is>
          <t>12.0</t>
        </is>
      </c>
      <c r="L204" t="n">
        <v>42.87</v>
      </c>
      <c r="M204" s="1" t="inlineStr">
        <is>
          <t>257.25%</t>
        </is>
      </c>
      <c r="N204" t="n">
        <v>4.4</v>
      </c>
      <c r="O204" t="n">
        <v>543</v>
      </c>
      <c r="Q204" t="inlineStr">
        <is>
          <t>InStock</t>
        </is>
      </c>
      <c r="R204" t="inlineStr">
        <is>
          <t>12.0</t>
        </is>
      </c>
      <c r="S204" t="inlineStr">
        <is>
          <t>7035701575</t>
        </is>
      </c>
    </row>
    <row r="205" ht="75" customHeight="1">
      <c r="A205" s="2">
        <f>HYPERLINK("https://camerareadycosmetics.com/products/ben-nye-cake-eye-liner", "https://camerareadycosmetics.com/products/ben-nye-cake-eye-liner")</f>
        <v/>
      </c>
      <c r="B205" s="2">
        <f>HYPERLINK("https://camerareadycosmetics.com/products/ben-nye-cake-eye-liner", "https://camerareadycosmetics.com/products/ben-nye-cake-eye-liner")</f>
        <v/>
      </c>
      <c r="C205" t="inlineStr">
        <is>
          <t>Cake Eye Liner</t>
        </is>
      </c>
      <c r="D205" t="inlineStr">
        <is>
          <t>Michael Marcus Cake Eyeliner &amp; Brush - 2 Piece Water Activated Dry Pressed Eyeliner &amp; Professional Brush - Long-Lasting, Vibrant Color, Smudge Resistant - Cruelty Free Paraben Free (Espresso)</t>
        </is>
      </c>
      <c r="E205" s="2">
        <f>HYPERLINK("https://www.amazon.com/Michael-Marcus-Eyeliner-Brush-Espresso/dp/B07B7QQW9Q/ref=sr_1_4?keywords=Cake+Eye+Liner&amp;qid=1695565435&amp;sr=8-4", "https://www.amazon.com/Michael-Marcus-Eyeliner-Brush-Espresso/dp/B07B7QQW9Q/ref=sr_1_4?keywords=Cake+Eye+Liner&amp;qid=1695565435&amp;sr=8-4")</f>
        <v/>
      </c>
      <c r="F205" t="inlineStr">
        <is>
          <t>B07B7QQW9Q</t>
        </is>
      </c>
      <c r="G205">
        <f>_xlfn.IMAGE("https://camerareadycosmetics.com/cdn/shop/products/Ben_Nye_Cake_Eyeliner_A_size__63154.1400002882.600.600_50x.jpeg?v=1689630868")</f>
        <v/>
      </c>
      <c r="H205">
        <f>_xlfn.IMAGE("https://m.media-amazon.com/images/I/515ZC0-xG1L._AC_UL320_.jpg")</f>
        <v/>
      </c>
      <c r="K205" t="inlineStr">
        <is>
          <t>12.0</t>
        </is>
      </c>
      <c r="L205" t="n">
        <v>38</v>
      </c>
      <c r="M205" s="1" t="inlineStr">
        <is>
          <t>216.67%</t>
        </is>
      </c>
      <c r="N205" t="n">
        <v>4.1</v>
      </c>
      <c r="O205" t="n">
        <v>284</v>
      </c>
      <c r="Q205" t="inlineStr">
        <is>
          <t>InStock</t>
        </is>
      </c>
      <c r="R205" t="inlineStr">
        <is>
          <t>12.0</t>
        </is>
      </c>
      <c r="S205" t="inlineStr">
        <is>
          <t>7035701575</t>
        </is>
      </c>
    </row>
    <row r="206" ht="75" customHeight="1">
      <c r="A206" s="2">
        <f>HYPERLINK("https://camerareadycosmetics.com/products/ben-nye-cake-eye-liner", "https://camerareadycosmetics.com/products/ben-nye-cake-eye-liner")</f>
        <v/>
      </c>
      <c r="B206" s="2">
        <f>HYPERLINK("https://camerareadycosmetics.com/products/ben-nye-cake-eye-liner", "https://camerareadycosmetics.com/products/ben-nye-cake-eye-liner")</f>
        <v/>
      </c>
      <c r="C206" t="inlineStr">
        <is>
          <t>Cake Eye Liner</t>
        </is>
      </c>
      <c r="D206" t="inlineStr">
        <is>
          <t>Jolie Extra Long-Wear Cake Eyeliner (Black-Brown)</t>
        </is>
      </c>
      <c r="E206" s="2">
        <f>HYPERLINK("https://www.amazon.com/Jolie-Extra-Long-Wear-Eyeliner-Black-Brown/dp/B01N2QZO3F/ref=sr_1_8?keywords=Cake+Eye+Liner&amp;qid=1695565435&amp;sr=8-8", "https://www.amazon.com/Jolie-Extra-Long-Wear-Eyeliner-Black-Brown/dp/B01N2QZO3F/ref=sr_1_8?keywords=Cake+Eye+Liner&amp;qid=1695565435&amp;sr=8-8")</f>
        <v/>
      </c>
      <c r="F206" t="inlineStr">
        <is>
          <t>B01N2QZO3F</t>
        </is>
      </c>
      <c r="G206">
        <f>_xlfn.IMAGE("https://camerareadycosmetics.com/cdn/shop/products/Ben_Nye_Cake_Eyeliner_A_size__63154.1400002882.600.600_50x.jpeg?v=1689630868")</f>
        <v/>
      </c>
      <c r="H206">
        <f>_xlfn.IMAGE("https://m.media-amazon.com/images/I/81GMo3z9ZRL._AC_UL320_.jpg")</f>
        <v/>
      </c>
      <c r="K206" t="inlineStr">
        <is>
          <t>12.0</t>
        </is>
      </c>
      <c r="L206" t="n">
        <v>24</v>
      </c>
      <c r="M206" s="1" t="inlineStr">
        <is>
          <t>100.00%</t>
        </is>
      </c>
      <c r="N206" t="n">
        <v>4</v>
      </c>
      <c r="O206" t="n">
        <v>281</v>
      </c>
      <c r="Q206" t="inlineStr">
        <is>
          <t>InStock</t>
        </is>
      </c>
      <c r="R206" t="inlineStr">
        <is>
          <t>12.0</t>
        </is>
      </c>
      <c r="S206" t="inlineStr">
        <is>
          <t>7035701575</t>
        </is>
      </c>
    </row>
    <row r="207" ht="75" customHeight="1">
      <c r="A207" s="2">
        <f>HYPERLINK("https://camerareadycosmetics.com/products/ben-nye-cake-eye-liner", "https://camerareadycosmetics.com/products/ben-nye-cake-eye-liner")</f>
        <v/>
      </c>
      <c r="B207" s="2">
        <f>HYPERLINK("https://camerareadycosmetics.com/products/ben-nye-cake-eye-liner", "https://camerareadycosmetics.com/products/ben-nye-cake-eye-liner")</f>
        <v/>
      </c>
      <c r="C207" t="inlineStr">
        <is>
          <t>Cake Eye Liner</t>
        </is>
      </c>
      <c r="D207" t="inlineStr">
        <is>
          <t>michael marcus Cake Eyeliner - Water Activated Dry Pressed Eyeliner - Long-Lasting, Vibrant Color, Smudge Resistant - Cruelty Free Paraben Free (Espresso)</t>
        </is>
      </c>
      <c r="E207" s="2">
        <f>HYPERLINK("https://www.amazon.com/michael-marcus-Cake-Eyeliner-Long-Lasting/dp/B0B5NKF3HX/ref=sr_1_6?keywords=Cake+Eye+Liner&amp;qid=1695565435&amp;sr=8-6", "https://www.amazon.com/michael-marcus-Cake-Eyeliner-Long-Lasting/dp/B0B5NKF3HX/ref=sr_1_6?keywords=Cake+Eye+Liner&amp;qid=1695565435&amp;sr=8-6")</f>
        <v/>
      </c>
      <c r="F207" t="inlineStr">
        <is>
          <t>B0B5NKF3HX</t>
        </is>
      </c>
      <c r="G207">
        <f>_xlfn.IMAGE("https://camerareadycosmetics.com/cdn/shop/products/Ben_Nye_Cake_Eyeliner_A_size__63154.1400002882.600.600_50x.jpeg?v=1689630868")</f>
        <v/>
      </c>
      <c r="H207">
        <f>_xlfn.IMAGE("https://m.media-amazon.com/images/I/515ZC0-xG1L._AC_UL320_.jpg")</f>
        <v/>
      </c>
      <c r="K207" t="inlineStr">
        <is>
          <t>12.0</t>
        </is>
      </c>
      <c r="L207" t="n">
        <v>23</v>
      </c>
      <c r="M207" s="1" t="inlineStr">
        <is>
          <t>91.67%</t>
        </is>
      </c>
      <c r="N207" t="n">
        <v>4.1</v>
      </c>
      <c r="O207" t="n">
        <v>94</v>
      </c>
      <c r="Q207" t="inlineStr">
        <is>
          <t>InStock</t>
        </is>
      </c>
      <c r="R207" t="inlineStr">
        <is>
          <t>12.0</t>
        </is>
      </c>
      <c r="S207" t="inlineStr">
        <is>
          <t>7035701575</t>
        </is>
      </c>
    </row>
    <row r="208" ht="75" customHeight="1">
      <c r="A208" s="2">
        <f>HYPERLINK("https://camerareadycosmetics.com/products/ben-nye-cake-eye-liner", "https://camerareadycosmetics.com/products/ben-nye-cake-eye-liner")</f>
        <v/>
      </c>
      <c r="B208" s="2">
        <f>HYPERLINK("https://camerareadycosmetics.com/products/ben-nye-cake-eye-liner", "https://camerareadycosmetics.com/products/ben-nye-cake-eye-liner")</f>
        <v/>
      </c>
      <c r="C208" t="inlineStr">
        <is>
          <t>Cake Eye Liner</t>
        </is>
      </c>
      <c r="D208" t="inlineStr">
        <is>
          <t>Addictive Cosmetics Matte Black Eyeliner- Cake Eyeliner with Applicator Brush - Water Activated Dry Pressed Eyeliner - Long-Lasting, Vibrant Color, Smudge Resistant - Vegan Cruelty Free Paraben Free (Matte Black)</t>
        </is>
      </c>
      <c r="E208" s="2">
        <f>HYPERLINK("https://www.amazon.com/Addictive-Cosmetics-Eyeliner-Eyeliner-Applicator/dp/B0BJ6B2J2F/ref=sr_1_1?keywords=Cake+Eye+Liner&amp;qid=1695565435&amp;sr=8-1", "https://www.amazon.com/Addictive-Cosmetics-Eyeliner-Eyeliner-Applicator/dp/B0BJ6B2J2F/ref=sr_1_1?keywords=Cake+Eye+Liner&amp;qid=1695565435&amp;sr=8-1")</f>
        <v/>
      </c>
      <c r="F208" t="inlineStr">
        <is>
          <t>B0BJ6B2J2F</t>
        </is>
      </c>
      <c r="G208">
        <f>_xlfn.IMAGE("https://camerareadycosmetics.com/cdn/shop/products/Ben_Nye_Cake_Eyeliner_A_size__63154.1400002882.600.600_50x.jpeg?v=1689630868")</f>
        <v/>
      </c>
      <c r="H208">
        <f>_xlfn.IMAGE("https://m.media-amazon.com/images/I/718xjK5-rkL._AC_UL320_.jpg")</f>
        <v/>
      </c>
      <c r="K208" t="inlineStr">
        <is>
          <t>12.0</t>
        </is>
      </c>
      <c r="L208" t="n">
        <v>19.99</v>
      </c>
      <c r="M208" s="1" t="inlineStr">
        <is>
          <t>66.58%</t>
        </is>
      </c>
      <c r="N208" t="n">
        <v>4.5</v>
      </c>
      <c r="O208" t="n">
        <v>92</v>
      </c>
      <c r="Q208" t="inlineStr">
        <is>
          <t>InStock</t>
        </is>
      </c>
      <c r="R208" t="inlineStr">
        <is>
          <t>12.0</t>
        </is>
      </c>
      <c r="S208" t="inlineStr">
        <is>
          <t>7035701575</t>
        </is>
      </c>
    </row>
    <row r="209" ht="75" customHeight="1">
      <c r="A209" s="2">
        <f>HYPERLINK("https://camerareadycosmetics.com/products/ben-nye-cake-eye-liner", "https://camerareadycosmetics.com/products/ben-nye-cake-eye-liner")</f>
        <v/>
      </c>
      <c r="B209" s="2">
        <f>HYPERLINK("https://camerareadycosmetics.com/products/ben-nye-cake-eye-liner", "https://camerareadycosmetics.com/products/ben-nye-cake-eye-liner")</f>
        <v/>
      </c>
      <c r="C209" t="inlineStr">
        <is>
          <t>Cake Eye Liner</t>
        </is>
      </c>
      <c r="D209" t="inlineStr">
        <is>
          <t>SACE LADY Eyeliner, Pro Cake Eyeliner Powder, Long Lasting Water-Soluble Eyeliner Pressed Powder, Waterproof, Smudge-Proof, Cruelty Free for Makeup Beginner and Pro Makeup Artist 0.12Oz (Coffee)</t>
        </is>
      </c>
      <c r="E209" s="2">
        <f>HYPERLINK("https://www.amazon.com/SACE-LADY-Water-Soluble-Waterproof-Smudge-Proof/dp/B075P2TT75/ref=sr_1_9?keywords=Cake+Eye+Liner&amp;qid=1695565435&amp;sr=8-9", "https://www.amazon.com/SACE-LADY-Water-Soluble-Waterproof-Smudge-Proof/dp/B075P2TT75/ref=sr_1_9?keywords=Cake+Eye+Liner&amp;qid=1695565435&amp;sr=8-9")</f>
        <v/>
      </c>
      <c r="F209" t="inlineStr">
        <is>
          <t>B075P2TT75</t>
        </is>
      </c>
      <c r="G209">
        <f>_xlfn.IMAGE("https://camerareadycosmetics.com/cdn/shop/products/Ben_Nye_Cake_Eyeliner_A_size__63154.1400002882.600.600_50x.jpeg?v=1689630868")</f>
        <v/>
      </c>
      <c r="H209">
        <f>_xlfn.IMAGE("https://m.media-amazon.com/images/I/61Tc4VJsQIL._AC_UL320_.jpg")</f>
        <v/>
      </c>
      <c r="K209" t="inlineStr">
        <is>
          <t>12.0</t>
        </is>
      </c>
      <c r="L209" t="n">
        <v>16.99</v>
      </c>
      <c r="M209" s="1" t="inlineStr">
        <is>
          <t>41.58%</t>
        </is>
      </c>
      <c r="N209" t="n">
        <v>3.7</v>
      </c>
      <c r="O209" t="n">
        <v>344</v>
      </c>
      <c r="Q209" t="inlineStr">
        <is>
          <t>InStock</t>
        </is>
      </c>
      <c r="R209" t="inlineStr">
        <is>
          <t>12.0</t>
        </is>
      </c>
      <c r="S209" t="inlineStr">
        <is>
          <t>7035701575</t>
        </is>
      </c>
    </row>
    <row r="210" ht="75" customHeight="1">
      <c r="A210" s="2">
        <f>HYPERLINK("https://camerareadycosmetics.com/products/ben-nye-cake-eye-liner", "https://camerareadycosmetics.com/products/ben-nye-cake-eye-liner")</f>
        <v/>
      </c>
      <c r="B210" s="2">
        <f>HYPERLINK("https://camerareadycosmetics.com/products/ben-nye-cake-eye-liner", "https://camerareadycosmetics.com/products/ben-nye-cake-eye-liner")</f>
        <v/>
      </c>
      <c r="C210" t="inlineStr">
        <is>
          <t>Cake Eye Liner</t>
        </is>
      </c>
      <c r="D210" t="inlineStr">
        <is>
          <t>Graftobian Professional HD Cake Eyeliner (Espresso Brown) Get Precise Lines, Water-Activated Pressed Powder Eyeliner, Long-Lasting Wear, For Bold Graphic Liner Or Subtle Tightline Effect, Made in USA</t>
        </is>
      </c>
      <c r="E210" s="2">
        <f>HYPERLINK("https://www.amazon.com/Graftobian-Professional-Hd-Cake-Eyeliner/dp/B004LOX7F6/ref=sr_1_2?keywords=Cake+Eye+Liner&amp;qid=1695565435&amp;sr=8-2", "https://www.amazon.com/Graftobian-Professional-Hd-Cake-Eyeliner/dp/B004LOX7F6/ref=sr_1_2?keywords=Cake+Eye+Liner&amp;qid=1695565435&amp;sr=8-2")</f>
        <v/>
      </c>
      <c r="F210" t="inlineStr">
        <is>
          <t>B004LOX7F6</t>
        </is>
      </c>
      <c r="G210">
        <f>_xlfn.IMAGE("https://camerareadycosmetics.com/cdn/shop/products/Ben_Nye_Cake_Eyeliner_A_size__63154.1400002882.600.600_50x.jpeg?v=1689630868")</f>
        <v/>
      </c>
      <c r="H210">
        <f>_xlfn.IMAGE("https://m.media-amazon.com/images/I/71OqE5aXJnL._AC_UL320_.jpg")</f>
        <v/>
      </c>
      <c r="K210" t="inlineStr">
        <is>
          <t>12.0</t>
        </is>
      </c>
      <c r="L210" t="n">
        <v>14.4</v>
      </c>
      <c r="M210" s="1" t="inlineStr">
        <is>
          <t>20.00%</t>
        </is>
      </c>
      <c r="N210" t="n">
        <v>4.2</v>
      </c>
      <c r="O210" t="n">
        <v>806</v>
      </c>
      <c r="Q210" t="inlineStr">
        <is>
          <t>InStock</t>
        </is>
      </c>
      <c r="R210" t="inlineStr">
        <is>
          <t>12.0</t>
        </is>
      </c>
      <c r="S210" t="inlineStr">
        <is>
          <t>7035701575</t>
        </is>
      </c>
    </row>
    <row r="211" ht="75" customHeight="1">
      <c r="A211" s="2">
        <f>HYPERLINK("https://camerareadycosmetics.com/products/ben-nye-cake-eye-liner", "https://camerareadycosmetics.com/products/ben-nye-cake-eye-liner")</f>
        <v/>
      </c>
      <c r="B211" s="2">
        <f>HYPERLINK("https://camerareadycosmetics.com/products/ben-nye-cake-eye-liner", "https://camerareadycosmetics.com/products/ben-nye-cake-eye-liner")</f>
        <v/>
      </c>
      <c r="C211" t="inlineStr">
        <is>
          <t>Cake Eye Liner</t>
        </is>
      </c>
      <c r="D211" t="inlineStr">
        <is>
          <t>Pure Zivaª Black Matte Cake Eyeliner &amp; Eyeshadow, Water Activated Pressed Powder; Gluten &amp; Cruelty Free</t>
        </is>
      </c>
      <c r="E211" s="2">
        <f>HYPERLINK("https://www.amazon.com/Pure-Ziva-Pressed-Eyeliner-Eyeshadow/dp/B00XQ6J3RG/ref=sr_1_3?keywords=Cake+Eye+Liner&amp;qid=1695565435&amp;sr=8-3", "https://www.amazon.com/Pure-Ziva-Pressed-Eyeliner-Eyeshadow/dp/B00XQ6J3RG/ref=sr_1_3?keywords=Cake+Eye+Liner&amp;qid=1695565435&amp;sr=8-3")</f>
        <v/>
      </c>
      <c r="F211" t="inlineStr">
        <is>
          <t>B00XQ6J3RG</t>
        </is>
      </c>
      <c r="G211">
        <f>_xlfn.IMAGE("https://camerareadycosmetics.com/cdn/shop/products/Ben_Nye_Cake_Eyeliner_A_size__63154.1400002882.600.600_50x.jpeg?v=1689630868")</f>
        <v/>
      </c>
      <c r="H211">
        <f>_xlfn.IMAGE("https://m.media-amazon.com/images/I/81hq8IkcRRL._AC_UL320_.jpg")</f>
        <v/>
      </c>
      <c r="K211" t="inlineStr">
        <is>
          <t>12.0</t>
        </is>
      </c>
      <c r="L211" t="n">
        <v>13.99</v>
      </c>
      <c r="M211" s="1" t="inlineStr">
        <is>
          <t>16.58%</t>
        </is>
      </c>
      <c r="N211" t="n">
        <v>4.1</v>
      </c>
      <c r="O211" t="n">
        <v>1204</v>
      </c>
      <c r="Q211" t="inlineStr">
        <is>
          <t>InStock</t>
        </is>
      </c>
      <c r="R211" t="inlineStr">
        <is>
          <t>12.0</t>
        </is>
      </c>
      <c r="S211" t="inlineStr">
        <is>
          <t>7035701575</t>
        </is>
      </c>
    </row>
    <row r="212" ht="75" customHeight="1">
      <c r="A212" s="2">
        <f>HYPERLINK("https://camerareadycosmetics.com/products/ben-nye-cake-eye-liner-refill", "https://camerareadycosmetics.com/products/ben-nye-cake-eye-liner-refill")</f>
        <v/>
      </c>
      <c r="B212" s="2">
        <f>HYPERLINK("https://camerareadycosmetics.com/products/ben-nye-cake-eye-liner-refill", "https://camerareadycosmetics.com/products/ben-nye-cake-eye-liner-refill")</f>
        <v/>
      </c>
      <c r="C212" t="inlineStr">
        <is>
          <t>Cake Eye Liner Refill</t>
        </is>
      </c>
      <c r="D212" t="inlineStr">
        <is>
          <t>Laura Mercier Tightline Cake Eye Liner, Black Ebony , 0.05 Ounce (Pack of 1)</t>
        </is>
      </c>
      <c r="E212" s="2">
        <f>HYPERLINK("https://www.amazon.com/Laura-Mercier-Tightline-Cake-Liner/dp/B004O46T30/ref=sr_1_7?keywords=Cake+Eye+Liner+Refill&amp;qid=1695565494&amp;sr=8-7", "https://www.amazon.com/Laura-Mercier-Tightline-Cake-Liner/dp/B004O46T30/ref=sr_1_7?keywords=Cake+Eye+Liner+Refill&amp;qid=1695565494&amp;sr=8-7")</f>
        <v/>
      </c>
      <c r="F212" t="inlineStr">
        <is>
          <t>B004O46T30</t>
        </is>
      </c>
      <c r="G212">
        <f>_xlfn.IMAGE("https://camerareadycosmetics.com/cdn/shop/products/12352_zoom_1431023300_50x.jpg?v=1689648750")</f>
        <v/>
      </c>
      <c r="H212">
        <f>_xlfn.IMAGE("https://m.media-amazon.com/images/I/71X-XUtkTOL._AC_UL320_.jpg")</f>
        <v/>
      </c>
      <c r="K212" t="inlineStr">
        <is>
          <t>10.0</t>
        </is>
      </c>
      <c r="L212" t="n">
        <v>46.03</v>
      </c>
      <c r="M212" s="1" t="inlineStr">
        <is>
          <t>360.30%</t>
        </is>
      </c>
      <c r="N212" t="n">
        <v>4.4</v>
      </c>
      <c r="O212" t="n">
        <v>543</v>
      </c>
      <c r="Q212" t="inlineStr">
        <is>
          <t>InStock</t>
        </is>
      </c>
      <c r="R212" t="inlineStr">
        <is>
          <t>10.0</t>
        </is>
      </c>
      <c r="S212" t="inlineStr">
        <is>
          <t>7045749063</t>
        </is>
      </c>
    </row>
    <row r="213" ht="75" customHeight="1">
      <c r="A213" s="2">
        <f>HYPERLINK("https://camerareadycosmetics.com/products/ben-nye-cake-eye-liner-refill", "https://camerareadycosmetics.com/products/ben-nye-cake-eye-liner-refill")</f>
        <v/>
      </c>
      <c r="B213" s="2">
        <f>HYPERLINK("https://camerareadycosmetics.com/products/ben-nye-cake-eye-liner-refill", "https://camerareadycosmetics.com/products/ben-nye-cake-eye-liner-refill")</f>
        <v/>
      </c>
      <c r="C213" t="inlineStr">
        <is>
          <t>Cake Eye Liner Refill</t>
        </is>
      </c>
      <c r="D213" t="inlineStr">
        <is>
          <t>michael marcus Cake Eyeliner &amp; Brush - 2 Piece Water Activated Dry Pressed Eyeliner &amp; Professional Brush - Long-Lasting, Vibrant Color, Smudge Resistant - Cruelty Free Paraben Free (Kohl)</t>
        </is>
      </c>
      <c r="E213" s="2">
        <f>HYPERLINK("https://www.amazon.com/Michael-Marcus-Cake-Eyeliner-Brush/dp/B07B7R38VP/ref=sr_1_3?keywords=Cake+Eye+Liner+Refill&amp;qid=1695565494&amp;sr=8-3", "https://www.amazon.com/Michael-Marcus-Cake-Eyeliner-Brush/dp/B07B7R38VP/ref=sr_1_3?keywords=Cake+Eye+Liner+Refill&amp;qid=1695565494&amp;sr=8-3")</f>
        <v/>
      </c>
      <c r="F213" t="inlineStr">
        <is>
          <t>B07B7R38VP</t>
        </is>
      </c>
      <c r="G213">
        <f>_xlfn.IMAGE("https://camerareadycosmetics.com/cdn/shop/products/12352_zoom_1431023300_50x.jpg?v=1689648750")</f>
        <v/>
      </c>
      <c r="H213">
        <f>_xlfn.IMAGE("https://m.media-amazon.com/images/I/51VMTEC-T7L._AC_UL320_.jpg")</f>
        <v/>
      </c>
      <c r="K213" t="inlineStr">
        <is>
          <t>10.0</t>
        </is>
      </c>
      <c r="L213" t="n">
        <v>38</v>
      </c>
      <c r="M213" s="1" t="inlineStr">
        <is>
          <t>280.00%</t>
        </is>
      </c>
      <c r="N213" t="n">
        <v>4.1</v>
      </c>
      <c r="O213" t="n">
        <v>284</v>
      </c>
      <c r="Q213" t="inlineStr">
        <is>
          <t>InStock</t>
        </is>
      </c>
      <c r="R213" t="inlineStr">
        <is>
          <t>10.0</t>
        </is>
      </c>
      <c r="S213" t="inlineStr">
        <is>
          <t>7045749063</t>
        </is>
      </c>
    </row>
    <row r="214" ht="75" customHeight="1">
      <c r="A214" s="2">
        <f>HYPERLINK("https://camerareadycosmetics.com/products/ben-nye-cake-eye-liner-refill", "https://camerareadycosmetics.com/products/ben-nye-cake-eye-liner-refill")</f>
        <v/>
      </c>
      <c r="B214" s="2">
        <f>HYPERLINK("https://camerareadycosmetics.com/products/ben-nye-cake-eye-liner-refill", "https://camerareadycosmetics.com/products/ben-nye-cake-eye-liner-refill")</f>
        <v/>
      </c>
      <c r="C214" t="inlineStr">
        <is>
          <t>Cake Eye Liner Refill</t>
        </is>
      </c>
      <c r="D214" t="inlineStr">
        <is>
          <t>Jolie Extra Long-Wear Cake Eyeliner (Black-Brown)</t>
        </is>
      </c>
      <c r="E214" s="2">
        <f>HYPERLINK("https://www.amazon.com/Jolie-Extra-Long-Wear-Eyeliner-Black-Brown/dp/B01N2QZO3F/ref=sr_1_8?keywords=Cake+Eye+Liner+Refill&amp;qid=1695565494&amp;sr=8-8", "https://www.amazon.com/Jolie-Extra-Long-Wear-Eyeliner-Black-Brown/dp/B01N2QZO3F/ref=sr_1_8?keywords=Cake+Eye+Liner+Refill&amp;qid=1695565494&amp;sr=8-8")</f>
        <v/>
      </c>
      <c r="F214" t="inlineStr">
        <is>
          <t>B01N2QZO3F</t>
        </is>
      </c>
      <c r="G214">
        <f>_xlfn.IMAGE("https://camerareadycosmetics.com/cdn/shop/products/12352_zoom_1431023300_50x.jpg?v=1689648750")</f>
        <v/>
      </c>
      <c r="H214">
        <f>_xlfn.IMAGE("https://m.media-amazon.com/images/I/81GMo3z9ZRL._AC_UL320_.jpg")</f>
        <v/>
      </c>
      <c r="K214" t="inlineStr">
        <is>
          <t>10.0</t>
        </is>
      </c>
      <c r="L214" t="n">
        <v>24</v>
      </c>
      <c r="M214" s="1" t="inlineStr">
        <is>
          <t>140.00%</t>
        </is>
      </c>
      <c r="N214" t="n">
        <v>4</v>
      </c>
      <c r="O214" t="n">
        <v>281</v>
      </c>
      <c r="Q214" t="inlineStr">
        <is>
          <t>InStock</t>
        </is>
      </c>
      <c r="R214" t="inlineStr">
        <is>
          <t>10.0</t>
        </is>
      </c>
      <c r="S214" t="inlineStr">
        <is>
          <t>7045749063</t>
        </is>
      </c>
    </row>
    <row r="215" ht="75" customHeight="1">
      <c r="A215" s="2">
        <f>HYPERLINK("https://camerareadycosmetics.com/products/ben-nye-cake-eye-liner-refill", "https://camerareadycosmetics.com/products/ben-nye-cake-eye-liner-refill")</f>
        <v/>
      </c>
      <c r="B215" s="2">
        <f>HYPERLINK("https://camerareadycosmetics.com/products/ben-nye-cake-eye-liner-refill", "https://camerareadycosmetics.com/products/ben-nye-cake-eye-liner-refill")</f>
        <v/>
      </c>
      <c r="C215" t="inlineStr">
        <is>
          <t>Cake Eye Liner Refill</t>
        </is>
      </c>
      <c r="D215" t="inlineStr">
        <is>
          <t>michael marcus Cake Eyeliner - Water Activated Dry Pressed Eyeliner - Long-Lasting, Vibrant Color, Smudge Resistant - Cruelty Free Paraben Free (Kohl)</t>
        </is>
      </c>
      <c r="E215" s="2">
        <f>HYPERLINK("https://www.amazon.com/michael-marcus-Cake-Eyeliner-Long-Lasting/dp/B0B5NLM1ND/ref=sr_1_1?keywords=Cake+Eye+Liner+Refill&amp;qid=1695565494&amp;sr=8-1", "https://www.amazon.com/michael-marcus-Cake-Eyeliner-Long-Lasting/dp/B0B5NLM1ND/ref=sr_1_1?keywords=Cake+Eye+Liner+Refill&amp;qid=1695565494&amp;sr=8-1")</f>
        <v/>
      </c>
      <c r="F215" t="inlineStr">
        <is>
          <t>B0B5NLM1ND</t>
        </is>
      </c>
      <c r="G215">
        <f>_xlfn.IMAGE("https://camerareadycosmetics.com/cdn/shop/products/12352_zoom_1431023300_50x.jpg?v=1689648750")</f>
        <v/>
      </c>
      <c r="H215">
        <f>_xlfn.IMAGE("https://m.media-amazon.com/images/I/51VMTEC-T7L._AC_UL320_.jpg")</f>
        <v/>
      </c>
      <c r="K215" t="inlineStr">
        <is>
          <t>10.0</t>
        </is>
      </c>
      <c r="L215" t="n">
        <v>23</v>
      </c>
      <c r="M215" s="1" t="inlineStr">
        <is>
          <t>130.00%</t>
        </is>
      </c>
      <c r="N215" t="n">
        <v>4.1</v>
      </c>
      <c r="O215" t="n">
        <v>94</v>
      </c>
      <c r="Q215" t="inlineStr">
        <is>
          <t>InStock</t>
        </is>
      </c>
      <c r="R215" t="inlineStr">
        <is>
          <t>10.0</t>
        </is>
      </c>
      <c r="S215" t="inlineStr">
        <is>
          <t>7045749063</t>
        </is>
      </c>
    </row>
    <row r="216" ht="75" customHeight="1">
      <c r="A216" s="2">
        <f>HYPERLINK("https://camerareadycosmetics.com/products/ben-nye-cake-eye-liner-refill", "https://camerareadycosmetics.com/products/ben-nye-cake-eye-liner-refill")</f>
        <v/>
      </c>
      <c r="B216" s="2">
        <f>HYPERLINK("https://camerareadycosmetics.com/products/ben-nye-cake-eye-liner-refill", "https://camerareadycosmetics.com/products/ben-nye-cake-eye-liner-refill")</f>
        <v/>
      </c>
      <c r="C216" t="inlineStr">
        <is>
          <t>Cake Eye Liner Refill</t>
        </is>
      </c>
      <c r="D216" t="inlineStr">
        <is>
          <t>JUST FOR REDHEADS Professional Cake Eyeliner - (Includes Eyeliner Brush)</t>
        </is>
      </c>
      <c r="E216" s="2">
        <f>HYPERLINK("https://www.amazon.com/Just-Redheads-Professional-Eyeliner-Brush/dp/B09HWT1F1V/ref=sr_1_10?keywords=Cake+Eye+Liner+Refill&amp;qid=1695565494&amp;sr=8-10", "https://www.amazon.com/Just-Redheads-Professional-Eyeliner-Brush/dp/B09HWT1F1V/ref=sr_1_10?keywords=Cake+Eye+Liner+Refill&amp;qid=1695565494&amp;sr=8-10")</f>
        <v/>
      </c>
      <c r="F216" t="inlineStr">
        <is>
          <t>B09HWT1F1V</t>
        </is>
      </c>
      <c r="G216">
        <f>_xlfn.IMAGE("https://camerareadycosmetics.com/cdn/shop/products/12352_zoom_1431023300_50x.jpg?v=1689648750")</f>
        <v/>
      </c>
      <c r="H216">
        <f>_xlfn.IMAGE("https://m.media-amazon.com/images/I/51IbvEtqr+L._AC_UL320_.jpg")</f>
        <v/>
      </c>
      <c r="K216" t="inlineStr">
        <is>
          <t>10.0</t>
        </is>
      </c>
      <c r="L216" t="n">
        <v>19.99</v>
      </c>
      <c r="M216" s="1" t="inlineStr">
        <is>
          <t>99.90%</t>
        </is>
      </c>
      <c r="N216" t="n">
        <v>4.2</v>
      </c>
      <c r="O216" t="n">
        <v>91</v>
      </c>
      <c r="Q216" t="inlineStr">
        <is>
          <t>InStock</t>
        </is>
      </c>
      <c r="R216" t="inlineStr">
        <is>
          <t>10.0</t>
        </is>
      </c>
      <c r="S216" t="inlineStr">
        <is>
          <t>7045749063</t>
        </is>
      </c>
    </row>
    <row r="217" ht="75" customHeight="1">
      <c r="A217" s="2">
        <f>HYPERLINK("https://camerareadycosmetics.com/products/ben-nye-cake-eye-liner-refill", "https://camerareadycosmetics.com/products/ben-nye-cake-eye-liner-refill")</f>
        <v/>
      </c>
      <c r="B217" s="2">
        <f>HYPERLINK("https://camerareadycosmetics.com/products/ben-nye-cake-eye-liner-refill", "https://camerareadycosmetics.com/products/ben-nye-cake-eye-liner-refill")</f>
        <v/>
      </c>
      <c r="C217" t="inlineStr">
        <is>
          <t>Cake Eye Liner Refill</t>
        </is>
      </c>
      <c r="D217" t="inlineStr">
        <is>
          <t>Addictive Cosmetics Matte Black Eyeliner- Cake Eyeliner with Applicator Brush - Water Activated Dry Pressed Eyeliner - Long-Lasting, Vibrant Color, Smudge Resistant - Vegan Cruelty Free Paraben Free (Matte Black)</t>
        </is>
      </c>
      <c r="E217" s="2">
        <f>HYPERLINK("https://www.amazon.com/Addictive-Cosmetics-Eyeliner-Eyeliner-Applicator/dp/B0BJ6B2J2F/ref=sr_1_4?keywords=Cake+Eye+Liner+Refill&amp;qid=1695565494&amp;sr=8-4", "https://www.amazon.com/Addictive-Cosmetics-Eyeliner-Eyeliner-Applicator/dp/B0BJ6B2J2F/ref=sr_1_4?keywords=Cake+Eye+Liner+Refill&amp;qid=1695565494&amp;sr=8-4")</f>
        <v/>
      </c>
      <c r="F217" t="inlineStr">
        <is>
          <t>B0BJ6B2J2F</t>
        </is>
      </c>
      <c r="G217">
        <f>_xlfn.IMAGE("https://camerareadycosmetics.com/cdn/shop/products/12352_zoom_1431023300_50x.jpg?v=1689648750")</f>
        <v/>
      </c>
      <c r="H217">
        <f>_xlfn.IMAGE("https://m.media-amazon.com/images/I/718xjK5-rkL._AC_UL320_.jpg")</f>
        <v/>
      </c>
      <c r="K217" t="inlineStr">
        <is>
          <t>10.0</t>
        </is>
      </c>
      <c r="L217" t="n">
        <v>19.99</v>
      </c>
      <c r="M217" s="1" t="inlineStr">
        <is>
          <t>99.90%</t>
        </is>
      </c>
      <c r="N217" t="n">
        <v>4.5</v>
      </c>
      <c r="O217" t="n">
        <v>92</v>
      </c>
      <c r="Q217" t="inlineStr">
        <is>
          <t>InStock</t>
        </is>
      </c>
      <c r="R217" t="inlineStr">
        <is>
          <t>10.0</t>
        </is>
      </c>
      <c r="S217" t="inlineStr">
        <is>
          <t>7045749063</t>
        </is>
      </c>
    </row>
    <row r="218" ht="75" customHeight="1">
      <c r="A218" s="2">
        <f>HYPERLINK("https://camerareadycosmetics.com/products/ben-nye-cake-eye-liner-refill", "https://camerareadycosmetics.com/products/ben-nye-cake-eye-liner-refill")</f>
        <v/>
      </c>
      <c r="B218" s="2">
        <f>HYPERLINK("https://camerareadycosmetics.com/products/ben-nye-cake-eye-liner-refill", "https://camerareadycosmetics.com/products/ben-nye-cake-eye-liner-refill")</f>
        <v/>
      </c>
      <c r="C218" t="inlineStr">
        <is>
          <t>Cake Eye Liner Refill</t>
        </is>
      </c>
      <c r="D218" t="inlineStr">
        <is>
          <t>NYX PROFESSIONAL MAKEUP Cake That! Powder Eyeliner, 0.09 Ounce, Black,Brown (CTL01)</t>
        </is>
      </c>
      <c r="E218" s="2">
        <f>HYPERLINK("https://www.amazon.com/NYX-PROFESSIONAL-MAKEUP-Powder-Eyeliner/dp/B077NRP6HW/ref=sr_1_9?keywords=Cake+Eye+Liner+Refill&amp;qid=1695565494&amp;sr=8-9", "https://www.amazon.com/NYX-PROFESSIONAL-MAKEUP-Powder-Eyeliner/dp/B077NRP6HW/ref=sr_1_9?keywords=Cake+Eye+Liner+Refill&amp;qid=1695565494&amp;sr=8-9")</f>
        <v/>
      </c>
      <c r="F218" t="inlineStr">
        <is>
          <t>B077NRP6HW</t>
        </is>
      </c>
      <c r="G218">
        <f>_xlfn.IMAGE("https://camerareadycosmetics.com/cdn/shop/products/12352_zoom_1431023300_50x.jpg?v=1689648750")</f>
        <v/>
      </c>
      <c r="H218">
        <f>_xlfn.IMAGE("https://m.media-amazon.com/images/I/71fffGETeyL._AC_UL320_.jpg")</f>
        <v/>
      </c>
      <c r="K218" t="inlineStr">
        <is>
          <t>10.0</t>
        </is>
      </c>
      <c r="L218" t="n">
        <v>19</v>
      </c>
      <c r="M218" s="1" t="inlineStr">
        <is>
          <t>90.00%</t>
        </is>
      </c>
      <c r="N218" t="n">
        <v>3.8</v>
      </c>
      <c r="O218" t="n">
        <v>344</v>
      </c>
      <c r="Q218" t="inlineStr">
        <is>
          <t>InStock</t>
        </is>
      </c>
      <c r="R218" t="inlineStr">
        <is>
          <t>10.0</t>
        </is>
      </c>
      <c r="S218" t="inlineStr">
        <is>
          <t>7045749063</t>
        </is>
      </c>
    </row>
    <row r="219" ht="75" customHeight="1">
      <c r="A219" s="2">
        <f>HYPERLINK("https://camerareadycosmetics.com/products/ben-nye-cake-eye-liner-refill", "https://camerareadycosmetics.com/products/ben-nye-cake-eye-liner-refill")</f>
        <v/>
      </c>
      <c r="B219" s="2">
        <f>HYPERLINK("https://camerareadycosmetics.com/products/ben-nye-cake-eye-liner-refill", "https://camerareadycosmetics.com/products/ben-nye-cake-eye-liner-refill")</f>
        <v/>
      </c>
      <c r="C219" t="inlineStr">
        <is>
          <t>Cake Eye Liner Refill</t>
        </is>
      </c>
      <c r="D219" t="inlineStr">
        <is>
          <t>SACE LADY Eyeliner, Pro Cake Eyeliner Powder, Long Lasting Water-Soluble Eyeliner Pressed Powder, Waterproof, Smudge-Proof, Cruelty Free for Makeup Beginner and Pro Makeup Artist 0.12Oz (Coffee)</t>
        </is>
      </c>
      <c r="E219" s="2">
        <f>HYPERLINK("https://www.amazon.com/SACE-LADY-Water-Soluble-Waterproof-Smudge-Proof/dp/B075P2TT75/ref=sr_1_6?keywords=Cake+Eye+Liner+Refill&amp;qid=1695565494&amp;sr=8-6", "https://www.amazon.com/SACE-LADY-Water-Soluble-Waterproof-Smudge-Proof/dp/B075P2TT75/ref=sr_1_6?keywords=Cake+Eye+Liner+Refill&amp;qid=1695565494&amp;sr=8-6")</f>
        <v/>
      </c>
      <c r="F219" t="inlineStr">
        <is>
          <t>B075P2TT75</t>
        </is>
      </c>
      <c r="G219">
        <f>_xlfn.IMAGE("https://camerareadycosmetics.com/cdn/shop/products/12352_zoom_1431023300_50x.jpg?v=1689648750")</f>
        <v/>
      </c>
      <c r="H219">
        <f>_xlfn.IMAGE("https://m.media-amazon.com/images/I/61Tc4VJsQIL._AC_UL320_.jpg")</f>
        <v/>
      </c>
      <c r="K219" t="inlineStr">
        <is>
          <t>10.0</t>
        </is>
      </c>
      <c r="L219" t="n">
        <v>16.99</v>
      </c>
      <c r="M219" s="1" t="inlineStr">
        <is>
          <t>69.90%</t>
        </is>
      </c>
      <c r="N219" t="n">
        <v>3.7</v>
      </c>
      <c r="O219" t="n">
        <v>344</v>
      </c>
      <c r="Q219" t="inlineStr">
        <is>
          <t>InStock</t>
        </is>
      </c>
      <c r="R219" t="inlineStr">
        <is>
          <t>10.0</t>
        </is>
      </c>
      <c r="S219" t="inlineStr">
        <is>
          <t>7045749063</t>
        </is>
      </c>
    </row>
    <row r="220" ht="75" customHeight="1">
      <c r="A220" s="2">
        <f>HYPERLINK("https://camerareadycosmetics.com/products/ben-nye-cake-eye-liner-refill", "https://camerareadycosmetics.com/products/ben-nye-cake-eye-liner-refill")</f>
        <v/>
      </c>
      <c r="B220" s="2">
        <f>HYPERLINK("https://camerareadycosmetics.com/products/ben-nye-cake-eye-liner-refill", "https://camerareadycosmetics.com/products/ben-nye-cake-eye-liner-refill")</f>
        <v/>
      </c>
      <c r="C220" t="inlineStr">
        <is>
          <t>Cake Eye Liner Refill</t>
        </is>
      </c>
      <c r="D220" t="inlineStr">
        <is>
          <t>Graftobian Professional HD Cake Eyeliner (Espresso Brown) Get Precise Lines, Water-Activated Pressed Powder Eyeliner, Long-Lasting Wear, For Bold Graphic Liner Or Subtle Tightline Effect, Made in USA</t>
        </is>
      </c>
      <c r="E220" s="2">
        <f>HYPERLINK("https://www.amazon.com/Graftobian-Professional-Hd-Cake-Eyeliner/dp/B004LOX7F6/ref=sr_1_2?keywords=Cake+Eye+Liner+Refill&amp;qid=1695565494&amp;sr=8-2", "https://www.amazon.com/Graftobian-Professional-Hd-Cake-Eyeliner/dp/B004LOX7F6/ref=sr_1_2?keywords=Cake+Eye+Liner+Refill&amp;qid=1695565494&amp;sr=8-2")</f>
        <v/>
      </c>
      <c r="F220" t="inlineStr">
        <is>
          <t>B004LOX7F6</t>
        </is>
      </c>
      <c r="G220">
        <f>_xlfn.IMAGE("https://camerareadycosmetics.com/cdn/shop/products/12352_zoom_1431023300_50x.jpg?v=1689648750")</f>
        <v/>
      </c>
      <c r="H220">
        <f>_xlfn.IMAGE("https://m.media-amazon.com/images/I/71OqE5aXJnL._AC_UL320_.jpg")</f>
        <v/>
      </c>
      <c r="K220" t="inlineStr">
        <is>
          <t>10.0</t>
        </is>
      </c>
      <c r="L220" t="n">
        <v>14.4</v>
      </c>
      <c r="M220" s="1" t="inlineStr">
        <is>
          <t>44.00%</t>
        </is>
      </c>
      <c r="N220" t="n">
        <v>4.2</v>
      </c>
      <c r="O220" t="n">
        <v>806</v>
      </c>
      <c r="Q220" t="inlineStr">
        <is>
          <t>InStock</t>
        </is>
      </c>
      <c r="R220" t="inlineStr">
        <is>
          <t>10.0</t>
        </is>
      </c>
      <c r="S220" t="inlineStr">
        <is>
          <t>7045749063</t>
        </is>
      </c>
    </row>
    <row r="221" ht="75" customHeight="1">
      <c r="A221" s="2">
        <f>HYPERLINK("https://camerareadycosmetics.com/products/ben-nye-castor-sealer", "https://camerareadycosmetics.com/products/ben-nye-castor-sealer")</f>
        <v/>
      </c>
      <c r="B221" s="2">
        <f>HYPERLINK("https://camerareadycosmetics.com/products/ben-nye-castor-sealer", "https://camerareadycosmetics.com/products/ben-nye-castor-sealer")</f>
        <v/>
      </c>
      <c r="C221" t="inlineStr">
        <is>
          <t>Castor Sealer</t>
        </is>
      </c>
      <c r="D221" t="inlineStr">
        <is>
          <t>MEICOLY 5 Pcs Scars Wax SFX Special Effects Makeup Kit,Halloween Fake Blood Gel,Fake Wound Modeling Wax(1.67Oz) with Spatula,Stipple Sponge,Scab Coagulated Blood Gel(1.06Oz),5ml Castor Sealer,01</t>
        </is>
      </c>
      <c r="E221" s="2">
        <f>HYPERLINK("https://www.amazon.com/MEICOLY-Special-Halloween-Modeling-Coagulated/dp/B09B6C5T7N/ref=sr_1_2?keywords=Castor+Sealer&amp;qid=1695565482&amp;sr=8-2", "https://www.amazon.com/MEICOLY-Special-Halloween-Modeling-Coagulated/dp/B09B6C5T7N/ref=sr_1_2?keywords=Castor+Sealer&amp;qid=1695565482&amp;sr=8-2")</f>
        <v/>
      </c>
      <c r="F221" t="inlineStr">
        <is>
          <t>B09B6C5T7N</t>
        </is>
      </c>
      <c r="G221">
        <f>_xlfn.IMAGE("https://camerareadycosmetics.com/cdn/shop/products/KS-2-Castor-Sealer-34522_50x.jpg?v=1689634561")</f>
        <v/>
      </c>
      <c r="H221">
        <f>_xlfn.IMAGE("https://m.media-amazon.com/images/I/61mHvcsDFWL._AC_UL320_.jpg")</f>
        <v/>
      </c>
      <c r="K221" t="inlineStr">
        <is>
          <t>3.5</t>
        </is>
      </c>
      <c r="L221" t="n">
        <v>11.99</v>
      </c>
      <c r="M221" s="1" t="inlineStr">
        <is>
          <t>242.57%</t>
        </is>
      </c>
      <c r="N221" t="n">
        <v>4.3</v>
      </c>
      <c r="O221" t="n">
        <v>1866</v>
      </c>
      <c r="Q221" t="inlineStr">
        <is>
          <t>InStock</t>
        </is>
      </c>
      <c r="R221" t="inlineStr">
        <is>
          <t>undefined</t>
        </is>
      </c>
      <c r="S221" t="inlineStr">
        <is>
          <t>7037152135</t>
        </is>
      </c>
    </row>
    <row r="222" ht="75" customHeight="1">
      <c r="A222" s="2">
        <f>HYPERLINK("https://camerareadycosmetics.com/products/ben-nye-castor-sealer", "https://camerareadycosmetics.com/products/ben-nye-castor-sealer")</f>
        <v/>
      </c>
      <c r="B222" s="2">
        <f>HYPERLINK("https://camerareadycosmetics.com/products/ben-nye-castor-sealer", "https://camerareadycosmetics.com/products/ben-nye-castor-sealer")</f>
        <v/>
      </c>
      <c r="C222" t="inlineStr">
        <is>
          <t>Castor Sealer</t>
        </is>
      </c>
      <c r="D222" t="inlineStr">
        <is>
          <t>Mehron Castor Sealer Makeup 1 OZ / 30 ML</t>
        </is>
      </c>
      <c r="E222" s="2">
        <f>HYPERLINK("https://www.amazon.com/Mehron-Makeup-Castor-Sealer-Latex/dp/B008J15EFS/ref=sr_1_1?keywords=Castor+Sealer&amp;qid=1695565482&amp;sr=8-1", "https://www.amazon.com/Mehron-Makeup-Castor-Sealer-Latex/dp/B008J15EFS/ref=sr_1_1?keywords=Castor+Sealer&amp;qid=1695565482&amp;sr=8-1")</f>
        <v/>
      </c>
      <c r="F222" t="inlineStr">
        <is>
          <t>B008J15EFS</t>
        </is>
      </c>
      <c r="G222">
        <f>_xlfn.IMAGE("https://camerareadycosmetics.com/cdn/shop/products/KS-2-Castor-Sealer-34522_50x.jpg?v=1689634561")</f>
        <v/>
      </c>
      <c r="H222">
        <f>_xlfn.IMAGE("https://m.media-amazon.com/images/I/81OWRD2qxoL._AC_UL320_.jpg")</f>
        <v/>
      </c>
      <c r="K222" t="inlineStr">
        <is>
          <t>3.5</t>
        </is>
      </c>
      <c r="L222" t="n">
        <v>9.949999999999999</v>
      </c>
      <c r="M222" s="1" t="inlineStr">
        <is>
          <t>184.29%</t>
        </is>
      </c>
      <c r="N222" t="n">
        <v>4.3</v>
      </c>
      <c r="O222" t="n">
        <v>64</v>
      </c>
      <c r="Q222" t="inlineStr">
        <is>
          <t>InStock</t>
        </is>
      </c>
      <c r="R222" t="inlineStr">
        <is>
          <t>undefined</t>
        </is>
      </c>
      <c r="S222" t="inlineStr">
        <is>
          <t>7037152135</t>
        </is>
      </c>
    </row>
    <row r="223" ht="75" customHeight="1">
      <c r="A223" s="2">
        <f>HYPERLINK("https://camerareadycosmetics.com/products/ben-nye-classic-lip-color", "https://camerareadycosmetics.com/products/ben-nye-classic-lip-color")</f>
        <v/>
      </c>
      <c r="B223" s="2">
        <f>HYPERLINK("https://camerareadycosmetics.com/products/ben-nye-classic-lip-color", "https://camerareadycosmetics.com/products/ben-nye-classic-lip-color")</f>
        <v/>
      </c>
      <c r="C223" t="inlineStr">
        <is>
          <t>Classic Lip Color</t>
        </is>
      </c>
      <c r="D223" t="inlineStr">
        <is>
          <t>Trish McEvoy Classic Lip Color</t>
        </is>
      </c>
      <c r="E223" s="2">
        <f>HYPERLINK("https://www.amazon.com/Trish-McEvoy-Classic-Color-Easy/dp/B0BLQM19V6/ref=sr_1_4?keywords=Classic+Lip+Color&amp;qid=1695565506&amp;sr=8-4", "https://www.amazon.com/Trish-McEvoy-Classic-Color-Easy/dp/B0BLQM19V6/ref=sr_1_4?keywords=Classic+Lip+Color&amp;qid=1695565506&amp;sr=8-4")</f>
        <v/>
      </c>
      <c r="F223" t="inlineStr">
        <is>
          <t>B0BLQM19V6</t>
        </is>
      </c>
      <c r="G223">
        <f>_xlfn.IMAGE("https://camerareadycosmetics.com/cdn/shop/products/11367_zoom_1426192539_50x.jpg?v=1689647365")</f>
        <v/>
      </c>
      <c r="H223">
        <f>_xlfn.IMAGE("https://m.media-amazon.com/images/I/51IA3vF7SrL._AC_UL320_.jpg")</f>
        <v/>
      </c>
      <c r="K223" t="inlineStr">
        <is>
          <t>9.5</t>
        </is>
      </c>
      <c r="L223" t="n">
        <v>30</v>
      </c>
      <c r="M223" s="1" t="inlineStr">
        <is>
          <t>215.79%</t>
        </is>
      </c>
      <c r="N223" t="n">
        <v>3.9</v>
      </c>
      <c r="O223" t="n">
        <v>3</v>
      </c>
      <c r="Q223" t="inlineStr">
        <is>
          <t>InStock</t>
        </is>
      </c>
      <c r="R223" t="inlineStr">
        <is>
          <t>undefined</t>
        </is>
      </c>
      <c r="S223" t="inlineStr">
        <is>
          <t>7043786759</t>
        </is>
      </c>
    </row>
    <row r="224" ht="75" customHeight="1">
      <c r="A224" s="2">
        <f>HYPERLINK("https://camerareadycosmetics.com/products/ben-nye-classic-lip-color", "https://camerareadycosmetics.com/products/ben-nye-classic-lip-color")</f>
        <v/>
      </c>
      <c r="B224" s="2">
        <f>HYPERLINK("https://camerareadycosmetics.com/products/ben-nye-classic-lip-color", "https://camerareadycosmetics.com/products/ben-nye-classic-lip-color")</f>
        <v/>
      </c>
      <c r="C224" t="inlineStr">
        <is>
          <t>Classic Lip Color</t>
        </is>
      </c>
      <c r="D224" t="inlineStr">
        <is>
          <t>LAURA GELLER NEW YORK Modern Classic Lipstick, Luxurious Creamy Soft Moisturizing Lip Color, 1 Oz, Regal</t>
        </is>
      </c>
      <c r="E224" s="2">
        <f>HYPERLINK("https://www.amazon.com/LAURA-GELLER-NEW-YORK-Moisturizing/dp/B08GV4FC74/ref=sr_1_7?keywords=Classic+Lip+Color&amp;qid=1695565506&amp;sr=8-7", "https://www.amazon.com/LAURA-GELLER-NEW-YORK-Moisturizing/dp/B08GV4FC74/ref=sr_1_7?keywords=Classic+Lip+Color&amp;qid=1695565506&amp;sr=8-7")</f>
        <v/>
      </c>
      <c r="F224" t="inlineStr">
        <is>
          <t>B08GV4FC74</t>
        </is>
      </c>
      <c r="G224">
        <f>_xlfn.IMAGE("https://camerareadycosmetics.com/cdn/shop/products/11367_zoom_1426192539_50x.jpg?v=1689647365")</f>
        <v/>
      </c>
      <c r="H224">
        <f>_xlfn.IMAGE("https://m.media-amazon.com/images/I/51EN3dsAMgL._AC_UL320_.jpg")</f>
        <v/>
      </c>
      <c r="K224" t="inlineStr">
        <is>
          <t>9.5</t>
        </is>
      </c>
      <c r="L224" t="n">
        <v>19.5</v>
      </c>
      <c r="M224" s="1" t="inlineStr">
        <is>
          <t>105.26%</t>
        </is>
      </c>
      <c r="N224" t="n">
        <v>3.9</v>
      </c>
      <c r="O224" t="n">
        <v>33</v>
      </c>
      <c r="Q224" t="inlineStr">
        <is>
          <t>InStock</t>
        </is>
      </c>
      <c r="R224" t="inlineStr">
        <is>
          <t>undefined</t>
        </is>
      </c>
      <c r="S224" t="inlineStr">
        <is>
          <t>7043786759</t>
        </is>
      </c>
    </row>
    <row r="225" ht="75" customHeight="1">
      <c r="A225" s="2">
        <f>HYPERLINK("https://camerareadycosmetics.com/products/ben-nye-classic-lip-color", "https://camerareadycosmetics.com/products/ben-nye-classic-lip-color")</f>
        <v/>
      </c>
      <c r="B225" s="2">
        <f>HYPERLINK("https://camerareadycosmetics.com/products/ben-nye-classic-lip-color", "https://camerareadycosmetics.com/products/ben-nye-classic-lip-color")</f>
        <v/>
      </c>
      <c r="C225" t="inlineStr">
        <is>
          <t>Classic Lip Color</t>
        </is>
      </c>
      <c r="D225" t="inlineStr">
        <is>
          <t>LAURA GELLER NEW YORK Modern Classic Lipstick - Novel Neutral - Ultra-Rich Color - Luxurious and Lightweight - Cream Finish</t>
        </is>
      </c>
      <c r="E225" s="2">
        <f>HYPERLINK("https://www.amazon.com/LAURA-GELLER-NEW-YORK-Lipstick/dp/B0CB6VYF3K/ref=sr_1_10?keywords=Classic+Lip+Color&amp;qid=1695565506&amp;sr=8-10", "https://www.amazon.com/LAURA-GELLER-NEW-YORK-Lipstick/dp/B0CB6VYF3K/ref=sr_1_10?keywords=Classic+Lip+Color&amp;qid=1695565506&amp;sr=8-10")</f>
        <v/>
      </c>
      <c r="F225" t="inlineStr">
        <is>
          <t>B0CB6VYF3K</t>
        </is>
      </c>
      <c r="G225">
        <f>_xlfn.IMAGE("https://camerareadycosmetics.com/cdn/shop/products/11367_zoom_1426192539_50x.jpg?v=1689647365")</f>
        <v/>
      </c>
      <c r="H225">
        <f>_xlfn.IMAGE("https://m.media-amazon.com/images/I/617w6iES22L._AC_UL320_.jpg")</f>
        <v/>
      </c>
      <c r="K225" t="inlineStr">
        <is>
          <t>9.5</t>
        </is>
      </c>
      <c r="L225" t="n">
        <v>16.8</v>
      </c>
      <c r="M225" s="1" t="inlineStr">
        <is>
          <t>76.84%</t>
        </is>
      </c>
      <c r="N225" t="n">
        <v>4.2</v>
      </c>
      <c r="O225" t="n">
        <v>79</v>
      </c>
      <c r="Q225" t="inlineStr">
        <is>
          <t>InStock</t>
        </is>
      </c>
      <c r="R225" t="inlineStr">
        <is>
          <t>undefined</t>
        </is>
      </c>
      <c r="S225" t="inlineStr">
        <is>
          <t>7043786759</t>
        </is>
      </c>
    </row>
    <row r="226" ht="75" customHeight="1">
      <c r="A226" s="2">
        <f>HYPERLINK("https://camerareadycosmetics.com/products/ben-nye-classic-lip-color", "https://camerareadycosmetics.com/products/ben-nye-classic-lip-color")</f>
        <v/>
      </c>
      <c r="B226" s="2">
        <f>HYPERLINK("https://camerareadycosmetics.com/products/ben-nye-classic-lip-color", "https://camerareadycosmetics.com/products/ben-nye-classic-lip-color")</f>
        <v/>
      </c>
      <c r="C226" t="inlineStr">
        <is>
          <t>Classic Lip Color</t>
        </is>
      </c>
      <c r="D226" t="inlineStr">
        <is>
          <t>SHANY Dream Team Lip Palette - 25 Cream Lipsticks with 11 Bold Colors, 8 Classic Shades, and 6 Nude Tones with a Matte Finish</t>
        </is>
      </c>
      <c r="E226" s="2">
        <f>HYPERLINK("https://www.amazon.com/SHANY-Dream-Team-Lip-Palette/dp/B094JPDTYN/ref=sr_1_6?keywords=Classic+Lip+Color&amp;qid=1695565506&amp;sr=8-6", "https://www.amazon.com/SHANY-Dream-Team-Lip-Palette/dp/B094JPDTYN/ref=sr_1_6?keywords=Classic+Lip+Color&amp;qid=1695565506&amp;sr=8-6")</f>
        <v/>
      </c>
      <c r="F226" t="inlineStr">
        <is>
          <t>B094JPDTYN</t>
        </is>
      </c>
      <c r="G226">
        <f>_xlfn.IMAGE("https://camerareadycosmetics.com/cdn/shop/products/11367_zoom_1426192539_50x.jpg?v=1689647365")</f>
        <v/>
      </c>
      <c r="H226">
        <f>_xlfn.IMAGE("https://m.media-amazon.com/images/I/710bCXxLG8S._AC_UL320_.jpg")</f>
        <v/>
      </c>
      <c r="K226" t="inlineStr">
        <is>
          <t>9.5</t>
        </is>
      </c>
      <c r="L226" t="n">
        <v>9.94</v>
      </c>
      <c r="M226" s="1" t="inlineStr">
        <is>
          <t>4.63%</t>
        </is>
      </c>
      <c r="N226" t="n">
        <v>3.4</v>
      </c>
      <c r="O226" t="n">
        <v>29</v>
      </c>
      <c r="Q226" t="inlineStr">
        <is>
          <t>InStock</t>
        </is>
      </c>
      <c r="R226" t="inlineStr">
        <is>
          <t>undefined</t>
        </is>
      </c>
      <c r="S226" t="inlineStr">
        <is>
          <t>7043786759</t>
        </is>
      </c>
    </row>
    <row r="227" ht="75" customHeight="1">
      <c r="A227" s="2">
        <f>HYPERLINK("https://camerareadycosmetics.com/products/ben-nye-classic-lip-color", "https://camerareadycosmetics.com/products/ben-nye-classic-lip-color")</f>
        <v/>
      </c>
      <c r="B227" s="2">
        <f>HYPERLINK("https://camerareadycosmetics.com/products/ben-nye-classic-lip-color", "https://camerareadycosmetics.com/products/ben-nye-classic-lip-color")</f>
        <v/>
      </c>
      <c r="C227" t="inlineStr">
        <is>
          <t>Classic Lip Color</t>
        </is>
      </c>
      <c r="D227" t="inlineStr">
        <is>
          <t>Neutrogena MoistureSmooth Color Stick for Lips, Moisturizing and Conditioning Lipstick with a Balm-Like Formula, Nourishing Shea Butter and Fruit Extracts, 90 Classic Nude.011 oz</t>
        </is>
      </c>
      <c r="E227" s="2">
        <f>HYPERLINK("https://www.amazon.com/Neutrogena-Moisturesmooth-Color-Stick-Classic/dp/B01BZON3D0/ref=sr_1_2?keywords=Classic+Lip+Color&amp;qid=1695565506&amp;sr=8-2", "https://www.amazon.com/Neutrogena-Moisturesmooth-Color-Stick-Classic/dp/B01BZON3D0/ref=sr_1_2?keywords=Classic+Lip+Color&amp;qid=1695565506&amp;sr=8-2")</f>
        <v/>
      </c>
      <c r="F227" t="inlineStr">
        <is>
          <t>B01BZON3D0</t>
        </is>
      </c>
      <c r="G227">
        <f>_xlfn.IMAGE("https://camerareadycosmetics.com/cdn/shop/products/11367_zoom_1426192539_50x.jpg?v=1689647365")</f>
        <v/>
      </c>
      <c r="H227">
        <f>_xlfn.IMAGE("https://m.media-amazon.com/images/I/71ycMa9ClrL._AC_UL320_.jpg")</f>
        <v/>
      </c>
      <c r="K227" t="inlineStr">
        <is>
          <t>9.5</t>
        </is>
      </c>
      <c r="L227" t="n">
        <v>9</v>
      </c>
      <c r="M227" s="1" t="inlineStr">
        <is>
          <t>-5.26%</t>
        </is>
      </c>
      <c r="N227" t="n">
        <v>4.6</v>
      </c>
      <c r="O227" t="n">
        <v>166</v>
      </c>
      <c r="Q227" t="inlineStr">
        <is>
          <t>InStock</t>
        </is>
      </c>
      <c r="R227" t="inlineStr">
        <is>
          <t>undefined</t>
        </is>
      </c>
      <c r="S227" t="inlineStr">
        <is>
          <t>7043786759</t>
        </is>
      </c>
    </row>
    <row r="228" ht="75" customHeight="1">
      <c r="A228" s="2">
        <f>HYPERLINK("https://camerareadycosmetics.com/products/ben-nye-classic-lip-color", "https://camerareadycosmetics.com/products/ben-nye-classic-lip-color")</f>
        <v/>
      </c>
      <c r="B228" s="2">
        <f>HYPERLINK("https://camerareadycosmetics.com/products/ben-nye-classic-lip-color", "https://camerareadycosmetics.com/products/ben-nye-classic-lip-color")</f>
        <v/>
      </c>
      <c r="C228" t="inlineStr">
        <is>
          <t>Classic Lip Color</t>
        </is>
      </c>
      <c r="D228" t="inlineStr">
        <is>
          <t>COVERGIRL Outlast All-Day Lip Color Custom Reds, Your Classic Red, 0.06 Ounce (Pack of 1)</t>
        </is>
      </c>
      <c r="E228" s="2">
        <f>HYPERLINK("https://www.amazon.com/COVERGIRL-Outlast-All-Day-Lipcolor-Packaging/dp/B01LZ2XADO/ref=sr_1_1?keywords=Classic+Lip+Color&amp;qid=1695565506&amp;sr=8-1", "https://www.amazon.com/COVERGIRL-Outlast-All-Day-Lipcolor-Packaging/dp/B01LZ2XADO/ref=sr_1_1?keywords=Classic+Lip+Color&amp;qid=1695565506&amp;sr=8-1")</f>
        <v/>
      </c>
      <c r="F228" t="inlineStr">
        <is>
          <t>B01LZ2XADO</t>
        </is>
      </c>
      <c r="G228">
        <f>_xlfn.IMAGE("https://camerareadycosmetics.com/cdn/shop/products/11367_zoom_1426192539_50x.jpg?v=1689647365")</f>
        <v/>
      </c>
      <c r="H228">
        <f>_xlfn.IMAGE("https://m.media-amazon.com/images/I/61jRwv8U8GL._AC_UL320_.jpg")</f>
        <v/>
      </c>
      <c r="K228" t="inlineStr">
        <is>
          <t>9.5</t>
        </is>
      </c>
      <c r="L228" t="n">
        <v>8.69</v>
      </c>
      <c r="M228" s="1" t="inlineStr">
        <is>
          <t>-8.53%</t>
        </is>
      </c>
      <c r="N228" t="n">
        <v>4.5</v>
      </c>
      <c r="O228" t="n">
        <v>916</v>
      </c>
      <c r="Q228" t="inlineStr">
        <is>
          <t>InStock</t>
        </is>
      </c>
      <c r="R228" t="inlineStr">
        <is>
          <t>undefined</t>
        </is>
      </c>
      <c r="S228" t="inlineStr">
        <is>
          <t>7043786759</t>
        </is>
      </c>
    </row>
    <row r="229" ht="75" customHeight="1">
      <c r="A229" s="2">
        <f>HYPERLINK("https://camerareadycosmetics.com/products/ben-nye-classic-lip-color", "https://camerareadycosmetics.com/products/ben-nye-classic-lip-color")</f>
        <v/>
      </c>
      <c r="B229" s="2">
        <f>HYPERLINK("https://camerareadycosmetics.com/products/ben-nye-classic-lip-color", "https://camerareadycosmetics.com/products/ben-nye-classic-lip-color")</f>
        <v/>
      </c>
      <c r="C229" t="inlineStr">
        <is>
          <t>Classic Lip Color</t>
        </is>
      </c>
      <c r="D229" t="inlineStr">
        <is>
          <t>COVERGIRL Continuous Color Lipstick Classic Red 435, .13 oz (packaging may vary)</t>
        </is>
      </c>
      <c r="E229" s="2">
        <f>HYPERLINK("https://www.amazon.com/COVERGIRL-Continuous-Lipstick-Classic-packaging/dp/B00OW9NZPM/ref=sr_1_5?keywords=Classic+Lip+Color&amp;qid=1695565506&amp;sr=8-5", "https://www.amazon.com/COVERGIRL-Continuous-Lipstick-Classic-packaging/dp/B00OW9NZPM/ref=sr_1_5?keywords=Classic+Lip+Color&amp;qid=1695565506&amp;sr=8-5")</f>
        <v/>
      </c>
      <c r="F229" t="inlineStr">
        <is>
          <t>B00OW9NZPM</t>
        </is>
      </c>
      <c r="G229">
        <f>_xlfn.IMAGE("https://camerareadycosmetics.com/cdn/shop/products/11367_zoom_1426192539_50x.jpg?v=1689647365")</f>
        <v/>
      </c>
      <c r="H229">
        <f>_xlfn.IMAGE("https://m.media-amazon.com/images/I/618g8YtM-NL._AC_UL320_.jpg")</f>
        <v/>
      </c>
      <c r="K229" t="inlineStr">
        <is>
          <t>9.5</t>
        </is>
      </c>
      <c r="L229" t="n">
        <v>7.08</v>
      </c>
      <c r="M229" s="1" t="inlineStr">
        <is>
          <t>-25.47%</t>
        </is>
      </c>
      <c r="N229" t="n">
        <v>4.4</v>
      </c>
      <c r="O229" t="n">
        <v>5272</v>
      </c>
      <c r="Q229" t="inlineStr">
        <is>
          <t>InStock</t>
        </is>
      </c>
      <c r="R229" t="inlineStr">
        <is>
          <t>undefined</t>
        </is>
      </c>
      <c r="S229" t="inlineStr">
        <is>
          <t>7043786759</t>
        </is>
      </c>
    </row>
    <row r="230" ht="75" customHeight="1">
      <c r="A230" s="2">
        <f>HYPERLINK("https://camerareadycosmetics.com/products/ben-nye-classic-translucent-face-powder-fair", "https://camerareadycosmetics.com/products/ben-nye-classic-translucent-face-powder-fair")</f>
        <v/>
      </c>
      <c r="B230" s="2">
        <f>HYPERLINK("https://camerareadycosmetics.com/products/ben-nye-classic-translucent-face-powder-fair", "https://camerareadycosmetics.com/products/ben-nye-classic-translucent-face-powder-fair")</f>
        <v/>
      </c>
      <c r="C230" t="inlineStr">
        <is>
          <t>Fair Classic Translucent Face Powder</t>
        </is>
      </c>
      <c r="D230" t="inlineStr">
        <is>
          <t>Ben Nye Classic Translucent Face Powder 3 Oz Neutral Set Face Powders</t>
        </is>
      </c>
      <c r="E230" s="2">
        <f>HYPERLINK("https://www.amazon.com/Ben-Nye-Classic-Translucent-Neutral/dp/B00AZRGSAE/ref=sr_1_7?keywords=Fair+Classic+Translucent+Face+Powder&amp;qid=1695565420&amp;sr=8-7", "https://www.amazon.com/Ben-Nye-Classic-Translucent-Neutral/dp/B00AZRGSAE/ref=sr_1_7?keywords=Fair+Classic+Translucent+Face+Powder&amp;qid=1695565420&amp;sr=8-7")</f>
        <v/>
      </c>
      <c r="F230" t="inlineStr">
        <is>
          <t>B00AZRGSAE</t>
        </is>
      </c>
      <c r="G230">
        <f>_xlfn.IMAGE("https://camerareadycosmetics.com/cdn/shop/products/ben-nye-face-powder-TP2_Fair_Translucent_50x.jpg?v=1689659970")</f>
        <v/>
      </c>
      <c r="H230">
        <f>_xlfn.IMAGE("https://m.media-amazon.com/images/I/51XooUpRqwL._AC_UL320_.jpg")</f>
        <v/>
      </c>
      <c r="K230" t="inlineStr">
        <is>
          <t>8.0</t>
        </is>
      </c>
      <c r="L230" t="n">
        <v>21.84</v>
      </c>
      <c r="M230" s="1" t="inlineStr">
        <is>
          <t>173.00%</t>
        </is>
      </c>
      <c r="N230" t="n">
        <v>4.7</v>
      </c>
      <c r="O230" t="n">
        <v>756</v>
      </c>
      <c r="Q230" t="inlineStr">
        <is>
          <t>InStock</t>
        </is>
      </c>
      <c r="R230" t="inlineStr">
        <is>
          <t>undefined</t>
        </is>
      </c>
      <c r="S230" t="inlineStr">
        <is>
          <t>7051128711</t>
        </is>
      </c>
    </row>
    <row r="231" ht="75" customHeight="1">
      <c r="A231" s="2">
        <f>HYPERLINK("https://camerareadycosmetics.com/products/ben-nye-classic-translucent-face-powder-neutral-set", "https://camerareadycosmetics.com/products/ben-nye-classic-translucent-face-powder-neutral-set")</f>
        <v/>
      </c>
      <c r="B231" s="2">
        <f>HYPERLINK("https://camerareadycosmetics.com/products/ben-nye-classic-translucent-face-powder-neutral-set", "https://camerareadycosmetics.com/products/ben-nye-classic-translucent-face-powder-neutral-set")</f>
        <v/>
      </c>
      <c r="C231" t="inlineStr">
        <is>
          <t>Neutral Set Colorless Face Powder</t>
        </is>
      </c>
      <c r="D231" t="inlineStr">
        <is>
          <t>Ben Nye Classic Translucent Face Powder 3 Oz Neutral Set Face Powders</t>
        </is>
      </c>
      <c r="E231" s="2">
        <f>HYPERLINK("https://www.amazon.com/Ben-Nye-Classic-Translucent-Neutral/dp/B00AZRGSAE/ref=sr_1_4?keywords=Neutral+Set+Colorless+Face+Powder&amp;qid=1695565412&amp;sr=8-4", "https://www.amazon.com/Ben-Nye-Classic-Translucent-Neutral/dp/B00AZRGSAE/ref=sr_1_4?keywords=Neutral+Set+Colorless+Face+Powder&amp;qid=1695565412&amp;sr=8-4")</f>
        <v/>
      </c>
      <c r="F231" t="inlineStr">
        <is>
          <t>B00AZRGSAE</t>
        </is>
      </c>
      <c r="G231">
        <f>_xlfn.IMAGE("https://camerareadycosmetics.com/cdn/shop/products/ben-nye-face-powder-TP6_Neutral_Set_50x.jpg?v=1689627844")</f>
        <v/>
      </c>
      <c r="H231">
        <f>_xlfn.IMAGE("https://m.media-amazon.com/images/I/51XooUpRqwL._AC_UL320_.jpg")</f>
        <v/>
      </c>
      <c r="K231" t="inlineStr">
        <is>
          <t>8.0</t>
        </is>
      </c>
      <c r="L231" t="n">
        <v>21.74</v>
      </c>
      <c r="M231" s="1" t="inlineStr">
        <is>
          <t>171.75%</t>
        </is>
      </c>
      <c r="N231" t="n">
        <v>4.7</v>
      </c>
      <c r="O231" t="n">
        <v>756</v>
      </c>
      <c r="Q231" t="inlineStr">
        <is>
          <t>InStock</t>
        </is>
      </c>
      <c r="R231" t="inlineStr">
        <is>
          <t>undefined</t>
        </is>
      </c>
      <c r="S231" t="inlineStr">
        <is>
          <t>7035000455</t>
        </is>
      </c>
    </row>
    <row r="232" ht="75" customHeight="1">
      <c r="A232" s="2">
        <f>HYPERLINK("https://camerareadycosmetics.com/products/ben-nye-classic-translucent-face-powder-super-white", "https://camerareadycosmetics.com/products/ben-nye-classic-translucent-face-powder-super-white")</f>
        <v/>
      </c>
      <c r="B232" s="2">
        <f>HYPERLINK("https://camerareadycosmetics.com/products/ben-nye-classic-translucent-face-powder-super-white", "https://camerareadycosmetics.com/products/ben-nye-classic-translucent-face-powder-super-white")</f>
        <v/>
      </c>
      <c r="C232" t="inlineStr">
        <is>
          <t>Super White Translucent Setting Powder</t>
        </is>
      </c>
      <c r="D232" t="inlineStr">
        <is>
          <t>Ben Nye Super White Translucent Face Powder, 3 Oz Shaker Jar</t>
        </is>
      </c>
      <c r="E232" s="2">
        <f>HYPERLINK("https://www.amazon.com/Ben-Nye-Translucent-Powder-Shaker/dp/B003AT91A8/ref=sr_1_1?keywords=Super+White+Translucent+Setting+Powder&amp;qid=1695565421&amp;sr=8-1", "https://www.amazon.com/Ben-Nye-Translucent-Powder-Shaker/dp/B003AT91A8/ref=sr_1_1?keywords=Super+White+Translucent+Setting+Powder&amp;qid=1695565421&amp;sr=8-1")</f>
        <v/>
      </c>
      <c r="F232" t="inlineStr">
        <is>
          <t>B003AT91A8</t>
        </is>
      </c>
      <c r="G232">
        <f>_xlfn.IMAGE("https://camerareadycosmetics.com/cdn/shop/products/ben-nye-face-powder-TP8_Super_White_50x.jpg?v=1689659989")</f>
        <v/>
      </c>
      <c r="H232">
        <f>_xlfn.IMAGE("https://m.media-amazon.com/images/I/51QGghLWPaL._AC_UL320_.jpg")</f>
        <v/>
      </c>
      <c r="K232" t="inlineStr">
        <is>
          <t>8.0</t>
        </is>
      </c>
      <c r="L232" t="n">
        <v>25.72</v>
      </c>
      <c r="M232" s="1" t="inlineStr">
        <is>
          <t>221.50%</t>
        </is>
      </c>
      <c r="N232" t="n">
        <v>4.6</v>
      </c>
      <c r="O232" t="n">
        <v>291</v>
      </c>
      <c r="Q232" t="inlineStr">
        <is>
          <t>InStock</t>
        </is>
      </c>
      <c r="R232" t="inlineStr">
        <is>
          <t>undefined</t>
        </is>
      </c>
      <c r="S232" t="inlineStr">
        <is>
          <t>7051162055</t>
        </is>
      </c>
    </row>
    <row r="233" ht="75" customHeight="1">
      <c r="A233" s="2">
        <f>HYPERLINK("https://camerareadycosmetics.com/products/ben-nye-classic-translucent-face-powder-super-white", "https://camerareadycosmetics.com/products/ben-nye-classic-translucent-face-powder-super-white")</f>
        <v/>
      </c>
      <c r="B233" s="2">
        <f>HYPERLINK("https://camerareadycosmetics.com/products/ben-nye-classic-translucent-face-powder-super-white", "https://camerareadycosmetics.com/products/ben-nye-classic-translucent-face-powder-super-white")</f>
        <v/>
      </c>
      <c r="C233" t="inlineStr">
        <is>
          <t>Super White Translucent Setting Powder</t>
        </is>
      </c>
      <c r="D233" t="inlineStr">
        <is>
          <t>Ben Nye Classic Translucent Face Powder 1.5 oz - Super White</t>
        </is>
      </c>
      <c r="E233" s="2">
        <f>HYPERLINK("https://www.amazon.com/Ben-Nye-Classic-Translucent-Powder/dp/B003ATAMA6/ref=sr_1_2?keywords=Super+White+Translucent+Setting+Powder&amp;qid=1695565421&amp;sr=8-2", "https://www.amazon.com/Ben-Nye-Classic-Translucent-Powder/dp/B003ATAMA6/ref=sr_1_2?keywords=Super+White+Translucent+Setting+Powder&amp;qid=1695565421&amp;sr=8-2")</f>
        <v/>
      </c>
      <c r="F233" t="inlineStr">
        <is>
          <t>B003ATAMA6</t>
        </is>
      </c>
      <c r="G233">
        <f>_xlfn.IMAGE("https://camerareadycosmetics.com/cdn/shop/products/ben-nye-face-powder-TP8_Super_White_50x.jpg?v=1689659989")</f>
        <v/>
      </c>
      <c r="H233">
        <f>_xlfn.IMAGE("https://m.media-amazon.com/images/I/61JHDyHexLL._AC_UL320_.jpg")</f>
        <v/>
      </c>
      <c r="K233" t="inlineStr">
        <is>
          <t>8.0</t>
        </is>
      </c>
      <c r="L233" t="n">
        <v>16.55</v>
      </c>
      <c r="M233" s="1" t="inlineStr">
        <is>
          <t>106.88%</t>
        </is>
      </c>
      <c r="N233" t="n">
        <v>4.5</v>
      </c>
      <c r="O233" t="n">
        <v>288</v>
      </c>
      <c r="Q233" t="inlineStr">
        <is>
          <t>InStock</t>
        </is>
      </c>
      <c r="R233" t="inlineStr">
        <is>
          <t>undefined</t>
        </is>
      </c>
      <c r="S233" t="inlineStr">
        <is>
          <t>7051162055</t>
        </is>
      </c>
    </row>
    <row r="234" ht="75" customHeight="1">
      <c r="A234" s="2">
        <f>HYPERLINK("https://camerareadycosmetics.com/products/ben-nye-classic-translucent-face-powder-super-white", "https://camerareadycosmetics.com/products/ben-nye-classic-translucent-face-powder-super-white")</f>
        <v/>
      </c>
      <c r="B234" s="2">
        <f>HYPERLINK("https://camerareadycosmetics.com/products/ben-nye-classic-translucent-face-powder-super-white", "https://camerareadycosmetics.com/products/ben-nye-classic-translucent-face-powder-super-white")</f>
        <v/>
      </c>
      <c r="C234" t="inlineStr">
        <is>
          <t>Super White Translucent Setting Powder</t>
        </is>
      </c>
      <c r="D234" t="inlineStr">
        <is>
          <t>Loose Setting Powder By Wet n Wild Photo Focus Loose Finishing Powder Off-White Translucent</t>
        </is>
      </c>
      <c r="E234" s="2">
        <f>HYPERLINK("https://www.amazon.com/Photo-Setting-Powder-Off-White-Translucent/dp/B09NXM2YWP/ref=sr_1_7?keywords=Super+White+Translucent+Setting+Powder&amp;qid=1695565421&amp;rdc=1&amp;sr=8-7", "https://www.amazon.com/Photo-Setting-Powder-Off-White-Translucent/dp/B09NXM2YWP/ref=sr_1_7?keywords=Super+White+Translucent+Setting+Powder&amp;qid=1695565421&amp;rdc=1&amp;sr=8-7")</f>
        <v/>
      </c>
      <c r="F234" t="inlineStr">
        <is>
          <t>B09NXM2YWP</t>
        </is>
      </c>
      <c r="G234">
        <f>_xlfn.IMAGE("https://camerareadycosmetics.com/cdn/shop/products/ben-nye-face-powder-TP8_Super_White_50x.jpg?v=1689659989")</f>
        <v/>
      </c>
      <c r="H234">
        <f>_xlfn.IMAGE("https://m.media-amazon.com/images/I/71j-eG-S0wL._AC_UL320_.jpg")</f>
        <v/>
      </c>
      <c r="K234" t="inlineStr">
        <is>
          <t>8.0</t>
        </is>
      </c>
      <c r="L234" t="n">
        <v>5.59</v>
      </c>
      <c r="M234" s="1" t="inlineStr">
        <is>
          <t>-30.12%</t>
        </is>
      </c>
      <c r="N234" t="n">
        <v>4.6</v>
      </c>
      <c r="O234" t="n">
        <v>4320</v>
      </c>
      <c r="Q234" t="inlineStr">
        <is>
          <t>InStock</t>
        </is>
      </c>
      <c r="R234" t="inlineStr">
        <is>
          <t>undefined</t>
        </is>
      </c>
      <c r="S234" t="inlineStr">
        <is>
          <t>7051162055</t>
        </is>
      </c>
    </row>
    <row r="235" ht="75" customHeight="1">
      <c r="A235" s="2">
        <f>HYPERLINK("https://camerareadycosmetics.com/products/ben-nye-classic-translucent-face-powder-super-white", "https://camerareadycosmetics.com/products/ben-nye-classic-translucent-face-powder-super-white")</f>
        <v/>
      </c>
      <c r="B235" s="2">
        <f>HYPERLINK("https://camerareadycosmetics.com/products/ben-nye-classic-translucent-face-powder-super-white", "https://camerareadycosmetics.com/products/ben-nye-classic-translucent-face-powder-super-white")</f>
        <v/>
      </c>
      <c r="C235" t="inlineStr">
        <is>
          <t>Super White Translucent Setting Powder</t>
        </is>
      </c>
      <c r="D235" t="inlineStr">
        <is>
          <t>L'Oreal Paris Infallible Tinted Loose Setting Powders, Matte Finish, Lightweight, No White Cast, 2 Shades From Light To Deep, Translucent Light-medium, 0.26 Oz</t>
        </is>
      </c>
      <c r="E235" s="2">
        <f>HYPERLINK("https://www.amazon.com/LOreal-Paris-Lightweight-Translucent-Light-medium/dp/B07X95TW3Z/ref=sr_1_3?keywords=Super+White+Translucent+Setting+Powder&amp;qid=1695565421&amp;sr=8-3", "https://www.amazon.com/LOreal-Paris-Lightweight-Translucent-Light-medium/dp/B07X95TW3Z/ref=sr_1_3?keywords=Super+White+Translucent+Setting+Powder&amp;qid=1695565421&amp;sr=8-3")</f>
        <v/>
      </c>
      <c r="F235" t="inlineStr">
        <is>
          <t>B07X95TW3Z</t>
        </is>
      </c>
      <c r="G235">
        <f>_xlfn.IMAGE("https://camerareadycosmetics.com/cdn/shop/products/ben-nye-face-powder-TP8_Super_White_50x.jpg?v=1689659989")</f>
        <v/>
      </c>
      <c r="H235">
        <f>_xlfn.IMAGE("https://m.media-amazon.com/images/I/71h1zV8Y2mL._AC_UL320_.jpg")</f>
        <v/>
      </c>
      <c r="K235" t="inlineStr">
        <is>
          <t>8.0</t>
        </is>
      </c>
      <c r="L235" t="n">
        <v>5.35</v>
      </c>
      <c r="M235" s="1" t="inlineStr">
        <is>
          <t>-33.13%</t>
        </is>
      </c>
      <c r="N235" t="n">
        <v>4.3</v>
      </c>
      <c r="O235" t="n">
        <v>1210</v>
      </c>
      <c r="Q235" t="inlineStr">
        <is>
          <t>InStock</t>
        </is>
      </c>
      <c r="R235" t="inlineStr">
        <is>
          <t>undefined</t>
        </is>
      </c>
      <c r="S235" t="inlineStr">
        <is>
          <t>7051162055</t>
        </is>
      </c>
    </row>
    <row r="236" ht="75" customHeight="1">
      <c r="A236" s="2">
        <f>HYPERLINK("https://camerareadycosmetics.com/products/ben-nye-color-cake-foundation", "https://camerareadycosmetics.com/products/ben-nye-color-cake-foundation")</f>
        <v/>
      </c>
      <c r="B236" s="2">
        <f>HYPERLINK("https://camerareadycosmetics.com/products/ben-nye-color-cake-foundation", "https://camerareadycosmetics.com/products/ben-nye-color-cake-foundation")</f>
        <v/>
      </c>
      <c r="C236" t="inlineStr">
        <is>
          <t>Color Cake Foundation</t>
        </is>
      </c>
      <c r="D236" t="inlineStr">
        <is>
          <t>Ben Nye Color Cake Foundations, Cine Light Tan</t>
        </is>
      </c>
      <c r="E236" s="2">
        <f>HYPERLINK("https://www.amazon.com/Ben-Nye-Color-Foundations-Light/dp/B003AT6PFC/ref=sr_1_1?keywords=Color+Cake+Foundation&amp;qid=1695565415&amp;sr=8-1", "https://www.amazon.com/Ben-Nye-Color-Foundations-Light/dp/B003AT6PFC/ref=sr_1_1?keywords=Color+Cake+Foundation&amp;qid=1695565415&amp;sr=8-1")</f>
        <v/>
      </c>
      <c r="F236" t="inlineStr">
        <is>
          <t>B003AT6PFC</t>
        </is>
      </c>
      <c r="G236">
        <f>_xlfn.IMAGE("https://camerareadycosmetics.com/cdn/shop/files/600_844f768f-6ef3-4aa8-85b9-d316abc150fd_50x.jpg?v=1687196603")</f>
        <v/>
      </c>
      <c r="H236">
        <f>_xlfn.IMAGE("https://m.media-amazon.com/images/I/51uClrXlzHL._AC_UL320_.jpg")</f>
        <v/>
      </c>
      <c r="K236" t="inlineStr">
        <is>
          <t>16.0</t>
        </is>
      </c>
      <c r="L236" t="n">
        <v>39.99</v>
      </c>
      <c r="M236" s="1" t="inlineStr">
        <is>
          <t>149.94%</t>
        </is>
      </c>
      <c r="N236" t="n">
        <v>5</v>
      </c>
      <c r="O236" t="n">
        <v>5</v>
      </c>
      <c r="Q236" t="inlineStr">
        <is>
          <t>InStock</t>
        </is>
      </c>
      <c r="R236" t="inlineStr">
        <is>
          <t>undefined</t>
        </is>
      </c>
      <c r="S236" t="inlineStr">
        <is>
          <t>7035291655</t>
        </is>
      </c>
    </row>
    <row r="237" ht="75" customHeight="1">
      <c r="A237" s="2">
        <f>HYPERLINK("https://camerareadycosmetics.com/products/ben-nye-corrector-wheel-ctrw-1", "https://camerareadycosmetics.com/products/ben-nye-corrector-wheel-ctrw-1")</f>
        <v/>
      </c>
      <c r="B237" s="2">
        <f>HYPERLINK("https://camerareadycosmetics.com/products/ben-nye-corrector-wheel-ctrw-1", "https://camerareadycosmetics.com/products/ben-nye-corrector-wheel-ctrw-1")</f>
        <v/>
      </c>
      <c r="C237" t="inlineStr">
        <is>
          <t>Corrector Wheel</t>
        </is>
      </c>
      <c r="D237" t="inlineStr">
        <is>
          <t>Ultimate Back + Neck Bundle, 4-Pack Chirp Wheel, Carrying Case, and Upper Back Posture Corrector, Includes Focus, Deep Tissue, Firm, and Gentle Wheel Roller, Holds Up to 500 lbs.</t>
        </is>
      </c>
      <c r="E237" s="2">
        <f>HYPERLINK("https://www.amazon.com/Chirp-Roller-Relief-Therapy-Massage/dp/B09M5Z9T6L/ref=sr_1_5?keywords=Corrector+Wheel&amp;qid=1695565580&amp;sr=8-5", "https://www.amazon.com/Chirp-Roller-Relief-Therapy-Massage/dp/B09M5Z9T6L/ref=sr_1_5?keywords=Corrector+Wheel&amp;qid=1695565580&amp;sr=8-5")</f>
        <v/>
      </c>
      <c r="F237" t="inlineStr">
        <is>
          <t>B09M5Z9T6L</t>
        </is>
      </c>
      <c r="G237">
        <f>_xlfn.IMAGE("https://camerareadycosmetics.com/cdn/shop/products/CTRW1__48352.1465233882.600.600_50x.jpeg?v=1689660131")</f>
        <v/>
      </c>
      <c r="H237">
        <f>_xlfn.IMAGE("https://m.media-amazon.com/images/I/615C5tKVIoL._AC_UL320_.jpg")</f>
        <v/>
      </c>
      <c r="K237" t="inlineStr">
        <is>
          <t>18.0</t>
        </is>
      </c>
      <c r="L237" t="n">
        <v>129.99</v>
      </c>
      <c r="M237" s="1" t="inlineStr">
        <is>
          <t>622.17%</t>
        </is>
      </c>
      <c r="N237" t="n">
        <v>4.5</v>
      </c>
      <c r="O237" t="n">
        <v>192</v>
      </c>
      <c r="Q237" t="inlineStr">
        <is>
          <t>InStock</t>
        </is>
      </c>
      <c r="R237" t="inlineStr">
        <is>
          <t>undefined</t>
        </is>
      </c>
      <c r="S237" t="inlineStr">
        <is>
          <t>7051220103</t>
        </is>
      </c>
    </row>
    <row r="238" ht="75" customHeight="1">
      <c r="A238" s="2">
        <f>HYPERLINK("https://camerareadycosmetics.com/products/ben-nye-corrector-wheel-ctrw-1", "https://camerareadycosmetics.com/products/ben-nye-corrector-wheel-ctrw-1")</f>
        <v/>
      </c>
      <c r="B238" s="2">
        <f>HYPERLINK("https://camerareadycosmetics.com/products/ben-nye-corrector-wheel-ctrw-1", "https://camerareadycosmetics.com/products/ben-nye-corrector-wheel-ctrw-1")</f>
        <v/>
      </c>
      <c r="C238" t="inlineStr">
        <is>
          <t>Corrector Wheel</t>
        </is>
      </c>
      <c r="D238" t="inlineStr">
        <is>
          <t>Graftobian Corrector Wheel Dark Skin Tones, 1 Ounce</t>
        </is>
      </c>
      <c r="E238" s="2">
        <f>HYPERLINK("https://www.amazon.com/Dark-Tattoo-Cover-Makeup-Wheel/dp/B0054TL94S/ref=sr_1_6?keywords=Corrector+Wheel&amp;qid=1695565580&amp;sr=8-6", "https://www.amazon.com/Dark-Tattoo-Cover-Makeup-Wheel/dp/B0054TL94S/ref=sr_1_6?keywords=Corrector+Wheel&amp;qid=1695565580&amp;sr=8-6")</f>
        <v/>
      </c>
      <c r="F238" t="inlineStr">
        <is>
          <t>B0054TL94S</t>
        </is>
      </c>
      <c r="G238">
        <f>_xlfn.IMAGE("https://camerareadycosmetics.com/cdn/shop/products/CTRW1__48352.1465233882.600.600_50x.jpeg?v=1689660131")</f>
        <v/>
      </c>
      <c r="H238">
        <f>_xlfn.IMAGE("https://m.media-amazon.com/images/I/71FnsSCoHWL._AC_UL320_.jpg")</f>
        <v/>
      </c>
      <c r="K238" t="inlineStr">
        <is>
          <t>18.0</t>
        </is>
      </c>
      <c r="L238" t="n">
        <v>27</v>
      </c>
      <c r="M238" s="1" t="inlineStr">
        <is>
          <t>50.00%</t>
        </is>
      </c>
      <c r="N238" t="n">
        <v>4.3</v>
      </c>
      <c r="O238" t="n">
        <v>21</v>
      </c>
      <c r="Q238" t="inlineStr">
        <is>
          <t>InStock</t>
        </is>
      </c>
      <c r="R238" t="inlineStr">
        <is>
          <t>undefined</t>
        </is>
      </c>
      <c r="S238" t="inlineStr">
        <is>
          <t>7051220103</t>
        </is>
      </c>
    </row>
    <row r="239" ht="75" customHeight="1">
      <c r="A239" s="2">
        <f>HYPERLINK("https://camerareadycosmetics.com/products/ben-nye-corrector-wheel-ctrw-1", "https://camerareadycosmetics.com/products/ben-nye-corrector-wheel-ctrw-1")</f>
        <v/>
      </c>
      <c r="B239" s="2">
        <f>HYPERLINK("https://camerareadycosmetics.com/products/ben-nye-corrector-wheel-ctrw-1", "https://camerareadycosmetics.com/products/ben-nye-corrector-wheel-ctrw-1")</f>
        <v/>
      </c>
      <c r="C239" t="inlineStr">
        <is>
          <t>Corrector Wheel</t>
        </is>
      </c>
      <c r="D239" t="inlineStr">
        <is>
          <t>Viebeauti Purple Toothpaste for Teeth Whitening, Purple Colour Corrector, Teeth Whitening Toothpaste, Color Wheel Toothpaste, Dental Color Corrector, Teeth Whitener (1fl oz/30 ml)</t>
        </is>
      </c>
      <c r="E239" s="2">
        <f>HYPERLINK("https://www.amazon.com/Viebeauti-Toothpaste-Whitening-Corrector-Whitener/dp/B0BZ553WVX/ref=sr_1_3?keywords=Corrector+Wheel&amp;qid=1695565580&amp;sr=8-3", "https://www.amazon.com/Viebeauti-Toothpaste-Whitening-Corrector-Whitener/dp/B0BZ553WVX/ref=sr_1_3?keywords=Corrector+Wheel&amp;qid=1695565580&amp;sr=8-3")</f>
        <v/>
      </c>
      <c r="F239" t="inlineStr">
        <is>
          <t>B0BZ553WVX</t>
        </is>
      </c>
      <c r="G239">
        <f>_xlfn.IMAGE("https://camerareadycosmetics.com/cdn/shop/products/CTRW1__48352.1465233882.600.600_50x.jpeg?v=1689660131")</f>
        <v/>
      </c>
      <c r="H239">
        <f>_xlfn.IMAGE("https://m.media-amazon.com/images/I/71TevUiA8CL._AC_UL320_.jpg")</f>
        <v/>
      </c>
      <c r="K239" t="inlineStr">
        <is>
          <t>18.0</t>
        </is>
      </c>
      <c r="L239" t="n">
        <v>14.99</v>
      </c>
      <c r="M239" s="1" t="inlineStr">
        <is>
          <t>-16.72%</t>
        </is>
      </c>
      <c r="N239" t="n">
        <v>4.5</v>
      </c>
      <c r="O239" t="n">
        <v>329</v>
      </c>
      <c r="Q239" t="inlineStr">
        <is>
          <t>InStock</t>
        </is>
      </c>
      <c r="R239" t="inlineStr">
        <is>
          <t>undefined</t>
        </is>
      </c>
      <c r="S239" t="inlineStr">
        <is>
          <t>7051220103</t>
        </is>
      </c>
    </row>
    <row r="240" ht="75" customHeight="1">
      <c r="A240" s="2">
        <f>HYPERLINK("https://camerareadycosmetics.com/products/ben-nye-creme-eyeliner-pencil", "https://camerareadycosmetics.com/products/ben-nye-creme-eyeliner-pencil")</f>
        <v/>
      </c>
      <c r="B240" s="2">
        <f>HYPERLINK("https://camerareadycosmetics.com/products/ben-nye-creme-eyeliner-pencil", "https://camerareadycosmetics.com/products/ben-nye-creme-eyeliner-pencil")</f>
        <v/>
      </c>
      <c r="C240" t="inlineStr">
        <is>
          <t>Creme Eyeliner Pencil</t>
        </is>
      </c>
      <c r="D240" t="inlineStr">
        <is>
          <t>Colourpop ColourPop PEACH FUZZ Matte Eyeliner Retractable Pencil Creme Gel (Pastel Peach), 0.2g (0.007 Ounce)</t>
        </is>
      </c>
      <c r="E240" s="2">
        <f>HYPERLINK("https://www.amazon.com/Colourpop-ColourPop-Eyeliner-Retractable-Pencil/dp/B09KTKDT56/ref=sr_1_2?keywords=Creme+Eyeliner+Pencil&amp;qid=1695565471&amp;sr=8-2", "https://www.amazon.com/Colourpop-ColourPop-Eyeliner-Retractable-Pencil/dp/B09KTKDT56/ref=sr_1_2?keywords=Creme+Eyeliner+Pencil&amp;qid=1695565471&amp;sr=8-2")</f>
        <v/>
      </c>
      <c r="F240" t="inlineStr">
        <is>
          <t>B09KTKDT56</t>
        </is>
      </c>
      <c r="G240">
        <f>_xlfn.IMAGE("https://camerareadycosmetics.com/cdn/shop/products/pencil2_50x.jpg?v=1689629701")</f>
        <v/>
      </c>
      <c r="H240">
        <f>_xlfn.IMAGE("https://m.media-amazon.com/images/I/51l3JHqGkGL._AC_UL320_.jpg")</f>
        <v/>
      </c>
      <c r="K240" t="inlineStr">
        <is>
          <t>12.0</t>
        </is>
      </c>
      <c r="L240" t="n">
        <v>8.449999999999999</v>
      </c>
      <c r="M240" s="1" t="inlineStr">
        <is>
          <t>-29.58%</t>
        </is>
      </c>
      <c r="N240" t="n">
        <v>4.2</v>
      </c>
      <c r="O240" t="n">
        <v>155</v>
      </c>
      <c r="Q240" t="inlineStr">
        <is>
          <t>InStock</t>
        </is>
      </c>
      <c r="R240" t="inlineStr">
        <is>
          <t>undefined</t>
        </is>
      </c>
      <c r="S240" t="inlineStr">
        <is>
          <t>7035360775</t>
        </is>
      </c>
    </row>
    <row r="241" ht="75" customHeight="1">
      <c r="A241" s="2">
        <f>HYPERLINK("https://camerareadycosmetics.com/products/ben-nye-creme-foundation", "https://camerareadycosmetics.com/products/ben-nye-creme-foundation")</f>
        <v/>
      </c>
      <c r="B241" s="2">
        <f>HYPERLINK("https://camerareadycosmetics.com/products/ben-nye-creme-foundation", "https://camerareadycosmetics.com/products/ben-nye-creme-foundation")</f>
        <v/>
      </c>
      <c r="C241" t="inlineStr">
        <is>
          <t>Creme Foundation</t>
        </is>
      </c>
      <c r="D241" t="inlineStr">
        <is>
          <t>L’Oréal Paris Infallible Total Cover Foundation, Creme Cafe, 1 fl; oz.</t>
        </is>
      </c>
      <c r="E241" s="2">
        <f>HYPERLINK("https://www.amazon.com/LOr%C3%A9al-Paris-Infallible-Total-Foundation/dp/B01LXPFE67/ref=sr_1_8?keywords=Creme+Foundation&amp;qid=1695565421&amp;sr=8-8", "https://www.amazon.com/LOr%C3%A9al-Paris-Infallible-Total-Foundation/dp/B01LXPFE67/ref=sr_1_8?keywords=Creme+Foundation&amp;qid=1695565421&amp;sr=8-8")</f>
        <v/>
      </c>
      <c r="F241" t="inlineStr">
        <is>
          <t>B01LXPFE67</t>
        </is>
      </c>
      <c r="G241">
        <f>_xlfn.IMAGE("https://camerareadycosmetics.com/cdn/shop/products/3618_zoom_1406763169_50x.jpg?v=1689624117")</f>
        <v/>
      </c>
      <c r="H241">
        <f>_xlfn.IMAGE("https://m.media-amazon.com/images/I/71CcJjeNS9L._AC_UL320_.jpg")</f>
        <v/>
      </c>
      <c r="K241" t="inlineStr">
        <is>
          <t>12.0</t>
        </is>
      </c>
      <c r="L241" t="n">
        <v>6.4</v>
      </c>
      <c r="M241" s="1" t="inlineStr">
        <is>
          <t>-46.67%</t>
        </is>
      </c>
      <c r="N241" t="n">
        <v>4.6</v>
      </c>
      <c r="O241" t="n">
        <v>7057</v>
      </c>
      <c r="Q241" t="inlineStr">
        <is>
          <t>InStock</t>
        </is>
      </c>
      <c r="R241" t="inlineStr">
        <is>
          <t>undefined</t>
        </is>
      </c>
      <c r="S241" t="inlineStr">
        <is>
          <t>7034227463</t>
        </is>
      </c>
    </row>
    <row r="242" ht="75" customHeight="1">
      <c r="A242" s="2">
        <f>HYPERLINK("https://camerareadycosmetics.com/products/ben-nye-creme-highlight", "https://camerareadycosmetics.com/products/ben-nye-creme-highlight")</f>
        <v/>
      </c>
      <c r="B242" s="2">
        <f>HYPERLINK("https://camerareadycosmetics.com/products/ben-nye-creme-highlight", "https://camerareadycosmetics.com/products/ben-nye-creme-highlight")</f>
        <v/>
      </c>
      <c r="C242" t="inlineStr">
        <is>
          <t>Creme Highlights</t>
        </is>
      </c>
      <c r="D242" t="inlineStr">
        <is>
          <t>Scruples Illusionist Brilliant Creme Highlights, Pbx 6an Spiced Rum, 2.05 Ounce</t>
        </is>
      </c>
      <c r="E242" s="2">
        <f>HYPERLINK("https://www.amazon.com/Scruples-Illusionist-Brilliant-Highlights-Spiced/dp/B008L0ODWC/ref=sr_1_5?keywords=Creme+Highlights&amp;qid=1695565456&amp;sr=8-5", "https://www.amazon.com/Scruples-Illusionist-Brilliant-Highlights-Spiced/dp/B008L0ODWC/ref=sr_1_5?keywords=Creme+Highlights&amp;qid=1695565456&amp;sr=8-5")</f>
        <v/>
      </c>
      <c r="F242" t="inlineStr">
        <is>
          <t>B008L0ODWC</t>
        </is>
      </c>
      <c r="G242">
        <f>_xlfn.IMAGE("https://camerareadycosmetics.com/cdn/shop/products/4589_zoom_1427921814_50x.jpg?v=1689630189")</f>
        <v/>
      </c>
      <c r="H242">
        <f>_xlfn.IMAGE("https://m.media-amazon.com/images/I/31zI41bRHSL._AC_UL320_.jpg")</f>
        <v/>
      </c>
      <c r="K242" t="inlineStr">
        <is>
          <t>8.0</t>
        </is>
      </c>
      <c r="L242" t="n">
        <v>9.81</v>
      </c>
      <c r="M242" s="1" t="inlineStr">
        <is>
          <t>22.63%</t>
        </is>
      </c>
      <c r="N242" t="n">
        <v>4.5</v>
      </c>
      <c r="O242" t="n">
        <v>29</v>
      </c>
      <c r="Q242" t="inlineStr">
        <is>
          <t>InStock</t>
        </is>
      </c>
      <c r="R242" t="inlineStr">
        <is>
          <t>undefined</t>
        </is>
      </c>
      <c r="S242" t="inlineStr">
        <is>
          <t>7035567047</t>
        </is>
      </c>
    </row>
    <row r="243" ht="75" customHeight="1">
      <c r="A243" s="2">
        <f>HYPERLINK("https://camerareadycosmetics.com/products/ben-nye-creme-highlight", "https://camerareadycosmetics.com/products/ben-nye-creme-highlight")</f>
        <v/>
      </c>
      <c r="B243" s="2">
        <f>HYPERLINK("https://camerareadycosmetics.com/products/ben-nye-creme-highlight", "https://camerareadycosmetics.com/products/ben-nye-creme-highlight")</f>
        <v/>
      </c>
      <c r="C243" t="inlineStr">
        <is>
          <t>Creme Highlights</t>
        </is>
      </c>
      <c r="D243" t="inlineStr">
        <is>
          <t>L'Oreal Paris Le Petite Frost Pull-Through Cap Highlights For Short Hair, H55 Creme Caramel</t>
        </is>
      </c>
      <c r="E243" s="2">
        <f>HYPERLINK("https://www.amazon.com/LOr%C3%A9al-Paris-Highlights-Shorter-Caramel/dp/B001TVF86U/ref=sr_1_1?keywords=Creme+Highlights&amp;qid=1695565456&amp;sr=8-1", "https://www.amazon.com/LOr%C3%A9al-Paris-Highlights-Shorter-Caramel/dp/B001TVF86U/ref=sr_1_1?keywords=Creme+Highlights&amp;qid=1695565456&amp;sr=8-1")</f>
        <v/>
      </c>
      <c r="F243" t="inlineStr">
        <is>
          <t>B001TVF86U</t>
        </is>
      </c>
      <c r="G243">
        <f>_xlfn.IMAGE("https://camerareadycosmetics.com/cdn/shop/products/4589_zoom_1427921814_50x.jpg?v=1689630189")</f>
        <v/>
      </c>
      <c r="H243">
        <f>_xlfn.IMAGE("https://m.media-amazon.com/images/I/91caxbZYjlL._AC_UL320_.jpg")</f>
        <v/>
      </c>
      <c r="K243" t="inlineStr">
        <is>
          <t>8.0</t>
        </is>
      </c>
      <c r="L243" t="n">
        <v>6.69</v>
      </c>
      <c r="M243" s="1" t="inlineStr">
        <is>
          <t>-16.37%</t>
        </is>
      </c>
      <c r="N243" t="n">
        <v>4.6</v>
      </c>
      <c r="O243" t="n">
        <v>3572</v>
      </c>
      <c r="Q243" t="inlineStr">
        <is>
          <t>InStock</t>
        </is>
      </c>
      <c r="R243" t="inlineStr">
        <is>
          <t>undefined</t>
        </is>
      </c>
      <c r="S243" t="inlineStr">
        <is>
          <t>7035567047</t>
        </is>
      </c>
    </row>
    <row r="244" ht="75" customHeight="1">
      <c r="A244" s="2">
        <f>HYPERLINK("https://camerareadycosmetics.com/products/ben-nye-creme-stick-foundation", "https://camerareadycosmetics.com/products/ben-nye-creme-stick-foundation")</f>
        <v/>
      </c>
      <c r="B244" s="2">
        <f>HYPERLINK("https://camerareadycosmetics.com/products/ben-nye-creme-stick-foundation", "https://camerareadycosmetics.com/products/ben-nye-creme-stick-foundation")</f>
        <v/>
      </c>
      <c r="C244" t="inlineStr">
        <is>
          <t>Creme Stick Foundation</t>
        </is>
      </c>
      <c r="D244" t="inlineStr">
        <is>
          <t>Foundation Stick Broad Spectrum SPF 15 - Creme Foundation Full Coverage Makeup Base - Goes On Creamy And Transforms to A Matte Powder Finish -Great For All Skin Types (Natural Beige)</t>
        </is>
      </c>
      <c r="E244" s="2">
        <f>HYPERLINK("https://www.amazon.com/Foundation-Stick-Broad-Spectrum-SPF/dp/B010E88WBG/ref=sr_1_6?keywords=Creme+Stick+Foundation&amp;qid=1695565478&amp;sr=8-6", "https://www.amazon.com/Foundation-Stick-Broad-Spectrum-SPF/dp/B010E88WBG/ref=sr_1_6?keywords=Creme+Stick+Foundation&amp;qid=1695565478&amp;sr=8-6")</f>
        <v/>
      </c>
      <c r="F244" t="inlineStr">
        <is>
          <t>B010E88WBG</t>
        </is>
      </c>
      <c r="G244">
        <f>_xlfn.IMAGE("https://camerareadycosmetics.com/cdn/shop/products/SFB-11-Ivory-Creme-Stick-0529-600x600_50x.jpg?v=1662747279")</f>
        <v/>
      </c>
      <c r="H244">
        <f>_xlfn.IMAGE("https://m.media-amazon.com/images/I/11qzX4kkSUL._AC_UL320_.jpg")</f>
        <v/>
      </c>
      <c r="K244" t="inlineStr">
        <is>
          <t>16.0</t>
        </is>
      </c>
      <c r="L244" t="n">
        <v>17.95</v>
      </c>
      <c r="M244" s="1" t="inlineStr">
        <is>
          <t>12.19%</t>
        </is>
      </c>
      <c r="N244" t="n">
        <v>4.2</v>
      </c>
      <c r="O244" t="n">
        <v>18</v>
      </c>
      <c r="Q244" t="inlineStr">
        <is>
          <t>InStock</t>
        </is>
      </c>
      <c r="R244" t="inlineStr">
        <is>
          <t>undefined</t>
        </is>
      </c>
      <c r="S244" t="inlineStr">
        <is>
          <t>4543306236015</t>
        </is>
      </c>
    </row>
    <row r="245" ht="75" customHeight="1">
      <c r="A245" s="2">
        <f>HYPERLINK("https://camerareadycosmetics.com/products/ben-nye-eyebrow-pencil", "https://camerareadycosmetics.com/products/ben-nye-eyebrow-pencil")</f>
        <v/>
      </c>
      <c r="B245" s="2">
        <f>HYPERLINK("https://camerareadycosmetics.com/products/ben-nye-eyebrow-pencil", "https://camerareadycosmetics.com/products/ben-nye-eyebrow-pencil")</f>
        <v/>
      </c>
      <c r="C245" t="inlineStr">
        <is>
          <t>Eyebrow Pencil</t>
        </is>
      </c>
      <c r="D245" t="inlineStr">
        <is>
          <t>Maybelline Total Temptation Eyebrow Definer Pencil, Blonde, 2 Count</t>
        </is>
      </c>
      <c r="E245" s="2">
        <f>HYPERLINK("https://www.amazon.com/Maybelline-New-York-Temptation-Eyebrow/dp/B07M5SHNT4/ref=sr_1_1?keywords=Eyebrow+Pencil&amp;qid=1695565429&amp;sr=8-1", "https://www.amazon.com/Maybelline-New-York-Temptation-Eyebrow/dp/B07M5SHNT4/ref=sr_1_1?keywords=Eyebrow+Pencil&amp;qid=1695565429&amp;sr=8-1")</f>
        <v/>
      </c>
      <c r="F245" t="inlineStr">
        <is>
          <t>B07M5SHNT4</t>
        </is>
      </c>
      <c r="G245">
        <f>_xlfn.IMAGE("https://camerareadycosmetics.com/cdn/shop/products/eyes_50x.jpg?v=1689634713")</f>
        <v/>
      </c>
      <c r="H245">
        <f>_xlfn.IMAGE("https://m.media-amazon.com/images/I/51kdLtM9axL._AC_UL320_.jpg")</f>
        <v/>
      </c>
      <c r="K245" t="inlineStr">
        <is>
          <t>8.0</t>
        </is>
      </c>
      <c r="L245" t="n">
        <v>24.94</v>
      </c>
      <c r="M245" s="1" t="inlineStr">
        <is>
          <t>211.75%</t>
        </is>
      </c>
      <c r="N245" t="n">
        <v>4.5</v>
      </c>
      <c r="O245" t="n">
        <v>111826</v>
      </c>
      <c r="Q245" t="inlineStr">
        <is>
          <t>InStock</t>
        </is>
      </c>
      <c r="R245" t="inlineStr">
        <is>
          <t>undefined</t>
        </is>
      </c>
      <c r="S245" t="inlineStr">
        <is>
          <t>7037206407</t>
        </is>
      </c>
    </row>
    <row r="246" ht="75" customHeight="1">
      <c r="A246" s="2">
        <f>HYPERLINK("https://camerareadycosmetics.com/products/ben-nye-eyebrow-pencil", "https://camerareadycosmetics.com/products/ben-nye-eyebrow-pencil")</f>
        <v/>
      </c>
      <c r="B246" s="2">
        <f>HYPERLINK("https://camerareadycosmetics.com/products/ben-nye-eyebrow-pencil", "https://camerareadycosmetics.com/products/ben-nye-eyebrow-pencil")</f>
        <v/>
      </c>
      <c r="C246" t="inlineStr">
        <is>
          <t>Eyebrow Pencil</t>
        </is>
      </c>
      <c r="D246" t="inlineStr">
        <is>
          <t>NYX PROFESSIONAL MAKEUP Micro Brow Pencil, Eyebrow Pencil, Espresso, 1 Count</t>
        </is>
      </c>
      <c r="E246" s="2">
        <f>HYPERLINK("https://www.amazon.com/NYX-PROFESSIONAL-MAKEUP-Eyebrow-Espresso/dp/B00WZQTCS8/ref=sr_1_2?keywords=Eyebrow+Pencil&amp;qid=1695565429&amp;sr=8-2", "https://www.amazon.com/NYX-PROFESSIONAL-MAKEUP-Eyebrow-Espresso/dp/B00WZQTCS8/ref=sr_1_2?keywords=Eyebrow+Pencil&amp;qid=1695565429&amp;sr=8-2")</f>
        <v/>
      </c>
      <c r="F246" t="inlineStr">
        <is>
          <t>B00WZQTCS8</t>
        </is>
      </c>
      <c r="G246">
        <f>_xlfn.IMAGE("https://camerareadycosmetics.com/cdn/shop/products/eyes_50x.jpg?v=1689634713")</f>
        <v/>
      </c>
      <c r="H246">
        <f>_xlfn.IMAGE("https://m.media-amazon.com/images/I/51Qz+Qy9ciL._AC_UL320_.jpg")</f>
        <v/>
      </c>
      <c r="K246" t="inlineStr">
        <is>
          <t>8.0</t>
        </is>
      </c>
      <c r="L246" t="n">
        <v>8.9</v>
      </c>
      <c r="M246" s="1" t="inlineStr">
        <is>
          <t>11.25%</t>
        </is>
      </c>
      <c r="N246" t="n">
        <v>4.5</v>
      </c>
      <c r="O246" t="n">
        <v>55903</v>
      </c>
      <c r="Q246" t="inlineStr">
        <is>
          <t>InStock</t>
        </is>
      </c>
      <c r="R246" t="inlineStr">
        <is>
          <t>undefined</t>
        </is>
      </c>
      <c r="S246" t="inlineStr">
        <is>
          <t>7037206407</t>
        </is>
      </c>
    </row>
    <row r="247" ht="75" customHeight="1">
      <c r="A247" s="2">
        <f>HYPERLINK("https://camerareadycosmetics.com/products/ben-nye-eyebrow-pencil", "https://camerareadycosmetics.com/products/ben-nye-eyebrow-pencil")</f>
        <v/>
      </c>
      <c r="B247" s="2">
        <f>HYPERLINK("https://camerareadycosmetics.com/products/ben-nye-eyebrow-pencil", "https://camerareadycosmetics.com/products/ben-nye-eyebrow-pencil")</f>
        <v/>
      </c>
      <c r="C247" t="inlineStr">
        <is>
          <t>Eyebrow Pencil</t>
        </is>
      </c>
      <c r="D247" t="inlineStr">
        <is>
          <t>Maybelline Brow Ultra Slim Defining Eyebrow Makeup Mechanical Pencil With 1.55 MM Tip And Blending Spoolie For Precisely Defined Eyebrows, Light Blonde, 0.003 oz.</t>
        </is>
      </c>
      <c r="E247" s="2">
        <f>HYPERLINK("https://www.amazon.com/Maybelline-New-York-defining-eyebrow/dp/B07PJZ64GN/ref=sr_1_7?keywords=Eyebrow+Pencil&amp;qid=1695565429&amp;sr=8-7", "https://www.amazon.com/Maybelline-New-York-defining-eyebrow/dp/B07PJZ64GN/ref=sr_1_7?keywords=Eyebrow+Pencil&amp;qid=1695565429&amp;sr=8-7")</f>
        <v/>
      </c>
      <c r="F247" t="inlineStr">
        <is>
          <t>B07PJZ64GN</t>
        </is>
      </c>
      <c r="G247">
        <f>_xlfn.IMAGE("https://camerareadycosmetics.com/cdn/shop/products/eyes_50x.jpg?v=1689634713")</f>
        <v/>
      </c>
      <c r="H247">
        <f>_xlfn.IMAGE("https://m.media-amazon.com/images/I/61xMxja6rBL._AC_UL320_.jpg")</f>
        <v/>
      </c>
      <c r="K247" t="inlineStr">
        <is>
          <t>8.0</t>
        </is>
      </c>
      <c r="L247" t="n">
        <v>4.85</v>
      </c>
      <c r="M247" s="1" t="inlineStr">
        <is>
          <t>-39.38%</t>
        </is>
      </c>
      <c r="N247" t="n">
        <v>4.6</v>
      </c>
      <c r="O247" t="n">
        <v>17446</v>
      </c>
      <c r="Q247" t="inlineStr">
        <is>
          <t>InStock</t>
        </is>
      </c>
      <c r="R247" t="inlineStr">
        <is>
          <t>undefined</t>
        </is>
      </c>
      <c r="S247" t="inlineStr">
        <is>
          <t>7037206407</t>
        </is>
      </c>
    </row>
    <row r="248" ht="75" customHeight="1">
      <c r="A248" s="2">
        <f>HYPERLINK("https://camerareadycosmetics.com/products/ben-nye-eyebrow-pencil", "https://camerareadycosmetics.com/products/ben-nye-eyebrow-pencil")</f>
        <v/>
      </c>
      <c r="B248" s="2">
        <f>HYPERLINK("https://camerareadycosmetics.com/products/ben-nye-eyebrow-pencil", "https://camerareadycosmetics.com/products/ben-nye-eyebrow-pencil")</f>
        <v/>
      </c>
      <c r="C248" t="inlineStr">
        <is>
          <t>Eyebrow Pencil</t>
        </is>
      </c>
      <c r="D248" t="inlineStr">
        <is>
          <t>ETUDE Drawing Eye Brow #2 Gray Brown 21AD | Long-Lasting Eyebrow Pencil for Soft Textured Natural Daily Look Eyebrow Makeup | K-beauty</t>
        </is>
      </c>
      <c r="E248" s="2">
        <f>HYPERLINK("https://www.amazon.com/Drawing-Lasting-Eyebrow-Textured-Natural/dp/B097DC59G7/ref=sr_1_10?keywords=Eyebrow+Pencil&amp;qid=1695565429&amp;sr=8-10", "https://www.amazon.com/Drawing-Lasting-Eyebrow-Textured-Natural/dp/B097DC59G7/ref=sr_1_10?keywords=Eyebrow+Pencil&amp;qid=1695565429&amp;sr=8-10")</f>
        <v/>
      </c>
      <c r="F248" t="inlineStr">
        <is>
          <t>B097DC59G7</t>
        </is>
      </c>
      <c r="G248">
        <f>_xlfn.IMAGE("https://camerareadycosmetics.com/cdn/shop/products/eyes_50x.jpg?v=1689634713")</f>
        <v/>
      </c>
      <c r="H248">
        <f>_xlfn.IMAGE("https://m.media-amazon.com/images/I/51cfRyu7u-L._AC_UL320_.jpg")</f>
        <v/>
      </c>
      <c r="K248" t="inlineStr">
        <is>
          <t>8.0</t>
        </is>
      </c>
      <c r="L248" t="n">
        <v>4.5</v>
      </c>
      <c r="M248" s="1" t="inlineStr">
        <is>
          <t>-43.75%</t>
        </is>
      </c>
      <c r="N248" t="n">
        <v>4.4</v>
      </c>
      <c r="O248" t="n">
        <v>14143</v>
      </c>
      <c r="Q248" t="inlineStr">
        <is>
          <t>InStock</t>
        </is>
      </c>
      <c r="R248" t="inlineStr">
        <is>
          <t>undefined</t>
        </is>
      </c>
      <c r="S248" t="inlineStr">
        <is>
          <t>7037206407</t>
        </is>
      </c>
    </row>
    <row r="249" ht="75" customHeight="1">
      <c r="A249" s="2">
        <f>HYPERLINK("https://camerareadycosmetics.com/products/ben-nye-eyebrow-pencil", "https://camerareadycosmetics.com/products/ben-nye-eyebrow-pencil")</f>
        <v/>
      </c>
      <c r="B249" s="2">
        <f>HYPERLINK("https://camerareadycosmetics.com/products/ben-nye-eyebrow-pencil", "https://camerareadycosmetics.com/products/ben-nye-eyebrow-pencil")</f>
        <v/>
      </c>
      <c r="C249" t="inlineStr">
        <is>
          <t>Eyebrow Pencil</t>
        </is>
      </c>
      <c r="D249" t="inlineStr">
        <is>
          <t>COVERGIRL Easy Breezy Brow Fill + Define Pencils, 2-count, Rich Brown Eye Pencil, Brown Eyebrow Pencil, Blendable Pencil Fill and Defined Brows, Sharpener Included</t>
        </is>
      </c>
      <c r="E249" s="2">
        <f>HYPERLINK("https://www.amazon.com/COVERGIRL-Breezy-Define-Pencils-Packaging/dp/B001ESKLZQ/ref=sr_1_9?keywords=Eyebrow+Pencil&amp;qid=1695565429&amp;sr=8-9", "https://www.amazon.com/COVERGIRL-Breezy-Define-Pencils-Packaging/dp/B001ESKLZQ/ref=sr_1_9?keywords=Eyebrow+Pencil&amp;qid=1695565429&amp;sr=8-9")</f>
        <v/>
      </c>
      <c r="F249" t="inlineStr">
        <is>
          <t>B001ESKLZQ</t>
        </is>
      </c>
      <c r="G249">
        <f>_xlfn.IMAGE("https://camerareadycosmetics.com/cdn/shop/products/eyes_50x.jpg?v=1689634713")</f>
        <v/>
      </c>
      <c r="H249">
        <f>_xlfn.IMAGE("https://m.media-amazon.com/images/I/616kg0s-H+S._AC_UL320_.jpg")</f>
        <v/>
      </c>
      <c r="K249" t="inlineStr">
        <is>
          <t>8.0</t>
        </is>
      </c>
      <c r="L249" t="n">
        <v>4.47</v>
      </c>
      <c r="M249" s="1" t="inlineStr">
        <is>
          <t>-44.12%</t>
        </is>
      </c>
      <c r="N249" t="n">
        <v>4.1</v>
      </c>
      <c r="O249" t="n">
        <v>9440</v>
      </c>
      <c r="Q249" t="inlineStr">
        <is>
          <t>InStock</t>
        </is>
      </c>
      <c r="R249" t="inlineStr">
        <is>
          <t>undefined</t>
        </is>
      </c>
      <c r="S249" t="inlineStr">
        <is>
          <t>7037206407</t>
        </is>
      </c>
    </row>
    <row r="250" ht="75" customHeight="1">
      <c r="A250" s="2">
        <f>HYPERLINK("https://camerareadycosmetics.com/products/ben-nye-eyebrow-pencil", "https://camerareadycosmetics.com/products/ben-nye-eyebrow-pencil")</f>
        <v/>
      </c>
      <c r="B250" s="2">
        <f>HYPERLINK("https://camerareadycosmetics.com/products/ben-nye-eyebrow-pencil", "https://camerareadycosmetics.com/products/ben-nye-eyebrow-pencil")</f>
        <v/>
      </c>
      <c r="C250" t="inlineStr">
        <is>
          <t>Eyebrow Pencil</t>
        </is>
      </c>
      <c r="D250" t="inlineStr">
        <is>
          <t>Wet n Wild Ultimate Brow Micro Eyebrow Retractable Pencil, Ash Brow, Ultra Fine 1.5mm Tip, Draws Tiny Brow Hairs</t>
        </is>
      </c>
      <c r="E250" s="2">
        <f>HYPERLINK("https://www.amazon.com/Wet-Wild-Ultimate-Eyebrow-Pencil/dp/B07QD2Y8W4/ref=sr_1_5?keywords=Eyebrow+Pencil&amp;qid=1695565429&amp;rdc=1&amp;sr=8-5", "https://www.amazon.com/Wet-Wild-Ultimate-Eyebrow-Pencil/dp/B07QD2Y8W4/ref=sr_1_5?keywords=Eyebrow+Pencil&amp;qid=1695565429&amp;rdc=1&amp;sr=8-5")</f>
        <v/>
      </c>
      <c r="F250" t="inlineStr">
        <is>
          <t>B07QD2Y8W4</t>
        </is>
      </c>
      <c r="G250">
        <f>_xlfn.IMAGE("https://camerareadycosmetics.com/cdn/shop/products/eyes_50x.jpg?v=1689634713")</f>
        <v/>
      </c>
      <c r="H250">
        <f>_xlfn.IMAGE("https://m.media-amazon.com/images/I/61d8077HRIL._AC_UL320_.jpg")</f>
        <v/>
      </c>
      <c r="K250" t="inlineStr">
        <is>
          <t>8.0</t>
        </is>
      </c>
      <c r="L250" t="n">
        <v>3.29</v>
      </c>
      <c r="M250" s="1" t="inlineStr">
        <is>
          <t>-58.88%</t>
        </is>
      </c>
      <c r="N250" t="n">
        <v>4.4</v>
      </c>
      <c r="O250" t="n">
        <v>3796</v>
      </c>
      <c r="Q250" t="inlineStr">
        <is>
          <t>InStock</t>
        </is>
      </c>
      <c r="R250" t="inlineStr">
        <is>
          <t>undefined</t>
        </is>
      </c>
      <c r="S250" t="inlineStr">
        <is>
          <t>7037206407</t>
        </is>
      </c>
    </row>
    <row r="251" ht="75" customHeight="1">
      <c r="A251" s="2">
        <f>HYPERLINK("https://camerareadycosmetics.com/products/ben-nye-eyebrow-pencil", "https://camerareadycosmetics.com/products/ben-nye-eyebrow-pencil")</f>
        <v/>
      </c>
      <c r="B251" s="2">
        <f>HYPERLINK("https://camerareadycosmetics.com/products/ben-nye-eyebrow-pencil", "https://camerareadycosmetics.com/products/ben-nye-eyebrow-pencil")</f>
        <v/>
      </c>
      <c r="C251" t="inlineStr">
        <is>
          <t>Eyebrow Pencil</t>
        </is>
      </c>
      <c r="D251" t="inlineStr">
        <is>
          <t>Wet n Wild Ultimate Eyebrow Retractable Definer Pencil, Medium Brown, Dual-Sided Brow Brush, Fine Tip, Shapes, Defines, Fills Brow Makeup</t>
        </is>
      </c>
      <c r="E251" s="2">
        <f>HYPERLINK("https://www.amazon.com/wet-wild-Ultimate-Brow-Retractable/dp/B078KB7L4G/ref=sr_1_3?keywords=Eyebrow+Pencil&amp;qid=1695565429&amp;sr=8-3", "https://www.amazon.com/wet-wild-Ultimate-Brow-Retractable/dp/B078KB7L4G/ref=sr_1_3?keywords=Eyebrow+Pencil&amp;qid=1695565429&amp;sr=8-3")</f>
        <v/>
      </c>
      <c r="F251" t="inlineStr">
        <is>
          <t>B078KB7L4G</t>
        </is>
      </c>
      <c r="G251">
        <f>_xlfn.IMAGE("https://camerareadycosmetics.com/cdn/shop/products/eyes_50x.jpg?v=1689634713")</f>
        <v/>
      </c>
      <c r="H251">
        <f>_xlfn.IMAGE("https://m.media-amazon.com/images/I/71Z6khL9EPL._AC_UL320_.jpg")</f>
        <v/>
      </c>
      <c r="K251" t="inlineStr">
        <is>
          <t>8.0</t>
        </is>
      </c>
      <c r="L251" t="n">
        <v>3.18</v>
      </c>
      <c r="M251" s="1" t="inlineStr">
        <is>
          <t>-60.25%</t>
        </is>
      </c>
      <c r="N251" t="n">
        <v>4.5</v>
      </c>
      <c r="O251" t="n">
        <v>11833</v>
      </c>
      <c r="Q251" t="inlineStr">
        <is>
          <t>InStock</t>
        </is>
      </c>
      <c r="R251" t="inlineStr">
        <is>
          <t>undefined</t>
        </is>
      </c>
      <c r="S251" t="inlineStr">
        <is>
          <t>7037206407</t>
        </is>
      </c>
    </row>
    <row r="252" ht="75" customHeight="1">
      <c r="A252" s="2">
        <f>HYPERLINK("https://camerareadycosmetics.com/products/ben-nye-eyebrow-pencil", "https://camerareadycosmetics.com/products/ben-nye-eyebrow-pencil")</f>
        <v/>
      </c>
      <c r="B252" s="2">
        <f>HYPERLINK("https://camerareadycosmetics.com/products/ben-nye-eyebrow-pencil", "https://camerareadycosmetics.com/products/ben-nye-eyebrow-pencil")</f>
        <v/>
      </c>
      <c r="C252" t="inlineStr">
        <is>
          <t>Eyebrow Pencil</t>
        </is>
      </c>
      <c r="D252" t="inlineStr">
        <is>
          <t>Wet n Wild Ultimate Brow Micro Eyebrow Retractable Pencil, Ash Brow, Ultra Fine 1.5mm Tip, Draws Tiny Brow Hairs</t>
        </is>
      </c>
      <c r="E252" s="2">
        <f>HYPERLINK("https://www.amazon.com/Wet-Wild-Ultimate-Eyebrow-Pencil/dp/B07QD2Y8W4/ref=sr_1_5?keywords=Eyebrow+Pencil&amp;qid=1695565429&amp;rdc=1&amp;sr=8-5", "https://www.amazon.com/Wet-Wild-Ultimate-Eyebrow-Pencil/dp/B07QD2Y8W4/ref=sr_1_5?keywords=Eyebrow+Pencil&amp;qid=1695565429&amp;rdc=1&amp;sr=8-5")</f>
        <v/>
      </c>
      <c r="F252" t="inlineStr">
        <is>
          <t>B07QD2Y8W4</t>
        </is>
      </c>
      <c r="G252">
        <f>_xlfn.IMAGE("https://camerareadycosmetics.com/cdn/shop/products/eyes_50x.jpg?v=1689634713")</f>
        <v/>
      </c>
      <c r="H252">
        <f>_xlfn.IMAGE("https://m.media-amazon.com/images/I/61d8077HRIL._AC_UL320_.jpg")</f>
        <v/>
      </c>
      <c r="K252" t="inlineStr">
        <is>
          <t>8.0</t>
        </is>
      </c>
      <c r="L252" t="n">
        <v>3.29</v>
      </c>
      <c r="M252" s="1" t="inlineStr">
        <is>
          <t>-58.88%</t>
        </is>
      </c>
      <c r="N252" t="n">
        <v>4.4</v>
      </c>
      <c r="O252" t="n">
        <v>3796</v>
      </c>
      <c r="Q252" t="inlineStr">
        <is>
          <t>InStock</t>
        </is>
      </c>
      <c r="R252" t="inlineStr">
        <is>
          <t>undefined</t>
        </is>
      </c>
      <c r="S252" t="inlineStr">
        <is>
          <t>7037206407</t>
        </is>
      </c>
    </row>
    <row r="253" ht="75" customHeight="1">
      <c r="A253" s="2">
        <f>HYPERLINK("https://camerareadycosmetics.com/products/ben-nye-eyebrow-pencil", "https://camerareadycosmetics.com/products/ben-nye-eyebrow-pencil")</f>
        <v/>
      </c>
      <c r="B253" s="2">
        <f>HYPERLINK("https://camerareadycosmetics.com/products/ben-nye-eyebrow-pencil", "https://camerareadycosmetics.com/products/ben-nye-eyebrow-pencil")</f>
        <v/>
      </c>
      <c r="C253" t="inlineStr">
        <is>
          <t>Eyebrow Pencil</t>
        </is>
      </c>
      <c r="D253" t="inlineStr">
        <is>
          <t>Wet n Wild Ultimate Eyebrow Retractable Definer Pencil, Medium Brown, Dual-Sided Brow Brush, Fine Tip, Shapes, Defines, Fills Brow Makeup</t>
        </is>
      </c>
      <c r="E253" s="2">
        <f>HYPERLINK("https://www.amazon.com/wet-wild-Ultimate-Brow-Retractable/dp/B078KB7L4G/ref=sr_1_3?keywords=Eyebrow+Pencil&amp;qid=1695565429&amp;sr=8-3", "https://www.amazon.com/wet-wild-Ultimate-Brow-Retractable/dp/B078KB7L4G/ref=sr_1_3?keywords=Eyebrow+Pencil&amp;qid=1695565429&amp;sr=8-3")</f>
        <v/>
      </c>
      <c r="F253" t="inlineStr">
        <is>
          <t>B078KB7L4G</t>
        </is>
      </c>
      <c r="G253">
        <f>_xlfn.IMAGE("https://camerareadycosmetics.com/cdn/shop/products/eyes_50x.jpg?v=1689634713")</f>
        <v/>
      </c>
      <c r="H253">
        <f>_xlfn.IMAGE("https://m.media-amazon.com/images/I/71Z6khL9EPL._AC_UL320_.jpg")</f>
        <v/>
      </c>
      <c r="K253" t="inlineStr">
        <is>
          <t>8.0</t>
        </is>
      </c>
      <c r="L253" t="n">
        <v>3.18</v>
      </c>
      <c r="M253" s="1" t="inlineStr">
        <is>
          <t>-60.25%</t>
        </is>
      </c>
      <c r="N253" t="n">
        <v>4.5</v>
      </c>
      <c r="O253" t="n">
        <v>11833</v>
      </c>
      <c r="Q253" t="inlineStr">
        <is>
          <t>InStock</t>
        </is>
      </c>
      <c r="R253" t="inlineStr">
        <is>
          <t>undefined</t>
        </is>
      </c>
      <c r="S253" t="inlineStr">
        <is>
          <t>7037206407</t>
        </is>
      </c>
    </row>
    <row r="254" ht="75" customHeight="1">
      <c r="A254" s="2">
        <f>HYPERLINK("https://camerareadycosmetics.com/products/ben-nye-eyeshadow-refill", "https://camerareadycosmetics.com/products/ben-nye-eyeshadow-refill")</f>
        <v/>
      </c>
      <c r="B254" s="2">
        <f>HYPERLINK("https://camerareadycosmetics.com/products/ben-nye-eyeshadow-refill", "https://camerareadycosmetics.com/products/ben-nye-eyeshadow-refill")</f>
        <v/>
      </c>
      <c r="C254" t="inlineStr">
        <is>
          <t>Eye Shadow Refill</t>
        </is>
      </c>
      <c r="D254" t="inlineStr">
        <is>
          <t>Trish McEvoy Glaze Eye Shadow Refill</t>
        </is>
      </c>
      <c r="E254" s="2">
        <f>HYPERLINK("https://www.amazon.com/Trish-McEvoy-Glaze-Eye-Shadow/dp/B00134DTG4/ref=sr_1_1?keywords=Eye+Shadow+Refill&amp;qid=1695565420&amp;sr=8-1", "https://www.amazon.com/Trish-McEvoy-Glaze-Eye-Shadow/dp/B00134DTG4/ref=sr_1_1?keywords=Eye+Shadow+Refill&amp;qid=1695565420&amp;sr=8-1")</f>
        <v/>
      </c>
      <c r="F254" t="inlineStr">
        <is>
          <t>B00134DTG4</t>
        </is>
      </c>
      <c r="G254">
        <f>_xlfn.IMAGE("https://camerareadycosmetics.com/cdn/shop/products/107017016__36118.1429922819.600.600_50x.jpeg?v=1689628721")</f>
        <v/>
      </c>
      <c r="H254">
        <f>_xlfn.IMAGE("https://m.media-amazon.com/images/I/81qQxWB5cML._AC_UL320_.jpg")</f>
        <v/>
      </c>
      <c r="K254" t="inlineStr">
        <is>
          <t>9.0</t>
        </is>
      </c>
      <c r="L254" t="n">
        <v>20</v>
      </c>
      <c r="M254" s="1" t="inlineStr">
        <is>
          <t>122.22%</t>
        </is>
      </c>
      <c r="N254" t="n">
        <v>4.6</v>
      </c>
      <c r="O254" t="n">
        <v>121</v>
      </c>
      <c r="Q254" t="inlineStr">
        <is>
          <t>InStock</t>
        </is>
      </c>
      <c r="R254" t="inlineStr">
        <is>
          <t>undefined</t>
        </is>
      </c>
      <c r="S254" t="inlineStr">
        <is>
          <t>7035161735</t>
        </is>
      </c>
    </row>
    <row r="255" ht="75" customHeight="1">
      <c r="A255" s="2">
        <f>HYPERLINK("https://camerareadycosmetics.com/products/ben-nye-eyeshadow-refill", "https://camerareadycosmetics.com/products/ben-nye-eyeshadow-refill")</f>
        <v/>
      </c>
      <c r="B255" s="2">
        <f>HYPERLINK("https://camerareadycosmetics.com/products/ben-nye-eyeshadow-refill", "https://camerareadycosmetics.com/products/ben-nye-eyeshadow-refill")</f>
        <v/>
      </c>
      <c r="C255" t="inlineStr">
        <is>
          <t>Eye Shadow Refill</t>
        </is>
      </c>
      <c r="D255" t="inlineStr">
        <is>
          <t>MAC Eye Shadow Refill: Yogurt</t>
        </is>
      </c>
      <c r="E255" s="2">
        <f>HYPERLINK("https://www.amazon.com/MAC-Eye-Shadow-Refill-Yogurt/dp/B00395WN8U/ref=sr_1_5?keywords=Eye+Shadow+Refill&amp;qid=1695565420&amp;sr=8-5", "https://www.amazon.com/MAC-Eye-Shadow-Refill-Yogurt/dp/B00395WN8U/ref=sr_1_5?keywords=Eye+Shadow+Refill&amp;qid=1695565420&amp;sr=8-5")</f>
        <v/>
      </c>
      <c r="F255" t="inlineStr">
        <is>
          <t>B00395WN8U</t>
        </is>
      </c>
      <c r="G255">
        <f>_xlfn.IMAGE("https://camerareadycosmetics.com/cdn/shop/products/107017016__36118.1429922819.600.600_50x.jpeg?v=1689628721")</f>
        <v/>
      </c>
      <c r="H255">
        <f>_xlfn.IMAGE("https://m.media-amazon.com/images/I/4167aLoVZUL._AC_UL320_.jpg")</f>
        <v/>
      </c>
      <c r="K255" t="inlineStr">
        <is>
          <t>9.0</t>
        </is>
      </c>
      <c r="L255" t="n">
        <v>17.03</v>
      </c>
      <c r="M255" s="1" t="inlineStr">
        <is>
          <t>89.22%</t>
        </is>
      </c>
      <c r="N255" t="n">
        <v>4.8</v>
      </c>
      <c r="O255" t="n">
        <v>43</v>
      </c>
      <c r="Q255" t="inlineStr">
        <is>
          <t>InStock</t>
        </is>
      </c>
      <c r="R255" t="inlineStr">
        <is>
          <t>undefined</t>
        </is>
      </c>
      <c r="S255" t="inlineStr">
        <is>
          <t>7035161735</t>
        </is>
      </c>
    </row>
    <row r="256" ht="75" customHeight="1">
      <c r="A256" s="2">
        <f>HYPERLINK("https://camerareadycosmetics.com/products/ben-nye-eyeshadow-refill", "https://camerareadycosmetics.com/products/ben-nye-eyeshadow-refill")</f>
        <v/>
      </c>
      <c r="B256" s="2">
        <f>HYPERLINK("https://camerareadycosmetics.com/products/ben-nye-eyeshadow-refill", "https://camerareadycosmetics.com/products/ben-nye-eyeshadow-refill")</f>
        <v/>
      </c>
      <c r="C256" t="inlineStr">
        <is>
          <t>Eye Shadow Refill</t>
        </is>
      </c>
      <c r="D256" t="inlineStr">
        <is>
          <t>Mac Eyeshadow All That Glitters Refill Pan for Pro Palette</t>
        </is>
      </c>
      <c r="E256" s="2">
        <f>HYPERLINK("https://www.amazon.com/Eyeshadow-That-Glitters-Refill-Palette/dp/B004FV9VOG/ref=sr_1_2?keywords=Eye+Shadow+Refill&amp;qid=1695565420&amp;sr=8-2", "https://www.amazon.com/Eyeshadow-That-Glitters-Refill-Palette/dp/B004FV9VOG/ref=sr_1_2?keywords=Eye+Shadow+Refill&amp;qid=1695565420&amp;sr=8-2")</f>
        <v/>
      </c>
      <c r="F256" t="inlineStr">
        <is>
          <t>B004FV9VOG</t>
        </is>
      </c>
      <c r="G256">
        <f>_xlfn.IMAGE("https://camerareadycosmetics.com/cdn/shop/products/107017016__36118.1429922819.600.600_50x.jpeg?v=1689628721")</f>
        <v/>
      </c>
      <c r="H256">
        <f>_xlfn.IMAGE("https://m.media-amazon.com/images/I/51QB2Daw58L._AC_UL320_.jpg")</f>
        <v/>
      </c>
      <c r="K256" t="inlineStr">
        <is>
          <t>9.0</t>
        </is>
      </c>
      <c r="L256" t="n">
        <v>16.44</v>
      </c>
      <c r="M256" s="1" t="inlineStr">
        <is>
          <t>82.67%</t>
        </is>
      </c>
      <c r="N256" t="n">
        <v>4.6</v>
      </c>
      <c r="O256" t="n">
        <v>97</v>
      </c>
      <c r="Q256" t="inlineStr">
        <is>
          <t>InStock</t>
        </is>
      </c>
      <c r="R256" t="inlineStr">
        <is>
          <t>undefined</t>
        </is>
      </c>
      <c r="S256" t="inlineStr">
        <is>
          <t>7035161735</t>
        </is>
      </c>
    </row>
    <row r="257" ht="75" customHeight="1">
      <c r="A257" s="2">
        <f>HYPERLINK("https://camerareadycosmetics.com/products/ben-nye-eyeshadow-refill", "https://camerareadycosmetics.com/products/ben-nye-eyeshadow-refill")</f>
        <v/>
      </c>
      <c r="B257" s="2">
        <f>HYPERLINK("https://camerareadycosmetics.com/products/ben-nye-eyeshadow-refill", "https://camerareadycosmetics.com/products/ben-nye-eyeshadow-refill")</f>
        <v/>
      </c>
      <c r="C257" t="inlineStr">
        <is>
          <t>Eye Shadow Refill</t>
        </is>
      </c>
      <c r="D257" t="inlineStr">
        <is>
          <t>Honeybee Gardens Pressed Powder Matte Pink Eyeshadow Single REFILL (Ballet - matte soft pink) | PAN ONLY, NO COMPACT | Vegan, Gluten Free, Cruelty Free, 1.3g</t>
        </is>
      </c>
      <c r="E257" s="2">
        <f>HYPERLINK("https://www.amazon.com/Honeybee-Gardens-Pressed-Cruelty-Ingredients/dp/B07YM24JF8/ref=sr_1_6?keywords=Eye+Shadow+Refill&amp;qid=1695565420&amp;sr=8-6", "https://www.amazon.com/Honeybee-Gardens-Pressed-Cruelty-Ingredients/dp/B07YM24JF8/ref=sr_1_6?keywords=Eye+Shadow+Refill&amp;qid=1695565420&amp;sr=8-6")</f>
        <v/>
      </c>
      <c r="F257" t="inlineStr">
        <is>
          <t>B07YM24JF8</t>
        </is>
      </c>
      <c r="G257">
        <f>_xlfn.IMAGE("https://camerareadycosmetics.com/cdn/shop/products/107017016__36118.1429922819.600.600_50x.jpeg?v=1689628721")</f>
        <v/>
      </c>
      <c r="H257">
        <f>_xlfn.IMAGE("https://m.media-amazon.com/images/I/61EseXqk1rL._AC_UL320_.jpg")</f>
        <v/>
      </c>
      <c r="K257" t="inlineStr">
        <is>
          <t>9.0</t>
        </is>
      </c>
      <c r="L257" t="n">
        <v>9.99</v>
      </c>
      <c r="M257" s="1" t="inlineStr">
        <is>
          <t>11.00%</t>
        </is>
      </c>
      <c r="N257" t="n">
        <v>4.3</v>
      </c>
      <c r="O257" t="n">
        <v>229</v>
      </c>
      <c r="Q257" t="inlineStr">
        <is>
          <t>InStock</t>
        </is>
      </c>
      <c r="R257" t="inlineStr">
        <is>
          <t>undefined</t>
        </is>
      </c>
      <c r="S257" t="inlineStr">
        <is>
          <t>7035161735</t>
        </is>
      </c>
    </row>
    <row r="258" ht="75" customHeight="1">
      <c r="A258" s="2">
        <f>HYPERLINK("https://camerareadycosmetics.com/products/ben-nye-eyeshadow-refill", "https://camerareadycosmetics.com/products/ben-nye-eyeshadow-refill")</f>
        <v/>
      </c>
      <c r="B258" s="2">
        <f>HYPERLINK("https://camerareadycosmetics.com/products/ben-nye-eyeshadow-refill", "https://camerareadycosmetics.com/products/ben-nye-eyeshadow-refill")</f>
        <v/>
      </c>
      <c r="C258" t="inlineStr">
        <is>
          <t>Eye Shadow Refill</t>
        </is>
      </c>
      <c r="D258" t="inlineStr">
        <is>
          <t>Honeybee Gardens Pressed Powder Matte Cream Eyeshadow Single REFILL (Antique - matte pale cream bisque) | PAN ONLY, NO COMPACT | Vegan, Gluten Free, Cruelty Free, 1.3g</t>
        </is>
      </c>
      <c r="E258" s="2">
        <f>HYPERLINK("https://www.amazon.com/Honeybee-Gardens-Pressed-Powder-Antique/dp/B00I3DJODA/ref=sr_1_9?keywords=Eye+Shadow+Refill&amp;qid=1695565420&amp;sr=8-9", "https://www.amazon.com/Honeybee-Gardens-Pressed-Powder-Antique/dp/B00I3DJODA/ref=sr_1_9?keywords=Eye+Shadow+Refill&amp;qid=1695565420&amp;sr=8-9")</f>
        <v/>
      </c>
      <c r="F258" t="inlineStr">
        <is>
          <t>B00I3DJODA</t>
        </is>
      </c>
      <c r="G258">
        <f>_xlfn.IMAGE("https://camerareadycosmetics.com/cdn/shop/products/107017016__36118.1429922819.600.600_50x.jpeg?v=1689628721")</f>
        <v/>
      </c>
      <c r="H258">
        <f>_xlfn.IMAGE("https://m.media-amazon.com/images/I/71UqAoz5JzL._AC_UL320_.jpg")</f>
        <v/>
      </c>
      <c r="K258" t="inlineStr">
        <is>
          <t>9.0</t>
        </is>
      </c>
      <c r="L258" t="n">
        <v>9.99</v>
      </c>
      <c r="M258" s="1" t="inlineStr">
        <is>
          <t>11.00%</t>
        </is>
      </c>
      <c r="N258" t="n">
        <v>4.3</v>
      </c>
      <c r="O258" t="n">
        <v>507</v>
      </c>
      <c r="Q258" t="inlineStr">
        <is>
          <t>InStock</t>
        </is>
      </c>
      <c r="R258" t="inlineStr">
        <is>
          <t>undefined</t>
        </is>
      </c>
      <c r="S258" t="inlineStr">
        <is>
          <t>7035161735</t>
        </is>
      </c>
    </row>
    <row r="259" ht="75" customHeight="1">
      <c r="A259" s="2">
        <f>HYPERLINK("https://camerareadycosmetics.com/products/ben-nye-final-seal-matte-sealer", "https://camerareadycosmetics.com/products/ben-nye-final-seal-matte-sealer")</f>
        <v/>
      </c>
      <c r="B259" s="2">
        <f>HYPERLINK("https://camerareadycosmetics.com/products/ben-nye-final-seal-matte-sealer", "https://camerareadycosmetics.com/products/ben-nye-final-seal-matte-sealer")</f>
        <v/>
      </c>
      <c r="C259" t="inlineStr">
        <is>
          <t>Final Seal Matte Sealer</t>
        </is>
      </c>
      <c r="D259" t="inlineStr">
        <is>
          <t>Final Seal- Matte Makeup Sealer, 2 oz</t>
        </is>
      </c>
      <c r="E259" s="2">
        <f>HYPERLINK("https://www.amazon.com/Final-Seal-Matte-Makeup-Sealer/dp/B005MZ4A7C/ref=sr_1_1?keywords=Final+Seal+Matte+Sealer&amp;qid=1695565419&amp;sr=8-1", "https://www.amazon.com/Final-Seal-Matte-Makeup-Sealer/dp/B005MZ4A7C/ref=sr_1_1?keywords=Final+Seal+Matte+Sealer&amp;qid=1695565419&amp;sr=8-1")</f>
        <v/>
      </c>
      <c r="F259" t="inlineStr">
        <is>
          <t>B005MZ4A7C</t>
        </is>
      </c>
      <c r="G259">
        <f>_xlfn.IMAGE("https://camerareadycosmetics.com/cdn/shop/products/FY-2-Final-Seal-Catalog_50x.jpg?v=1689627790")</f>
        <v/>
      </c>
      <c r="H259">
        <f>_xlfn.IMAGE("https://m.media-amazon.com/images/I/41Kxa3EJeWL._AC_UL320_.jpg")</f>
        <v/>
      </c>
      <c r="K259" t="inlineStr">
        <is>
          <t>10.0</t>
        </is>
      </c>
      <c r="L259" t="n">
        <v>20.92</v>
      </c>
      <c r="M259" s="1" t="inlineStr">
        <is>
          <t>109.20%</t>
        </is>
      </c>
      <c r="N259" t="n">
        <v>4.3</v>
      </c>
      <c r="O259" t="n">
        <v>3756</v>
      </c>
      <c r="Q259" t="inlineStr">
        <is>
          <t>InStock</t>
        </is>
      </c>
      <c r="R259" t="inlineStr">
        <is>
          <t>undefined</t>
        </is>
      </c>
      <c r="S259" t="inlineStr">
        <is>
          <t>7034993031</t>
        </is>
      </c>
    </row>
    <row r="260" ht="75" customHeight="1">
      <c r="A260" s="2">
        <f>HYPERLINK("https://camerareadycosmetics.com/products/ben-nye-final-seal-matte-sealer", "https://camerareadycosmetics.com/products/ben-nye-final-seal-matte-sealer")</f>
        <v/>
      </c>
      <c r="B260" s="2">
        <f>HYPERLINK("https://camerareadycosmetics.com/products/ben-nye-final-seal-matte-sealer", "https://camerareadycosmetics.com/products/ben-nye-final-seal-matte-sealer")</f>
        <v/>
      </c>
      <c r="C260" t="inlineStr">
        <is>
          <t>Final Seal Matte Sealer</t>
        </is>
      </c>
      <c r="D260" t="inlineStr">
        <is>
          <t>Ben Nye Final Seal matte Sealer 1oz</t>
        </is>
      </c>
      <c r="E260" s="2">
        <f>HYPERLINK("https://www.amazon.com/Ben-Nye-Final-Matte-Sealer/dp/B00ZGUFYH8/ref=sr_1_2?keywords=Final+Seal+Matte+Sealer&amp;qid=1695565419&amp;sr=8-2", "https://www.amazon.com/Ben-Nye-Final-Matte-Sealer/dp/B00ZGUFYH8/ref=sr_1_2?keywords=Final+Seal+Matte+Sealer&amp;qid=1695565419&amp;sr=8-2")</f>
        <v/>
      </c>
      <c r="F260" t="inlineStr">
        <is>
          <t>B00ZGUFYH8</t>
        </is>
      </c>
      <c r="G260">
        <f>_xlfn.IMAGE("https://camerareadycosmetics.com/cdn/shop/products/FY-2-Final-Seal-Catalog_50x.jpg?v=1689627790")</f>
        <v/>
      </c>
      <c r="H260">
        <f>_xlfn.IMAGE("https://m.media-amazon.com/images/I/21zDiLz408L._AC_UL320_.jpg")</f>
        <v/>
      </c>
      <c r="I260" t="n">
        <v>0</v>
      </c>
      <c r="J260" t="inlineStr">
        <is>
          <t>auto subscribe for $9 each/ free shipping over $50</t>
        </is>
      </c>
      <c r="K260" t="inlineStr">
        <is>
          <t>10.0</t>
        </is>
      </c>
      <c r="L260" t="n">
        <v>19.95</v>
      </c>
      <c r="M260" s="1" t="inlineStr">
        <is>
          <t>99.50%</t>
        </is>
      </c>
      <c r="N260" t="n">
        <v>3.3</v>
      </c>
      <c r="O260" t="n">
        <v>30</v>
      </c>
      <c r="Q260" t="inlineStr">
        <is>
          <t>InStock</t>
        </is>
      </c>
      <c r="R260" t="inlineStr">
        <is>
          <t>undefined</t>
        </is>
      </c>
      <c r="S260" t="inlineStr">
        <is>
          <t>7034993031</t>
        </is>
      </c>
    </row>
    <row r="261" ht="75" customHeight="1">
      <c r="A261" s="2">
        <f>HYPERLINK("https://camerareadycosmetics.com/products/ben-nye-final-seal-matte-sealer", "https://camerareadycosmetics.com/products/ben-nye-final-seal-matte-sealer")</f>
        <v/>
      </c>
      <c r="B261" s="2">
        <f>HYPERLINK("https://camerareadycosmetics.com/products/ben-nye-final-seal-matte-sealer", "https://camerareadycosmetics.com/products/ben-nye-final-seal-matte-sealer")</f>
        <v/>
      </c>
      <c r="C261" t="inlineStr">
        <is>
          <t>Final Seal Matte Sealer</t>
        </is>
      </c>
      <c r="D261" t="inlineStr">
        <is>
          <t>Aleene's Spray Finish 6oz Acrylic Sealer, 6 Ounce (Pack of 1), Clear-Matte</t>
        </is>
      </c>
      <c r="E261" s="2">
        <f>HYPERLINK("https://www.amazon.com/Aleenes-Spray-Finish-Acrylic-Sealer/dp/B003W0BZHC/ref=sr_1_4?keywords=Final+Seal+Matte+Sealer&amp;qid=1695565419&amp;sr=8-4", "https://www.amazon.com/Aleenes-Spray-Finish-Acrylic-Sealer/dp/B003W0BZHC/ref=sr_1_4?keywords=Final+Seal+Matte+Sealer&amp;qid=1695565419&amp;sr=8-4")</f>
        <v/>
      </c>
      <c r="F261" t="inlineStr">
        <is>
          <t>B003W0BZHC</t>
        </is>
      </c>
      <c r="G261">
        <f>_xlfn.IMAGE("https://camerareadycosmetics.com/cdn/shop/products/FY-2-Final-Seal-Catalog_50x.jpg?v=1689627790")</f>
        <v/>
      </c>
      <c r="H261">
        <f>_xlfn.IMAGE("https://m.media-amazon.com/images/I/612Kfp749YL._AC_UL320_.jpg")</f>
        <v/>
      </c>
      <c r="K261" t="inlineStr">
        <is>
          <t>10.0</t>
        </is>
      </c>
      <c r="L261" t="n">
        <v>5.97</v>
      </c>
      <c r="M261" s="1" t="inlineStr">
        <is>
          <t>-40.30%</t>
        </is>
      </c>
      <c r="N261" t="n">
        <v>4.6</v>
      </c>
      <c r="O261" t="n">
        <v>5203</v>
      </c>
      <c r="Q261" t="inlineStr">
        <is>
          <t>InStock</t>
        </is>
      </c>
      <c r="R261" t="inlineStr">
        <is>
          <t>undefined</t>
        </is>
      </c>
      <c r="S261" t="inlineStr">
        <is>
          <t>7034993031</t>
        </is>
      </c>
    </row>
    <row r="262" ht="75" customHeight="1">
      <c r="A262" s="2">
        <f>HYPERLINK("https://camerareadycosmetics.com/products/ben-nye-hd-matte-foundation", "https://camerareadycosmetics.com/products/ben-nye-hd-matte-foundation")</f>
        <v/>
      </c>
      <c r="B262" s="2">
        <f>HYPERLINK("https://camerareadycosmetics.com/products/ben-nye-hd-matte-foundation", "https://camerareadycosmetics.com/products/ben-nye-hd-matte-foundation")</f>
        <v/>
      </c>
      <c r="C262" t="inlineStr">
        <is>
          <t>HD Matte Foundation</t>
        </is>
      </c>
      <c r="D262" t="inlineStr">
        <is>
          <t>Carter Beauty By Marissa Carter Full Measure HD Foundation -Full Coverage Matte Formula - Water-Based, Skin Perfector - Vegan And Cruelty Free, Paraben And Sulfate Free - Marshmallow - 1.01 OZ</t>
        </is>
      </c>
      <c r="E262" s="2">
        <f>HYPERLINK("https://www.amazon.com/Carter-Beauty-Measure-Foundation-Marshmallow/dp/B07P29K7TJ/ref=sr_1_5?keywords=HD+Matte+Foundation&amp;qid=1695565415&amp;sr=8-5", "https://www.amazon.com/Carter-Beauty-Measure-Foundation-Marshmallow/dp/B07P29K7TJ/ref=sr_1_5?keywords=HD+Matte+Foundation&amp;qid=1695565415&amp;sr=8-5")</f>
        <v/>
      </c>
      <c r="F262" t="inlineStr">
        <is>
          <t>B07P29K7TJ</t>
        </is>
      </c>
      <c r="G262">
        <f>_xlfn.IMAGE("https://camerareadycosmetics.com/cdn/shop/products/9820_zoom_1417899345_50x.jpg?v=1689631356")</f>
        <v/>
      </c>
      <c r="H262">
        <f>_xlfn.IMAGE("https://m.media-amazon.com/images/I/51k8Mai3BFL._AC_UL320_.jpg")</f>
        <v/>
      </c>
      <c r="K262" t="inlineStr">
        <is>
          <t>14.0</t>
        </is>
      </c>
      <c r="L262" t="n">
        <v>8.66</v>
      </c>
      <c r="M262" s="1" t="inlineStr">
        <is>
          <t>-38.14%</t>
        </is>
      </c>
      <c r="N262" t="n">
        <v>4</v>
      </c>
      <c r="O262" t="n">
        <v>58</v>
      </c>
      <c r="Q262" t="inlineStr">
        <is>
          <t>InStock</t>
        </is>
      </c>
      <c r="R262" t="inlineStr">
        <is>
          <t>undefined</t>
        </is>
      </c>
      <c r="S262" t="inlineStr">
        <is>
          <t>7035752647</t>
        </is>
      </c>
    </row>
    <row r="263" ht="75" customHeight="1">
      <c r="A263" s="2">
        <f>HYPERLINK("https://camerareadycosmetics.com/products/ben-nye-hd-matte-foundation", "https://camerareadycosmetics.com/products/ben-nye-hd-matte-foundation")</f>
        <v/>
      </c>
      <c r="B263" s="2">
        <f>HYPERLINK("https://camerareadycosmetics.com/products/ben-nye-hd-matte-foundation", "https://camerareadycosmetics.com/products/ben-nye-hd-matte-foundation")</f>
        <v/>
      </c>
      <c r="C263" t="inlineStr">
        <is>
          <t>HD Matte Foundation</t>
        </is>
      </c>
      <c r="D263" t="inlineStr">
        <is>
          <t>L.A. Girl Cosmetics LA PRO.mattte HD.highdefinition long wear matte foundation, GLM671 Ivory, 1 Fl. Oz</t>
        </is>
      </c>
      <c r="E263" s="2">
        <f>HYPERLINK("https://www.amazon.com/Girl-PRO-mattte-HD-high-definition-foundation-GLM671/dp/B07B6G68GN/ref=sr_1_2?keywords=HD+Matte+Foundation&amp;qid=1695565415&amp;sr=8-2", "https://www.amazon.com/Girl-PRO-mattte-HD-high-definition-foundation-GLM671/dp/B07B6G68GN/ref=sr_1_2?keywords=HD+Matte+Foundation&amp;qid=1695565415&amp;sr=8-2")</f>
        <v/>
      </c>
      <c r="F263" t="inlineStr">
        <is>
          <t>B07B6G68GN</t>
        </is>
      </c>
      <c r="G263">
        <f>_xlfn.IMAGE("https://camerareadycosmetics.com/cdn/shop/products/9820_zoom_1417899345_50x.jpg?v=1689631356")</f>
        <v/>
      </c>
      <c r="H263">
        <f>_xlfn.IMAGE("https://m.media-amazon.com/images/I/41IukpRgR7L._AC_UL320_.jpg")</f>
        <v/>
      </c>
      <c r="K263" t="inlineStr">
        <is>
          <t>14.0</t>
        </is>
      </c>
      <c r="L263" t="n">
        <v>3.95</v>
      </c>
      <c r="M263" s="1" t="inlineStr">
        <is>
          <t>-71.79%</t>
        </is>
      </c>
      <c r="N263" t="n">
        <v>4.1</v>
      </c>
      <c r="O263" t="n">
        <v>321</v>
      </c>
      <c r="Q263" t="inlineStr">
        <is>
          <t>InStock</t>
        </is>
      </c>
      <c r="R263" t="inlineStr">
        <is>
          <t>undefined</t>
        </is>
      </c>
      <c r="S263" t="inlineStr">
        <is>
          <t>7035752647</t>
        </is>
      </c>
    </row>
    <row r="264" ht="75" customHeight="1">
      <c r="A264" s="2">
        <f>HYPERLINK("https://camerareadycosmetics.com/products/ben-nye-hd-matte-foundation", "https://camerareadycosmetics.com/products/ben-nye-hd-matte-foundation")</f>
        <v/>
      </c>
      <c r="B264" s="2">
        <f>HYPERLINK("https://camerareadycosmetics.com/products/ben-nye-hd-matte-foundation", "https://camerareadycosmetics.com/products/ben-nye-hd-matte-foundation")</f>
        <v/>
      </c>
      <c r="C264" t="inlineStr">
        <is>
          <t>HD Matte Foundation</t>
        </is>
      </c>
      <c r="D264" t="inlineStr">
        <is>
          <t>L.A. Girl Cosmetics LA PRO.mattte HD.highdefinition long wear matte foundation, GLM671 Ivory, 1 Fl. Oz</t>
        </is>
      </c>
      <c r="E264" s="2">
        <f>HYPERLINK("https://www.amazon.com/Girl-PRO-mattte-HD-high-definition-foundation-GLM671/dp/B07B6G68GN/ref=sr_1_2?keywords=HD+Matte+Foundation&amp;qid=1695565415&amp;sr=8-2", "https://www.amazon.com/Girl-PRO-mattte-HD-high-definition-foundation-GLM671/dp/B07B6G68GN/ref=sr_1_2?keywords=HD+Matte+Foundation&amp;qid=1695565415&amp;sr=8-2")</f>
        <v/>
      </c>
      <c r="F264" t="inlineStr">
        <is>
          <t>B07B6G68GN</t>
        </is>
      </c>
      <c r="G264">
        <f>_xlfn.IMAGE("https://camerareadycosmetics.com/cdn/shop/products/9820_zoom_1417899345_50x.jpg?v=1689631356")</f>
        <v/>
      </c>
      <c r="H264">
        <f>_xlfn.IMAGE("https://m.media-amazon.com/images/I/41IukpRgR7L._AC_UL320_.jpg")</f>
        <v/>
      </c>
      <c r="K264" t="inlineStr">
        <is>
          <t>14.0</t>
        </is>
      </c>
      <c r="L264" t="n">
        <v>3.95</v>
      </c>
      <c r="M264" s="1" t="inlineStr">
        <is>
          <t>-71.79%</t>
        </is>
      </c>
      <c r="N264" t="n">
        <v>4.1</v>
      </c>
      <c r="O264" t="n">
        <v>321</v>
      </c>
      <c r="Q264" t="inlineStr">
        <is>
          <t>InStock</t>
        </is>
      </c>
      <c r="R264" t="inlineStr">
        <is>
          <t>undefined</t>
        </is>
      </c>
      <c r="S264" t="inlineStr">
        <is>
          <t>7035752647</t>
        </is>
      </c>
    </row>
    <row r="265" ht="75" customHeight="1">
      <c r="A265" s="2">
        <f>HYPERLINK("https://camerareadycosmetics.com/products/ben-nye-highlighter-pencil-nude", "https://camerareadycosmetics.com/products/ben-nye-highlighter-pencil-nude")</f>
        <v/>
      </c>
      <c r="B265" s="2">
        <f>HYPERLINK("https://camerareadycosmetics.com/products/ben-nye-highlighter-pencil-nude", "https://camerareadycosmetics.com/products/ben-nye-highlighter-pencil-nude")</f>
        <v/>
      </c>
      <c r="C265" t="inlineStr">
        <is>
          <t>Highlighter Pencil Nude</t>
        </is>
      </c>
      <c r="D265" t="inlineStr">
        <is>
          <t>3PC Double Ended Highlighter Makeup Pen, Glitter &amp; Matte Nude EyeLiner &amp; Eyeshadow, Liquid Contour Liner 2 in 1 Eye Brightener Make Up Stick, Mulit-Funtional Long Lasting Lying Silkworm Pencil ( #01, #02, #04)</t>
        </is>
      </c>
      <c r="E265" s="2">
        <f>HYPERLINK("https://www.amazon.com/Highlighter-EyeLiner-Eyeshadow-Brightener-Mulit-Funtional/dp/B0BZHHFQSY/ref=sr_1_9?keywords=Highlighter+Pencil+Nude&amp;qid=1695565557&amp;sr=8-9", "https://www.amazon.com/Highlighter-EyeLiner-Eyeshadow-Brightener-Mulit-Funtional/dp/B0BZHHFQSY/ref=sr_1_9?keywords=Highlighter+Pencil+Nude&amp;qid=1695565557&amp;sr=8-9")</f>
        <v/>
      </c>
      <c r="F265" t="inlineStr">
        <is>
          <t>B0BZHHFQSY</t>
        </is>
      </c>
      <c r="G265">
        <f>_xlfn.IMAGE("https://camerareadycosmetics.com/cdn/shop/products/highlight-pencil-nude_1_grande_1_50x.jpg?v=1691127096")</f>
        <v/>
      </c>
      <c r="H265">
        <f>_xlfn.IMAGE("https://m.media-amazon.com/images/I/61VCZqp7huL._AC_UL320_.jpg")</f>
        <v/>
      </c>
      <c r="K265" t="inlineStr">
        <is>
          <t>10.0</t>
        </is>
      </c>
      <c r="L265" t="n">
        <v>9.99</v>
      </c>
      <c r="M265" s="1" t="inlineStr">
        <is>
          <t>-0.10%</t>
        </is>
      </c>
      <c r="N265" t="n">
        <v>4.1</v>
      </c>
      <c r="O265" t="n">
        <v>38</v>
      </c>
      <c r="Q265" t="inlineStr">
        <is>
          <t>InStock</t>
        </is>
      </c>
      <c r="R265" t="inlineStr">
        <is>
          <t>undefined</t>
        </is>
      </c>
      <c r="S265" t="inlineStr">
        <is>
          <t>10208739978</t>
        </is>
      </c>
    </row>
    <row r="266" ht="75" customHeight="1">
      <c r="A266" s="2">
        <f>HYPERLINK("https://camerareadycosmetics.com/products/ben-nye-highlighter-pencil-nude", "https://camerareadycosmetics.com/products/ben-nye-highlighter-pencil-nude")</f>
        <v/>
      </c>
      <c r="B266" s="2">
        <f>HYPERLINK("https://camerareadycosmetics.com/products/ben-nye-highlighter-pencil-nude", "https://camerareadycosmetics.com/products/ben-nye-highlighter-pencil-nude")</f>
        <v/>
      </c>
      <c r="C266" t="inlineStr">
        <is>
          <t>Highlighter Pencil Nude</t>
        </is>
      </c>
      <c r="D266" t="inlineStr">
        <is>
          <t>Go Ho 2 Colors Cream Contour Stick,Highlighter and Bronzer Makeup,Face Brightens &amp; Shades Pencil, Facial Contour Shaping Makeup Sticks,01 Nude Pink Highlighter &amp; Light Bronzer Contour Pen</t>
        </is>
      </c>
      <c r="E266" s="2">
        <f>HYPERLINK("https://www.amazon.com/Go-Ho-Contour-Highlighter-Brightens/dp/B0BW3PZS3W/ref=sr_1_3?keywords=Highlighter+Pencil+Nude&amp;qid=1695565557&amp;sr=8-3", "https://www.amazon.com/Go-Ho-Contour-Highlighter-Brightens/dp/B0BW3PZS3W/ref=sr_1_3?keywords=Highlighter+Pencil+Nude&amp;qid=1695565557&amp;sr=8-3")</f>
        <v/>
      </c>
      <c r="F266" t="inlineStr">
        <is>
          <t>B0BW3PZS3W</t>
        </is>
      </c>
      <c r="G266">
        <f>_xlfn.IMAGE("https://camerareadycosmetics.com/cdn/shop/products/highlight-pencil-nude_1_grande_1_50x.jpg?v=1691127096")</f>
        <v/>
      </c>
      <c r="H266">
        <f>_xlfn.IMAGE("https://m.media-amazon.com/images/I/61AWsTm0zjL._AC_UL320_.jpg")</f>
        <v/>
      </c>
      <c r="K266" t="inlineStr">
        <is>
          <t>10.0</t>
        </is>
      </c>
      <c r="L266" t="n">
        <v>5.99</v>
      </c>
      <c r="M266" s="1" t="inlineStr">
        <is>
          <t>-40.10%</t>
        </is>
      </c>
      <c r="N266" t="n">
        <v>4.3</v>
      </c>
      <c r="O266" t="n">
        <v>143</v>
      </c>
      <c r="Q266" t="inlineStr">
        <is>
          <t>InStock</t>
        </is>
      </c>
      <c r="R266" t="inlineStr">
        <is>
          <t>undefined</t>
        </is>
      </c>
      <c r="S266" t="inlineStr">
        <is>
          <t>10208739978</t>
        </is>
      </c>
    </row>
    <row r="267" ht="75" customHeight="1">
      <c r="A267" s="2">
        <f>HYPERLINK("https://camerareadycosmetics.com/products/ben-nye-lip-color-refill", "https://camerareadycosmetics.com/products/ben-nye-lip-color-refill")</f>
        <v/>
      </c>
      <c r="B267" s="2">
        <f>HYPERLINK("https://camerareadycosmetics.com/products/ben-nye-lip-color-refill", "https://camerareadycosmetics.com/products/ben-nye-lip-color-refill")</f>
        <v/>
      </c>
      <c r="C267" t="inlineStr">
        <is>
          <t>Lip Color Refill</t>
        </is>
      </c>
      <c r="D267" t="inlineStr">
        <is>
          <t>Paul &amp; Joe Lipstick CS 126 - Refill Only - Limited Edition - Rose Red - Clignancourt - Long Lasting Lipstick for Highly-Pigmented Lip Color - Instantly Brightens up the Face - Color is Resistant to Fading - Luscious Glossy Shine - 0.12 oz.</t>
        </is>
      </c>
      <c r="E267" s="2">
        <f>HYPERLINK("https://www.amazon.com/Paul-Joe-Lipstick-Collection-Clignancourt/dp/B0B5BDLDMD/ref=sr_1_5?keywords=Lip+Color+Refill&amp;qid=1695565517&amp;sr=8-5", "https://www.amazon.com/Paul-Joe-Lipstick-Collection-Clignancourt/dp/B0B5BDLDMD/ref=sr_1_5?keywords=Lip+Color+Refill&amp;qid=1695565517&amp;sr=8-5")</f>
        <v/>
      </c>
      <c r="F267" t="inlineStr">
        <is>
          <t>B0B5BDLDMD</t>
        </is>
      </c>
      <c r="G267">
        <f>_xlfn.IMAGE("https://camerareadycosmetics.com/cdn/shop/products/12397_zoom_1431214884_50x.jpg?v=1689648796")</f>
        <v/>
      </c>
      <c r="H267">
        <f>_xlfn.IMAGE("https://m.media-amazon.com/images/I/612BZZzgCdL._AC_UL320_.jpg")</f>
        <v/>
      </c>
      <c r="K267" t="inlineStr">
        <is>
          <t>7.0</t>
        </is>
      </c>
      <c r="L267" t="n">
        <v>20</v>
      </c>
      <c r="M267" s="1" t="inlineStr">
        <is>
          <t>185.71%</t>
        </is>
      </c>
      <c r="N267" t="n">
        <v>5</v>
      </c>
      <c r="O267" t="n">
        <v>1</v>
      </c>
      <c r="Q267" t="inlineStr">
        <is>
          <t>InStock</t>
        </is>
      </c>
      <c r="R267" t="inlineStr">
        <is>
          <t>undefined</t>
        </is>
      </c>
      <c r="S267" t="inlineStr">
        <is>
          <t>7045760007</t>
        </is>
      </c>
    </row>
    <row r="268" ht="75" customHeight="1">
      <c r="A268" s="2">
        <f>HYPERLINK("https://camerareadycosmetics.com/products/ben-nye-lip-color-refill", "https://camerareadycosmetics.com/products/ben-nye-lip-color-refill")</f>
        <v/>
      </c>
      <c r="B268" s="2">
        <f>HYPERLINK("https://camerareadycosmetics.com/products/ben-nye-lip-color-refill", "https://camerareadycosmetics.com/products/ben-nye-lip-color-refill")</f>
        <v/>
      </c>
      <c r="C268" t="inlineStr">
        <is>
          <t>Lip Color Refill</t>
        </is>
      </c>
      <c r="D268" t="inlineStr">
        <is>
          <t>Paul &amp; Joe Moisturizing Lipstick Refill Only, Case Sold Separately, Long Lasting Lipstick for Highly-Pigmented Lip Color, 18 My Little Secret - Sensual Dark Red Lip Stick, 0.10 oz</t>
        </is>
      </c>
      <c r="E268" s="2">
        <f>HYPERLINK("https://www.amazon.com/Paul-Joe-Moisturizing-Separately-Highly-Pigmented/dp/B09G6JJVCP/ref=sr_1_3?keywords=Lip+Color+Refill&amp;qid=1695565517&amp;sr=8-3", "https://www.amazon.com/Paul-Joe-Moisturizing-Separately-Highly-Pigmented/dp/B09G6JJVCP/ref=sr_1_3?keywords=Lip+Color+Refill&amp;qid=1695565517&amp;sr=8-3")</f>
        <v/>
      </c>
      <c r="F268" t="inlineStr">
        <is>
          <t>B09G6JJVCP</t>
        </is>
      </c>
      <c r="G268">
        <f>_xlfn.IMAGE("https://camerareadycosmetics.com/cdn/shop/products/12397_zoom_1431214884_50x.jpg?v=1689648796")</f>
        <v/>
      </c>
      <c r="H268">
        <f>_xlfn.IMAGE("https://m.media-amazon.com/images/I/61Ieg0KGNKL._AC_UL320_.jpg")</f>
        <v/>
      </c>
      <c r="K268" t="inlineStr">
        <is>
          <t>7.0</t>
        </is>
      </c>
      <c r="L268" t="n">
        <v>20</v>
      </c>
      <c r="M268" s="1" t="inlineStr">
        <is>
          <t>185.71%</t>
        </is>
      </c>
      <c r="N268" t="n">
        <v>2</v>
      </c>
      <c r="O268" t="n">
        <v>1</v>
      </c>
      <c r="Q268" t="inlineStr">
        <is>
          <t>InStock</t>
        </is>
      </c>
      <c r="R268" t="inlineStr">
        <is>
          <t>undefined</t>
        </is>
      </c>
      <c r="S268" t="inlineStr">
        <is>
          <t>7045760007</t>
        </is>
      </c>
    </row>
    <row r="269" ht="75" customHeight="1">
      <c r="A269" s="2">
        <f>HYPERLINK("https://camerareadycosmetics.com/products/ben-nye-lip-color-refill", "https://camerareadycosmetics.com/products/ben-nye-lip-color-refill")</f>
        <v/>
      </c>
      <c r="B269" s="2">
        <f>HYPERLINK("https://camerareadycosmetics.com/products/ben-nye-lip-color-refill", "https://camerareadycosmetics.com/products/ben-nye-lip-color-refill")</f>
        <v/>
      </c>
      <c r="C269" t="inlineStr">
        <is>
          <t>Lip Color Refill</t>
        </is>
      </c>
      <c r="D269" t="inlineStr">
        <is>
          <t>Maitys 64 Pieces Lip Balm 5 ml Empty Containers Refillable Rotatable Plastic Lipstick Tubes DIY Lip Gloss Balm Tube Holder for DIY Cosmetic, 8 Colors</t>
        </is>
      </c>
      <c r="E269" s="2">
        <f>HYPERLINK("https://www.amazon.com/Containers-Refillable-Rotatable-Container-Lipstick/dp/B08SH1Y754/ref=sr_1_7?keywords=Lip+Color+Refill&amp;qid=1695565517&amp;sr=8-7", "https://www.amazon.com/Containers-Refillable-Rotatable-Container-Lipstick/dp/B08SH1Y754/ref=sr_1_7?keywords=Lip+Color+Refill&amp;qid=1695565517&amp;sr=8-7")</f>
        <v/>
      </c>
      <c r="F269" t="inlineStr">
        <is>
          <t>B08SH1Y754</t>
        </is>
      </c>
      <c r="G269">
        <f>_xlfn.IMAGE("https://camerareadycosmetics.com/cdn/shop/products/12397_zoom_1431214884_50x.jpg?v=1689648796")</f>
        <v/>
      </c>
      <c r="H269">
        <f>_xlfn.IMAGE("https://m.media-amazon.com/images/I/71FI7MmxM5L._AC_UL320_.jpg")</f>
        <v/>
      </c>
      <c r="K269" t="inlineStr">
        <is>
          <t>7.0</t>
        </is>
      </c>
      <c r="L269" t="n">
        <v>12.99</v>
      </c>
      <c r="M269" s="1" t="inlineStr">
        <is>
          <t>85.57%</t>
        </is>
      </c>
      <c r="N269" t="n">
        <v>4.6</v>
      </c>
      <c r="O269" t="n">
        <v>190</v>
      </c>
      <c r="Q269" t="inlineStr">
        <is>
          <t>InStock</t>
        </is>
      </c>
      <c r="R269" t="inlineStr">
        <is>
          <t>undefined</t>
        </is>
      </c>
      <c r="S269" t="inlineStr">
        <is>
          <t>7045760007</t>
        </is>
      </c>
    </row>
    <row r="270" ht="75" customHeight="1">
      <c r="A270" s="2">
        <f>HYPERLINK("https://camerareadycosmetics.com/products/ben-nye-lip-color-refill", "https://camerareadycosmetics.com/products/ben-nye-lip-color-refill")</f>
        <v/>
      </c>
      <c r="B270" s="2">
        <f>HYPERLINK("https://camerareadycosmetics.com/products/ben-nye-lip-color-refill", "https://camerareadycosmetics.com/products/ben-nye-lip-color-refill")</f>
        <v/>
      </c>
      <c r="C270" t="inlineStr">
        <is>
          <t>Lip Color Refill</t>
        </is>
      </c>
      <c r="D270" t="inlineStr">
        <is>
          <t>Refill - Vivid Color Long Lasting Luxurious Rouge - Highly Pigmented, Velvety Finish - Organic, Cruelty, Gluten &amp; Paraben Free - Nourish &amp; Hydrate Lips - Light Pink Shade - 0.16 oz</t>
        </is>
      </c>
      <c r="E270" s="2">
        <f>HYPERLINK("https://www.amazon.com/Hickey-Lipstick-Refill-Luxurious-Pigmented/dp/B08DWRDZLV/ref=sr_1_6?keywords=Lip+Color+Refill&amp;qid=1695565517&amp;sr=8-6", "https://www.amazon.com/Hickey-Lipstick-Refill-Luxurious-Pigmented/dp/B08DWRDZLV/ref=sr_1_6?keywords=Lip+Color+Refill&amp;qid=1695565517&amp;sr=8-6")</f>
        <v/>
      </c>
      <c r="F270" t="inlineStr">
        <is>
          <t>B08DWRDZLV</t>
        </is>
      </c>
      <c r="G270">
        <f>_xlfn.IMAGE("https://camerareadycosmetics.com/cdn/shop/products/12397_zoom_1431214884_50x.jpg?v=1689648796")</f>
        <v/>
      </c>
      <c r="H270">
        <f>_xlfn.IMAGE("https://m.media-amazon.com/images/I/31txhqBUccL._AC_UL320_.jpg")</f>
        <v/>
      </c>
      <c r="K270" t="inlineStr">
        <is>
          <t>7.0</t>
        </is>
      </c>
      <c r="L270" t="n">
        <v>12</v>
      </c>
      <c r="M270" s="1" t="inlineStr">
        <is>
          <t>71.43%</t>
        </is>
      </c>
      <c r="N270" t="n">
        <v>4.1</v>
      </c>
      <c r="O270" t="n">
        <v>208</v>
      </c>
      <c r="Q270" t="inlineStr">
        <is>
          <t>InStock</t>
        </is>
      </c>
      <c r="R270" t="inlineStr">
        <is>
          <t>undefined</t>
        </is>
      </c>
      <c r="S270" t="inlineStr">
        <is>
          <t>7045760007</t>
        </is>
      </c>
    </row>
    <row r="271" ht="75" customHeight="1">
      <c r="A271" s="2">
        <f>HYPERLINK("https://camerareadycosmetics.com/products/ben-nye-lip-gloss", "https://camerareadycosmetics.com/products/ben-nye-lip-gloss")</f>
        <v/>
      </c>
      <c r="B271" s="2">
        <f>HYPERLINK("https://camerareadycosmetics.com/products/ben-nye-lip-gloss", "https://camerareadycosmetics.com/products/ben-nye-lip-gloss")</f>
        <v/>
      </c>
      <c r="C271" t="inlineStr">
        <is>
          <t>Lip Gloss</t>
        </is>
      </c>
      <c r="D271" t="inlineStr">
        <is>
          <t>NYX PROFESSIONAL MAKEUP Fat Oil Lip Drip, Moisturizing, Shiny and Vegan Tinted Lip Gloss - Missed Call (Sheer Pink)</t>
        </is>
      </c>
      <c r="E271" s="2">
        <f>HYPERLINK("https://www.amazon.com/NYX-PROFESSIONAL-MAKEUP-Moisturizing-Tinted/dp/B0BL8HY2QP/ref=sr_1_4?keywords=Lip+Gloss&amp;qid=1695565519&amp;sr=8-4", "https://www.amazon.com/NYX-PROFESSIONAL-MAKEUP-Moisturizing-Tinted/dp/B0BL8HY2QP/ref=sr_1_4?keywords=Lip+Gloss&amp;qid=1695565519&amp;sr=8-4")</f>
        <v/>
      </c>
      <c r="F271" t="inlineStr">
        <is>
          <t>B0BL8HY2QP</t>
        </is>
      </c>
      <c r="G271">
        <f>_xlfn.IMAGE("https://camerareadycosmetics.com/cdn/shop/products/107205002__29624.1429923663.600.600_50x.jpeg?v=1689647423")</f>
        <v/>
      </c>
      <c r="H271">
        <f>_xlfn.IMAGE("https://m.media-amazon.com/images/I/71WSq6r0PcL._AC_UL320_.jpg")</f>
        <v/>
      </c>
      <c r="K271" t="inlineStr">
        <is>
          <t>9.5</t>
        </is>
      </c>
      <c r="L271" t="n">
        <v>8.970000000000001</v>
      </c>
      <c r="M271" s="1" t="inlineStr">
        <is>
          <t>-5.58%</t>
        </is>
      </c>
      <c r="N271" t="n">
        <v>4.5</v>
      </c>
      <c r="O271" t="n">
        <v>7141</v>
      </c>
      <c r="Q271" t="inlineStr">
        <is>
          <t>InStock</t>
        </is>
      </c>
      <c r="R271" t="inlineStr">
        <is>
          <t>undefined</t>
        </is>
      </c>
      <c r="S271" t="inlineStr">
        <is>
          <t>7044071559</t>
        </is>
      </c>
    </row>
    <row r="272" ht="75" customHeight="1">
      <c r="A272" s="2">
        <f>HYPERLINK("https://camerareadycosmetics.com/products/ben-nye-lip-gloss", "https://camerareadycosmetics.com/products/ben-nye-lip-gloss")</f>
        <v/>
      </c>
      <c r="B272" s="2">
        <f>HYPERLINK("https://camerareadycosmetics.com/products/ben-nye-lip-gloss", "https://camerareadycosmetics.com/products/ben-nye-lip-gloss")</f>
        <v/>
      </c>
      <c r="C272" t="inlineStr">
        <is>
          <t>Lip Gloss</t>
        </is>
      </c>
      <c r="D272" t="inlineStr">
        <is>
          <t>Broadway Vita-Lip Clear Lip Gloss 0.47oz/14ml (10 PCS SET)</t>
        </is>
      </c>
      <c r="E272" s="2">
        <f>HYPERLINK("https://www.amazon.com/Broadway-Vita-Lip-Clear-Gloss-0-47oz/dp/B09DMGWJKY/ref=sr_1_3?keywords=Lip+Gloss&amp;qid=1695565519&amp;sr=8-3", "https://www.amazon.com/Broadway-Vita-Lip-Clear-Gloss-0-47oz/dp/B09DMGWJKY/ref=sr_1_3?keywords=Lip+Gloss&amp;qid=1695565519&amp;sr=8-3")</f>
        <v/>
      </c>
      <c r="F272" t="inlineStr">
        <is>
          <t>B09DMGWJKY</t>
        </is>
      </c>
      <c r="G272">
        <f>_xlfn.IMAGE("https://camerareadycosmetics.com/cdn/shop/products/107205002__29624.1429923663.600.600_50x.jpeg?v=1689647423")</f>
        <v/>
      </c>
      <c r="H272">
        <f>_xlfn.IMAGE("https://m.media-amazon.com/images/I/81Scw6fgMJL._AC_UL320_.jpg")</f>
        <v/>
      </c>
      <c r="K272" t="inlineStr">
        <is>
          <t>9.5</t>
        </is>
      </c>
      <c r="L272" t="n">
        <v>8.49</v>
      </c>
      <c r="M272" s="1" t="inlineStr">
        <is>
          <t>-10.63%</t>
        </is>
      </c>
      <c r="N272" t="n">
        <v>4.7</v>
      </c>
      <c r="O272" t="n">
        <v>2579</v>
      </c>
      <c r="Q272" t="inlineStr">
        <is>
          <t>InStock</t>
        </is>
      </c>
      <c r="R272" t="inlineStr">
        <is>
          <t>undefined</t>
        </is>
      </c>
      <c r="S272" t="inlineStr">
        <is>
          <t>7044071559</t>
        </is>
      </c>
    </row>
    <row r="273" ht="75" customHeight="1">
      <c r="A273" s="2">
        <f>HYPERLINK("https://camerareadycosmetics.com/products/ben-nye-lip-gloss", "https://camerareadycosmetics.com/products/ben-nye-lip-gloss")</f>
        <v/>
      </c>
      <c r="B273" s="2">
        <f>HYPERLINK("https://camerareadycosmetics.com/products/ben-nye-lip-gloss", "https://camerareadycosmetics.com/products/ben-nye-lip-gloss")</f>
        <v/>
      </c>
      <c r="C273" t="inlineStr">
        <is>
          <t>Lip Gloss</t>
        </is>
      </c>
      <c r="D273" t="inlineStr">
        <is>
          <t>MAYBELLINE New York Lifter Gloss, Hydrating Lip Gloss with Hyaluronic Acid, High Shine for Plumper Looking Lips, Ice, Pink Neutral, 0.18 Ounce</t>
        </is>
      </c>
      <c r="E273" s="2">
        <f>HYPERLINK("https://www.amazon.com/Maybelline-Hyaluronic-Hydrating-Hydrated-Fuller-Looking/dp/B085S9N6JP/ref=sr_1_5?keywords=Lip+Gloss&amp;qid=1695565519&amp;sr=8-5", "https://www.amazon.com/Maybelline-Hyaluronic-Hydrating-Hydrated-Fuller-Looking/dp/B085S9N6JP/ref=sr_1_5?keywords=Lip+Gloss&amp;qid=1695565519&amp;sr=8-5")</f>
        <v/>
      </c>
      <c r="F273" t="inlineStr">
        <is>
          <t>B085S9N6JP</t>
        </is>
      </c>
      <c r="G273">
        <f>_xlfn.IMAGE("https://camerareadycosmetics.com/cdn/shop/products/107205002__29624.1429923663.600.600_50x.jpeg?v=1689647423")</f>
        <v/>
      </c>
      <c r="H273">
        <f>_xlfn.IMAGE("https://m.media-amazon.com/images/I/61r3MuwPTBL._AC_UL320_.jpg")</f>
        <v/>
      </c>
      <c r="K273" t="inlineStr">
        <is>
          <t>9.5</t>
        </is>
      </c>
      <c r="L273" t="n">
        <v>6.98</v>
      </c>
      <c r="M273" s="1" t="inlineStr">
        <is>
          <t>-26.53%</t>
        </is>
      </c>
      <c r="N273" t="n">
        <v>4.5</v>
      </c>
      <c r="O273" t="n">
        <v>40284</v>
      </c>
      <c r="Q273" t="inlineStr">
        <is>
          <t>InStock</t>
        </is>
      </c>
      <c r="R273" t="inlineStr">
        <is>
          <t>undefined</t>
        </is>
      </c>
      <c r="S273" t="inlineStr">
        <is>
          <t>7044071559</t>
        </is>
      </c>
    </row>
    <row r="274" ht="75" customHeight="1">
      <c r="A274" s="2">
        <f>HYPERLINK("https://camerareadycosmetics.com/products/ben-nye-lip-gloss", "https://camerareadycosmetics.com/products/ben-nye-lip-gloss")</f>
        <v/>
      </c>
      <c r="B274" s="2">
        <f>HYPERLINK("https://camerareadycosmetics.com/products/ben-nye-lip-gloss", "https://camerareadycosmetics.com/products/ben-nye-lip-gloss")</f>
        <v/>
      </c>
      <c r="C274" t="inlineStr">
        <is>
          <t>Lip Gloss</t>
        </is>
      </c>
      <c r="D274" t="inlineStr">
        <is>
          <t>NYX PROFESSIONAL MAKEUP Butter Gloss, Non-Sticky Lip Gloss - Sugar Glass (Clear)</t>
        </is>
      </c>
      <c r="E274" s="2">
        <f>HYPERLINK("https://www.amazon.com/NYX-PROFESSIONAL-MAKEUP-Butter-Non-Sticky/dp/B09SP2XHKT/ref=sr_1_1?keywords=Lip+Gloss&amp;qid=1695565519&amp;sr=8-1", "https://www.amazon.com/NYX-PROFESSIONAL-MAKEUP-Butter-Non-Sticky/dp/B09SP2XHKT/ref=sr_1_1?keywords=Lip+Gloss&amp;qid=1695565519&amp;sr=8-1")</f>
        <v/>
      </c>
      <c r="F274" t="inlineStr">
        <is>
          <t>B09SP2XHKT</t>
        </is>
      </c>
      <c r="G274">
        <f>_xlfn.IMAGE("https://camerareadycosmetics.com/cdn/shop/products/107205002__29624.1429923663.600.600_50x.jpeg?v=1689647423")</f>
        <v/>
      </c>
      <c r="H274">
        <f>_xlfn.IMAGE("https://m.media-amazon.com/images/I/51Ba+Npec2L._AC_UL320_.jpg")</f>
        <v/>
      </c>
      <c r="K274" t="inlineStr">
        <is>
          <t>9.5</t>
        </is>
      </c>
      <c r="L274" t="n">
        <v>4.97</v>
      </c>
      <c r="M274" s="1" t="inlineStr">
        <is>
          <t>-47.68%</t>
        </is>
      </c>
      <c r="N274" t="n">
        <v>4.5</v>
      </c>
      <c r="O274" t="n">
        <v>98660</v>
      </c>
      <c r="Q274" t="inlineStr">
        <is>
          <t>InStock</t>
        </is>
      </c>
      <c r="R274" t="inlineStr">
        <is>
          <t>undefined</t>
        </is>
      </c>
      <c r="S274" t="inlineStr">
        <is>
          <t>7044071559</t>
        </is>
      </c>
    </row>
    <row r="275" ht="75" customHeight="1">
      <c r="A275" s="2">
        <f>HYPERLINK("https://camerareadycosmetics.com/products/ben-nye-lip-gloss", "https://camerareadycosmetics.com/products/ben-nye-lip-gloss")</f>
        <v/>
      </c>
      <c r="B275" s="2">
        <f>HYPERLINK("https://camerareadycosmetics.com/products/ben-nye-lip-gloss", "https://camerareadycosmetics.com/products/ben-nye-lip-gloss")</f>
        <v/>
      </c>
      <c r="C275" t="inlineStr">
        <is>
          <t>Lip Gloss</t>
        </is>
      </c>
      <c r="D275" t="inlineStr">
        <is>
          <t>Hydrating Lip Glow Oil, Plumping Lip Oil, Tinted Lip Balm Lip Care, Transparent Toot Lip Oil, Moisturizing Lip Gloss, Non-Sticky Long Lasting Lip Oil Gloss, Lip Plumper Gloss (Cherry)</t>
        </is>
      </c>
      <c r="E275" s="2">
        <f>HYPERLINK("https://www.amazon.com/Hydrating-Plumping-Transparent-Moisturizing-Non-Sticky/dp/B0C9C4M4X1/ref=sr_1_6?keywords=Lip+Gloss&amp;qid=1695565519&amp;sr=8-6", "https://www.amazon.com/Hydrating-Plumping-Transparent-Moisturizing-Non-Sticky/dp/B0C9C4M4X1/ref=sr_1_6?keywords=Lip+Gloss&amp;qid=1695565519&amp;sr=8-6")</f>
        <v/>
      </c>
      <c r="F275" t="inlineStr">
        <is>
          <t>B0C9C4M4X1</t>
        </is>
      </c>
      <c r="G275">
        <f>_xlfn.IMAGE("https://camerareadycosmetics.com/cdn/shop/products/107205002__29624.1429923663.600.600_50x.jpeg?v=1689647423")</f>
        <v/>
      </c>
      <c r="H275">
        <f>_xlfn.IMAGE("https://m.media-amazon.com/images/I/51k23pQmp0L._AC_UL320_.jpg")</f>
        <v/>
      </c>
      <c r="K275" t="inlineStr">
        <is>
          <t>9.5</t>
        </is>
      </c>
      <c r="L275" t="n">
        <v>4.69</v>
      </c>
      <c r="M275" s="1" t="inlineStr">
        <is>
          <t>-50.63%</t>
        </is>
      </c>
      <c r="N275" t="n">
        <v>4.2</v>
      </c>
      <c r="O275" t="n">
        <v>181</v>
      </c>
      <c r="Q275" t="inlineStr">
        <is>
          <t>InStock</t>
        </is>
      </c>
      <c r="R275" t="inlineStr">
        <is>
          <t>undefined</t>
        </is>
      </c>
      <c r="S275" t="inlineStr">
        <is>
          <t>7044071559</t>
        </is>
      </c>
    </row>
    <row r="276" ht="75" customHeight="1">
      <c r="A276" s="2">
        <f>HYPERLINK("https://camerareadycosmetics.com/products/ben-nye-lip-gloss", "https://camerareadycosmetics.com/products/ben-nye-lip-gloss")</f>
        <v/>
      </c>
      <c r="B276" s="2">
        <f>HYPERLINK("https://camerareadycosmetics.com/products/ben-nye-lip-gloss", "https://camerareadycosmetics.com/products/ben-nye-lip-gloss")</f>
        <v/>
      </c>
      <c r="C276" t="inlineStr">
        <is>
          <t>Lip Gloss</t>
        </is>
      </c>
      <c r="D276" t="inlineStr">
        <is>
          <t>Rimmel Stay Glossy Lipgloss 6 Hour Lip Gloss Blushing Belgraves 0.18 Fl Oz</t>
        </is>
      </c>
      <c r="E276" s="2">
        <f>HYPERLINK("https://www.amazon.com/Rimmel-Glossy-Lipgloss-Blushing-Belgraves/dp/B00Q26VWZI/ref=sr_1_9?keywords=Lip+Gloss&amp;qid=1695565519&amp;sr=8-9", "https://www.amazon.com/Rimmel-Glossy-Lipgloss-Blushing-Belgraves/dp/B00Q26VWZI/ref=sr_1_9?keywords=Lip+Gloss&amp;qid=1695565519&amp;sr=8-9")</f>
        <v/>
      </c>
      <c r="F276" t="inlineStr">
        <is>
          <t>B00Q26VWZI</t>
        </is>
      </c>
      <c r="G276">
        <f>_xlfn.IMAGE("https://camerareadycosmetics.com/cdn/shop/products/107205002__29624.1429923663.600.600_50x.jpeg?v=1689647423")</f>
        <v/>
      </c>
      <c r="H276">
        <f>_xlfn.IMAGE("https://m.media-amazon.com/images/I/71tiJe-UhSL._AC_UL320_.jpg")</f>
        <v/>
      </c>
      <c r="K276" t="inlineStr">
        <is>
          <t>9.5</t>
        </is>
      </c>
      <c r="L276" t="n">
        <v>3.53</v>
      </c>
      <c r="M276" s="1" t="inlineStr">
        <is>
          <t>-62.84%</t>
        </is>
      </c>
      <c r="N276" t="n">
        <v>4.4</v>
      </c>
      <c r="O276" t="n">
        <v>31265</v>
      </c>
      <c r="Q276" t="inlineStr">
        <is>
          <t>InStock</t>
        </is>
      </c>
      <c r="R276" t="inlineStr">
        <is>
          <t>undefined</t>
        </is>
      </c>
      <c r="S276" t="inlineStr">
        <is>
          <t>7044071559</t>
        </is>
      </c>
    </row>
    <row r="277" ht="75" customHeight="1">
      <c r="A277" s="2">
        <f>HYPERLINK("https://camerareadycosmetics.com/products/ben-nye-lip-gloss", "https://camerareadycosmetics.com/products/ben-nye-lip-gloss")</f>
        <v/>
      </c>
      <c r="B277" s="2">
        <f>HYPERLINK("https://camerareadycosmetics.com/products/ben-nye-lip-gloss", "https://camerareadycosmetics.com/products/ben-nye-lip-gloss")</f>
        <v/>
      </c>
      <c r="C277" t="inlineStr">
        <is>
          <t>Lip Gloss</t>
        </is>
      </c>
      <c r="D277" t="inlineStr">
        <is>
          <t>Expressions 8pc Lip Gloss Set, Flavored Roll On Lip Glosses with Carrying Case, Lip Gloss Set Value Pack, 8 Assorted Fruit Flavored Lip Gloss for Kids, Safe, Non Toxic Kids Makeup Set</t>
        </is>
      </c>
      <c r="E277" s="2">
        <f>HYPERLINK("https://www.amazon.com/EXPRESSIONS-Glitter-Flavored-Friendly-Stuffers/dp/B08J8JX7XQ/ref=sr_1_7?keywords=Lip+Gloss&amp;qid=1695565519&amp;sr=8-7", "https://www.amazon.com/EXPRESSIONS-Glitter-Flavored-Friendly-Stuffers/dp/B08J8JX7XQ/ref=sr_1_7?keywords=Lip+Gloss&amp;qid=1695565519&amp;sr=8-7")</f>
        <v/>
      </c>
      <c r="F277" t="inlineStr">
        <is>
          <t>B08J8JX7XQ</t>
        </is>
      </c>
      <c r="G277">
        <f>_xlfn.IMAGE("https://camerareadycosmetics.com/cdn/shop/products/107205002__29624.1429923663.600.600_50x.jpeg?v=1689647423")</f>
        <v/>
      </c>
      <c r="H277">
        <f>_xlfn.IMAGE("https://m.media-amazon.com/images/I/81lPAUhu57L._AC_UL320_.jpg")</f>
        <v/>
      </c>
      <c r="K277" t="inlineStr">
        <is>
          <t>9.5</t>
        </is>
      </c>
      <c r="L277" t="n">
        <v>3.47</v>
      </c>
      <c r="M277" s="1" t="inlineStr">
        <is>
          <t>-63.47%</t>
        </is>
      </c>
      <c r="N277" t="n">
        <v>4.1</v>
      </c>
      <c r="O277" t="n">
        <v>397</v>
      </c>
      <c r="Q277" t="inlineStr">
        <is>
          <t>InStock</t>
        </is>
      </c>
      <c r="R277" t="inlineStr">
        <is>
          <t>undefined</t>
        </is>
      </c>
      <c r="S277" t="inlineStr">
        <is>
          <t>7044071559</t>
        </is>
      </c>
    </row>
    <row r="278" ht="75" customHeight="1">
      <c r="A278" s="2">
        <f>HYPERLINK("https://camerareadycosmetics.com/products/ben-nye-lip-gloss", "https://camerareadycosmetics.com/products/ben-nye-lip-gloss")</f>
        <v/>
      </c>
      <c r="B278" s="2">
        <f>HYPERLINK("https://camerareadycosmetics.com/products/ben-nye-lip-gloss", "https://camerareadycosmetics.com/products/ben-nye-lip-gloss")</f>
        <v/>
      </c>
      <c r="C278" t="inlineStr">
        <is>
          <t>Lip Gloss</t>
        </is>
      </c>
      <c r="D278" t="inlineStr">
        <is>
          <t>wet n wild Mega Slicks Lip Gloss | Long Lasting | Hyaluronic Acid | High Shine | Champagne Please</t>
        </is>
      </c>
      <c r="E278" s="2">
        <f>HYPERLINK("https://www.amazon.com/Slicks-Lasting-Hyaluronic-Champagne-Please/dp/B09NXKS71N/ref=sr_1_10?keywords=Lip+Gloss&amp;qid=1695565519&amp;sr=8-10", "https://www.amazon.com/Slicks-Lasting-Hyaluronic-Champagne-Please/dp/B09NXKS71N/ref=sr_1_10?keywords=Lip+Gloss&amp;qid=1695565519&amp;sr=8-10")</f>
        <v/>
      </c>
      <c r="F278" t="inlineStr">
        <is>
          <t>B09NXKS71N</t>
        </is>
      </c>
      <c r="G278">
        <f>_xlfn.IMAGE("https://camerareadycosmetics.com/cdn/shop/products/107205002__29624.1429923663.600.600_50x.jpeg?v=1689647423")</f>
        <v/>
      </c>
      <c r="H278">
        <f>_xlfn.IMAGE("https://m.media-amazon.com/images/I/81cs1UPBM0L._AC_UL320_.jpg")</f>
        <v/>
      </c>
      <c r="K278" t="inlineStr">
        <is>
          <t>9.5</t>
        </is>
      </c>
      <c r="L278" t="n">
        <v>1.99</v>
      </c>
      <c r="M278" s="1" t="inlineStr">
        <is>
          <t>-79.05%</t>
        </is>
      </c>
      <c r="N278" t="n">
        <v>4.3</v>
      </c>
      <c r="O278" t="n">
        <v>7701</v>
      </c>
      <c r="Q278" t="inlineStr">
        <is>
          <t>InStock</t>
        </is>
      </c>
      <c r="R278" t="inlineStr">
        <is>
          <t>undefined</t>
        </is>
      </c>
      <c r="S278" t="inlineStr">
        <is>
          <t>7044071559</t>
        </is>
      </c>
    </row>
    <row r="279" ht="75" customHeight="1">
      <c r="A279" s="2">
        <f>HYPERLINK("https://camerareadycosmetics.com/products/ben-nye-lip-gloss", "https://camerareadycosmetics.com/products/ben-nye-lip-gloss")</f>
        <v/>
      </c>
      <c r="B279" s="2">
        <f>HYPERLINK("https://camerareadycosmetics.com/products/ben-nye-lip-gloss", "https://camerareadycosmetics.com/products/ben-nye-lip-gloss")</f>
        <v/>
      </c>
      <c r="C279" t="inlineStr">
        <is>
          <t>Lip Gloss</t>
        </is>
      </c>
      <c r="D279" t="inlineStr">
        <is>
          <t>NYX PROFESSIONAL MAKEUP Butter Gloss, Non-Sticky Lip Gloss - Sugar Glass (Clear)</t>
        </is>
      </c>
      <c r="E279" s="2">
        <f>HYPERLINK("https://www.amazon.com/NYX-PROFESSIONAL-MAKEUP-Butter-Non-Sticky/dp/B09SP2XHKT/ref=sr_1_1?keywords=Lip+Gloss&amp;qid=1695565519&amp;sr=8-1", "https://www.amazon.com/NYX-PROFESSIONAL-MAKEUP-Butter-Non-Sticky/dp/B09SP2XHKT/ref=sr_1_1?keywords=Lip+Gloss&amp;qid=1695565519&amp;sr=8-1")</f>
        <v/>
      </c>
      <c r="F279" t="inlineStr">
        <is>
          <t>B09SP2XHKT</t>
        </is>
      </c>
      <c r="G279">
        <f>_xlfn.IMAGE("https://camerareadycosmetics.com/cdn/shop/products/107205002__29624.1429923663.600.600_50x.jpeg?v=1689647423")</f>
        <v/>
      </c>
      <c r="H279">
        <f>_xlfn.IMAGE("https://m.media-amazon.com/images/I/51Ba+Npec2L._AC_UL320_.jpg")</f>
        <v/>
      </c>
      <c r="K279" t="inlineStr">
        <is>
          <t>9.5</t>
        </is>
      </c>
      <c r="L279" t="n">
        <v>4.97</v>
      </c>
      <c r="M279" s="1" t="inlineStr">
        <is>
          <t>-47.68%</t>
        </is>
      </c>
      <c r="N279" t="n">
        <v>4.5</v>
      </c>
      <c r="O279" t="n">
        <v>98660</v>
      </c>
      <c r="Q279" t="inlineStr">
        <is>
          <t>InStock</t>
        </is>
      </c>
      <c r="R279" t="inlineStr">
        <is>
          <t>undefined</t>
        </is>
      </c>
      <c r="S279" t="inlineStr">
        <is>
          <t>7044071559</t>
        </is>
      </c>
    </row>
    <row r="280" ht="75" customHeight="1">
      <c r="A280" s="2">
        <f>HYPERLINK("https://camerareadycosmetics.com/products/ben-nye-lip-gloss", "https://camerareadycosmetics.com/products/ben-nye-lip-gloss")</f>
        <v/>
      </c>
      <c r="B280" s="2">
        <f>HYPERLINK("https://camerareadycosmetics.com/products/ben-nye-lip-gloss", "https://camerareadycosmetics.com/products/ben-nye-lip-gloss")</f>
        <v/>
      </c>
      <c r="C280" t="inlineStr">
        <is>
          <t>Lip Gloss</t>
        </is>
      </c>
      <c r="D280" t="inlineStr">
        <is>
          <t>Hydrating Lip Glow Oil, Plumping Lip Oil, Tinted Lip Balm Lip Care, Transparent Toot Lip Oil, Moisturizing Lip Gloss, Non-Sticky Long Lasting Lip Oil Gloss, Lip Plumper Gloss (Cherry)</t>
        </is>
      </c>
      <c r="E280" s="2">
        <f>HYPERLINK("https://www.amazon.com/Hydrating-Plumping-Transparent-Moisturizing-Non-Sticky/dp/B0C9C4M4X1/ref=sr_1_6?keywords=Lip+Gloss&amp;qid=1695565519&amp;sr=8-6", "https://www.amazon.com/Hydrating-Plumping-Transparent-Moisturizing-Non-Sticky/dp/B0C9C4M4X1/ref=sr_1_6?keywords=Lip+Gloss&amp;qid=1695565519&amp;sr=8-6")</f>
        <v/>
      </c>
      <c r="F280" t="inlineStr">
        <is>
          <t>B0C9C4M4X1</t>
        </is>
      </c>
      <c r="G280">
        <f>_xlfn.IMAGE("https://camerareadycosmetics.com/cdn/shop/products/107205002__29624.1429923663.600.600_50x.jpeg?v=1689647423")</f>
        <v/>
      </c>
      <c r="H280">
        <f>_xlfn.IMAGE("https://m.media-amazon.com/images/I/51k23pQmp0L._AC_UL320_.jpg")</f>
        <v/>
      </c>
      <c r="K280" t="inlineStr">
        <is>
          <t>9.5</t>
        </is>
      </c>
      <c r="L280" t="n">
        <v>4.69</v>
      </c>
      <c r="M280" s="1" t="inlineStr">
        <is>
          <t>-50.63%</t>
        </is>
      </c>
      <c r="N280" t="n">
        <v>4.2</v>
      </c>
      <c r="O280" t="n">
        <v>181</v>
      </c>
      <c r="Q280" t="inlineStr">
        <is>
          <t>InStock</t>
        </is>
      </c>
      <c r="R280" t="inlineStr">
        <is>
          <t>undefined</t>
        </is>
      </c>
      <c r="S280" t="inlineStr">
        <is>
          <t>7044071559</t>
        </is>
      </c>
    </row>
    <row r="281" ht="75" customHeight="1">
      <c r="A281" s="2">
        <f>HYPERLINK("https://camerareadycosmetics.com/products/ben-nye-lip-gloss", "https://camerareadycosmetics.com/products/ben-nye-lip-gloss")</f>
        <v/>
      </c>
      <c r="B281" s="2">
        <f>HYPERLINK("https://camerareadycosmetics.com/products/ben-nye-lip-gloss", "https://camerareadycosmetics.com/products/ben-nye-lip-gloss")</f>
        <v/>
      </c>
      <c r="C281" t="inlineStr">
        <is>
          <t>Lip Gloss</t>
        </is>
      </c>
      <c r="D281" t="inlineStr">
        <is>
          <t>Rimmel Stay Glossy Lipgloss 6 Hour Lip Gloss Blushing Belgraves 0.18 Fl Oz</t>
        </is>
      </c>
      <c r="E281" s="2">
        <f>HYPERLINK("https://www.amazon.com/Rimmel-Glossy-Lipgloss-Blushing-Belgraves/dp/B00Q26VWZI/ref=sr_1_9?keywords=Lip+Gloss&amp;qid=1695565519&amp;sr=8-9", "https://www.amazon.com/Rimmel-Glossy-Lipgloss-Blushing-Belgraves/dp/B00Q26VWZI/ref=sr_1_9?keywords=Lip+Gloss&amp;qid=1695565519&amp;sr=8-9")</f>
        <v/>
      </c>
      <c r="F281" t="inlineStr">
        <is>
          <t>B00Q26VWZI</t>
        </is>
      </c>
      <c r="G281">
        <f>_xlfn.IMAGE("https://camerareadycosmetics.com/cdn/shop/products/107205002__29624.1429923663.600.600_50x.jpeg?v=1689647423")</f>
        <v/>
      </c>
      <c r="H281">
        <f>_xlfn.IMAGE("https://m.media-amazon.com/images/I/71tiJe-UhSL._AC_UL320_.jpg")</f>
        <v/>
      </c>
      <c r="K281" t="inlineStr">
        <is>
          <t>9.5</t>
        </is>
      </c>
      <c r="L281" t="n">
        <v>3.53</v>
      </c>
      <c r="M281" s="1" t="inlineStr">
        <is>
          <t>-62.84%</t>
        </is>
      </c>
      <c r="N281" t="n">
        <v>4.4</v>
      </c>
      <c r="O281" t="n">
        <v>31265</v>
      </c>
      <c r="Q281" t="inlineStr">
        <is>
          <t>InStock</t>
        </is>
      </c>
      <c r="R281" t="inlineStr">
        <is>
          <t>undefined</t>
        </is>
      </c>
      <c r="S281" t="inlineStr">
        <is>
          <t>7044071559</t>
        </is>
      </c>
    </row>
    <row r="282" ht="75" customHeight="1">
      <c r="A282" s="2">
        <f>HYPERLINK("https://camerareadycosmetics.com/products/ben-nye-lip-gloss", "https://camerareadycosmetics.com/products/ben-nye-lip-gloss")</f>
        <v/>
      </c>
      <c r="B282" s="2">
        <f>HYPERLINK("https://camerareadycosmetics.com/products/ben-nye-lip-gloss", "https://camerareadycosmetics.com/products/ben-nye-lip-gloss")</f>
        <v/>
      </c>
      <c r="C282" t="inlineStr">
        <is>
          <t>Lip Gloss</t>
        </is>
      </c>
      <c r="D282" t="inlineStr">
        <is>
          <t>Expressions 8pc Lip Gloss Set, Flavored Roll On Lip Glosses with Carrying Case, Lip Gloss Set Value Pack, 8 Assorted Fruit Flavored Lip Gloss for Kids, Safe, Non Toxic Kids Makeup Set</t>
        </is>
      </c>
      <c r="E282" s="2">
        <f>HYPERLINK("https://www.amazon.com/EXPRESSIONS-Glitter-Flavored-Friendly-Stuffers/dp/B08J8JX7XQ/ref=sr_1_7?keywords=Lip+Gloss&amp;qid=1695565519&amp;sr=8-7", "https://www.amazon.com/EXPRESSIONS-Glitter-Flavored-Friendly-Stuffers/dp/B08J8JX7XQ/ref=sr_1_7?keywords=Lip+Gloss&amp;qid=1695565519&amp;sr=8-7")</f>
        <v/>
      </c>
      <c r="F282" t="inlineStr">
        <is>
          <t>B08J8JX7XQ</t>
        </is>
      </c>
      <c r="G282">
        <f>_xlfn.IMAGE("https://camerareadycosmetics.com/cdn/shop/products/107205002__29624.1429923663.600.600_50x.jpeg?v=1689647423")</f>
        <v/>
      </c>
      <c r="H282">
        <f>_xlfn.IMAGE("https://m.media-amazon.com/images/I/81lPAUhu57L._AC_UL320_.jpg")</f>
        <v/>
      </c>
      <c r="K282" t="inlineStr">
        <is>
          <t>9.5</t>
        </is>
      </c>
      <c r="L282" t="n">
        <v>3.47</v>
      </c>
      <c r="M282" s="1" t="inlineStr">
        <is>
          <t>-63.47%</t>
        </is>
      </c>
      <c r="N282" t="n">
        <v>4.1</v>
      </c>
      <c r="O282" t="n">
        <v>397</v>
      </c>
      <c r="Q282" t="inlineStr">
        <is>
          <t>InStock</t>
        </is>
      </c>
      <c r="R282" t="inlineStr">
        <is>
          <t>undefined</t>
        </is>
      </c>
      <c r="S282" t="inlineStr">
        <is>
          <t>7044071559</t>
        </is>
      </c>
    </row>
    <row r="283" ht="75" customHeight="1">
      <c r="A283" s="2">
        <f>HYPERLINK("https://camerareadycosmetics.com/products/ben-nye-lip-gloss", "https://camerareadycosmetics.com/products/ben-nye-lip-gloss")</f>
        <v/>
      </c>
      <c r="B283" s="2">
        <f>HYPERLINK("https://camerareadycosmetics.com/products/ben-nye-lip-gloss", "https://camerareadycosmetics.com/products/ben-nye-lip-gloss")</f>
        <v/>
      </c>
      <c r="C283" t="inlineStr">
        <is>
          <t>Lip Gloss</t>
        </is>
      </c>
      <c r="D283" t="inlineStr">
        <is>
          <t>wet n wild Mega Slicks Lip Gloss | Long Lasting | Hyaluronic Acid | High Shine | Champagne Please</t>
        </is>
      </c>
      <c r="E283" s="2">
        <f>HYPERLINK("https://www.amazon.com/Slicks-Lasting-Hyaluronic-Champagne-Please/dp/B09NXKS71N/ref=sr_1_10?keywords=Lip+Gloss&amp;qid=1695565519&amp;sr=8-10", "https://www.amazon.com/Slicks-Lasting-Hyaluronic-Champagne-Please/dp/B09NXKS71N/ref=sr_1_10?keywords=Lip+Gloss&amp;qid=1695565519&amp;sr=8-10")</f>
        <v/>
      </c>
      <c r="F283" t="inlineStr">
        <is>
          <t>B09NXKS71N</t>
        </is>
      </c>
      <c r="G283">
        <f>_xlfn.IMAGE("https://camerareadycosmetics.com/cdn/shop/products/107205002__29624.1429923663.600.600_50x.jpeg?v=1689647423")</f>
        <v/>
      </c>
      <c r="H283">
        <f>_xlfn.IMAGE("https://m.media-amazon.com/images/I/81cs1UPBM0L._AC_UL320_.jpg")</f>
        <v/>
      </c>
      <c r="K283" t="inlineStr">
        <is>
          <t>9.5</t>
        </is>
      </c>
      <c r="L283" t="n">
        <v>1.99</v>
      </c>
      <c r="M283" s="1" t="inlineStr">
        <is>
          <t>-79.05%</t>
        </is>
      </c>
      <c r="N283" t="n">
        <v>4.3</v>
      </c>
      <c r="O283" t="n">
        <v>7701</v>
      </c>
      <c r="Q283" t="inlineStr">
        <is>
          <t>InStock</t>
        </is>
      </c>
      <c r="R283" t="inlineStr">
        <is>
          <t>undefined</t>
        </is>
      </c>
      <c r="S283" t="inlineStr">
        <is>
          <t>7044071559</t>
        </is>
      </c>
    </row>
    <row r="284" ht="75" customHeight="1">
      <c r="A284" s="2">
        <f>HYPERLINK("https://camerareadycosmetics.com/products/ben-nye-lip-gloss-wheel", "https://camerareadycosmetics.com/products/ben-nye-lip-gloss-wheel")</f>
        <v/>
      </c>
      <c r="B284" s="2">
        <f>HYPERLINK("https://camerareadycosmetics.com/products/ben-nye-lip-gloss-wheel", "https://camerareadycosmetics.com/products/ben-nye-lip-gloss-wheel")</f>
        <v/>
      </c>
      <c r="C284" t="inlineStr">
        <is>
          <t>Lip Gloss Wheel</t>
        </is>
      </c>
      <c r="D284" t="inlineStr">
        <is>
          <t>XXR 565 Flat Black/Gloss Black Lip Wheel with Painted (18 x 8.5 inches /5 x 4 mm, 35 mm Offset)</t>
        </is>
      </c>
      <c r="E284" s="2">
        <f>HYPERLINK("https://www.amazon.com/XXR-565-Painted-inches-Offset/dp/B07GNJV9TN/ref=sr_1_6?keywords=Lip+Gloss+Wheel&amp;qid=1695565586&amp;sr=8-6", "https://www.amazon.com/XXR-565-Painted-inches-Offset/dp/B07GNJV9TN/ref=sr_1_6?keywords=Lip+Gloss+Wheel&amp;qid=1695565586&amp;sr=8-6")</f>
        <v/>
      </c>
      <c r="F284" t="inlineStr">
        <is>
          <t>B07GNJV9TN</t>
        </is>
      </c>
      <c r="G284">
        <f>_xlfn.IMAGE("https://camerareadycosmetics.com/cdn/shop/products/107066000_2__09909.1432858113.600.600_50x.jpeg?v=1689630909")</f>
        <v/>
      </c>
      <c r="H284">
        <f>_xlfn.IMAGE("https://m.media-amazon.com/images/I/712tO4YOO+L._AC_UL320_.jpg")</f>
        <v/>
      </c>
      <c r="K284" t="inlineStr">
        <is>
          <t>28.0</t>
        </is>
      </c>
      <c r="L284" t="n">
        <v>206.85</v>
      </c>
      <c r="M284" s="1" t="inlineStr">
        <is>
          <t>638.75%</t>
        </is>
      </c>
      <c r="N284" t="n">
        <v>5</v>
      </c>
      <c r="O284" t="n">
        <v>1</v>
      </c>
      <c r="Q284" t="inlineStr">
        <is>
          <t>InStock</t>
        </is>
      </c>
      <c r="R284" t="inlineStr">
        <is>
          <t>undefined</t>
        </is>
      </c>
      <c r="S284" t="inlineStr">
        <is>
          <t>7035708039</t>
        </is>
      </c>
    </row>
    <row r="285" ht="75" customHeight="1">
      <c r="A285" s="2">
        <f>HYPERLINK("https://camerareadycosmetics.com/products/ben-nye-lip-gloss-wheel", "https://camerareadycosmetics.com/products/ben-nye-lip-gloss-wheel")</f>
        <v/>
      </c>
      <c r="B285" s="2">
        <f>HYPERLINK("https://camerareadycosmetics.com/products/ben-nye-lip-gloss-wheel", "https://camerareadycosmetics.com/products/ben-nye-lip-gloss-wheel")</f>
        <v/>
      </c>
      <c r="C285" t="inlineStr">
        <is>
          <t>Lip Gloss Wheel</t>
        </is>
      </c>
      <c r="D285" t="inlineStr">
        <is>
          <t>Custom Wheels AR105 Torq Thrust M Gloss Black Wheel With Machined Lip (17x9"/5x120.7mm, +45mm offset)</t>
        </is>
      </c>
      <c r="E285" s="2">
        <f>HYPERLINK("https://www.amazon.com/American-Racing-AR105M-5X4-75-MACH-LP/dp/B00264G3KE/ref=sr_1_10?keywords=Lip+Gloss+Wheel&amp;qid=1695565586&amp;sr=8-10", "https://www.amazon.com/American-Racing-AR105M-5X4-75-MACH-LP/dp/B00264G3KE/ref=sr_1_10?keywords=Lip+Gloss+Wheel&amp;qid=1695565586&amp;sr=8-10")</f>
        <v/>
      </c>
      <c r="F285" t="inlineStr">
        <is>
          <t>B00264G3KE</t>
        </is>
      </c>
      <c r="G285">
        <f>_xlfn.IMAGE("https://camerareadycosmetics.com/cdn/shop/products/107066000_2__09909.1432858113.600.600_50x.jpeg?v=1689630909")</f>
        <v/>
      </c>
      <c r="H285">
        <f>_xlfn.IMAGE("https://m.media-amazon.com/images/I/61Xqbhh6J2L._AC_UL320_.jpg")</f>
        <v/>
      </c>
      <c r="K285" t="inlineStr">
        <is>
          <t>28.0</t>
        </is>
      </c>
      <c r="L285" t="n">
        <v>202.49</v>
      </c>
      <c r="M285" s="1" t="inlineStr">
        <is>
          <t>623.18%</t>
        </is>
      </c>
      <c r="N285" t="n">
        <v>4.8</v>
      </c>
      <c r="O285" t="n">
        <v>12</v>
      </c>
      <c r="Q285" t="inlineStr">
        <is>
          <t>InStock</t>
        </is>
      </c>
      <c r="R285" t="inlineStr">
        <is>
          <t>undefined</t>
        </is>
      </c>
      <c r="S285" t="inlineStr">
        <is>
          <t>7035708039</t>
        </is>
      </c>
    </row>
    <row r="286" ht="75" customHeight="1">
      <c r="A286" s="2">
        <f>HYPERLINK("https://camerareadycosmetics.com/products/ben-nye-lip-gloss-wheel", "https://camerareadycosmetics.com/products/ben-nye-lip-gloss-wheel")</f>
        <v/>
      </c>
      <c r="B286" s="2">
        <f>HYPERLINK("https://camerareadycosmetics.com/products/ben-nye-lip-gloss-wheel", "https://camerareadycosmetics.com/products/ben-nye-lip-gloss-wheel")</f>
        <v/>
      </c>
      <c r="C286" t="inlineStr">
        <is>
          <t>Lip Gloss Wheel</t>
        </is>
      </c>
      <c r="D286" t="inlineStr">
        <is>
          <t>141 Legend5 Сustom Wheel - Gloss Black with Machined Lip 15" x 8", 0 Offset, 5x139.7 Bolt Pattern, 87.1mm Hub</t>
        </is>
      </c>
      <c r="E286" s="2">
        <f>HYPERLINK("https://www.amazon.com/Vision-141-Legend5-%D0%A1ustom-Wheel/dp/B07L2Y4MZM/ref=sr_1_3?keywords=Lip+Gloss+Wheel&amp;qid=1695565586&amp;sr=8-3", "https://www.amazon.com/Vision-141-Legend5-%D0%A1ustom-Wheel/dp/B07L2Y4MZM/ref=sr_1_3?keywords=Lip+Gloss+Wheel&amp;qid=1695565586&amp;sr=8-3")</f>
        <v/>
      </c>
      <c r="F286" t="inlineStr">
        <is>
          <t>B07L2Y4MZM</t>
        </is>
      </c>
      <c r="G286">
        <f>_xlfn.IMAGE("https://camerareadycosmetics.com/cdn/shop/products/107066000_2__09909.1432858113.600.600_50x.jpeg?v=1689630909")</f>
        <v/>
      </c>
      <c r="H286">
        <f>_xlfn.IMAGE("https://m.media-amazon.com/images/I/61x3gr6aLfL._AC_UL320_.jpg")</f>
        <v/>
      </c>
      <c r="K286" t="inlineStr">
        <is>
          <t>28.0</t>
        </is>
      </c>
      <c r="L286" t="n">
        <v>134.97</v>
      </c>
      <c r="M286" s="1" t="inlineStr">
        <is>
          <t>382.04%</t>
        </is>
      </c>
      <c r="N286" t="n">
        <v>5</v>
      </c>
      <c r="O286" t="n">
        <v>1</v>
      </c>
      <c r="Q286" t="inlineStr">
        <is>
          <t>InStock</t>
        </is>
      </c>
      <c r="R286" t="inlineStr">
        <is>
          <t>undefined</t>
        </is>
      </c>
      <c r="S286" t="inlineStr">
        <is>
          <t>7035708039</t>
        </is>
      </c>
    </row>
    <row r="287" ht="75" customHeight="1">
      <c r="A287" s="2">
        <f>HYPERLINK("https://camerareadycosmetics.com/products/ben-nye-lip-gloss-wheel", "https://camerareadycosmetics.com/products/ben-nye-lip-gloss-wheel")</f>
        <v/>
      </c>
      <c r="B287" s="2">
        <f>HYPERLINK("https://camerareadycosmetics.com/products/ben-nye-lip-gloss-wheel", "https://camerareadycosmetics.com/products/ben-nye-lip-gloss-wheel")</f>
        <v/>
      </c>
      <c r="C287" t="inlineStr">
        <is>
          <t>Lip Gloss Wheel</t>
        </is>
      </c>
      <c r="D287" t="inlineStr">
        <is>
          <t>Viking™ Series Machined Lip and Face Gloss Black Aluminum Trailer Wheel with Black Cap - 15" x 5" 5 On 4.5-2150 LB Load Carrying Capacity - 0 Offset *Trailer Use Only</t>
        </is>
      </c>
      <c r="E287" s="2">
        <f>HYPERLINK("https://www.amazon.com/Viking-Machined-Gloss-Aluminum-Trailer/dp/B07BB5HB69/ref=sr_1_4?keywords=Lip+Gloss+Wheel&amp;qid=1695565586&amp;sr=8-4", "https://www.amazon.com/Viking-Machined-Gloss-Aluminum-Trailer/dp/B07BB5HB69/ref=sr_1_4?keywords=Lip+Gloss+Wheel&amp;qid=1695565586&amp;sr=8-4")</f>
        <v/>
      </c>
      <c r="F287" t="inlineStr">
        <is>
          <t>B07BB5HB69</t>
        </is>
      </c>
      <c r="G287">
        <f>_xlfn.IMAGE("https://camerareadycosmetics.com/cdn/shop/products/107066000_2__09909.1432858113.600.600_50x.jpeg?v=1689630909")</f>
        <v/>
      </c>
      <c r="H287">
        <f>_xlfn.IMAGE("https://m.media-amazon.com/images/I/91M5lH3cMfL._AC_UL320_.jpg")</f>
        <v/>
      </c>
      <c r="K287" t="inlineStr">
        <is>
          <t>28.0</t>
        </is>
      </c>
      <c r="L287" t="n">
        <v>109.97</v>
      </c>
      <c r="M287" s="1" t="inlineStr">
        <is>
          <t>292.75%</t>
        </is>
      </c>
      <c r="N287" t="n">
        <v>4.6</v>
      </c>
      <c r="O287" t="n">
        <v>49</v>
      </c>
      <c r="Q287" t="inlineStr">
        <is>
          <t>InStock</t>
        </is>
      </c>
      <c r="R287" t="inlineStr">
        <is>
          <t>undefined</t>
        </is>
      </c>
      <c r="S287" t="inlineStr">
        <is>
          <t>7035708039</t>
        </is>
      </c>
    </row>
    <row r="288" ht="75" customHeight="1">
      <c r="A288" s="2">
        <f>HYPERLINK("https://camerareadycosmetics.com/products/ben-nye-lip-gloss-wheel", "https://camerareadycosmetics.com/products/ben-nye-lip-gloss-wheel")</f>
        <v/>
      </c>
      <c r="B288" s="2">
        <f>HYPERLINK("https://camerareadycosmetics.com/products/ben-nye-lip-gloss-wheel", "https://camerareadycosmetics.com/products/ben-nye-lip-gloss-wheel")</f>
        <v/>
      </c>
      <c r="C288" t="inlineStr">
        <is>
          <t>Lip Gloss Wheel</t>
        </is>
      </c>
      <c r="D288" t="inlineStr">
        <is>
          <t>L.O.L. Surprise! Party Favors - 6PC Mystery Character Wheel Fruity Lip Gloss Set</t>
        </is>
      </c>
      <c r="E288" s="2">
        <f>HYPERLINK("https://www.amazon.com/L-L-Surprise-Party-Favors/dp/B0912BS7SW/ref=sr_1_1?keywords=Lip+Gloss+Wheel&amp;qid=1695565586&amp;sr=8-1", "https://www.amazon.com/L-L-Surprise-Party-Favors/dp/B0912BS7SW/ref=sr_1_1?keywords=Lip+Gloss+Wheel&amp;qid=1695565586&amp;sr=8-1")</f>
        <v/>
      </c>
      <c r="F288" t="inlineStr">
        <is>
          <t>B0912BS7SW</t>
        </is>
      </c>
      <c r="G288">
        <f>_xlfn.IMAGE("https://camerareadycosmetics.com/cdn/shop/products/107066000_2__09909.1432858113.600.600_50x.jpeg?v=1689630909")</f>
        <v/>
      </c>
      <c r="H288">
        <f>_xlfn.IMAGE("https://m.media-amazon.com/images/I/91b51pPf+eS._AC_UL320_.jpg")</f>
        <v/>
      </c>
      <c r="K288" t="inlineStr">
        <is>
          <t>28.0</t>
        </is>
      </c>
      <c r="L288" t="n">
        <v>8.09</v>
      </c>
      <c r="M288" s="1" t="inlineStr">
        <is>
          <t>-71.11%</t>
        </is>
      </c>
      <c r="N288" t="n">
        <v>4.1</v>
      </c>
      <c r="O288" t="n">
        <v>3</v>
      </c>
      <c r="Q288" t="inlineStr">
        <is>
          <t>InStock</t>
        </is>
      </c>
      <c r="R288" t="inlineStr">
        <is>
          <t>undefined</t>
        </is>
      </c>
      <c r="S288" t="inlineStr">
        <is>
          <t>7035708039</t>
        </is>
      </c>
    </row>
    <row r="289" ht="75" customHeight="1">
      <c r="A289" s="2">
        <f>HYPERLINK("https://camerareadycosmetics.com/products/ben-nye-lip-gloss-wheel", "https://camerareadycosmetics.com/products/ben-nye-lip-gloss-wheel")</f>
        <v/>
      </c>
      <c r="B289" s="2">
        <f>HYPERLINK("https://camerareadycosmetics.com/products/ben-nye-lip-gloss-wheel", "https://camerareadycosmetics.com/products/ben-nye-lip-gloss-wheel")</f>
        <v/>
      </c>
      <c r="C289" t="inlineStr">
        <is>
          <t>Lip Gloss Wheel</t>
        </is>
      </c>
      <c r="D289" t="inlineStr">
        <is>
          <t>L.O.L. Surprise! Party Favors - 6PC Mystery Character Wheel Fruity Lip Gloss Set</t>
        </is>
      </c>
      <c r="E289" s="2">
        <f>HYPERLINK("https://www.amazon.com/L-L-Surprise-Party-Favors/dp/B0912BS7SW/ref=sr_1_1?keywords=Lip+Gloss+Wheel&amp;qid=1695565586&amp;sr=8-1", "https://www.amazon.com/L-L-Surprise-Party-Favors/dp/B0912BS7SW/ref=sr_1_1?keywords=Lip+Gloss+Wheel&amp;qid=1695565586&amp;sr=8-1")</f>
        <v/>
      </c>
      <c r="F289" t="inlineStr">
        <is>
          <t>B0912BS7SW</t>
        </is>
      </c>
      <c r="G289">
        <f>_xlfn.IMAGE("https://camerareadycosmetics.com/cdn/shop/products/107066000_2__09909.1432858113.600.600_50x.jpeg?v=1689630909")</f>
        <v/>
      </c>
      <c r="H289">
        <f>_xlfn.IMAGE("https://m.media-amazon.com/images/I/91b51pPf+eS._AC_UL320_.jpg")</f>
        <v/>
      </c>
      <c r="K289" t="inlineStr">
        <is>
          <t>28.0</t>
        </is>
      </c>
      <c r="L289" t="n">
        <v>8.09</v>
      </c>
      <c r="M289" s="1" t="inlineStr">
        <is>
          <t>-71.11%</t>
        </is>
      </c>
      <c r="N289" t="n">
        <v>4.1</v>
      </c>
      <c r="O289" t="n">
        <v>3</v>
      </c>
      <c r="Q289" t="inlineStr">
        <is>
          <t>InStock</t>
        </is>
      </c>
      <c r="R289" t="inlineStr">
        <is>
          <t>undefined</t>
        </is>
      </c>
      <c r="S289" t="inlineStr">
        <is>
          <t>7035708039</t>
        </is>
      </c>
    </row>
    <row r="290" ht="75" customHeight="1">
      <c r="A290" s="2">
        <f>HYPERLINK("https://camerareadycosmetics.com/products/ben-nye-lip-pencil", "https://camerareadycosmetics.com/products/ben-nye-lip-pencil")</f>
        <v/>
      </c>
      <c r="B290" s="2">
        <f>HYPERLINK("https://camerareadycosmetics.com/products/ben-nye-lip-pencil", "https://camerareadycosmetics.com/products/ben-nye-lip-pencil")</f>
        <v/>
      </c>
      <c r="C290" t="inlineStr">
        <is>
          <t>Classic Lip Pencil</t>
        </is>
      </c>
      <c r="D290" t="inlineStr">
        <is>
          <t>Brava Bold Lip Pencil - Classic Red Matte Finish / 8 Hour Finish/Water Resistant, Won't Feather or Bleed/Highly Pigmented Glides Like a Dream/Vegan &amp; Cruelty-Free/PVC Free Barrel</t>
        </is>
      </c>
      <c r="E290" s="2">
        <f>HYPERLINK("https://www.amazon.com/REINA-REBELDE-Brava-Bold-Pencil/dp/B0C8H7DMN3/ref=sr_1_6?keywords=Classic+Lip+Pencil&amp;qid=1695565474&amp;sr=8-6", "https://www.amazon.com/REINA-REBELDE-Brava-Bold-Pencil/dp/B0C8H7DMN3/ref=sr_1_6?keywords=Classic+Lip+Pencil&amp;qid=1695565474&amp;sr=8-6")</f>
        <v/>
      </c>
      <c r="F290" t="inlineStr">
        <is>
          <t>B0C8H7DMN3</t>
        </is>
      </c>
      <c r="G290">
        <f>_xlfn.IMAGE("https://camerareadycosmetics.com/cdn/shop/products/pencil_50x.jpg?v=1689645791")</f>
        <v/>
      </c>
      <c r="H290">
        <f>_xlfn.IMAGE("https://m.media-amazon.com/images/I/51e9GUTlfOL._AC_UL320_.jpg")</f>
        <v/>
      </c>
      <c r="K290" t="inlineStr">
        <is>
          <t>8.0</t>
        </is>
      </c>
      <c r="L290" t="n">
        <v>16.99</v>
      </c>
      <c r="M290" s="1" t="inlineStr">
        <is>
          <t>112.37%</t>
        </is>
      </c>
      <c r="N290" t="n">
        <v>3.6</v>
      </c>
      <c r="O290" t="n">
        <v>23</v>
      </c>
      <c r="Q290" t="inlineStr">
        <is>
          <t>InStock</t>
        </is>
      </c>
      <c r="R290" t="inlineStr">
        <is>
          <t>undefined</t>
        </is>
      </c>
      <c r="S290" t="inlineStr">
        <is>
          <t>7042186247</t>
        </is>
      </c>
    </row>
    <row r="291" ht="75" customHeight="1">
      <c r="A291" s="2">
        <f>HYPERLINK("https://camerareadycosmetics.com/products/ben-nye-lip-pencil", "https://camerareadycosmetics.com/products/ben-nye-lip-pencil")</f>
        <v/>
      </c>
      <c r="B291" s="2">
        <f>HYPERLINK("https://camerareadycosmetics.com/products/ben-nye-lip-pencil", "https://camerareadycosmetics.com/products/ben-nye-lip-pencil")</f>
        <v/>
      </c>
      <c r="C291" t="inlineStr">
        <is>
          <t>Classic Lip Pencil</t>
        </is>
      </c>
      <c r="D291" t="inlineStr">
        <is>
          <t>Jolie Slim Lip Pencil Classic Lipliner Definer (Spice)</t>
        </is>
      </c>
      <c r="E291" s="2">
        <f>HYPERLINK("https://www.amazon.com/Jolie-Pencil-Classic-Lipliner-Definer/dp/B01FVAD88E/ref=sr_1_3?keywords=Classic+Lip+Pencil&amp;qid=1695565474&amp;sr=8-3", "https://www.amazon.com/Jolie-Pencil-Classic-Lipliner-Definer/dp/B01FVAD88E/ref=sr_1_3?keywords=Classic+Lip+Pencil&amp;qid=1695565474&amp;sr=8-3")</f>
        <v/>
      </c>
      <c r="F291" t="inlineStr">
        <is>
          <t>B01FVAD88E</t>
        </is>
      </c>
      <c r="G291">
        <f>_xlfn.IMAGE("https://camerareadycosmetics.com/cdn/shop/products/pencil_50x.jpg?v=1689645791")</f>
        <v/>
      </c>
      <c r="H291">
        <f>_xlfn.IMAGE("https://m.media-amazon.com/images/I/21TidYg3PZL._AC_UL320_.jpg")</f>
        <v/>
      </c>
      <c r="K291" t="inlineStr">
        <is>
          <t>8.0</t>
        </is>
      </c>
      <c r="L291" t="n">
        <v>16.95</v>
      </c>
      <c r="M291" s="1" t="inlineStr">
        <is>
          <t>111.87%</t>
        </is>
      </c>
      <c r="N291" t="n">
        <v>3.1</v>
      </c>
      <c r="O291" t="n">
        <v>13</v>
      </c>
      <c r="Q291" t="inlineStr">
        <is>
          <t>InStock</t>
        </is>
      </c>
      <c r="R291" t="inlineStr">
        <is>
          <t>undefined</t>
        </is>
      </c>
      <c r="S291" t="inlineStr">
        <is>
          <t>7042186247</t>
        </is>
      </c>
    </row>
    <row r="292" ht="75" customHeight="1">
      <c r="A292" s="2">
        <f>HYPERLINK("https://camerareadycosmetics.com/products/ben-nye-lip-pencil", "https://camerareadycosmetics.com/products/ben-nye-lip-pencil")</f>
        <v/>
      </c>
      <c r="B292" s="2">
        <f>HYPERLINK("https://camerareadycosmetics.com/products/ben-nye-lip-pencil", "https://camerareadycosmetics.com/products/ben-nye-lip-pencil")</f>
        <v/>
      </c>
      <c r="C292" t="inlineStr">
        <is>
          <t>Classic Lip Pencil</t>
        </is>
      </c>
      <c r="D292" t="inlineStr">
        <is>
          <t>Prestige Classic Lip Pencil, Spice Bronze, 0.04 Ounce, (L-93)</t>
        </is>
      </c>
      <c r="E292" s="2">
        <f>HYPERLINK("https://www.amazon.com/Prestige-Classic-Pencil-Spice-Bronze/dp/B000VWOMX8/ref=sr_1_1?keywords=Classic+Lip+Pencil&amp;qid=1695565474&amp;sr=8-1", "https://www.amazon.com/Prestige-Classic-Pencil-Spice-Bronze/dp/B000VWOMX8/ref=sr_1_1?keywords=Classic+Lip+Pencil&amp;qid=1695565474&amp;sr=8-1")</f>
        <v/>
      </c>
      <c r="F292" t="inlineStr">
        <is>
          <t>B000VWOMX8</t>
        </is>
      </c>
      <c r="G292">
        <f>_xlfn.IMAGE("https://camerareadycosmetics.com/cdn/shop/products/pencil_50x.jpg?v=1689645791")</f>
        <v/>
      </c>
      <c r="H292">
        <f>_xlfn.IMAGE("https://m.media-amazon.com/images/I/51imL8JGMLL._AC_UL320_.jpg")</f>
        <v/>
      </c>
      <c r="K292" t="inlineStr">
        <is>
          <t>8.0</t>
        </is>
      </c>
      <c r="L292" t="n">
        <v>13.05</v>
      </c>
      <c r="M292" s="1" t="inlineStr">
        <is>
          <t>63.13%</t>
        </is>
      </c>
      <c r="N292" t="n">
        <v>4.7</v>
      </c>
      <c r="O292" t="n">
        <v>248</v>
      </c>
      <c r="Q292" t="inlineStr">
        <is>
          <t>InStock</t>
        </is>
      </c>
      <c r="R292" t="inlineStr">
        <is>
          <t>undefined</t>
        </is>
      </c>
      <c r="S292" t="inlineStr">
        <is>
          <t>7042186247</t>
        </is>
      </c>
    </row>
    <row r="293" ht="75" customHeight="1">
      <c r="A293" s="2">
        <f>HYPERLINK("https://camerareadycosmetics.com/products/ben-nye-lipstick", "https://camerareadycosmetics.com/products/ben-nye-lipstick")</f>
        <v/>
      </c>
      <c r="B293" s="2">
        <f>HYPERLINK("https://camerareadycosmetics.com/products/ben-nye-lipstick", "https://camerareadycosmetics.com/products/ben-nye-lipstick")</f>
        <v/>
      </c>
      <c r="C293" t="inlineStr">
        <is>
          <t>Lipstick</t>
        </is>
      </c>
      <c r="D293" t="inlineStr">
        <is>
          <t>2in1 Lipstick and Lipgloss - Hydrating All Day Coverage, Instant Shine, Liquid, Long-Lasting, Vegan Cruelty-Free, Highly Pigmented (Champagne Rouge)</t>
        </is>
      </c>
      <c r="E293" s="2">
        <f>HYPERLINK("https://www.amazon.com/Champagne-Catching-Kissproof-Long-Lasting-Nourishing/dp/B091682LD3/ref=sr_1_9?keywords=Lipstick&amp;qid=1695565424&amp;sr=8-9", "https://www.amazon.com/Champagne-Catching-Kissproof-Long-Lasting-Nourishing/dp/B091682LD3/ref=sr_1_9?keywords=Lipstick&amp;qid=1695565424&amp;sr=8-9")</f>
        <v/>
      </c>
      <c r="F293" t="inlineStr">
        <is>
          <t>B091682LD3</t>
        </is>
      </c>
      <c r="G293">
        <f>_xlfn.IMAGE("https://camerareadycosmetics.com/cdn/shop/products/5976_zoom_1393618404_50x.jpg?v=1689631114")</f>
        <v/>
      </c>
      <c r="H293">
        <f>_xlfn.IMAGE("https://m.media-amazon.com/images/I/41FNlqpoilL._AC_UL320_.jpg")</f>
        <v/>
      </c>
      <c r="K293" t="inlineStr">
        <is>
          <t>16.0</t>
        </is>
      </c>
      <c r="L293" t="n">
        <v>50.97</v>
      </c>
      <c r="M293" s="1" t="inlineStr">
        <is>
          <t>218.56%</t>
        </is>
      </c>
      <c r="N293" t="n">
        <v>3.8</v>
      </c>
      <c r="O293" t="n">
        <v>222</v>
      </c>
      <c r="Q293" t="inlineStr">
        <is>
          <t>InStock</t>
        </is>
      </c>
      <c r="R293" t="inlineStr">
        <is>
          <t>16.0</t>
        </is>
      </c>
      <c r="S293" t="inlineStr">
        <is>
          <t>7035733703</t>
        </is>
      </c>
    </row>
    <row r="294" ht="75" customHeight="1">
      <c r="A294" s="2">
        <f>HYPERLINK("https://camerareadycosmetics.com/products/ben-nye-lipstick", "https://camerareadycosmetics.com/products/ben-nye-lipstick")</f>
        <v/>
      </c>
      <c r="B294" s="2">
        <f>HYPERLINK("https://camerareadycosmetics.com/products/ben-nye-lipstick", "https://camerareadycosmetics.com/products/ben-nye-lipstick")</f>
        <v/>
      </c>
      <c r="C294" t="inlineStr">
        <is>
          <t>Lipstick</t>
        </is>
      </c>
      <c r="D294" t="inlineStr">
        <is>
          <t>MAYBELLINE New York Super Stay Vinyl Ink Longwear No-Budge Liquid Lipcolor Makeup, Highly Pigmented Color and Instant Shine, Punchy, Nude Lipstick, 0.14 fl oz, 1 Count</t>
        </is>
      </c>
      <c r="E294" s="2">
        <f>HYPERLINK("https://www.amazon.com/Maybelline-Longwear-No-Budge-Lipcolor-Pigmented/dp/B0BCCD784G/ref=sr_1_4?keywords=Lipstick&amp;qid=1695565424&amp;sr=8-4", "https://www.amazon.com/Maybelline-Longwear-No-Budge-Lipcolor-Pigmented/dp/B0BCCD784G/ref=sr_1_4?keywords=Lipstick&amp;qid=1695565424&amp;sr=8-4")</f>
        <v/>
      </c>
      <c r="F294" t="inlineStr">
        <is>
          <t>B0BCCD784G</t>
        </is>
      </c>
      <c r="G294">
        <f>_xlfn.IMAGE("https://camerareadycosmetics.com/cdn/shop/products/5976_zoom_1393618404_50x.jpg?v=1689631114")</f>
        <v/>
      </c>
      <c r="H294">
        <f>_xlfn.IMAGE("https://m.media-amazon.com/images/I/71hdQ9s0hTL._AC_UL320_.jpg")</f>
        <v/>
      </c>
      <c r="K294" t="inlineStr">
        <is>
          <t>16.0</t>
        </is>
      </c>
      <c r="L294" t="n">
        <v>9.619999999999999</v>
      </c>
      <c r="M294" s="1" t="inlineStr">
        <is>
          <t>-39.88%</t>
        </is>
      </c>
      <c r="N294" t="n">
        <v>4.3</v>
      </c>
      <c r="O294" t="n">
        <v>31716</v>
      </c>
      <c r="Q294" t="inlineStr">
        <is>
          <t>InStock</t>
        </is>
      </c>
      <c r="R294" t="inlineStr">
        <is>
          <t>16.0</t>
        </is>
      </c>
      <c r="S294" t="inlineStr">
        <is>
          <t>7035733703</t>
        </is>
      </c>
    </row>
    <row r="295" ht="75" customHeight="1">
      <c r="A295" s="2">
        <f>HYPERLINK("https://camerareadycosmetics.com/products/ben-nye-lipstick", "https://camerareadycosmetics.com/products/ben-nye-lipstick")</f>
        <v/>
      </c>
      <c r="B295" s="2">
        <f>HYPERLINK("https://camerareadycosmetics.com/products/ben-nye-lipstick", "https://camerareadycosmetics.com/products/ben-nye-lipstick")</f>
        <v/>
      </c>
      <c r="C295" t="inlineStr">
        <is>
          <t>Lipstick</t>
        </is>
      </c>
      <c r="D295" t="inlineStr">
        <is>
          <t>L'Oreal Paris Colour Riche Original Creamy, Hydrating Satin Lipstick with Argan Oil and Vitamin E, Caramel Latte , 1 Count</t>
        </is>
      </c>
      <c r="E295" s="2">
        <f>HYPERLINK("https://www.amazon.com/Paris-Original-Hydrating-Lipstick-Caramel/dp/B004BCX8JS/ref=sr_1_2?keywords=Lipstick&amp;qid=1695565424&amp;sr=8-2", "https://www.amazon.com/Paris-Original-Hydrating-Lipstick-Caramel/dp/B004BCX8JS/ref=sr_1_2?keywords=Lipstick&amp;qid=1695565424&amp;sr=8-2")</f>
        <v/>
      </c>
      <c r="F295" t="inlineStr">
        <is>
          <t>B004BCX8JS</t>
        </is>
      </c>
      <c r="G295">
        <f>_xlfn.IMAGE("https://camerareadycosmetics.com/cdn/shop/products/5976_zoom_1393618404_50x.jpg?v=1689631114")</f>
        <v/>
      </c>
      <c r="H295">
        <f>_xlfn.IMAGE("https://m.media-amazon.com/images/I/51F4LbtsOfL._AC_UL320_.jpg")</f>
        <v/>
      </c>
      <c r="K295" t="inlineStr">
        <is>
          <t>16.0</t>
        </is>
      </c>
      <c r="L295" t="n">
        <v>6.97</v>
      </c>
      <c r="M295" s="1" t="inlineStr">
        <is>
          <t>-56.44%</t>
        </is>
      </c>
      <c r="N295" t="n">
        <v>4.5</v>
      </c>
      <c r="O295" t="n">
        <v>30987</v>
      </c>
      <c r="Q295" t="inlineStr">
        <is>
          <t>InStock</t>
        </is>
      </c>
      <c r="R295" t="inlineStr">
        <is>
          <t>16.0</t>
        </is>
      </c>
      <c r="S295" t="inlineStr">
        <is>
          <t>7035733703</t>
        </is>
      </c>
    </row>
    <row r="296" ht="75" customHeight="1">
      <c r="A296" s="2">
        <f>HYPERLINK("https://camerareadycosmetics.com/products/ben-nye-lipstick", "https://camerareadycosmetics.com/products/ben-nye-lipstick")</f>
        <v/>
      </c>
      <c r="B296" s="2">
        <f>HYPERLINK("https://camerareadycosmetics.com/products/ben-nye-lipstick", "https://camerareadycosmetics.com/products/ben-nye-lipstick")</f>
        <v/>
      </c>
      <c r="C296" t="inlineStr">
        <is>
          <t>Lipstick</t>
        </is>
      </c>
      <c r="D296" t="inlineStr">
        <is>
          <t>Revlon Lipstick, Super Lustrous Lipstick, High Impact Lipcolor with Moisturizing Creamy Formula, Infused with Vitamin E and Avocado Oil, 755 Bare It All</t>
        </is>
      </c>
      <c r="E296" s="2">
        <f>HYPERLINK("https://www.amazon.com/Revlon-Lustrous-Lipstick-Vitamin-Avocado/dp/B07XTTDTWR/ref=sr_1_7?keywords=Lipstick&amp;qid=1695565424&amp;rdc=1&amp;sr=8-7", "https://www.amazon.com/Revlon-Lustrous-Lipstick-Vitamin-Avocado/dp/B07XTTDTWR/ref=sr_1_7?keywords=Lipstick&amp;qid=1695565424&amp;rdc=1&amp;sr=8-7")</f>
        <v/>
      </c>
      <c r="F296" t="inlineStr">
        <is>
          <t>B07XTTDTWR</t>
        </is>
      </c>
      <c r="G296">
        <f>_xlfn.IMAGE("https://camerareadycosmetics.com/cdn/shop/products/5976_zoom_1393618404_50x.jpg?v=1689631114")</f>
        <v/>
      </c>
      <c r="H296">
        <f>_xlfn.IMAGE("https://m.media-amazon.com/images/I/51beomABX+L._AC_UL320_.jpg")</f>
        <v/>
      </c>
      <c r="K296" t="inlineStr">
        <is>
          <t>16.0</t>
        </is>
      </c>
      <c r="L296" t="n">
        <v>6.48</v>
      </c>
      <c r="M296" s="1" t="inlineStr">
        <is>
          <t>-59.50%</t>
        </is>
      </c>
      <c r="N296" t="n">
        <v>4.5</v>
      </c>
      <c r="O296" t="n">
        <v>43946</v>
      </c>
      <c r="Q296" t="inlineStr">
        <is>
          <t>InStock</t>
        </is>
      </c>
      <c r="R296" t="inlineStr">
        <is>
          <t>16.0</t>
        </is>
      </c>
      <c r="S296" t="inlineStr">
        <is>
          <t>7035733703</t>
        </is>
      </c>
    </row>
    <row r="297" ht="75" customHeight="1">
      <c r="A297" s="2">
        <f>HYPERLINK("https://camerareadycosmetics.com/products/ben-nye-lipstick", "https://camerareadycosmetics.com/products/ben-nye-lipstick")</f>
        <v/>
      </c>
      <c r="B297" s="2">
        <f>HYPERLINK("https://camerareadycosmetics.com/products/ben-nye-lipstick", "https://camerareadycosmetics.com/products/ben-nye-lipstick")</f>
        <v/>
      </c>
      <c r="C297" t="inlineStr">
        <is>
          <t>Lipstick</t>
        </is>
      </c>
      <c r="D297" t="inlineStr">
        <is>
          <t>Revlon Kiss Cushion Lip Tint Lipstick, Naughty Mauve</t>
        </is>
      </c>
      <c r="E297" s="2">
        <f>HYPERLINK("https://www.amazon.com/Revlon-Cushion-Naughty-Mauve-Ounce/dp/B07FHGGRC9/ref=sr_1_8?keywords=Lipstick&amp;qid=1695565424&amp;sr=8-8", "https://www.amazon.com/Revlon-Cushion-Naughty-Mauve-Ounce/dp/B07FHGGRC9/ref=sr_1_8?keywords=Lipstick&amp;qid=1695565424&amp;sr=8-8")</f>
        <v/>
      </c>
      <c r="F297" t="inlineStr">
        <is>
          <t>B07FHGGRC9</t>
        </is>
      </c>
      <c r="G297">
        <f>_xlfn.IMAGE("https://camerareadycosmetics.com/cdn/shop/products/5976_zoom_1393618404_50x.jpg?v=1689631114")</f>
        <v/>
      </c>
      <c r="H297">
        <f>_xlfn.IMAGE("https://m.media-amazon.com/images/I/61bT8T-+qcL._AC_UL320_.jpg")</f>
        <v/>
      </c>
      <c r="K297" t="inlineStr">
        <is>
          <t>16.0</t>
        </is>
      </c>
      <c r="L297" t="n">
        <v>5.97</v>
      </c>
      <c r="M297" s="1" t="inlineStr">
        <is>
          <t>-62.69%</t>
        </is>
      </c>
      <c r="N297" t="n">
        <v>4.1</v>
      </c>
      <c r="O297" t="n">
        <v>5600</v>
      </c>
      <c r="Q297" t="inlineStr">
        <is>
          <t>InStock</t>
        </is>
      </c>
      <c r="R297" t="inlineStr">
        <is>
          <t>16.0</t>
        </is>
      </c>
      <c r="S297" t="inlineStr">
        <is>
          <t>7035733703</t>
        </is>
      </c>
    </row>
    <row r="298" ht="75" customHeight="1">
      <c r="A298" s="2">
        <f>HYPERLINK("https://camerareadycosmetics.com/products/ben-nye-lipstick", "https://camerareadycosmetics.com/products/ben-nye-lipstick")</f>
        <v/>
      </c>
      <c r="B298" s="2">
        <f>HYPERLINK("https://camerareadycosmetics.com/products/ben-nye-lipstick", "https://camerareadycosmetics.com/products/ben-nye-lipstick")</f>
        <v/>
      </c>
      <c r="C298" t="inlineStr">
        <is>
          <t>Lipstick</t>
        </is>
      </c>
      <c r="D298" t="inlineStr">
        <is>
          <t>Maybelline New York Color Sensational Lipstick, Lip Makeup, Cream Finish, Hydrating Lipstick, Crazy for Coffee, Nude Pink,1 Count</t>
        </is>
      </c>
      <c r="E298" s="2">
        <f>HYPERLINK("https://www.amazon.com/Maybelline-New-York-Sensational-Lipstick/dp/B002LFPZ0C/ref=sr_1_3?keywords=Lipstick&amp;qid=1695565424&amp;sr=8-3", "https://www.amazon.com/Maybelline-New-York-Sensational-Lipstick/dp/B002LFPZ0C/ref=sr_1_3?keywords=Lipstick&amp;qid=1695565424&amp;sr=8-3")</f>
        <v/>
      </c>
      <c r="F298" t="inlineStr">
        <is>
          <t>B002LFPZ0C</t>
        </is>
      </c>
      <c r="G298">
        <f>_xlfn.IMAGE("https://camerareadycosmetics.com/cdn/shop/products/5976_zoom_1393618404_50x.jpg?v=1689631114")</f>
        <v/>
      </c>
      <c r="H298">
        <f>_xlfn.IMAGE("https://m.media-amazon.com/images/I/710T5W3EjTL._AC_UL320_.jpg")</f>
        <v/>
      </c>
      <c r="K298" t="inlineStr">
        <is>
          <t>16.0</t>
        </is>
      </c>
      <c r="L298" t="n">
        <v>5.33</v>
      </c>
      <c r="M298" s="1" t="inlineStr">
        <is>
          <t>-66.69%</t>
        </is>
      </c>
      <c r="N298" t="n">
        <v>4.4</v>
      </c>
      <c r="O298" t="n">
        <v>18534</v>
      </c>
      <c r="Q298" t="inlineStr">
        <is>
          <t>InStock</t>
        </is>
      </c>
      <c r="R298" t="inlineStr">
        <is>
          <t>16.0</t>
        </is>
      </c>
      <c r="S298" t="inlineStr">
        <is>
          <t>7035733703</t>
        </is>
      </c>
    </row>
    <row r="299" ht="75" customHeight="1">
      <c r="A299" s="2">
        <f>HYPERLINK("https://camerareadycosmetics.com/products/ben-nye-lipstick", "https://camerareadycosmetics.com/products/ben-nye-lipstick")</f>
        <v/>
      </c>
      <c r="B299" s="2">
        <f>HYPERLINK("https://camerareadycosmetics.com/products/ben-nye-lipstick", "https://camerareadycosmetics.com/products/ben-nye-lipstick")</f>
        <v/>
      </c>
      <c r="C299" t="inlineStr">
        <is>
          <t>Lipstick</t>
        </is>
      </c>
      <c r="D299" t="inlineStr">
        <is>
          <t>essence | Glimmer GLOW Lipstick | pH Color Changing Technology | Subtle &amp; Sheer Pink | Vegan &amp; Cruelty Free | Free From Parabens, Gluten, Oil, Preservatives &amp; Microplastic Particles</t>
        </is>
      </c>
      <c r="E299" s="2">
        <f>HYPERLINK("https://www.amazon.com/essence-Lipstick-Technology-Provides-Preservative/dp/B08YFD3WSG/ref=sr_1_10?keywords=Lipstick&amp;qid=1695565424&amp;sr=8-10", "https://www.amazon.com/essence-Lipstick-Technology-Provides-Preservative/dp/B08YFD3WSG/ref=sr_1_10?keywords=Lipstick&amp;qid=1695565424&amp;sr=8-10")</f>
        <v/>
      </c>
      <c r="F299" t="inlineStr">
        <is>
          <t>B08YFD3WSG</t>
        </is>
      </c>
      <c r="G299">
        <f>_xlfn.IMAGE("https://camerareadycosmetics.com/cdn/shop/products/5976_zoom_1393618404_50x.jpg?v=1689631114")</f>
        <v/>
      </c>
      <c r="H299">
        <f>_xlfn.IMAGE("https://m.media-amazon.com/images/I/61s94b6UwsL._AC_UL320_.jpg")</f>
        <v/>
      </c>
      <c r="K299" t="inlineStr">
        <is>
          <t>16.0</t>
        </is>
      </c>
      <c r="L299" t="n">
        <v>3.99</v>
      </c>
      <c r="M299" s="1" t="inlineStr">
        <is>
          <t>-75.06%</t>
        </is>
      </c>
      <c r="N299" t="n">
        <v>4</v>
      </c>
      <c r="O299" t="n">
        <v>4549</v>
      </c>
      <c r="Q299" t="inlineStr">
        <is>
          <t>InStock</t>
        </is>
      </c>
      <c r="R299" t="inlineStr">
        <is>
          <t>16.0</t>
        </is>
      </c>
      <c r="S299" t="inlineStr">
        <is>
          <t>7035733703</t>
        </is>
      </c>
    </row>
    <row r="300" ht="75" customHeight="1">
      <c r="A300" s="2">
        <f>HYPERLINK("https://camerareadycosmetics.com/products/ben-nye-lipstick", "https://camerareadycosmetics.com/products/ben-nye-lipstick")</f>
        <v/>
      </c>
      <c r="B300" s="2">
        <f>HYPERLINK("https://camerareadycosmetics.com/products/ben-nye-lipstick", "https://camerareadycosmetics.com/products/ben-nye-lipstick")</f>
        <v/>
      </c>
      <c r="C300" t="inlineStr">
        <is>
          <t>Lipstick</t>
        </is>
      </c>
      <c r="D300" t="inlineStr">
        <is>
          <t>wet n wild Lipstick Mega Last High-Shine Lipstick Lip Color Makeup, Bright Pink Pinky Ring</t>
        </is>
      </c>
      <c r="E300" s="2">
        <f>HYPERLINK("https://www.amazon.com/wild-Mega-High-Shine-Color-Pinky/dp/B082YQ4QWW/ref=sr_1_5?keywords=Lipstick&amp;qid=1695565424&amp;sr=8-5", "https://www.amazon.com/wild-Mega-High-Shine-Color-Pinky/dp/B082YQ4QWW/ref=sr_1_5?keywords=Lipstick&amp;qid=1695565424&amp;sr=8-5")</f>
        <v/>
      </c>
      <c r="F300" t="inlineStr">
        <is>
          <t>B082YQ4QWW</t>
        </is>
      </c>
      <c r="G300">
        <f>_xlfn.IMAGE("https://camerareadycosmetics.com/cdn/shop/products/5976_zoom_1393618404_50x.jpg?v=1689631114")</f>
        <v/>
      </c>
      <c r="H300">
        <f>_xlfn.IMAGE("https://m.media-amazon.com/images/I/71xzRVmNIsL._AC_UL320_.jpg")</f>
        <v/>
      </c>
      <c r="K300" t="inlineStr">
        <is>
          <t>16.0</t>
        </is>
      </c>
      <c r="L300" t="n">
        <v>1.98</v>
      </c>
      <c r="M300" s="1" t="inlineStr">
        <is>
          <t>-87.62%</t>
        </is>
      </c>
      <c r="N300" t="n">
        <v>4</v>
      </c>
      <c r="O300" t="n">
        <v>23826</v>
      </c>
      <c r="Q300" t="inlineStr">
        <is>
          <t>InStock</t>
        </is>
      </c>
      <c r="R300" t="inlineStr">
        <is>
          <t>16.0</t>
        </is>
      </c>
      <c r="S300" t="inlineStr">
        <is>
          <t>7035733703</t>
        </is>
      </c>
    </row>
    <row r="301" ht="75" customHeight="1">
      <c r="A301" s="2">
        <f>HYPERLINK("https://camerareadycosmetics.com/products/ben-nye-lipstick", "https://camerareadycosmetics.com/products/ben-nye-lipstick")</f>
        <v/>
      </c>
      <c r="B301" s="2">
        <f>HYPERLINK("https://camerareadycosmetics.com/products/ben-nye-lipstick", "https://camerareadycosmetics.com/products/ben-nye-lipstick")</f>
        <v/>
      </c>
      <c r="C301" t="inlineStr">
        <is>
          <t>Lipstick</t>
        </is>
      </c>
      <c r="D301" t="inlineStr">
        <is>
          <t>Wet n Wild Silk Finish Lipstick, Hydrating Lip Color, Rich Buildable Color, Cherry Frost Red</t>
        </is>
      </c>
      <c r="E301" s="2">
        <f>HYPERLINK("https://www.amazon.com/Wet-Wild-Finish-Lipstick-Cherry/dp/B010GNWPMQ/ref=sr_1_1?keywords=Lipstick&amp;qid=1695565424&amp;sr=8-1", "https://www.amazon.com/Wet-Wild-Finish-Lipstick-Cherry/dp/B010GNWPMQ/ref=sr_1_1?keywords=Lipstick&amp;qid=1695565424&amp;sr=8-1")</f>
        <v/>
      </c>
      <c r="F301" t="inlineStr">
        <is>
          <t>B010GNWPMQ</t>
        </is>
      </c>
      <c r="G301">
        <f>_xlfn.IMAGE("https://camerareadycosmetics.com/cdn/shop/products/5976_zoom_1393618404_50x.jpg?v=1689631114")</f>
        <v/>
      </c>
      <c r="H301">
        <f>_xlfn.IMAGE("https://m.media-amazon.com/images/I/71xn7IX-95L._AC_UL320_.jpg")</f>
        <v/>
      </c>
      <c r="K301" t="inlineStr">
        <is>
          <t>16.0</t>
        </is>
      </c>
      <c r="L301" t="n">
        <v>0.98</v>
      </c>
      <c r="M301" s="1" t="inlineStr">
        <is>
          <t>-93.88%</t>
        </is>
      </c>
      <c r="N301" t="n">
        <v>4.3</v>
      </c>
      <c r="O301" t="n">
        <v>1231</v>
      </c>
      <c r="Q301" t="inlineStr">
        <is>
          <t>InStock</t>
        </is>
      </c>
      <c r="R301" t="inlineStr">
        <is>
          <t>16.0</t>
        </is>
      </c>
      <c r="S301" t="inlineStr">
        <is>
          <t>7035733703</t>
        </is>
      </c>
    </row>
    <row r="302" ht="75" customHeight="1">
      <c r="A302" s="2">
        <f>HYPERLINK("https://camerareadycosmetics.com/products/ben-nye-lipstick", "https://camerareadycosmetics.com/products/ben-nye-lipstick")</f>
        <v/>
      </c>
      <c r="B302" s="2">
        <f>HYPERLINK("https://camerareadycosmetics.com/products/ben-nye-lipstick", "https://camerareadycosmetics.com/products/ben-nye-lipstick")</f>
        <v/>
      </c>
      <c r="C302" t="inlineStr">
        <is>
          <t>Lipstick</t>
        </is>
      </c>
      <c r="D302" t="inlineStr">
        <is>
          <t>L'Oreal Paris Colour Riche Original Creamy, Hydrating Satin Lipstick with Argan Oil and Vitamin E, Caramel Latte , 1 Count</t>
        </is>
      </c>
      <c r="E302" s="2">
        <f>HYPERLINK("https://www.amazon.com/Paris-Original-Hydrating-Lipstick-Caramel/dp/B004BCX8JS/ref=sr_1_2?keywords=Lipstick&amp;qid=1695565424&amp;sr=8-2", "https://www.amazon.com/Paris-Original-Hydrating-Lipstick-Caramel/dp/B004BCX8JS/ref=sr_1_2?keywords=Lipstick&amp;qid=1695565424&amp;sr=8-2")</f>
        <v/>
      </c>
      <c r="F302" t="inlineStr">
        <is>
          <t>B004BCX8JS</t>
        </is>
      </c>
      <c r="G302">
        <f>_xlfn.IMAGE("https://camerareadycosmetics.com/cdn/shop/products/5976_zoom_1393618404_50x.jpg?v=1689631114")</f>
        <v/>
      </c>
      <c r="H302">
        <f>_xlfn.IMAGE("https://m.media-amazon.com/images/I/51F4LbtsOfL._AC_UL320_.jpg")</f>
        <v/>
      </c>
      <c r="K302" t="inlineStr">
        <is>
          <t>16.0</t>
        </is>
      </c>
      <c r="L302" t="n">
        <v>6.97</v>
      </c>
      <c r="M302" s="1" t="inlineStr">
        <is>
          <t>-56.44%</t>
        </is>
      </c>
      <c r="N302" t="n">
        <v>4.5</v>
      </c>
      <c r="O302" t="n">
        <v>30987</v>
      </c>
      <c r="Q302" t="inlineStr">
        <is>
          <t>InStock</t>
        </is>
      </c>
      <c r="R302" t="inlineStr">
        <is>
          <t>16.0</t>
        </is>
      </c>
      <c r="S302" t="inlineStr">
        <is>
          <t>7035733703</t>
        </is>
      </c>
    </row>
    <row r="303" ht="75" customHeight="1">
      <c r="A303" s="2">
        <f>HYPERLINK("https://camerareadycosmetics.com/products/ben-nye-lipstick", "https://camerareadycosmetics.com/products/ben-nye-lipstick")</f>
        <v/>
      </c>
      <c r="B303" s="2">
        <f>HYPERLINK("https://camerareadycosmetics.com/products/ben-nye-lipstick", "https://camerareadycosmetics.com/products/ben-nye-lipstick")</f>
        <v/>
      </c>
      <c r="C303" t="inlineStr">
        <is>
          <t>Lipstick</t>
        </is>
      </c>
      <c r="D303" t="inlineStr">
        <is>
          <t>Revlon Lipstick, Super Lustrous Lipstick, High Impact Lipcolor with Moisturizing Creamy Formula, Infused with Vitamin E and Avocado Oil, 755 Bare It All</t>
        </is>
      </c>
      <c r="E303" s="2">
        <f>HYPERLINK("https://www.amazon.com/Revlon-Lustrous-Lipstick-Vitamin-Avocado/dp/B07XTTDTWR/ref=sr_1_7?keywords=Lipstick&amp;qid=1695565424&amp;rdc=1&amp;sr=8-7", "https://www.amazon.com/Revlon-Lustrous-Lipstick-Vitamin-Avocado/dp/B07XTTDTWR/ref=sr_1_7?keywords=Lipstick&amp;qid=1695565424&amp;rdc=1&amp;sr=8-7")</f>
        <v/>
      </c>
      <c r="F303" t="inlineStr">
        <is>
          <t>B07XTTDTWR</t>
        </is>
      </c>
      <c r="G303">
        <f>_xlfn.IMAGE("https://camerareadycosmetics.com/cdn/shop/products/5976_zoom_1393618404_50x.jpg?v=1689631114")</f>
        <v/>
      </c>
      <c r="H303">
        <f>_xlfn.IMAGE("https://m.media-amazon.com/images/I/51beomABX+L._AC_UL320_.jpg")</f>
        <v/>
      </c>
      <c r="K303" t="inlineStr">
        <is>
          <t>16.0</t>
        </is>
      </c>
      <c r="L303" t="n">
        <v>6.48</v>
      </c>
      <c r="M303" s="1" t="inlineStr">
        <is>
          <t>-59.50%</t>
        </is>
      </c>
      <c r="N303" t="n">
        <v>4.5</v>
      </c>
      <c r="O303" t="n">
        <v>43946</v>
      </c>
      <c r="Q303" t="inlineStr">
        <is>
          <t>InStock</t>
        </is>
      </c>
      <c r="R303" t="inlineStr">
        <is>
          <t>16.0</t>
        </is>
      </c>
      <c r="S303" t="inlineStr">
        <is>
          <t>7035733703</t>
        </is>
      </c>
    </row>
    <row r="304" ht="75" customHeight="1">
      <c r="A304" s="2">
        <f>HYPERLINK("https://camerareadycosmetics.com/products/ben-nye-lipstick", "https://camerareadycosmetics.com/products/ben-nye-lipstick")</f>
        <v/>
      </c>
      <c r="B304" s="2">
        <f>HYPERLINK("https://camerareadycosmetics.com/products/ben-nye-lipstick", "https://camerareadycosmetics.com/products/ben-nye-lipstick")</f>
        <v/>
      </c>
      <c r="C304" t="inlineStr">
        <is>
          <t>Lipstick</t>
        </is>
      </c>
      <c r="D304" t="inlineStr">
        <is>
          <t>Revlon Kiss Cushion Lip Tint Lipstick, Naughty Mauve</t>
        </is>
      </c>
      <c r="E304" s="2">
        <f>HYPERLINK("https://www.amazon.com/Revlon-Cushion-Naughty-Mauve-Ounce/dp/B07FHGGRC9/ref=sr_1_8?keywords=Lipstick&amp;qid=1695565424&amp;sr=8-8", "https://www.amazon.com/Revlon-Cushion-Naughty-Mauve-Ounce/dp/B07FHGGRC9/ref=sr_1_8?keywords=Lipstick&amp;qid=1695565424&amp;sr=8-8")</f>
        <v/>
      </c>
      <c r="F304" t="inlineStr">
        <is>
          <t>B07FHGGRC9</t>
        </is>
      </c>
      <c r="G304">
        <f>_xlfn.IMAGE("https://camerareadycosmetics.com/cdn/shop/products/5976_zoom_1393618404_50x.jpg?v=1689631114")</f>
        <v/>
      </c>
      <c r="H304">
        <f>_xlfn.IMAGE("https://m.media-amazon.com/images/I/61bT8T-+qcL._AC_UL320_.jpg")</f>
        <v/>
      </c>
      <c r="K304" t="inlineStr">
        <is>
          <t>16.0</t>
        </is>
      </c>
      <c r="L304" t="n">
        <v>5.97</v>
      </c>
      <c r="M304" s="1" t="inlineStr">
        <is>
          <t>-62.69%</t>
        </is>
      </c>
      <c r="N304" t="n">
        <v>4.1</v>
      </c>
      <c r="O304" t="n">
        <v>5600</v>
      </c>
      <c r="Q304" t="inlineStr">
        <is>
          <t>InStock</t>
        </is>
      </c>
      <c r="R304" t="inlineStr">
        <is>
          <t>16.0</t>
        </is>
      </c>
      <c r="S304" t="inlineStr">
        <is>
          <t>7035733703</t>
        </is>
      </c>
    </row>
    <row r="305" ht="75" customHeight="1">
      <c r="A305" s="2">
        <f>HYPERLINK("https://camerareadycosmetics.com/products/ben-nye-lipstick", "https://camerareadycosmetics.com/products/ben-nye-lipstick")</f>
        <v/>
      </c>
      <c r="B305" s="2">
        <f>HYPERLINK("https://camerareadycosmetics.com/products/ben-nye-lipstick", "https://camerareadycosmetics.com/products/ben-nye-lipstick")</f>
        <v/>
      </c>
      <c r="C305" t="inlineStr">
        <is>
          <t>Lipstick</t>
        </is>
      </c>
      <c r="D305" t="inlineStr">
        <is>
          <t>Maybelline New York Color Sensational Lipstick, Lip Makeup, Cream Finish, Hydrating Lipstick, Crazy for Coffee, Nude Pink,1 Count</t>
        </is>
      </c>
      <c r="E305" s="2">
        <f>HYPERLINK("https://www.amazon.com/Maybelline-New-York-Sensational-Lipstick/dp/B002LFPZ0C/ref=sr_1_3?keywords=Lipstick&amp;qid=1695565424&amp;sr=8-3", "https://www.amazon.com/Maybelline-New-York-Sensational-Lipstick/dp/B002LFPZ0C/ref=sr_1_3?keywords=Lipstick&amp;qid=1695565424&amp;sr=8-3")</f>
        <v/>
      </c>
      <c r="F305" t="inlineStr">
        <is>
          <t>B002LFPZ0C</t>
        </is>
      </c>
      <c r="G305">
        <f>_xlfn.IMAGE("https://camerareadycosmetics.com/cdn/shop/products/5976_zoom_1393618404_50x.jpg?v=1689631114")</f>
        <v/>
      </c>
      <c r="H305">
        <f>_xlfn.IMAGE("https://m.media-amazon.com/images/I/710T5W3EjTL._AC_UL320_.jpg")</f>
        <v/>
      </c>
      <c r="K305" t="inlineStr">
        <is>
          <t>16.0</t>
        </is>
      </c>
      <c r="L305" t="n">
        <v>5.33</v>
      </c>
      <c r="M305" s="1" t="inlineStr">
        <is>
          <t>-66.69%</t>
        </is>
      </c>
      <c r="N305" t="n">
        <v>4.4</v>
      </c>
      <c r="O305" t="n">
        <v>18534</v>
      </c>
      <c r="Q305" t="inlineStr">
        <is>
          <t>InStock</t>
        </is>
      </c>
      <c r="R305" t="inlineStr">
        <is>
          <t>16.0</t>
        </is>
      </c>
      <c r="S305" t="inlineStr">
        <is>
          <t>7035733703</t>
        </is>
      </c>
    </row>
    <row r="306" ht="75" customHeight="1">
      <c r="A306" s="2">
        <f>HYPERLINK("https://camerareadycosmetics.com/products/ben-nye-lipstick", "https://camerareadycosmetics.com/products/ben-nye-lipstick")</f>
        <v/>
      </c>
      <c r="B306" s="2">
        <f>HYPERLINK("https://camerareadycosmetics.com/products/ben-nye-lipstick", "https://camerareadycosmetics.com/products/ben-nye-lipstick")</f>
        <v/>
      </c>
      <c r="C306" t="inlineStr">
        <is>
          <t>Lipstick</t>
        </is>
      </c>
      <c r="D306" t="inlineStr">
        <is>
          <t>essence | Glimmer GLOW Lipstick | pH Color Changing Technology | Subtle &amp; Sheer Pink | Vegan &amp; Cruelty Free | Free From Parabens, Gluten, Oil, Preservatives &amp; Microplastic Particles</t>
        </is>
      </c>
      <c r="E306" s="2">
        <f>HYPERLINK("https://www.amazon.com/essence-Lipstick-Technology-Provides-Preservative/dp/B08YFD3WSG/ref=sr_1_10?keywords=Lipstick&amp;qid=1695565424&amp;sr=8-10", "https://www.amazon.com/essence-Lipstick-Technology-Provides-Preservative/dp/B08YFD3WSG/ref=sr_1_10?keywords=Lipstick&amp;qid=1695565424&amp;sr=8-10")</f>
        <v/>
      </c>
      <c r="F306" t="inlineStr">
        <is>
          <t>B08YFD3WSG</t>
        </is>
      </c>
      <c r="G306">
        <f>_xlfn.IMAGE("https://camerareadycosmetics.com/cdn/shop/products/5976_zoom_1393618404_50x.jpg?v=1689631114")</f>
        <v/>
      </c>
      <c r="H306">
        <f>_xlfn.IMAGE("https://m.media-amazon.com/images/I/61s94b6UwsL._AC_UL320_.jpg")</f>
        <v/>
      </c>
      <c r="K306" t="inlineStr">
        <is>
          <t>16.0</t>
        </is>
      </c>
      <c r="L306" t="n">
        <v>3.99</v>
      </c>
      <c r="M306" s="1" t="inlineStr">
        <is>
          <t>-75.06%</t>
        </is>
      </c>
      <c r="N306" t="n">
        <v>4</v>
      </c>
      <c r="O306" t="n">
        <v>4549</v>
      </c>
      <c r="Q306" t="inlineStr">
        <is>
          <t>InStock</t>
        </is>
      </c>
      <c r="R306" t="inlineStr">
        <is>
          <t>16.0</t>
        </is>
      </c>
      <c r="S306" t="inlineStr">
        <is>
          <t>7035733703</t>
        </is>
      </c>
    </row>
    <row r="307" ht="75" customHeight="1">
      <c r="A307" s="2">
        <f>HYPERLINK("https://camerareadycosmetics.com/products/ben-nye-lipstick", "https://camerareadycosmetics.com/products/ben-nye-lipstick")</f>
        <v/>
      </c>
      <c r="B307" s="2">
        <f>HYPERLINK("https://camerareadycosmetics.com/products/ben-nye-lipstick", "https://camerareadycosmetics.com/products/ben-nye-lipstick")</f>
        <v/>
      </c>
      <c r="C307" t="inlineStr">
        <is>
          <t>Lipstick</t>
        </is>
      </c>
      <c r="D307" t="inlineStr">
        <is>
          <t>wet n wild Lipstick Mega Last High-Shine Lipstick Lip Color Makeup, Bright Pink Pinky Ring</t>
        </is>
      </c>
      <c r="E307" s="2">
        <f>HYPERLINK("https://www.amazon.com/wild-Mega-High-Shine-Color-Pinky/dp/B082YQ4QWW/ref=sr_1_5?keywords=Lipstick&amp;qid=1695565424&amp;sr=8-5", "https://www.amazon.com/wild-Mega-High-Shine-Color-Pinky/dp/B082YQ4QWW/ref=sr_1_5?keywords=Lipstick&amp;qid=1695565424&amp;sr=8-5")</f>
        <v/>
      </c>
      <c r="F307" t="inlineStr">
        <is>
          <t>B082YQ4QWW</t>
        </is>
      </c>
      <c r="G307">
        <f>_xlfn.IMAGE("https://camerareadycosmetics.com/cdn/shop/products/5976_zoom_1393618404_50x.jpg?v=1689631114")</f>
        <v/>
      </c>
      <c r="H307">
        <f>_xlfn.IMAGE("https://m.media-amazon.com/images/I/71xzRVmNIsL._AC_UL320_.jpg")</f>
        <v/>
      </c>
      <c r="K307" t="inlineStr">
        <is>
          <t>16.0</t>
        </is>
      </c>
      <c r="L307" t="n">
        <v>1.98</v>
      </c>
      <c r="M307" s="1" t="inlineStr">
        <is>
          <t>-87.62%</t>
        </is>
      </c>
      <c r="N307" t="n">
        <v>4</v>
      </c>
      <c r="O307" t="n">
        <v>23826</v>
      </c>
      <c r="Q307" t="inlineStr">
        <is>
          <t>InStock</t>
        </is>
      </c>
      <c r="R307" t="inlineStr">
        <is>
          <t>16.0</t>
        </is>
      </c>
      <c r="S307" t="inlineStr">
        <is>
          <t>7035733703</t>
        </is>
      </c>
    </row>
    <row r="308" ht="75" customHeight="1">
      <c r="A308" s="2">
        <f>HYPERLINK("https://camerareadycosmetics.com/products/ben-nye-lipstick", "https://camerareadycosmetics.com/products/ben-nye-lipstick")</f>
        <v/>
      </c>
      <c r="B308" s="2">
        <f>HYPERLINK("https://camerareadycosmetics.com/products/ben-nye-lipstick", "https://camerareadycosmetics.com/products/ben-nye-lipstick")</f>
        <v/>
      </c>
      <c r="C308" t="inlineStr">
        <is>
          <t>Lipstick</t>
        </is>
      </c>
      <c r="D308" t="inlineStr">
        <is>
          <t>Wet n Wild Silk Finish Lipstick, Hydrating Lip Color, Rich Buildable Color, Cherry Frost Red</t>
        </is>
      </c>
      <c r="E308" s="2">
        <f>HYPERLINK("https://www.amazon.com/Wet-Wild-Finish-Lipstick-Cherry/dp/B010GNWPMQ/ref=sr_1_1?keywords=Lipstick&amp;qid=1695565424&amp;sr=8-1", "https://www.amazon.com/Wet-Wild-Finish-Lipstick-Cherry/dp/B010GNWPMQ/ref=sr_1_1?keywords=Lipstick&amp;qid=1695565424&amp;sr=8-1")</f>
        <v/>
      </c>
      <c r="F308" t="inlineStr">
        <is>
          <t>B010GNWPMQ</t>
        </is>
      </c>
      <c r="G308">
        <f>_xlfn.IMAGE("https://camerareadycosmetics.com/cdn/shop/products/5976_zoom_1393618404_50x.jpg?v=1689631114")</f>
        <v/>
      </c>
      <c r="H308">
        <f>_xlfn.IMAGE("https://m.media-amazon.com/images/I/71xn7IX-95L._AC_UL320_.jpg")</f>
        <v/>
      </c>
      <c r="K308" t="inlineStr">
        <is>
          <t>16.0</t>
        </is>
      </c>
      <c r="L308" t="n">
        <v>0.98</v>
      </c>
      <c r="M308" s="1" t="inlineStr">
        <is>
          <t>-93.88%</t>
        </is>
      </c>
      <c r="N308" t="n">
        <v>4.3</v>
      </c>
      <c r="O308" t="n">
        <v>1231</v>
      </c>
      <c r="Q308" t="inlineStr">
        <is>
          <t>InStock</t>
        </is>
      </c>
      <c r="R308" t="inlineStr">
        <is>
          <t>16.0</t>
        </is>
      </c>
      <c r="S308" t="inlineStr">
        <is>
          <t>7035733703</t>
        </is>
      </c>
    </row>
    <row r="309" ht="75" customHeight="1">
      <c r="A309" s="2">
        <f>HYPERLINK("https://camerareadycosmetics.com/products/ben-nye-liquid-eye-liner", "https://camerareadycosmetics.com/products/ben-nye-liquid-eye-liner")</f>
        <v/>
      </c>
      <c r="B309" s="2">
        <f>HYPERLINK("https://camerareadycosmetics.com/products/ben-nye-liquid-eye-liner", "https://camerareadycosmetics.com/products/ben-nye-liquid-eye-liner")</f>
        <v/>
      </c>
      <c r="C309" t="inlineStr">
        <is>
          <t>Liquid Eye Liner</t>
        </is>
      </c>
      <c r="D309" t="inlineStr">
        <is>
          <t>Revlon Liquid Eyeliner, ColorStay Eye Makeup, Waterproof, Smudgeproof, Longwearing with Ultra-Fine Tip, 251 Blackest Black, 0.08 Fl Oz (Pack of 2)</t>
        </is>
      </c>
      <c r="E309" s="2">
        <f>HYPERLINK("https://www.amazon.com/ColorStay-Waterproof-Smudgeproof-Longwearing-Ultra-Fine/dp/B01J1A3ST4/ref=sr_1_10?keywords=Liquid+Eye+Liner&amp;qid=1695565513&amp;sr=8-10", "https://www.amazon.com/ColorStay-Waterproof-Smudgeproof-Longwearing-Ultra-Fine/dp/B01J1A3ST4/ref=sr_1_10?keywords=Liquid+Eye+Liner&amp;qid=1695565513&amp;sr=8-10")</f>
        <v/>
      </c>
      <c r="F309" t="inlineStr">
        <is>
          <t>B01J1A3ST4</t>
        </is>
      </c>
      <c r="G309">
        <f>_xlfn.IMAGE("https://camerareadycosmetics.com/cdn/shop/files/ben-nye-liquid-eyeliner-600x600_50x.jpg?v=1687196651")</f>
        <v/>
      </c>
      <c r="H309">
        <f>_xlfn.IMAGE("https://m.media-amazon.com/images/I/61mk3qiekpS._AC_UL320_.jpg")</f>
        <v/>
      </c>
      <c r="K309" t="inlineStr">
        <is>
          <t>10.0</t>
        </is>
      </c>
      <c r="L309" t="n">
        <v>12.49</v>
      </c>
      <c r="M309" s="1" t="inlineStr">
        <is>
          <t>24.90%</t>
        </is>
      </c>
      <c r="N309" t="n">
        <v>4.4</v>
      </c>
      <c r="O309" t="n">
        <v>20115</v>
      </c>
      <c r="Q309" t="inlineStr">
        <is>
          <t>InStock</t>
        </is>
      </c>
      <c r="R309" t="inlineStr">
        <is>
          <t>undefined</t>
        </is>
      </c>
      <c r="S309" t="inlineStr">
        <is>
          <t>7035709127</t>
        </is>
      </c>
    </row>
    <row r="310" ht="75" customHeight="1">
      <c r="A310" s="2">
        <f>HYPERLINK("https://camerareadycosmetics.com/products/ben-nye-liquid-eye-liner", "https://camerareadycosmetics.com/products/ben-nye-liquid-eye-liner")</f>
        <v/>
      </c>
      <c r="B310" s="2">
        <f>HYPERLINK("https://camerareadycosmetics.com/products/ben-nye-liquid-eye-liner", "https://camerareadycosmetics.com/products/ben-nye-liquid-eye-liner")</f>
        <v/>
      </c>
      <c r="C310" t="inlineStr">
        <is>
          <t>Liquid Eye Liner</t>
        </is>
      </c>
      <c r="D310" t="inlineStr">
        <is>
          <t>Stay All Day Waterproof Liquid Eye Liner</t>
        </is>
      </c>
      <c r="E310" s="2">
        <f>HYPERLINK("https://www.amazon.com/Stila-Waterproof-Liquid-Liner-Intense/dp/B0031NNE56/ref=sr_1_6?keywords=Liquid+Eye+Liner&amp;qid=1695565513&amp;sr=8-6", "https://www.amazon.com/Stila-Waterproof-Liquid-Liner-Intense/dp/B0031NNE56/ref=sr_1_6?keywords=Liquid+Eye+Liner&amp;qid=1695565513&amp;sr=8-6")</f>
        <v/>
      </c>
      <c r="F310" t="inlineStr">
        <is>
          <t>B0031NNE56</t>
        </is>
      </c>
      <c r="G310">
        <f>_xlfn.IMAGE("https://camerareadycosmetics.com/cdn/shop/files/ben-nye-liquid-eyeliner-600x600_50x.jpg?v=1687196651")</f>
        <v/>
      </c>
      <c r="H310">
        <f>_xlfn.IMAGE("https://m.media-amazon.com/images/I/61CsYNjeDkL._AC_UL320_.jpg")</f>
        <v/>
      </c>
      <c r="K310" t="inlineStr">
        <is>
          <t>10.0</t>
        </is>
      </c>
      <c r="L310" t="n">
        <v>12</v>
      </c>
      <c r="M310" s="1" t="inlineStr">
        <is>
          <t>20.00%</t>
        </is>
      </c>
      <c r="N310" t="n">
        <v>4.5</v>
      </c>
      <c r="O310" t="n">
        <v>27487</v>
      </c>
      <c r="Q310" t="inlineStr">
        <is>
          <t>InStock</t>
        </is>
      </c>
      <c r="R310" t="inlineStr">
        <is>
          <t>undefined</t>
        </is>
      </c>
      <c r="S310" t="inlineStr">
        <is>
          <t>7035709127</t>
        </is>
      </c>
    </row>
    <row r="311" ht="75" customHeight="1">
      <c r="A311" s="2">
        <f>HYPERLINK("https://camerareadycosmetics.com/products/ben-nye-liquid-eye-liner", "https://camerareadycosmetics.com/products/ben-nye-liquid-eye-liner")</f>
        <v/>
      </c>
      <c r="B311" s="2">
        <f>HYPERLINK("https://camerareadycosmetics.com/products/ben-nye-liquid-eye-liner", "https://camerareadycosmetics.com/products/ben-nye-liquid-eye-liner")</f>
        <v/>
      </c>
      <c r="C311" t="inlineStr">
        <is>
          <t>Liquid Eye Liner</t>
        </is>
      </c>
      <c r="D311" t="inlineStr">
        <is>
          <t>NYX PROFESSIONAL MAKEUP Epic Ink Liner, Waterproof Liquid Eyeliner - Black, Vegan Formula</t>
        </is>
      </c>
      <c r="E311" s="2">
        <f>HYPERLINK("https://www.amazon.com/NYX-PROFESSIONAL-MAKEUP-Waterproof-Eyeliner/dp/B074Y8LM6T/ref=sr_1_2?keywords=Liquid+Eye+Liner&amp;qid=1695565513&amp;sr=8-2", "https://www.amazon.com/NYX-PROFESSIONAL-MAKEUP-Waterproof-Eyeliner/dp/B074Y8LM6T/ref=sr_1_2?keywords=Liquid+Eye+Liner&amp;qid=1695565513&amp;sr=8-2")</f>
        <v/>
      </c>
      <c r="F311" t="inlineStr">
        <is>
          <t>B074Y8LM6T</t>
        </is>
      </c>
      <c r="G311">
        <f>_xlfn.IMAGE("https://camerareadycosmetics.com/cdn/shop/files/ben-nye-liquid-eyeliner-600x600_50x.jpg?v=1687196651")</f>
        <v/>
      </c>
      <c r="H311">
        <f>_xlfn.IMAGE("https://m.media-amazon.com/images/I/41U9-GGNO0L._AC_UL320_.jpg")</f>
        <v/>
      </c>
      <c r="K311" t="inlineStr">
        <is>
          <t>10.0</t>
        </is>
      </c>
      <c r="L311" t="n">
        <v>8.44</v>
      </c>
      <c r="M311" s="1" t="inlineStr">
        <is>
          <t>-15.60%</t>
        </is>
      </c>
      <c r="N311" t="n">
        <v>4.5</v>
      </c>
      <c r="O311" t="n">
        <v>83591</v>
      </c>
      <c r="Q311" t="inlineStr">
        <is>
          <t>InStock</t>
        </is>
      </c>
      <c r="R311" t="inlineStr">
        <is>
          <t>undefined</t>
        </is>
      </c>
      <c r="S311" t="inlineStr">
        <is>
          <t>7035709127</t>
        </is>
      </c>
    </row>
    <row r="312" ht="75" customHeight="1">
      <c r="A312" s="2">
        <f>HYPERLINK("https://camerareadycosmetics.com/products/ben-nye-liquid-eye-liner", "https://camerareadycosmetics.com/products/ben-nye-liquid-eye-liner")</f>
        <v/>
      </c>
      <c r="B312" s="2">
        <f>HYPERLINK("https://camerareadycosmetics.com/products/ben-nye-liquid-eye-liner", "https://camerareadycosmetics.com/products/ben-nye-liquid-eye-liner")</f>
        <v/>
      </c>
      <c r="C312" t="inlineStr">
        <is>
          <t>Liquid Eye Liner</t>
        </is>
      </c>
      <c r="D312" t="inlineStr">
        <is>
          <t>MAYBELLINE Hyper Easy Liquid Pen No-Skip Eyeliner, Satin Finish, Waterproof Formula, Eye Liner Makeup, Pitch Black, 0.018 Fl Oz</t>
        </is>
      </c>
      <c r="E312" s="2">
        <f>HYPERLINK("https://www.amazon.com/Maybelline-New-York-Eyeliner-Waterproof/dp/B07W8JJ61X/ref=sr_1_8?keywords=Liquid+Eye+Liner&amp;qid=1695565513&amp;sr=8-8", "https://www.amazon.com/Maybelline-New-York-Eyeliner-Waterproof/dp/B07W8JJ61X/ref=sr_1_8?keywords=Liquid+Eye+Liner&amp;qid=1695565513&amp;sr=8-8")</f>
        <v/>
      </c>
      <c r="F312" t="inlineStr">
        <is>
          <t>B07W8JJ61X</t>
        </is>
      </c>
      <c r="G312">
        <f>_xlfn.IMAGE("https://camerareadycosmetics.com/cdn/shop/files/ben-nye-liquid-eyeliner-600x600_50x.jpg?v=1687196651")</f>
        <v/>
      </c>
      <c r="H312">
        <f>_xlfn.IMAGE("https://m.media-amazon.com/images/I/61UyrYQ2BrL._AC_UL320_.jpg")</f>
        <v/>
      </c>
      <c r="K312" t="inlineStr">
        <is>
          <t>10.0</t>
        </is>
      </c>
      <c r="L312" t="n">
        <v>7.87</v>
      </c>
      <c r="M312" s="1" t="inlineStr">
        <is>
          <t>-21.30%</t>
        </is>
      </c>
      <c r="N312" t="n">
        <v>4.4</v>
      </c>
      <c r="O312" t="n">
        <v>60915</v>
      </c>
      <c r="Q312" t="inlineStr">
        <is>
          <t>InStock</t>
        </is>
      </c>
      <c r="R312" t="inlineStr">
        <is>
          <t>undefined</t>
        </is>
      </c>
      <c r="S312" t="inlineStr">
        <is>
          <t>7035709127</t>
        </is>
      </c>
    </row>
    <row r="313" ht="75" customHeight="1">
      <c r="A313" s="2">
        <f>HYPERLINK("https://camerareadycosmetics.com/products/ben-nye-liquid-eye-liner", "https://camerareadycosmetics.com/products/ben-nye-liquid-eye-liner")</f>
        <v/>
      </c>
      <c r="B313" s="2">
        <f>HYPERLINK("https://camerareadycosmetics.com/products/ben-nye-liquid-eye-liner", "https://camerareadycosmetics.com/products/ben-nye-liquid-eye-liner")</f>
        <v/>
      </c>
      <c r="C313" t="inlineStr">
        <is>
          <t>Liquid Eye Liner</t>
        </is>
      </c>
      <c r="D313" t="inlineStr">
        <is>
          <t>Covergirl Perfect Point Plus Liquid Eyeliner, Black Onyx, .08 Fl. Oz.</t>
        </is>
      </c>
      <c r="E313" s="2">
        <f>HYPERLINK("https://www.amazon.com/Covergirl-Perfect-Liquid-Eyeliner-Onyx-08/dp/B08L95VZQF/ref=sr_1_9?keywords=Liquid+Eye+Liner&amp;qid=1695565513&amp;sr=8-9", "https://www.amazon.com/Covergirl-Perfect-Liquid-Eyeliner-Onyx-08/dp/B08L95VZQF/ref=sr_1_9?keywords=Liquid+Eye+Liner&amp;qid=1695565513&amp;sr=8-9")</f>
        <v/>
      </c>
      <c r="F313" t="inlineStr">
        <is>
          <t>B08L95VZQF</t>
        </is>
      </c>
      <c r="G313">
        <f>_xlfn.IMAGE("https://camerareadycosmetics.com/cdn/shop/files/ben-nye-liquid-eyeliner-600x600_50x.jpg?v=1687196651")</f>
        <v/>
      </c>
      <c r="H313">
        <f>_xlfn.IMAGE("https://m.media-amazon.com/images/I/615XgdOcq9L._AC_UL320_.jpg")</f>
        <v/>
      </c>
      <c r="K313" t="inlineStr">
        <is>
          <t>10.0</t>
        </is>
      </c>
      <c r="L313" t="n">
        <v>6.67</v>
      </c>
      <c r="M313" s="1" t="inlineStr">
        <is>
          <t>-33.30%</t>
        </is>
      </c>
      <c r="N313" t="n">
        <v>4.5</v>
      </c>
      <c r="O313" t="n">
        <v>2979</v>
      </c>
      <c r="Q313" t="inlineStr">
        <is>
          <t>InStock</t>
        </is>
      </c>
      <c r="R313" t="inlineStr">
        <is>
          <t>undefined</t>
        </is>
      </c>
      <c r="S313" t="inlineStr">
        <is>
          <t>7035709127</t>
        </is>
      </c>
    </row>
    <row r="314" ht="75" customHeight="1">
      <c r="A314" s="2">
        <f>HYPERLINK("https://camerareadycosmetics.com/products/ben-nye-liquid-eye-liner", "https://camerareadycosmetics.com/products/ben-nye-liquid-eye-liner")</f>
        <v/>
      </c>
      <c r="B314" s="2">
        <f>HYPERLINK("https://camerareadycosmetics.com/products/ben-nye-liquid-eye-liner", "https://camerareadycosmetics.com/products/ben-nye-liquid-eye-liner")</f>
        <v/>
      </c>
      <c r="C314" t="inlineStr">
        <is>
          <t>Liquid Eye Liner</t>
        </is>
      </c>
      <c r="D314" t="inlineStr">
        <is>
          <t>Maybelline New York Eyestudio Master Precise All Day Waterproof Liquid Eyeliner Makeup, Black, 1 Count</t>
        </is>
      </c>
      <c r="E314" s="2">
        <f>HYPERLINK("https://www.amazon.com/Maybelline-Eyestudio-Master-Precise-Eyeliner/dp/B07FYMBCS5/ref=sr_1_1?keywords=Liquid+Eye+Liner&amp;qid=1695565513&amp;sr=8-1", "https://www.amazon.com/Maybelline-Eyestudio-Master-Precise-Eyeliner/dp/B07FYMBCS5/ref=sr_1_1?keywords=Liquid+Eye+Liner&amp;qid=1695565513&amp;sr=8-1")</f>
        <v/>
      </c>
      <c r="F314" t="inlineStr">
        <is>
          <t>B07FYMBCS5</t>
        </is>
      </c>
      <c r="G314">
        <f>_xlfn.IMAGE("https://camerareadycosmetics.com/cdn/shop/files/ben-nye-liquid-eyeliner-600x600_50x.jpg?v=1687196651")</f>
        <v/>
      </c>
      <c r="H314">
        <f>_xlfn.IMAGE("https://m.media-amazon.com/images/I/61GNuUF92RL._AC_UL320_.jpg")</f>
        <v/>
      </c>
      <c r="K314" t="inlineStr">
        <is>
          <t>10.0</t>
        </is>
      </c>
      <c r="L314" t="n">
        <v>6.38</v>
      </c>
      <c r="M314" s="1" t="inlineStr">
        <is>
          <t>-36.20%</t>
        </is>
      </c>
      <c r="N314" t="n">
        <v>4.4</v>
      </c>
      <c r="O314" t="n">
        <v>31992</v>
      </c>
      <c r="Q314" t="inlineStr">
        <is>
          <t>InStock</t>
        </is>
      </c>
      <c r="R314" t="inlineStr">
        <is>
          <t>undefined</t>
        </is>
      </c>
      <c r="S314" t="inlineStr">
        <is>
          <t>7035709127</t>
        </is>
      </c>
    </row>
    <row r="315" ht="75" customHeight="1">
      <c r="A315" s="2">
        <f>HYPERLINK("https://camerareadycosmetics.com/products/ben-nye-liquid-eye-liner", "https://camerareadycosmetics.com/products/ben-nye-liquid-eye-liner")</f>
        <v/>
      </c>
      <c r="B315" s="2">
        <f>HYPERLINK("https://camerareadycosmetics.com/products/ben-nye-liquid-eye-liner", "https://camerareadycosmetics.com/products/ben-nye-liquid-eye-liner")</f>
        <v/>
      </c>
      <c r="C315" t="inlineStr">
        <is>
          <t>Liquid Eye Liner</t>
        </is>
      </c>
      <c r="D315" t="inlineStr">
        <is>
          <t>e.l.f. Expert Liquid Liner 2-Pack, High-Pigmented, Extra-Fine Liquid Eyeliner For Precise Definition, Long-Lasting, Vegan &amp; Cruelty-Free, Jet Black</t>
        </is>
      </c>
      <c r="E315" s="2">
        <f>HYPERLINK("https://www.amazon.com/l-f-High-Pigmented-Extra-Fine-Long-Lasting-Cruelty-Free/dp/B0BSR7D8RB/ref=sr_1_3?keywords=Liquid+Eye+Liner&amp;qid=1695565513&amp;sr=8-3", "https://www.amazon.com/l-f-High-Pigmented-Extra-Fine-Long-Lasting-Cruelty-Free/dp/B0BSR7D8RB/ref=sr_1_3?keywords=Liquid+Eye+Liner&amp;qid=1695565513&amp;sr=8-3")</f>
        <v/>
      </c>
      <c r="F315" t="inlineStr">
        <is>
          <t>B0BSR7D8RB</t>
        </is>
      </c>
      <c r="G315">
        <f>_xlfn.IMAGE("https://camerareadycosmetics.com/cdn/shop/files/ben-nye-liquid-eyeliner-600x600_50x.jpg?v=1687196651")</f>
        <v/>
      </c>
      <c r="H315">
        <f>_xlfn.IMAGE("https://m.media-amazon.com/images/I/61AiHBqDDML._AC_UL320_.jpg")</f>
        <v/>
      </c>
      <c r="K315" t="inlineStr">
        <is>
          <t>10.0</t>
        </is>
      </c>
      <c r="L315" t="n">
        <v>5</v>
      </c>
      <c r="M315" s="1" t="inlineStr">
        <is>
          <t>-50.00%</t>
        </is>
      </c>
      <c r="N315" t="n">
        <v>4.4</v>
      </c>
      <c r="O315" t="n">
        <v>3374</v>
      </c>
      <c r="Q315" t="inlineStr">
        <is>
          <t>InStock</t>
        </is>
      </c>
      <c r="R315" t="inlineStr">
        <is>
          <t>undefined</t>
        </is>
      </c>
      <c r="S315" t="inlineStr">
        <is>
          <t>7035709127</t>
        </is>
      </c>
    </row>
    <row r="316" ht="75" customHeight="1">
      <c r="A316" s="2">
        <f>HYPERLINK("https://camerareadycosmetics.com/products/ben-nye-liquid-eye-liner", "https://camerareadycosmetics.com/products/ben-nye-liquid-eye-liner")</f>
        <v/>
      </c>
      <c r="B316" s="2">
        <f>HYPERLINK("https://camerareadycosmetics.com/products/ben-nye-liquid-eye-liner", "https://camerareadycosmetics.com/products/ben-nye-liquid-eye-liner")</f>
        <v/>
      </c>
      <c r="C316" t="inlineStr">
        <is>
          <t>Liquid Eye Liner</t>
        </is>
      </c>
      <c r="D316" t="inlineStr">
        <is>
          <t>Wet n Wild Mega Last Breakup Proof Liquid Waterproof Eyeliner Brush Tip Pen | Quick Drying | Smudge Resistant| Long Lasting 16 Hour Wear| Precise Ultra Fine | Black</t>
        </is>
      </c>
      <c r="E316" s="2">
        <f>HYPERLINK("https://www.amazon.com/wild-Breakup-Proof-Liquid-Eyeliner-Black/dp/B082YQ8TXR/ref=sr_1_5?keywords=Liquid+Eye+Liner&amp;qid=1695565513&amp;rdc=1&amp;sr=8-5", "https://www.amazon.com/wild-Breakup-Proof-Liquid-Eyeliner-Black/dp/B082YQ8TXR/ref=sr_1_5?keywords=Liquid+Eye+Liner&amp;qid=1695565513&amp;rdc=1&amp;sr=8-5")</f>
        <v/>
      </c>
      <c r="F316" t="inlineStr">
        <is>
          <t>B082YQ8TXR</t>
        </is>
      </c>
      <c r="G316">
        <f>_xlfn.IMAGE("https://camerareadycosmetics.com/cdn/shop/files/ben-nye-liquid-eyeliner-600x600_50x.jpg?v=1687196651")</f>
        <v/>
      </c>
      <c r="H316">
        <f>_xlfn.IMAGE("https://m.media-amazon.com/images/I/61fqBvLANeL._AC_UL320_.jpg")</f>
        <v/>
      </c>
      <c r="K316" t="inlineStr">
        <is>
          <t>10.0</t>
        </is>
      </c>
      <c r="L316" t="n">
        <v>4.89</v>
      </c>
      <c r="M316" s="1" t="inlineStr">
        <is>
          <t>-51.10%</t>
        </is>
      </c>
      <c r="N316" t="n">
        <v>4.4</v>
      </c>
      <c r="O316" t="n">
        <v>15345</v>
      </c>
      <c r="Q316" t="inlineStr">
        <is>
          <t>InStock</t>
        </is>
      </c>
      <c r="R316" t="inlineStr">
        <is>
          <t>undefined</t>
        </is>
      </c>
      <c r="S316" t="inlineStr">
        <is>
          <t>7035709127</t>
        </is>
      </c>
    </row>
    <row r="317" ht="75" customHeight="1">
      <c r="A317" s="2">
        <f>HYPERLINK("https://camerareadycosmetics.com/products/ben-nye-liquid-eye-liner", "https://camerareadycosmetics.com/products/ben-nye-liquid-eye-liner")</f>
        <v/>
      </c>
      <c r="B317" s="2">
        <f>HYPERLINK("https://camerareadycosmetics.com/products/ben-nye-liquid-eye-liner", "https://camerareadycosmetics.com/products/ben-nye-liquid-eye-liner")</f>
        <v/>
      </c>
      <c r="C317" t="inlineStr">
        <is>
          <t>Liquid Eye Liner</t>
        </is>
      </c>
      <c r="D317" t="inlineStr">
        <is>
          <t>wet n wild MegaLiner Liquid Eyeliner Black Black</t>
        </is>
      </c>
      <c r="E317" s="2">
        <f>HYPERLINK("https://www.amazon.com/Wet-Wild-Megaliner-Liquid-Eyeliner/dp/B01D8BUHN2/ref=sr_1_4?keywords=Liquid+Eye+Liner&amp;qid=1695565513&amp;sr=8-4", "https://www.amazon.com/Wet-Wild-Megaliner-Liquid-Eyeliner/dp/B01D8BUHN2/ref=sr_1_4?keywords=Liquid+Eye+Liner&amp;qid=1695565513&amp;sr=8-4")</f>
        <v/>
      </c>
      <c r="F317" t="inlineStr">
        <is>
          <t>B01D8BUHN2</t>
        </is>
      </c>
      <c r="G317">
        <f>_xlfn.IMAGE("https://camerareadycosmetics.com/cdn/shop/files/ben-nye-liquid-eyeliner-600x600_50x.jpg?v=1687196651")</f>
        <v/>
      </c>
      <c r="H317">
        <f>_xlfn.IMAGE("https://m.media-amazon.com/images/I/61nv9Pj2sbL._AC_UL320_.jpg")</f>
        <v/>
      </c>
      <c r="K317" t="inlineStr">
        <is>
          <t>10.0</t>
        </is>
      </c>
      <c r="L317" t="n">
        <v>3.28</v>
      </c>
      <c r="M317" s="1" t="inlineStr">
        <is>
          <t>-67.20%</t>
        </is>
      </c>
      <c r="N317" t="n">
        <v>4.5</v>
      </c>
      <c r="O317" t="n">
        <v>3418</v>
      </c>
      <c r="Q317" t="inlineStr">
        <is>
          <t>InStock</t>
        </is>
      </c>
      <c r="R317" t="inlineStr">
        <is>
          <t>undefined</t>
        </is>
      </c>
      <c r="S317" t="inlineStr">
        <is>
          <t>7035709127</t>
        </is>
      </c>
    </row>
    <row r="318" ht="75" customHeight="1">
      <c r="A318" s="2">
        <f>HYPERLINK("https://camerareadycosmetics.com/products/ben-nye-liquid-eye-liner", "https://camerareadycosmetics.com/products/ben-nye-liquid-eye-liner")</f>
        <v/>
      </c>
      <c r="B318" s="2">
        <f>HYPERLINK("https://camerareadycosmetics.com/products/ben-nye-liquid-eye-liner", "https://camerareadycosmetics.com/products/ben-nye-liquid-eye-liner")</f>
        <v/>
      </c>
      <c r="C318" t="inlineStr">
        <is>
          <t>Liquid Eye Liner</t>
        </is>
      </c>
      <c r="D318" t="inlineStr">
        <is>
          <t>e.l.f. Expert Liquid Liner 2-Pack, High-Pigmented, Extra-Fine Liquid Eyeliner For Precise Definition, Long-Lasting, Vegan &amp; Cruelty-Free, Jet Black</t>
        </is>
      </c>
      <c r="E318" s="2">
        <f>HYPERLINK("https://www.amazon.com/l-f-High-Pigmented-Extra-Fine-Long-Lasting-Cruelty-Free/dp/B0BSR7D8RB/ref=sr_1_3?keywords=Liquid+Eye+Liner&amp;qid=1695565513&amp;sr=8-3", "https://www.amazon.com/l-f-High-Pigmented-Extra-Fine-Long-Lasting-Cruelty-Free/dp/B0BSR7D8RB/ref=sr_1_3?keywords=Liquid+Eye+Liner&amp;qid=1695565513&amp;sr=8-3")</f>
        <v/>
      </c>
      <c r="F318" t="inlineStr">
        <is>
          <t>B0BSR7D8RB</t>
        </is>
      </c>
      <c r="G318">
        <f>_xlfn.IMAGE("https://camerareadycosmetics.com/cdn/shop/files/ben-nye-liquid-eyeliner-600x600_50x.jpg?v=1687196651")</f>
        <v/>
      </c>
      <c r="H318">
        <f>_xlfn.IMAGE("https://m.media-amazon.com/images/I/61AiHBqDDML._AC_UL320_.jpg")</f>
        <v/>
      </c>
      <c r="K318" t="inlineStr">
        <is>
          <t>10.0</t>
        </is>
      </c>
      <c r="L318" t="n">
        <v>5</v>
      </c>
      <c r="M318" s="1" t="inlineStr">
        <is>
          <t>-50.00%</t>
        </is>
      </c>
      <c r="N318" t="n">
        <v>4.4</v>
      </c>
      <c r="O318" t="n">
        <v>3374</v>
      </c>
      <c r="Q318" t="inlineStr">
        <is>
          <t>InStock</t>
        </is>
      </c>
      <c r="R318" t="inlineStr">
        <is>
          <t>undefined</t>
        </is>
      </c>
      <c r="S318" t="inlineStr">
        <is>
          <t>7035709127</t>
        </is>
      </c>
    </row>
    <row r="319" ht="75" customHeight="1">
      <c r="A319" s="2">
        <f>HYPERLINK("https://camerareadycosmetics.com/products/ben-nye-liquid-eye-liner", "https://camerareadycosmetics.com/products/ben-nye-liquid-eye-liner")</f>
        <v/>
      </c>
      <c r="B319" s="2">
        <f>HYPERLINK("https://camerareadycosmetics.com/products/ben-nye-liquid-eye-liner", "https://camerareadycosmetics.com/products/ben-nye-liquid-eye-liner")</f>
        <v/>
      </c>
      <c r="C319" t="inlineStr">
        <is>
          <t>Liquid Eye Liner</t>
        </is>
      </c>
      <c r="D319" t="inlineStr">
        <is>
          <t>Wet n Wild Mega Last Breakup Proof Liquid Waterproof Eyeliner Brush Tip Pen | Quick Drying | Smudge Resistant| Long Lasting 16 Hour Wear| Precise Ultra Fine | Black</t>
        </is>
      </c>
      <c r="E319" s="2">
        <f>HYPERLINK("https://www.amazon.com/wild-Breakup-Proof-Liquid-Eyeliner-Black/dp/B082YQ8TXR/ref=sr_1_5?keywords=Liquid+Eye+Liner&amp;qid=1695565513&amp;rdc=1&amp;sr=8-5", "https://www.amazon.com/wild-Breakup-Proof-Liquid-Eyeliner-Black/dp/B082YQ8TXR/ref=sr_1_5?keywords=Liquid+Eye+Liner&amp;qid=1695565513&amp;rdc=1&amp;sr=8-5")</f>
        <v/>
      </c>
      <c r="F319" t="inlineStr">
        <is>
          <t>B082YQ8TXR</t>
        </is>
      </c>
      <c r="G319">
        <f>_xlfn.IMAGE("https://camerareadycosmetics.com/cdn/shop/files/ben-nye-liquid-eyeliner-600x600_50x.jpg?v=1687196651")</f>
        <v/>
      </c>
      <c r="H319">
        <f>_xlfn.IMAGE("https://m.media-amazon.com/images/I/61fqBvLANeL._AC_UL320_.jpg")</f>
        <v/>
      </c>
      <c r="K319" t="inlineStr">
        <is>
          <t>10.0</t>
        </is>
      </c>
      <c r="L319" t="n">
        <v>4.89</v>
      </c>
      <c r="M319" s="1" t="inlineStr">
        <is>
          <t>-51.10%</t>
        </is>
      </c>
      <c r="N319" t="n">
        <v>4.4</v>
      </c>
      <c r="O319" t="n">
        <v>15345</v>
      </c>
      <c r="Q319" t="inlineStr">
        <is>
          <t>InStock</t>
        </is>
      </c>
      <c r="R319" t="inlineStr">
        <is>
          <t>undefined</t>
        </is>
      </c>
      <c r="S319" t="inlineStr">
        <is>
          <t>7035709127</t>
        </is>
      </c>
    </row>
    <row r="320" ht="75" customHeight="1">
      <c r="A320" s="2">
        <f>HYPERLINK("https://camerareadycosmetics.com/products/ben-nye-liquid-eye-liner", "https://camerareadycosmetics.com/products/ben-nye-liquid-eye-liner")</f>
        <v/>
      </c>
      <c r="B320" s="2">
        <f>HYPERLINK("https://camerareadycosmetics.com/products/ben-nye-liquid-eye-liner", "https://camerareadycosmetics.com/products/ben-nye-liquid-eye-liner")</f>
        <v/>
      </c>
      <c r="C320" t="inlineStr">
        <is>
          <t>Liquid Eye Liner</t>
        </is>
      </c>
      <c r="D320" t="inlineStr">
        <is>
          <t>wet n wild MegaLiner Liquid Eyeliner Black Black</t>
        </is>
      </c>
      <c r="E320" s="2">
        <f>HYPERLINK("https://www.amazon.com/Wet-Wild-Megaliner-Liquid-Eyeliner/dp/B01D8BUHN2/ref=sr_1_4?keywords=Liquid+Eye+Liner&amp;qid=1695565513&amp;sr=8-4", "https://www.amazon.com/Wet-Wild-Megaliner-Liquid-Eyeliner/dp/B01D8BUHN2/ref=sr_1_4?keywords=Liquid+Eye+Liner&amp;qid=1695565513&amp;sr=8-4")</f>
        <v/>
      </c>
      <c r="F320" t="inlineStr">
        <is>
          <t>B01D8BUHN2</t>
        </is>
      </c>
      <c r="G320">
        <f>_xlfn.IMAGE("https://camerareadycosmetics.com/cdn/shop/files/ben-nye-liquid-eyeliner-600x600_50x.jpg?v=1687196651")</f>
        <v/>
      </c>
      <c r="H320">
        <f>_xlfn.IMAGE("https://m.media-amazon.com/images/I/61nv9Pj2sbL._AC_UL320_.jpg")</f>
        <v/>
      </c>
      <c r="K320" t="inlineStr">
        <is>
          <t>10.0</t>
        </is>
      </c>
      <c r="L320" t="n">
        <v>3.28</v>
      </c>
      <c r="M320" s="1" t="inlineStr">
        <is>
          <t>-67.20%</t>
        </is>
      </c>
      <c r="N320" t="n">
        <v>4.5</v>
      </c>
      <c r="O320" t="n">
        <v>3418</v>
      </c>
      <c r="Q320" t="inlineStr">
        <is>
          <t>InStock</t>
        </is>
      </c>
      <c r="R320" t="inlineStr">
        <is>
          <t>undefined</t>
        </is>
      </c>
      <c r="S320" t="inlineStr">
        <is>
          <t>7035709127</t>
        </is>
      </c>
    </row>
    <row r="321" ht="75" customHeight="1">
      <c r="A321" s="2">
        <f>HYPERLINK("https://camerareadycosmetics.com/products/ben-nye-lumiere-eye-shadow-refill", "https://camerareadycosmetics.com/products/ben-nye-lumiere-eye-shadow-refill")</f>
        <v/>
      </c>
      <c r="B321" s="2">
        <f>HYPERLINK("https://camerareadycosmetics.com/products/ben-nye-lumiere-eye-shadow-refill", "https://camerareadycosmetics.com/products/ben-nye-lumiere-eye-shadow-refill")</f>
        <v/>
      </c>
      <c r="C321" t="inlineStr">
        <is>
          <t>Lumiere Eye Shadow Refill</t>
        </is>
      </c>
      <c r="D321" t="inlineStr">
        <is>
          <t>Make-Up Studio Professional Amsterdam Make-Up Eyeshadow Lumiere - Warm Undertone - Long-Lasting Shine - Highly Pigmented - Can Be Used Wet Or Dry - Available In Refill Packaging - Icy Lilac - 0.06 Oz</t>
        </is>
      </c>
      <c r="E321" s="2">
        <f>HYPERLINK("https://www.amazon.com/Make-Up-Studio-Professional-Eyeshadow-Lumiere/dp/B0869CSSKT/ref=sr_1_10?keywords=Lumiere+Eye+Shadow+Refill&amp;qid=1695565455&amp;sr=8-10", "https://www.amazon.com/Make-Up-Studio-Professional-Eyeshadow-Lumiere/dp/B0869CSSKT/ref=sr_1_10?keywords=Lumiere+Eye+Shadow+Refill&amp;qid=1695565455&amp;sr=8-10")</f>
        <v/>
      </c>
      <c r="F321" t="inlineStr">
        <is>
          <t>B0869CSSKT</t>
        </is>
      </c>
      <c r="G321">
        <f>_xlfn.IMAGE("https://camerareadycosmetics.com/cdn/shop/products/7022_zoom_1398287960_50x.jpg?v=1689627583")</f>
        <v/>
      </c>
      <c r="H321">
        <f>_xlfn.IMAGE("https://m.media-amazon.com/images/I/61cP+O4RZyL._AC_UL320_.jpg")</f>
        <v/>
      </c>
      <c r="K321" t="inlineStr">
        <is>
          <t>9.0</t>
        </is>
      </c>
      <c r="L321" t="n">
        <v>13.54</v>
      </c>
      <c r="M321" s="1" t="inlineStr">
        <is>
          <t>50.44%</t>
        </is>
      </c>
      <c r="N321" t="n">
        <v>5</v>
      </c>
      <c r="O321" t="n">
        <v>1</v>
      </c>
      <c r="Q321" t="inlineStr">
        <is>
          <t>InStock</t>
        </is>
      </c>
      <c r="R321" t="inlineStr">
        <is>
          <t>undefined</t>
        </is>
      </c>
      <c r="S321" t="inlineStr">
        <is>
          <t>7034953735</t>
        </is>
      </c>
    </row>
    <row r="322" ht="75" customHeight="1">
      <c r="A322" s="2">
        <f>HYPERLINK("https://camerareadycosmetics.com/products/ben-nye-lumiere-eye-shadow-refill", "https://camerareadycosmetics.com/products/ben-nye-lumiere-eye-shadow-refill")</f>
        <v/>
      </c>
      <c r="B322" s="2">
        <f>HYPERLINK("https://camerareadycosmetics.com/products/ben-nye-lumiere-eye-shadow-refill", "https://camerareadycosmetics.com/products/ben-nye-lumiere-eye-shadow-refill")</f>
        <v/>
      </c>
      <c r="C322" t="inlineStr">
        <is>
          <t>Lumiere Eye Shadow Refill</t>
        </is>
      </c>
      <c r="D322" t="inlineStr">
        <is>
          <t>MAC Pro Pan Refill Eye Shadow ~Tete-a-tint</t>
        </is>
      </c>
      <c r="E322" s="2">
        <f>HYPERLINK("https://www.amazon.com/MAC-Refill-Shadow-Tete-tint/dp/B000VRJTTK/ref=sr_1_8?keywords=Lumiere+Eye+Shadow+Refill&amp;qid=1695565455&amp;sr=8-8", "https://www.amazon.com/MAC-Refill-Shadow-Tete-tint/dp/B000VRJTTK/ref=sr_1_8?keywords=Lumiere+Eye+Shadow+Refill&amp;qid=1695565455&amp;sr=8-8")</f>
        <v/>
      </c>
      <c r="F322" t="inlineStr">
        <is>
          <t>B000VRJTTK</t>
        </is>
      </c>
      <c r="G322">
        <f>_xlfn.IMAGE("https://camerareadycosmetics.com/cdn/shop/products/7022_zoom_1398287960_50x.jpg?v=1689627583")</f>
        <v/>
      </c>
      <c r="H322">
        <f>_xlfn.IMAGE("https://m.media-amazon.com/images/I/91lj0wRujTL._AC_UL320_.jpg")</f>
        <v/>
      </c>
      <c r="K322" t="inlineStr">
        <is>
          <t>9.0</t>
        </is>
      </c>
      <c r="L322" t="n">
        <v>12.49</v>
      </c>
      <c r="M322" s="1" t="inlineStr">
        <is>
          <t>38.78%</t>
        </is>
      </c>
      <c r="N322" t="n">
        <v>4.6</v>
      </c>
      <c r="O322" t="n">
        <v>2</v>
      </c>
      <c r="Q322" t="inlineStr">
        <is>
          <t>InStock</t>
        </is>
      </c>
      <c r="R322" t="inlineStr">
        <is>
          <t>undefined</t>
        </is>
      </c>
      <c r="S322" t="inlineStr">
        <is>
          <t>7034953735</t>
        </is>
      </c>
    </row>
    <row r="323" ht="75" customHeight="1">
      <c r="A323" s="2">
        <f>HYPERLINK("https://camerareadycosmetics.com/products/ben-nye-lumiere-eye-shadow-refill", "https://camerareadycosmetics.com/products/ben-nye-lumiere-eye-shadow-refill")</f>
        <v/>
      </c>
      <c r="B323" s="2">
        <f>HYPERLINK("https://camerareadycosmetics.com/products/ben-nye-lumiere-eye-shadow-refill", "https://camerareadycosmetics.com/products/ben-nye-lumiere-eye-shadow-refill")</f>
        <v/>
      </c>
      <c r="C323" t="inlineStr">
        <is>
          <t>Lumiere Eye Shadow Refill</t>
        </is>
      </c>
      <c r="D323" t="inlineStr">
        <is>
          <t>Make-Up Studio Professional Amsterdam Make-Up Eyeshadow Lumiere - Warm Undertone - Long-Lasting Shine - Highly Pigmented - Can Be Used Wet Or Dry - Available In Refill Packaging - Crystal Brunette - 0.06 Oz</t>
        </is>
      </c>
      <c r="E323" s="2">
        <f>HYPERLINK("https://www.amazon.com/Make-Up-Studio-Professional-Eyeshadow-Lumiere/dp/B0869F6KL6/ref=sr_1_5?keywords=Lumiere+Eye+Shadow+Refill&amp;qid=1695565455&amp;sr=8-5", "https://www.amazon.com/Make-Up-Studio-Professional-Eyeshadow-Lumiere/dp/B0869F6KL6/ref=sr_1_5?keywords=Lumiere+Eye+Shadow+Refill&amp;qid=1695565455&amp;sr=8-5")</f>
        <v/>
      </c>
      <c r="F323" t="inlineStr">
        <is>
          <t>B0869F6KL6</t>
        </is>
      </c>
      <c r="G323">
        <f>_xlfn.IMAGE("https://camerareadycosmetics.com/cdn/shop/products/7022_zoom_1398287960_50x.jpg?v=1689627583")</f>
        <v/>
      </c>
      <c r="H323">
        <f>_xlfn.IMAGE("https://m.media-amazon.com/images/I/71u8X2lpnrL._AC_UL320_.jpg")</f>
        <v/>
      </c>
      <c r="K323" t="inlineStr">
        <is>
          <t>9.0</t>
        </is>
      </c>
      <c r="L323" t="n">
        <v>8.76</v>
      </c>
      <c r="M323" s="1" t="inlineStr">
        <is>
          <t>-2.67%</t>
        </is>
      </c>
      <c r="N323" t="n">
        <v>5</v>
      </c>
      <c r="O323" t="n">
        <v>1</v>
      </c>
      <c r="Q323" t="inlineStr">
        <is>
          <t>InStock</t>
        </is>
      </c>
      <c r="R323" t="inlineStr">
        <is>
          <t>undefined</t>
        </is>
      </c>
      <c r="S323" t="inlineStr">
        <is>
          <t>7034953735</t>
        </is>
      </c>
    </row>
    <row r="324" ht="75" customHeight="1">
      <c r="A324" s="2">
        <f>HYPERLINK("https://camerareadycosmetics.com/products/ben-nye-lumiere-eye-shadow-refill", "https://camerareadycosmetics.com/products/ben-nye-lumiere-eye-shadow-refill")</f>
        <v/>
      </c>
      <c r="B324" s="2">
        <f>HYPERLINK("https://camerareadycosmetics.com/products/ben-nye-lumiere-eye-shadow-refill", "https://camerareadycosmetics.com/products/ben-nye-lumiere-eye-shadow-refill")</f>
        <v/>
      </c>
      <c r="C324" t="inlineStr">
        <is>
          <t>Lumiere Eye Shadow Refill</t>
        </is>
      </c>
      <c r="D324" t="inlineStr">
        <is>
          <t>Make-Up Studio Professional Amsterdam Make-Up Eyeshadow Lumiere - Warm Undertone - Long-Lasting Shine - Highly Pigmented - Can Be Used Wet Or Dry - Available In Refill Packaging - Precious Pearl - 0.06 Oz</t>
        </is>
      </c>
      <c r="E324" s="2">
        <f>HYPERLINK("https://www.amazon.com/Make-Up-Studio-Professional-Eyeshadow-Lumiere/dp/B0869CXMWY/ref=sr_1_2?keywords=Lumiere+Eye+Shadow+Refill&amp;qid=1695565455&amp;sr=8-2", "https://www.amazon.com/Make-Up-Studio-Professional-Eyeshadow-Lumiere/dp/B0869CXMWY/ref=sr_1_2?keywords=Lumiere+Eye+Shadow+Refill&amp;qid=1695565455&amp;sr=8-2")</f>
        <v/>
      </c>
      <c r="F324" t="inlineStr">
        <is>
          <t>B0869CXMWY</t>
        </is>
      </c>
      <c r="G324">
        <f>_xlfn.IMAGE("https://camerareadycosmetics.com/cdn/shop/products/7022_zoom_1398287960_50x.jpg?v=1689627583")</f>
        <v/>
      </c>
      <c r="H324">
        <f>_xlfn.IMAGE("https://m.media-amazon.com/images/I/51LjZQ-DjiL._AC_UL320_.jpg")</f>
        <v/>
      </c>
      <c r="K324" t="inlineStr">
        <is>
          <t>9.0</t>
        </is>
      </c>
      <c r="L324" t="n">
        <v>7.74</v>
      </c>
      <c r="M324" s="1" t="inlineStr">
        <is>
          <t>-14.00%</t>
        </is>
      </c>
      <c r="N324" t="n">
        <v>5</v>
      </c>
      <c r="O324" t="n">
        <v>1</v>
      </c>
      <c r="Q324" t="inlineStr">
        <is>
          <t>InStock</t>
        </is>
      </c>
      <c r="R324" t="inlineStr">
        <is>
          <t>undefined</t>
        </is>
      </c>
      <c r="S324" t="inlineStr">
        <is>
          <t>7034953735</t>
        </is>
      </c>
    </row>
    <row r="325" ht="75" customHeight="1">
      <c r="A325" s="2">
        <f>HYPERLINK("https://camerareadycosmetics.com/products/ben-nye-lumiere-grand-color-refill", "https://camerareadycosmetics.com/products/ben-nye-lumiere-grand-color-refill")</f>
        <v/>
      </c>
      <c r="B325" s="2">
        <f>HYPERLINK("https://camerareadycosmetics.com/products/ben-nye-lumiere-grand-color-refill", "https://camerareadycosmetics.com/products/ben-nye-lumiere-grand-color-refill")</f>
        <v/>
      </c>
      <c r="C325" t="inlineStr">
        <is>
          <t>Lumiere Grand Color Refill</t>
        </is>
      </c>
      <c r="D325" t="inlineStr">
        <is>
          <t>Sarasa Zebra Gel Ballpoint Pen Grand 0.5mm 11 Color Retractable Pen Refill Set RJF5 With Original Stylus Ballpoint Touch Pen</t>
        </is>
      </c>
      <c r="E325" s="2">
        <f>HYPERLINK("https://www.amazon.com/Ballpoint-Sarasa-Retractable-Refill-Sticker/dp/B0928WCMR9/ref=sr_1_fkmr1_1?keywords=Lumiere+Grand+Color+Refill&amp;qid=1695565529&amp;sr=8-1-fkmr1", "https://www.amazon.com/Ballpoint-Sarasa-Retractable-Refill-Sticker/dp/B0928WCMR9/ref=sr_1_fkmr1_1?keywords=Lumiere+Grand+Color+Refill&amp;qid=1695565529&amp;sr=8-1-fkmr1")</f>
        <v/>
      </c>
      <c r="F325" t="inlineStr">
        <is>
          <t>B0928WCMR9</t>
        </is>
      </c>
      <c r="G325">
        <f>_xlfn.IMAGE("https://camerareadycosmetics.com/cdn/shop/products/7248_zoom_1399389069_50x.jpg?v=1689629055")</f>
        <v/>
      </c>
      <c r="H325">
        <f>_xlfn.IMAGE("https://m.media-amazon.com/images/I/71yQQDHRbTL._AC_UL320_.jpg")</f>
        <v/>
      </c>
      <c r="K325" t="inlineStr">
        <is>
          <t>9.0</t>
        </is>
      </c>
      <c r="L325" t="n">
        <v>14.6</v>
      </c>
      <c r="M325" s="1" t="inlineStr">
        <is>
          <t>62.22%</t>
        </is>
      </c>
      <c r="N325" t="n">
        <v>4.6</v>
      </c>
      <c r="O325" t="n">
        <v>79</v>
      </c>
      <c r="Q325" t="inlineStr">
        <is>
          <t>InStock</t>
        </is>
      </c>
      <c r="R325" t="inlineStr">
        <is>
          <t>undefined</t>
        </is>
      </c>
      <c r="S325" t="inlineStr">
        <is>
          <t>7035247431</t>
        </is>
      </c>
    </row>
    <row r="326" ht="75" customHeight="1">
      <c r="A326" s="2">
        <f>HYPERLINK("https://camerareadycosmetics.com/products/ben-nye-mascara-bright-mascara", "https://camerareadycosmetics.com/products/ben-nye-mascara-bright-mascara")</f>
        <v/>
      </c>
      <c r="B326" s="2">
        <f>HYPERLINK("https://camerareadycosmetics.com/products/ben-nye-mascara-bright-mascara", "https://camerareadycosmetics.com/products/ben-nye-mascara-bright-mascara")</f>
        <v/>
      </c>
      <c r="C326" t="inlineStr">
        <is>
          <t>Mascara &amp; Bright Mascara</t>
        </is>
      </c>
      <c r="D326" t="inlineStr">
        <is>
          <t>essence | Lash Princess False Lash Effect Mascara | Gluten &amp; Cruelty Free</t>
        </is>
      </c>
      <c r="E326" s="2">
        <f>HYPERLINK("https://www.amazon.com/essence-Princess-Effect-Mascara-Cruelty/dp/B00T0C9XRK/ref=sr_1_1?keywords=Mascara&amp;qid=1695565453&amp;sr=8-1", "https://www.amazon.com/essence-Princess-Effect-Mascara-Cruelty/dp/B00T0C9XRK/ref=sr_1_1?keywords=Mascara&amp;qid=1695565453&amp;sr=8-1")</f>
        <v/>
      </c>
      <c r="F326" t="inlineStr">
        <is>
          <t>B00T0C9XRK</t>
        </is>
      </c>
      <c r="G326">
        <f>_xlfn.IMAGE("https://camerareadycosmetics.com/cdn/shop/products/LM-2-Dark-Brown-Mascara-4449_50x.jpg?v=1689635564")</f>
        <v/>
      </c>
      <c r="H326">
        <f>_xlfn.IMAGE("https://m.media-amazon.com/images/I/61K6cQhw4EL._AC_UL320_.jpg")</f>
        <v/>
      </c>
      <c r="K326" t="inlineStr">
        <is>
          <t>12.0</t>
        </is>
      </c>
      <c r="L326" t="n">
        <v>4.99</v>
      </c>
      <c r="M326" s="1" t="inlineStr">
        <is>
          <t>-58.42%</t>
        </is>
      </c>
      <c r="N326" t="n">
        <v>4.3</v>
      </c>
      <c r="O326" t="n">
        <v>346285</v>
      </c>
      <c r="Q326" t="inlineStr">
        <is>
          <t>InStock</t>
        </is>
      </c>
      <c r="R326" t="inlineStr">
        <is>
          <t>undefined</t>
        </is>
      </c>
      <c r="S326" t="inlineStr">
        <is>
          <t>7037521799</t>
        </is>
      </c>
    </row>
    <row r="327" ht="75" customHeight="1">
      <c r="A327" s="2">
        <f>HYPERLINK("https://camerareadycosmetics.com/products/ben-nye-mascara-bright-mascara", "https://camerareadycosmetics.com/products/ben-nye-mascara-bright-mascara")</f>
        <v/>
      </c>
      <c r="B327" s="2">
        <f>HYPERLINK("https://camerareadycosmetics.com/products/ben-nye-mascara-bright-mascara", "https://camerareadycosmetics.com/products/ben-nye-mascara-bright-mascara")</f>
        <v/>
      </c>
      <c r="C327" t="inlineStr">
        <is>
          <t>Mascara &amp; Bright Mascara</t>
        </is>
      </c>
      <c r="D327" t="inlineStr">
        <is>
          <t>essence | Lash Princess Curl Mascara | For Dramatic Curl &amp; Volume | Vegan | Paraben Free | Cruelty Free</t>
        </is>
      </c>
      <c r="E327" s="2">
        <f>HYPERLINK("https://www.amazon.com/essence-Princess-Mascara-Dramatic-Fragrance/dp/B08VW5974C/ref=sr_1_9?keywords=Mascara&amp;qid=1695565453&amp;sr=8-9", "https://www.amazon.com/essence-Princess-Mascara-Dramatic-Fragrance/dp/B08VW5974C/ref=sr_1_9?keywords=Mascara&amp;qid=1695565453&amp;sr=8-9")</f>
        <v/>
      </c>
      <c r="F327" t="inlineStr">
        <is>
          <t>B08VW5974C</t>
        </is>
      </c>
      <c r="G327">
        <f>_xlfn.IMAGE("https://camerareadycosmetics.com/cdn/shop/products/LM-2-Dark-Brown-Mascara-4449_50x.jpg?v=1689635564")</f>
        <v/>
      </c>
      <c r="H327">
        <f>_xlfn.IMAGE("https://m.media-amazon.com/images/I/61pB29AcfjS._AC_UL320_.jpg")</f>
        <v/>
      </c>
      <c r="K327" t="inlineStr">
        <is>
          <t>12.0</t>
        </is>
      </c>
      <c r="L327" t="n">
        <v>4.99</v>
      </c>
      <c r="M327" s="1" t="inlineStr">
        <is>
          <t>-58.42%</t>
        </is>
      </c>
      <c r="N327" t="n">
        <v>4.4</v>
      </c>
      <c r="O327" t="n">
        <v>20315</v>
      </c>
      <c r="Q327" t="inlineStr">
        <is>
          <t>InStock</t>
        </is>
      </c>
      <c r="R327" t="inlineStr">
        <is>
          <t>undefined</t>
        </is>
      </c>
      <c r="S327" t="inlineStr">
        <is>
          <t>7037521799</t>
        </is>
      </c>
    </row>
    <row r="328" ht="75" customHeight="1">
      <c r="A328" s="2">
        <f>HYPERLINK("https://camerareadycosmetics.com/products/ben-nye-mascara-bright-mascara", "https://camerareadycosmetics.com/products/ben-nye-mascara-bright-mascara")</f>
        <v/>
      </c>
      <c r="B328" s="2">
        <f>HYPERLINK("https://camerareadycosmetics.com/products/ben-nye-mascara-bright-mascara", "https://camerareadycosmetics.com/products/ben-nye-mascara-bright-mascara")</f>
        <v/>
      </c>
      <c r="C328" t="inlineStr">
        <is>
          <t>Mascara &amp; Bright Mascara</t>
        </is>
      </c>
      <c r="D328" t="inlineStr">
        <is>
          <t>essence | Lash Princess False Lash Effect Mascara | Gluten &amp; Cruelty Free</t>
        </is>
      </c>
      <c r="E328" s="2">
        <f>HYPERLINK("https://www.amazon.com/essence-Princess-Effect-Mascara-Cruelty/dp/B00T0C9XRK/ref=sr_1_1?keywords=Mascara&amp;qid=1695565453&amp;sr=8-1", "https://www.amazon.com/essence-Princess-Effect-Mascara-Cruelty/dp/B00T0C9XRK/ref=sr_1_1?keywords=Mascara&amp;qid=1695565453&amp;sr=8-1")</f>
        <v/>
      </c>
      <c r="F328" t="inlineStr">
        <is>
          <t>B00T0C9XRK</t>
        </is>
      </c>
      <c r="G328">
        <f>_xlfn.IMAGE("https://camerareadycosmetics.com/cdn/shop/products/LM-2-Dark-Brown-Mascara-4449_50x.jpg?v=1689635564")</f>
        <v/>
      </c>
      <c r="H328">
        <f>_xlfn.IMAGE("https://m.media-amazon.com/images/I/61K6cQhw4EL._AC_UL320_.jpg")</f>
        <v/>
      </c>
      <c r="K328" t="inlineStr">
        <is>
          <t>12.0</t>
        </is>
      </c>
      <c r="L328" t="n">
        <v>4.99</v>
      </c>
      <c r="M328" s="1" t="inlineStr">
        <is>
          <t>-58.42%</t>
        </is>
      </c>
      <c r="N328" t="n">
        <v>4.3</v>
      </c>
      <c r="O328" t="n">
        <v>346285</v>
      </c>
      <c r="Q328" t="inlineStr">
        <is>
          <t>InStock</t>
        </is>
      </c>
      <c r="R328" t="inlineStr">
        <is>
          <t>undefined</t>
        </is>
      </c>
      <c r="S328" t="inlineStr">
        <is>
          <t>7037521799</t>
        </is>
      </c>
    </row>
    <row r="329" ht="75" customHeight="1">
      <c r="A329" s="2">
        <f>HYPERLINK("https://camerareadycosmetics.com/products/ben-nye-mascara-bright-mascara", "https://camerareadycosmetics.com/products/ben-nye-mascara-bright-mascara")</f>
        <v/>
      </c>
      <c r="B329" s="2">
        <f>HYPERLINK("https://camerareadycosmetics.com/products/ben-nye-mascara-bright-mascara", "https://camerareadycosmetics.com/products/ben-nye-mascara-bright-mascara")</f>
        <v/>
      </c>
      <c r="C329" t="inlineStr">
        <is>
          <t>Mascara &amp; Bright Mascara</t>
        </is>
      </c>
      <c r="D329" t="inlineStr">
        <is>
          <t>essence | Lash Princess Curl Mascara | For Dramatic Curl &amp; Volume | Vegan | Paraben Free | Cruelty Free</t>
        </is>
      </c>
      <c r="E329" s="2">
        <f>HYPERLINK("https://www.amazon.com/essence-Princess-Mascara-Dramatic-Fragrance/dp/B08VW5974C/ref=sr_1_9?keywords=Mascara&amp;qid=1695565453&amp;sr=8-9", "https://www.amazon.com/essence-Princess-Mascara-Dramatic-Fragrance/dp/B08VW5974C/ref=sr_1_9?keywords=Mascara&amp;qid=1695565453&amp;sr=8-9")</f>
        <v/>
      </c>
      <c r="F329" t="inlineStr">
        <is>
          <t>B08VW5974C</t>
        </is>
      </c>
      <c r="G329">
        <f>_xlfn.IMAGE("https://camerareadycosmetics.com/cdn/shop/products/LM-2-Dark-Brown-Mascara-4449_50x.jpg?v=1689635564")</f>
        <v/>
      </c>
      <c r="H329">
        <f>_xlfn.IMAGE("https://m.media-amazon.com/images/I/61pB29AcfjS._AC_UL320_.jpg")</f>
        <v/>
      </c>
      <c r="K329" t="inlineStr">
        <is>
          <t>12.0</t>
        </is>
      </c>
      <c r="L329" t="n">
        <v>4.99</v>
      </c>
      <c r="M329" s="1" t="inlineStr">
        <is>
          <t>-58.42%</t>
        </is>
      </c>
      <c r="N329" t="n">
        <v>4.4</v>
      </c>
      <c r="O329" t="n">
        <v>20315</v>
      </c>
      <c r="Q329" t="inlineStr">
        <is>
          <t>InStock</t>
        </is>
      </c>
      <c r="R329" t="inlineStr">
        <is>
          <t>undefined</t>
        </is>
      </c>
      <c r="S329" t="inlineStr">
        <is>
          <t>7037521799</t>
        </is>
      </c>
    </row>
    <row r="330" ht="75" customHeight="1">
      <c r="A330" s="2">
        <f>HYPERLINK("https://camerareadycosmetics.com/products/ben-nye-matte-foundation-refill", "https://camerareadycosmetics.com/products/ben-nye-matte-foundation-refill")</f>
        <v/>
      </c>
      <c r="B330" s="2">
        <f>HYPERLINK("https://camerareadycosmetics.com/products/ben-nye-matte-foundation-refill", "https://camerareadycosmetics.com/products/ben-nye-matte-foundation-refill")</f>
        <v/>
      </c>
      <c r="C330" t="inlineStr">
        <is>
          <t>Matte Foundation Refill</t>
        </is>
      </c>
      <c r="D330" t="inlineStr">
        <is>
          <t>Estée Lauder Double Wear Stay-in-Place Matte Refillable Powder Foundation 2N1 Desert Beige</t>
        </is>
      </c>
      <c r="E330" s="2">
        <f>HYPERLINK("https://www.amazon.com/Est%C3%A9e-Lauder-Double-Refillable-Foundation/dp/B0CCPHWJMK/ref=sr_1_1?keywords=Matte+Foundation+Refill&amp;qid=1695565466&amp;sr=8-1", "https://www.amazon.com/Est%C3%A9e-Lauder-Double-Refillable-Foundation/dp/B0CCPHWJMK/ref=sr_1_1?keywords=Matte+Foundation+Refill&amp;qid=1695565466&amp;sr=8-1")</f>
        <v/>
      </c>
      <c r="F330" t="inlineStr">
        <is>
          <t>B0CCPHWJMK</t>
        </is>
      </c>
      <c r="G330">
        <f>_xlfn.IMAGE("https://camerareadycosmetics.com/cdn/shop/products/107219000__26292.1432164386.600.600_50x.jpeg?v=1689648830")</f>
        <v/>
      </c>
      <c r="H330">
        <f>_xlfn.IMAGE("https://m.media-amazon.com/images/I/81bZCKg5fAL._AC_UL320_.jpg")</f>
        <v/>
      </c>
      <c r="K330" t="inlineStr">
        <is>
          <t>8.0</t>
        </is>
      </c>
      <c r="L330" t="n">
        <v>38.99</v>
      </c>
      <c r="M330" s="1" t="inlineStr">
        <is>
          <t>387.38%</t>
        </is>
      </c>
      <c r="N330" t="n">
        <v>5</v>
      </c>
      <c r="O330" t="n">
        <v>1</v>
      </c>
      <c r="Q330" t="inlineStr">
        <is>
          <t>InStock</t>
        </is>
      </c>
      <c r="R330" t="inlineStr">
        <is>
          <t>undefined</t>
        </is>
      </c>
      <c r="S330" t="inlineStr">
        <is>
          <t>7045779079</t>
        </is>
      </c>
    </row>
    <row r="331" ht="75" customHeight="1">
      <c r="A331" s="2">
        <f>HYPERLINK("https://camerareadycosmetics.com/products/ben-nye-matte-foundation-refill", "https://camerareadycosmetics.com/products/ben-nye-matte-foundation-refill")</f>
        <v/>
      </c>
      <c r="B331" s="2">
        <f>HYPERLINK("https://camerareadycosmetics.com/products/ben-nye-matte-foundation-refill", "https://camerareadycosmetics.com/products/ben-nye-matte-foundation-refill")</f>
        <v/>
      </c>
      <c r="C331" t="inlineStr">
        <is>
          <t>Matte Foundation Refill</t>
        </is>
      </c>
      <c r="D331" t="inlineStr">
        <is>
          <t>MISTINE Cushion Foundation Makeup Impeccable Full Coverage with Airy Matte Finish,Long-Lasting,Oil Control Cushion Compact,75% Essence Compact Foundation for Oily Skin,Refill Included,Ivory</t>
        </is>
      </c>
      <c r="E331" s="2">
        <f>HYPERLINK("https://www.amazon.com/Foundation-Impeccable-Coverage-Long-Lasting-Included/dp/B0BK7XQK6F/ref=sr_1_2?keywords=Matte+Foundation+Refill&amp;qid=1695565466&amp;sr=8-2", "https://www.amazon.com/Foundation-Impeccable-Coverage-Long-Lasting-Included/dp/B0BK7XQK6F/ref=sr_1_2?keywords=Matte+Foundation+Refill&amp;qid=1695565466&amp;sr=8-2")</f>
        <v/>
      </c>
      <c r="F331" t="inlineStr">
        <is>
          <t>B0BK7XQK6F</t>
        </is>
      </c>
      <c r="G331">
        <f>_xlfn.IMAGE("https://camerareadycosmetics.com/cdn/shop/products/107219000__26292.1432164386.600.600_50x.jpeg?v=1689648830")</f>
        <v/>
      </c>
      <c r="H331">
        <f>_xlfn.IMAGE("https://m.media-amazon.com/images/I/61YinFVYL4L._AC_UL320_.jpg")</f>
        <v/>
      </c>
      <c r="K331" t="inlineStr">
        <is>
          <t>8.0</t>
        </is>
      </c>
      <c r="L331" t="n">
        <v>35.49</v>
      </c>
      <c r="M331" s="1" t="inlineStr">
        <is>
          <t>343.62%</t>
        </is>
      </c>
      <c r="N331" t="n">
        <v>4.4</v>
      </c>
      <c r="O331" t="n">
        <v>91</v>
      </c>
      <c r="Q331" t="inlineStr">
        <is>
          <t>InStock</t>
        </is>
      </c>
      <c r="R331" t="inlineStr">
        <is>
          <t>undefined</t>
        </is>
      </c>
      <c r="S331" t="inlineStr">
        <is>
          <t>7045779079</t>
        </is>
      </c>
    </row>
    <row r="332" ht="75" customHeight="1">
      <c r="A332" s="2">
        <f>HYPERLINK("https://camerareadycosmetics.com/products/ben-nye-matte-foundation-refill", "https://camerareadycosmetics.com/products/ben-nye-matte-foundation-refill")</f>
        <v/>
      </c>
      <c r="B332" s="2">
        <f>HYPERLINK("https://camerareadycosmetics.com/products/ben-nye-matte-foundation-refill", "https://camerareadycosmetics.com/products/ben-nye-matte-foundation-refill")</f>
        <v/>
      </c>
      <c r="C332" t="inlineStr">
        <is>
          <t>Matte Foundation Refill</t>
        </is>
      </c>
      <c r="D332" t="inlineStr">
        <is>
          <t>LUNA 50-Hours Conceal Fixing Cushion Foundation SPF 37, Korean Sunscreen Makeup, Semi-Matte Finish, Full Coverage, Refill Included, 21 Warm Beige</t>
        </is>
      </c>
      <c r="E332" s="2">
        <f>HYPERLINK("https://www.amazon.com/AEKYUNG-50-Hours-Foundation-Sunscreen-Broad-Spectrum/dp/B08XMCH8C4/ref=sr_1_3?keywords=Matte+Foundation+Refill&amp;qid=1695565466&amp;sr=8-3", "https://www.amazon.com/AEKYUNG-50-Hours-Foundation-Sunscreen-Broad-Spectrum/dp/B08XMCH8C4/ref=sr_1_3?keywords=Matte+Foundation+Refill&amp;qid=1695565466&amp;sr=8-3")</f>
        <v/>
      </c>
      <c r="F332" t="inlineStr">
        <is>
          <t>B08XMCH8C4</t>
        </is>
      </c>
      <c r="G332">
        <f>_xlfn.IMAGE("https://camerareadycosmetics.com/cdn/shop/products/107219000__26292.1432164386.600.600_50x.jpeg?v=1689648830")</f>
        <v/>
      </c>
      <c r="H332">
        <f>_xlfn.IMAGE("https://m.media-amazon.com/images/I/71BpXH-Jz9L._AC_UL320_.jpg")</f>
        <v/>
      </c>
      <c r="K332" t="inlineStr">
        <is>
          <t>8.0</t>
        </is>
      </c>
      <c r="L332" t="n">
        <v>23.19</v>
      </c>
      <c r="M332" s="1" t="inlineStr">
        <is>
          <t>189.88%</t>
        </is>
      </c>
      <c r="N332" t="n">
        <v>4</v>
      </c>
      <c r="O332" t="n">
        <v>629</v>
      </c>
      <c r="Q332" t="inlineStr">
        <is>
          <t>InStock</t>
        </is>
      </c>
      <c r="R332" t="inlineStr">
        <is>
          <t>undefined</t>
        </is>
      </c>
      <c r="S332" t="inlineStr">
        <is>
          <t>7045779079</t>
        </is>
      </c>
    </row>
    <row r="333" ht="75" customHeight="1">
      <c r="A333" s="2">
        <f>HYPERLINK("https://camerareadycosmetics.com/products/ben-nye-matte-foundation-refill", "https://camerareadycosmetics.com/products/ben-nye-matte-foundation-refill")</f>
        <v/>
      </c>
      <c r="B333" s="2">
        <f>HYPERLINK("https://camerareadycosmetics.com/products/ben-nye-matte-foundation-refill", "https://camerareadycosmetics.com/products/ben-nye-matte-foundation-refill")</f>
        <v/>
      </c>
      <c r="C333" t="inlineStr">
        <is>
          <t>Matte Foundation Refill</t>
        </is>
      </c>
      <c r="D333" t="inlineStr">
        <is>
          <t>BULK REFILL FOUNDATION (WARM Neutral Shade-Most Popular) Mineral Makeup Powder Matte Bare Skin Sheer SPF 15 Cover (1 Ounce)</t>
        </is>
      </c>
      <c r="E333" s="2">
        <f>HYPERLINK("https://www.amazon.com/FOUNDATION-Neutral-Shade-Most-Popular-Mineral/dp/B013ZD0ILY/ref=sr_1_5?keywords=Matte+Foundation+Refill&amp;qid=1695565466&amp;sr=8-5", "https://www.amazon.com/FOUNDATION-Neutral-Shade-Most-Popular-Mineral/dp/B013ZD0ILY/ref=sr_1_5?keywords=Matte+Foundation+Refill&amp;qid=1695565466&amp;sr=8-5")</f>
        <v/>
      </c>
      <c r="F333" t="inlineStr">
        <is>
          <t>B013ZD0ILY</t>
        </is>
      </c>
      <c r="G333">
        <f>_xlfn.IMAGE("https://camerareadycosmetics.com/cdn/shop/products/107219000__26292.1432164386.600.600_50x.jpeg?v=1689648830")</f>
        <v/>
      </c>
      <c r="H333">
        <f>_xlfn.IMAGE("https://m.media-amazon.com/images/I/81qXp3+8Y1L._AC_UL320_.jpg")</f>
        <v/>
      </c>
      <c r="K333" t="inlineStr">
        <is>
          <t>8.0</t>
        </is>
      </c>
      <c r="L333" t="n">
        <v>22.99</v>
      </c>
      <c r="M333" s="1" t="inlineStr">
        <is>
          <t>187.37%</t>
        </is>
      </c>
      <c r="N333" t="n">
        <v>4.4</v>
      </c>
      <c r="O333" t="n">
        <v>126</v>
      </c>
      <c r="Q333" t="inlineStr">
        <is>
          <t>InStock</t>
        </is>
      </c>
      <c r="R333" t="inlineStr">
        <is>
          <t>undefined</t>
        </is>
      </c>
      <c r="S333" t="inlineStr">
        <is>
          <t>7045779079</t>
        </is>
      </c>
    </row>
    <row r="334" ht="75" customHeight="1">
      <c r="A334" s="2">
        <f>HYPERLINK("https://camerareadycosmetics.com/products/ben-nye-matte-foundation-refill", "https://camerareadycosmetics.com/products/ben-nye-matte-foundation-refill")</f>
        <v/>
      </c>
      <c r="B334" s="2">
        <f>HYPERLINK("https://camerareadycosmetics.com/products/ben-nye-matte-foundation-refill", "https://camerareadycosmetics.com/products/ben-nye-matte-foundation-refill")</f>
        <v/>
      </c>
      <c r="C334" t="inlineStr">
        <is>
          <t>Matte Foundation Refill</t>
        </is>
      </c>
      <c r="D334" t="inlineStr">
        <is>
          <t>BULK REFILL FOUNDATION (BEIGE) Mineral Makeup Powder Matte Bare Skin Sheer SPF 15 Cover (1 Ounce)</t>
        </is>
      </c>
      <c r="E334" s="2">
        <f>HYPERLINK("https://www.amazon.com/REFILL-FOUNDATION-Mineral-Makeup-Powder/dp/B013ZDFJF4/ref=sr_1_4?keywords=Matte+Foundation+Refill&amp;qid=1695565466&amp;sr=8-4", "https://www.amazon.com/REFILL-FOUNDATION-Mineral-Makeup-Powder/dp/B013ZDFJF4/ref=sr_1_4?keywords=Matte+Foundation+Refill&amp;qid=1695565466&amp;sr=8-4")</f>
        <v/>
      </c>
      <c r="F334" t="inlineStr">
        <is>
          <t>B013ZDFJF4</t>
        </is>
      </c>
      <c r="G334">
        <f>_xlfn.IMAGE("https://camerareadycosmetics.com/cdn/shop/products/107219000__26292.1432164386.600.600_50x.jpeg?v=1689648830")</f>
        <v/>
      </c>
      <c r="H334">
        <f>_xlfn.IMAGE("https://m.media-amazon.com/images/I/81YC-7yll-L._AC_UL320_.jpg")</f>
        <v/>
      </c>
      <c r="K334" t="inlineStr">
        <is>
          <t>8.0</t>
        </is>
      </c>
      <c r="L334" t="n">
        <v>22.99</v>
      </c>
      <c r="M334" s="1" t="inlineStr">
        <is>
          <t>187.37%</t>
        </is>
      </c>
      <c r="N334" t="n">
        <v>4.4</v>
      </c>
      <c r="O334" t="n">
        <v>18</v>
      </c>
      <c r="Q334" t="inlineStr">
        <is>
          <t>InStock</t>
        </is>
      </c>
      <c r="R334" t="inlineStr">
        <is>
          <t>undefined</t>
        </is>
      </c>
      <c r="S334" t="inlineStr">
        <is>
          <t>7045779079</t>
        </is>
      </c>
    </row>
    <row r="335" ht="75" customHeight="1">
      <c r="A335" s="2">
        <f>HYPERLINK("https://camerareadycosmetics.com/products/ben-nye-matte-foundation-refill", "https://camerareadycosmetics.com/products/ben-nye-matte-foundation-refill")</f>
        <v/>
      </c>
      <c r="B335" s="2">
        <f>HYPERLINK("https://camerareadycosmetics.com/products/ben-nye-matte-foundation-refill", "https://camerareadycosmetics.com/products/ben-nye-matte-foundation-refill")</f>
        <v/>
      </c>
      <c r="C335" t="inlineStr">
        <is>
          <t>Matte Foundation Refill</t>
        </is>
      </c>
      <c r="D335" t="inlineStr">
        <is>
          <t>BULK REFILL FOUNDATION (FAIR 2) Mineral Makeup Powder Matte Bare Skin Sheer SPF 15 Cover (12 Grams)</t>
        </is>
      </c>
      <c r="E335" s="2">
        <f>HYPERLINK("https://www.amazon.com/REFILL-FOUNDATION-Mineral-Makeup-Powder/dp/B013ZBLX7E/ref=sr_1_9?keywords=Matte+Foundation+Refill&amp;qid=1695565466&amp;sr=8-9", "https://www.amazon.com/REFILL-FOUNDATION-Mineral-Makeup-Powder/dp/B013ZBLX7E/ref=sr_1_9?keywords=Matte+Foundation+Refill&amp;qid=1695565466&amp;sr=8-9")</f>
        <v/>
      </c>
      <c r="F335" t="inlineStr">
        <is>
          <t>B013ZBLX7E</t>
        </is>
      </c>
      <c r="G335">
        <f>_xlfn.IMAGE("https://camerareadycosmetics.com/cdn/shop/products/107219000__26292.1432164386.600.600_50x.jpeg?v=1689648830")</f>
        <v/>
      </c>
      <c r="H335">
        <f>_xlfn.IMAGE("https://m.media-amazon.com/images/I/81g9QqPu43L._AC_UL320_.jpg")</f>
        <v/>
      </c>
      <c r="K335" t="inlineStr">
        <is>
          <t>8.0</t>
        </is>
      </c>
      <c r="L335" t="n">
        <v>12.99</v>
      </c>
      <c r="M335" s="1" t="inlineStr">
        <is>
          <t>62.38%</t>
        </is>
      </c>
      <c r="N335" t="n">
        <v>4.2</v>
      </c>
      <c r="O335" t="n">
        <v>40</v>
      </c>
      <c r="Q335" t="inlineStr">
        <is>
          <t>InStock</t>
        </is>
      </c>
      <c r="R335" t="inlineStr">
        <is>
          <t>undefined</t>
        </is>
      </c>
      <c r="S335" t="inlineStr">
        <is>
          <t>7045779079</t>
        </is>
      </c>
    </row>
    <row r="336" ht="75" customHeight="1">
      <c r="A336" s="2">
        <f>HYPERLINK("https://camerareadycosmetics.com/products/ben-nye-mediapro-hd-sheer-foundation", "https://camerareadycosmetics.com/products/ben-nye-mediapro-hd-sheer-foundation")</f>
        <v/>
      </c>
      <c r="B336" s="2">
        <f>HYPERLINK("https://camerareadycosmetics.com/products/ben-nye-mediapro-hd-sheer-foundation", "https://camerareadycosmetics.com/products/ben-nye-mediapro-hd-sheer-foundation")</f>
        <v/>
      </c>
      <c r="C336" t="inlineStr">
        <is>
          <t>MediaPRO HD Sheer Foundation</t>
        </is>
      </c>
      <c r="D336" t="inlineStr">
        <is>
          <t>2PCS Press Foundation Pump for Nars Sheer Glow Foundation and CATRICE HD Liquid Coverage Foundation（Black）</t>
        </is>
      </c>
      <c r="E336" s="2">
        <f>HYPERLINK("https://www.amazon.com/Foundation-CATRICE-Liquid-Coverage-Foundation%EF%BC%88Black%EF%BC%89/dp/B081NCN3D1/ref=sr_1_fkmr2_1?keywords=MediaPRO+HD+Sheer+Foundation&amp;qid=1695565512&amp;sr=8-1-fkmr2", "https://www.amazon.com/Foundation-CATRICE-Liquid-Coverage-Foundation%EF%BC%88Black%EF%BC%89/dp/B081NCN3D1/ref=sr_1_fkmr2_1?keywords=MediaPRO+HD+Sheer+Foundation&amp;qid=1695565512&amp;sr=8-1-fkmr2")</f>
        <v/>
      </c>
      <c r="F336" t="inlineStr">
        <is>
          <t>B081NCN3D1</t>
        </is>
      </c>
      <c r="G336">
        <f>_xlfn.IMAGE("https://camerareadycosmetics.com/cdn/shop/products/11944_zoom_1428533683_50x.jpg?v=1689630549")</f>
        <v/>
      </c>
      <c r="H336">
        <f>_xlfn.IMAGE("https://m.media-amazon.com/images/I/4132sp6y2pL._AC_UL320_.jpg")</f>
        <v/>
      </c>
      <c r="K336" t="inlineStr">
        <is>
          <t>16.0</t>
        </is>
      </c>
      <c r="L336" t="n">
        <v>7.99</v>
      </c>
      <c r="M336" s="1" t="inlineStr">
        <is>
          <t>-50.06%</t>
        </is>
      </c>
      <c r="N336" t="n">
        <v>4.4</v>
      </c>
      <c r="O336" t="n">
        <v>127</v>
      </c>
      <c r="Q336" t="inlineStr">
        <is>
          <t>InStock</t>
        </is>
      </c>
      <c r="R336" t="inlineStr">
        <is>
          <t>undefined</t>
        </is>
      </c>
      <c r="S336" t="inlineStr">
        <is>
          <t>7035602503</t>
        </is>
      </c>
    </row>
    <row r="337" ht="75" customHeight="1">
      <c r="A337" s="2">
        <f>HYPERLINK("https://camerareadycosmetics.com/products/ben-nye-mediapro-hd-sheer-foundation", "https://camerareadycosmetics.com/products/ben-nye-mediapro-hd-sheer-foundation")</f>
        <v/>
      </c>
      <c r="B337" s="2">
        <f>HYPERLINK("https://camerareadycosmetics.com/products/ben-nye-mediapro-hd-sheer-foundation", "https://camerareadycosmetics.com/products/ben-nye-mediapro-hd-sheer-foundation")</f>
        <v/>
      </c>
      <c r="C337" t="inlineStr">
        <is>
          <t>MediaPRO HD Sheer Foundation</t>
        </is>
      </c>
      <c r="D337" t="inlineStr">
        <is>
          <t>2PCS Press Foundation Pump for Nars Sheer Glow Foundation and CATRICE HD Liquid Coverage Foundation（Black）</t>
        </is>
      </c>
      <c r="E337" s="2">
        <f>HYPERLINK("https://www.amazon.com/Foundation-CATRICE-Liquid-Coverage-Foundation%EF%BC%88Black%EF%BC%89/dp/B081NCN3D1/ref=sr_1_fkmr2_1?keywords=MediaPRO+HD+Sheer+Foundation&amp;qid=1695565512&amp;sr=8-1-fkmr2", "https://www.amazon.com/Foundation-CATRICE-Liquid-Coverage-Foundation%EF%BC%88Black%EF%BC%89/dp/B081NCN3D1/ref=sr_1_fkmr2_1?keywords=MediaPRO+HD+Sheer+Foundation&amp;qid=1695565512&amp;sr=8-1-fkmr2")</f>
        <v/>
      </c>
      <c r="F337" t="inlineStr">
        <is>
          <t>B081NCN3D1</t>
        </is>
      </c>
      <c r="G337">
        <f>_xlfn.IMAGE("https://camerareadycosmetics.com/cdn/shop/products/11944_zoom_1428533683_50x.jpg?v=1689630549")</f>
        <v/>
      </c>
      <c r="H337">
        <f>_xlfn.IMAGE("https://m.media-amazon.com/images/I/4132sp6y2pL._AC_UL320_.jpg")</f>
        <v/>
      </c>
      <c r="K337" t="inlineStr">
        <is>
          <t>16.0</t>
        </is>
      </c>
      <c r="L337" t="n">
        <v>7.99</v>
      </c>
      <c r="M337" s="1" t="inlineStr">
        <is>
          <t>-50.06%</t>
        </is>
      </c>
      <c r="N337" t="n">
        <v>4.4</v>
      </c>
      <c r="O337" t="n">
        <v>127</v>
      </c>
      <c r="Q337" t="inlineStr">
        <is>
          <t>InStock</t>
        </is>
      </c>
      <c r="R337" t="inlineStr">
        <is>
          <t>undefined</t>
        </is>
      </c>
      <c r="S337" t="inlineStr">
        <is>
          <t>7035602503</t>
        </is>
      </c>
    </row>
    <row r="338" ht="75" customHeight="1">
      <c r="A338" s="2">
        <f>HYPERLINK("https://camerareadycosmetics.com/products/ben-nye-mojave-luxury-powder-camel", "https://camerareadycosmetics.com/products/ben-nye-mojave-luxury-powder-camel")</f>
        <v/>
      </c>
      <c r="B338" s="2">
        <f>HYPERLINK("https://camerareadycosmetics.com/products/ben-nye-mojave-luxury-powder-camel", "https://camerareadycosmetics.com/products/ben-nye-mojave-luxury-powder-camel")</f>
        <v/>
      </c>
      <c r="C338" t="inlineStr">
        <is>
          <t>Camel Mojave Luxury Powder</t>
        </is>
      </c>
      <c r="D338" t="inlineStr">
        <is>
          <t>Ben Nye - Camel Mojave Luxury Powders - 1.5oz MHV</t>
        </is>
      </c>
      <c r="E338" s="2">
        <f>HYPERLINK("https://www.amazon.com/Ben-Nye-Mojave-Luxury-Powders/dp/B00IUIUL9E/ref=sr_1_1?keywords=Camel+Mojave+Luxury+Powder&amp;qid=1695565442&amp;sr=8-1", "https://www.amazon.com/Ben-Nye-Mojave-Luxury-Powders/dp/B00IUIUL9E/ref=sr_1_1?keywords=Camel+Mojave+Luxury+Powder&amp;qid=1695565442&amp;sr=8-1")</f>
        <v/>
      </c>
      <c r="F338" t="inlineStr">
        <is>
          <t>B00IUIUL9E</t>
        </is>
      </c>
      <c r="G338">
        <f>_xlfn.IMAGE("https://camerareadycosmetics.com/cdn/shop/products/ben-nye-face-powder-MHV2_Camel_50x.jpg?v=1691124258")</f>
        <v/>
      </c>
      <c r="H338">
        <f>_xlfn.IMAGE("https://m.media-amazon.com/images/I/51T22mA5J1L._AC_UL320_.jpg")</f>
        <v/>
      </c>
      <c r="K338" t="inlineStr">
        <is>
          <t>16.0</t>
        </is>
      </c>
      <c r="L338" t="n">
        <v>26.96</v>
      </c>
      <c r="M338" s="1" t="inlineStr">
        <is>
          <t>68.50%</t>
        </is>
      </c>
      <c r="N338" t="n">
        <v>4.4</v>
      </c>
      <c r="O338" t="n">
        <v>7</v>
      </c>
      <c r="Q338" t="inlineStr">
        <is>
          <t>InStock</t>
        </is>
      </c>
      <c r="R338" t="inlineStr">
        <is>
          <t>undefined</t>
        </is>
      </c>
      <c r="S338" t="inlineStr">
        <is>
          <t>9389111754</t>
        </is>
      </c>
    </row>
    <row r="339" ht="75" customHeight="1">
      <c r="A339" s="2">
        <f>HYPERLINK("https://camerareadycosmetics.com/products/ben-nye-mojave-luxury-powder-clay", "https://camerareadycosmetics.com/products/ben-nye-mojave-luxury-powder-clay")</f>
        <v/>
      </c>
      <c r="B339" s="2">
        <f>HYPERLINK("https://camerareadycosmetics.com/products/ben-nye-mojave-luxury-powder-clay", "https://camerareadycosmetics.com/products/ben-nye-mojave-luxury-powder-clay")</f>
        <v/>
      </c>
      <c r="C339" t="inlineStr">
        <is>
          <t>Clay Mojave Luxury Powder</t>
        </is>
      </c>
      <c r="D339" t="inlineStr">
        <is>
          <t>Ben Nye - Clay Mojave Luxury Powders - 1.5oz MHV</t>
        </is>
      </c>
      <c r="E339" s="2">
        <f>HYPERLINK("https://www.amazon.com/Ben-Nye-Mojave-Luxury-Powders/dp/B00AZRGPOS/ref=sr_1_1?keywords=Clay+Mojave+Luxury+Powder&amp;qid=1695565503&amp;sr=8-1", "https://www.amazon.com/Ben-Nye-Mojave-Luxury-Powders/dp/B00AZRGPOS/ref=sr_1_1?keywords=Clay+Mojave+Luxury+Powder&amp;qid=1695565503&amp;sr=8-1")</f>
        <v/>
      </c>
      <c r="F339" t="inlineStr">
        <is>
          <t>B00AZRGPOS</t>
        </is>
      </c>
      <c r="G339">
        <f>_xlfn.IMAGE("https://camerareadycosmetics.com/cdn/shop/products/ben-nye-face-powder-MHV8_Clay_50x.jpg?v=1691124274")</f>
        <v/>
      </c>
      <c r="H339">
        <f>_xlfn.IMAGE("https://m.media-amazon.com/images/I/41JqnAVp85L._AC_UL320_.jpg")</f>
        <v/>
      </c>
      <c r="K339" t="inlineStr">
        <is>
          <t>16.0</t>
        </is>
      </c>
      <c r="L339" t="n">
        <v>23</v>
      </c>
      <c r="M339" s="1" t="inlineStr">
        <is>
          <t>43.75%</t>
        </is>
      </c>
      <c r="N339" t="n">
        <v>3.7</v>
      </c>
      <c r="O339" t="n">
        <v>3</v>
      </c>
      <c r="Q339" t="inlineStr">
        <is>
          <t>InStock</t>
        </is>
      </c>
      <c r="R339" t="inlineStr">
        <is>
          <t>undefined</t>
        </is>
      </c>
      <c r="S339" t="inlineStr">
        <is>
          <t>9389302538</t>
        </is>
      </c>
    </row>
    <row r="340" ht="75" customHeight="1">
      <c r="A340" s="2">
        <f>HYPERLINK("https://camerareadycosmetics.com/products/ben-nye-mojave-luxury-powder-dolce", "https://camerareadycosmetics.com/products/ben-nye-mojave-luxury-powder-dolce")</f>
        <v/>
      </c>
      <c r="B340" s="2">
        <f>HYPERLINK("https://camerareadycosmetics.com/products/ben-nye-mojave-luxury-powder-dolce", "https://camerareadycosmetics.com/products/ben-nye-mojave-luxury-powder-dolce")</f>
        <v/>
      </c>
      <c r="C340" t="inlineStr">
        <is>
          <t>Dolce Mojave Luxury Powder</t>
        </is>
      </c>
      <c r="D340" t="inlineStr">
        <is>
          <t>Ben Nye - Camel Mojave Luxury Powders - 1.5oz MHV</t>
        </is>
      </c>
      <c r="E340" s="2">
        <f>HYPERLINK("https://www.amazon.com/Ben-Nye-Mojave-Luxury-Powders/dp/B00IUIUL9E/ref=sr_1_1?keywords=Dolce+Mojave+Luxury+Powder&amp;qid=1695565488&amp;sr=8-1", "https://www.amazon.com/Ben-Nye-Mojave-Luxury-Powders/dp/B00IUIUL9E/ref=sr_1_1?keywords=Dolce+Mojave+Luxury+Powder&amp;qid=1695565488&amp;sr=8-1")</f>
        <v/>
      </c>
      <c r="F340" t="inlineStr">
        <is>
          <t>B00IUIUL9E</t>
        </is>
      </c>
      <c r="G340">
        <f>_xlfn.IMAGE("https://camerareadycosmetics.com/cdn/shop/products/ben-nye-face-powder-MHV4_Dolce_50x.jpg?v=1691124303")</f>
        <v/>
      </c>
      <c r="H340">
        <f>_xlfn.IMAGE("https://m.media-amazon.com/images/I/51T22mA5J1L._AC_UL320_.jpg")</f>
        <v/>
      </c>
      <c r="K340" t="inlineStr">
        <is>
          <t>16.0</t>
        </is>
      </c>
      <c r="L340" t="n">
        <v>26.96</v>
      </c>
      <c r="M340" s="1" t="inlineStr">
        <is>
          <t>68.50%</t>
        </is>
      </c>
      <c r="N340" t="n">
        <v>4.4</v>
      </c>
      <c r="O340" t="n">
        <v>7</v>
      </c>
      <c r="Q340" t="inlineStr">
        <is>
          <t>InStock</t>
        </is>
      </c>
      <c r="R340" t="inlineStr">
        <is>
          <t>undefined</t>
        </is>
      </c>
      <c r="S340" t="inlineStr">
        <is>
          <t>9389378378</t>
        </is>
      </c>
    </row>
    <row r="341" ht="75" customHeight="1">
      <c r="A341" s="2">
        <f>HYPERLINK("https://camerareadycosmetics.com/products/ben-nye-mojave-luxury-powder-dolce", "https://camerareadycosmetics.com/products/ben-nye-mojave-luxury-powder-dolce")</f>
        <v/>
      </c>
      <c r="B341" s="2">
        <f>HYPERLINK("https://camerareadycosmetics.com/products/ben-nye-mojave-luxury-powder-dolce", "https://camerareadycosmetics.com/products/ben-nye-mojave-luxury-powder-dolce")</f>
        <v/>
      </c>
      <c r="C341" t="inlineStr">
        <is>
          <t>Dolce Mojave Luxury Powder</t>
        </is>
      </c>
      <c r="D341" t="inlineStr">
        <is>
          <t>Ben Nye Makeup Mojave Visage Poudre-Luxury Powder Dark Cocoa 3oz</t>
        </is>
      </c>
      <c r="E341" s="2">
        <f>HYPERLINK("https://www.amazon.com/Makeup-Mojave-Visage-Poudre-Luxury-Powder/dp/B007V9SJGK/ref=sr_1_fkmr0_1?keywords=Dolce+Mojave+Luxury+Powder&amp;qid=1695565488&amp;sr=8-1-fkmr0", "https://www.amazon.com/Makeup-Mojave-Visage-Poudre-Luxury-Powder/dp/B007V9SJGK/ref=sr_1_fkmr0_1?keywords=Dolce+Mojave+Luxury+Powder&amp;qid=1695565488&amp;sr=8-1-fkmr0")</f>
        <v/>
      </c>
      <c r="F341" t="inlineStr">
        <is>
          <t>B007V9SJGK</t>
        </is>
      </c>
      <c r="G341">
        <f>_xlfn.IMAGE("https://camerareadycosmetics.com/cdn/shop/products/ben-nye-face-powder-MHV4_Dolce_50x.jpg?v=1691124303")</f>
        <v/>
      </c>
      <c r="H341">
        <f>_xlfn.IMAGE("https://m.media-amazon.com/images/I/51shdGU38RL._AC_UL320_.jpg")</f>
        <v/>
      </c>
      <c r="K341" t="inlineStr">
        <is>
          <t>16.0</t>
        </is>
      </c>
      <c r="L341" t="n">
        <v>25.1</v>
      </c>
      <c r="M341" s="1" t="inlineStr">
        <is>
          <t>56.88%</t>
        </is>
      </c>
      <c r="N341" t="n">
        <v>5</v>
      </c>
      <c r="O341" t="n">
        <v>7</v>
      </c>
      <c r="Q341" t="inlineStr">
        <is>
          <t>InStock</t>
        </is>
      </c>
      <c r="R341" t="inlineStr">
        <is>
          <t>undefined</t>
        </is>
      </c>
      <c r="S341" t="inlineStr">
        <is>
          <t>9389378378</t>
        </is>
      </c>
    </row>
    <row r="342" ht="75" customHeight="1">
      <c r="A342" s="2">
        <f>HYPERLINK("https://camerareadycosmetics.com/products/ben-nye-mojave-luxury-powder-dolce", "https://camerareadycosmetics.com/products/ben-nye-mojave-luxury-powder-dolce")</f>
        <v/>
      </c>
      <c r="B342" s="2">
        <f>HYPERLINK("https://camerareadycosmetics.com/products/ben-nye-mojave-luxury-powder-dolce", "https://camerareadycosmetics.com/products/ben-nye-mojave-luxury-powder-dolce")</f>
        <v/>
      </c>
      <c r="C342" t="inlineStr">
        <is>
          <t>Dolce Mojave Luxury Powder</t>
        </is>
      </c>
      <c r="D342" t="inlineStr">
        <is>
          <t>Ben Nye - Clay Mojave Luxury Powders - 1.5oz MHV</t>
        </is>
      </c>
      <c r="E342" s="2">
        <f>HYPERLINK("https://www.amazon.com/Ben-Nye-Mojave-Luxury-Powders/dp/B00AZRGPOS/ref=sr_1_fkmr2_1?keywords=Dolce+Mojave+Luxury+Powder&amp;qid=1695565488&amp;sr=8-1-fkmr2", "https://www.amazon.com/Ben-Nye-Mojave-Luxury-Powders/dp/B00AZRGPOS/ref=sr_1_fkmr2_1?keywords=Dolce+Mojave+Luxury+Powder&amp;qid=1695565488&amp;sr=8-1-fkmr2")</f>
        <v/>
      </c>
      <c r="F342" t="inlineStr">
        <is>
          <t>B00AZRGPOS</t>
        </is>
      </c>
      <c r="G342">
        <f>_xlfn.IMAGE("https://camerareadycosmetics.com/cdn/shop/products/ben-nye-face-powder-MHV4_Dolce_50x.jpg?v=1691124303")</f>
        <v/>
      </c>
      <c r="H342">
        <f>_xlfn.IMAGE("https://m.media-amazon.com/images/I/41JqnAVp85L._AC_UL320_.jpg")</f>
        <v/>
      </c>
      <c r="K342" t="inlineStr">
        <is>
          <t>16.0</t>
        </is>
      </c>
      <c r="L342" t="n">
        <v>23</v>
      </c>
      <c r="M342" s="1" t="inlineStr">
        <is>
          <t>43.75%</t>
        </is>
      </c>
      <c r="N342" t="n">
        <v>3.7</v>
      </c>
      <c r="O342" t="n">
        <v>3</v>
      </c>
      <c r="Q342" t="inlineStr">
        <is>
          <t>InStock</t>
        </is>
      </c>
      <c r="R342" t="inlineStr">
        <is>
          <t>undefined</t>
        </is>
      </c>
      <c r="S342" t="inlineStr">
        <is>
          <t>9389378378</t>
        </is>
      </c>
    </row>
    <row r="343" ht="75" customHeight="1">
      <c r="A343" s="2">
        <f>HYPERLINK("https://camerareadycosmetics.com/products/ben-nye-mojave-luxury-powder-olive-sand", "https://camerareadycosmetics.com/products/ben-nye-mojave-luxury-powder-olive-sand")</f>
        <v/>
      </c>
      <c r="B343" s="2">
        <f>HYPERLINK("https://camerareadycosmetics.com/products/ben-nye-mojave-luxury-powder-olive-sand", "https://camerareadycosmetics.com/products/ben-nye-mojave-luxury-powder-olive-sand")</f>
        <v/>
      </c>
      <c r="C343" t="inlineStr">
        <is>
          <t>Olive Sand Mojave Luxury Powder</t>
        </is>
      </c>
      <c r="D343" t="inlineStr">
        <is>
          <t>BEN NYE Olive Sand Luxury Face Powder 3 Oz.</t>
        </is>
      </c>
      <c r="E343" s="2">
        <f>HYPERLINK("https://www.amazon.com/Olive-Sand-Luxury-Face-Powder/dp/B007V9SLA4/ref=sr_1_1?keywords=Olive+Sand+Mojave+Luxury+Powder&amp;qid=1695565490&amp;sr=8-1", "https://www.amazon.com/Olive-Sand-Luxury-Face-Powder/dp/B007V9SLA4/ref=sr_1_1?keywords=Olive+Sand+Mojave+Luxury+Powder&amp;qid=1695565490&amp;sr=8-1")</f>
        <v/>
      </c>
      <c r="F343" t="inlineStr">
        <is>
          <t>B007V9SLA4</t>
        </is>
      </c>
      <c r="G343">
        <f>_xlfn.IMAGE("https://camerareadycosmetics.com/cdn/shop/products/ben-nye-face-powder-MHV6_Olive_Sand_50x.jpg?v=1691124339")</f>
        <v/>
      </c>
      <c r="H343">
        <f>_xlfn.IMAGE("https://m.media-amazon.com/images/I/51btRCZfEdL._AC_UL320_.jpg")</f>
        <v/>
      </c>
      <c r="K343" t="inlineStr">
        <is>
          <t>16.0</t>
        </is>
      </c>
      <c r="L343" t="n">
        <v>32</v>
      </c>
      <c r="M343" s="1" t="inlineStr">
        <is>
          <t>100.00%</t>
        </is>
      </c>
      <c r="N343" t="n">
        <v>4.6</v>
      </c>
      <c r="O343" t="n">
        <v>24</v>
      </c>
      <c r="Q343" t="inlineStr">
        <is>
          <t>InStock</t>
        </is>
      </c>
      <c r="R343" t="inlineStr">
        <is>
          <t>undefined</t>
        </is>
      </c>
      <c r="S343" t="inlineStr">
        <is>
          <t>9389410762</t>
        </is>
      </c>
    </row>
    <row r="344" ht="75" customHeight="1">
      <c r="A344" s="2">
        <f>HYPERLINK("https://camerareadycosmetics.com/products/ben-nye-powder-blush-and-contour-refill", "https://camerareadycosmetics.com/products/ben-nye-powder-blush-and-contour-refill")</f>
        <v/>
      </c>
      <c r="B344" s="2">
        <f>HYPERLINK("https://camerareadycosmetics.com/products/ben-nye-powder-blush-and-contour-refill", "https://camerareadycosmetics.com/products/ben-nye-powder-blush-and-contour-refill")</f>
        <v/>
      </c>
      <c r="C344" t="inlineStr">
        <is>
          <t>Powder Blush and Contour Refill</t>
        </is>
      </c>
      <c r="D344" t="inlineStr">
        <is>
          <t>FOCALLURE Blush and Highlighter Palette,3 in 1 Contour Palette,Cruelty-Free Matte Bronzer Powder,Shimmer Illuminator Highlighters for a Glowing Look,#04</t>
        </is>
      </c>
      <c r="E344" s="2">
        <f>HYPERLINK("https://www.amazon.com/FOCALLURE-Highlighter-Cruelty-Free-Illuminator-Highlighters/dp/B09YH46ZNB/ref=sr_1_4?keywords=Powder+Blush+and+Contour+Refill&amp;qid=1695565417&amp;sr=8-4", "https://www.amazon.com/FOCALLURE-Highlighter-Cruelty-Free-Illuminator-Highlighters/dp/B09YH46ZNB/ref=sr_1_4?keywords=Powder+Blush+and+Contour+Refill&amp;qid=1695565417&amp;sr=8-4")</f>
        <v/>
      </c>
      <c r="F344" t="inlineStr">
        <is>
          <t>B09YH46ZNB</t>
        </is>
      </c>
      <c r="G344">
        <f>_xlfn.IMAGE("https://camerareadycosmetics.com/cdn/shop/products/Untitled_1__34302.1432945674.600.600_50x.jpeg?v=1689628250")</f>
        <v/>
      </c>
      <c r="H344">
        <f>_xlfn.IMAGE("https://m.media-amazon.com/images/I/710gQmE5q0L._AC_UL320_.jpg")</f>
        <v/>
      </c>
      <c r="K344" t="inlineStr">
        <is>
          <t>9.0</t>
        </is>
      </c>
      <c r="L344" t="n">
        <v>9.99</v>
      </c>
      <c r="M344" s="1" t="inlineStr">
        <is>
          <t>11.00%</t>
        </is>
      </c>
      <c r="N344" t="n">
        <v>4.4</v>
      </c>
      <c r="O344" t="n">
        <v>1108</v>
      </c>
      <c r="Q344" t="inlineStr">
        <is>
          <t>InStock</t>
        </is>
      </c>
      <c r="R344" t="inlineStr">
        <is>
          <t>undefined</t>
        </is>
      </c>
      <c r="S344" t="inlineStr">
        <is>
          <t>7035088711</t>
        </is>
      </c>
    </row>
    <row r="345" ht="75" customHeight="1">
      <c r="A345" s="2">
        <f>HYPERLINK("https://camerareadycosmetics.com/products/ben-nye-powder-blush-and-contour-refill", "https://camerareadycosmetics.com/products/ben-nye-powder-blush-and-contour-refill")</f>
        <v/>
      </c>
      <c r="B345" s="2">
        <f>HYPERLINK("https://camerareadycosmetics.com/products/ben-nye-powder-blush-and-contour-refill", "https://camerareadycosmetics.com/products/ben-nye-powder-blush-and-contour-refill")</f>
        <v/>
      </c>
      <c r="C345" t="inlineStr">
        <is>
          <t>Powder Blush and Contour Refill</t>
        </is>
      </c>
      <c r="D345" t="inlineStr">
        <is>
          <t>Yeweian 3-in-1 Blendable Trio, Contour and Highlight Blush Makeup Palette, Cream Bronzer, Silky Smooth Powder Blush, Shimmer Highlighter Makeup Powder, Pink Brown Eyeshadow Palette with Mirror(01)</t>
        </is>
      </c>
      <c r="E345" s="2">
        <f>HYPERLINK("https://www.amazon.com/Yeweian-Blendable-Highlight-Highlighter-Eyeshadow/dp/B0CBWZC3LR/ref=sr_1_1?keywords=Powder+Blush+and+Contour+Refill&amp;qid=1695565417&amp;sr=8-1", "https://www.amazon.com/Yeweian-Blendable-Highlight-Highlighter-Eyeshadow/dp/B0CBWZC3LR/ref=sr_1_1?keywords=Powder+Blush+and+Contour+Refill&amp;qid=1695565417&amp;sr=8-1")</f>
        <v/>
      </c>
      <c r="F345" t="inlineStr">
        <is>
          <t>B0CBWZC3LR</t>
        </is>
      </c>
      <c r="G345">
        <f>_xlfn.IMAGE("https://camerareadycosmetics.com/cdn/shop/products/Untitled_1__34302.1432945674.600.600_50x.jpeg?v=1689628250")</f>
        <v/>
      </c>
      <c r="H345">
        <f>_xlfn.IMAGE("https://m.media-amazon.com/images/I/71eRZzs0lzL._AC_UL320_.jpg")</f>
        <v/>
      </c>
      <c r="K345" t="inlineStr">
        <is>
          <t>9.0</t>
        </is>
      </c>
      <c r="L345" t="n">
        <v>6.59</v>
      </c>
      <c r="M345" s="1" t="inlineStr">
        <is>
          <t>-26.78%</t>
        </is>
      </c>
      <c r="N345" t="n">
        <v>3.4</v>
      </c>
      <c r="O345" t="n">
        <v>28</v>
      </c>
      <c r="Q345" t="inlineStr">
        <is>
          <t>InStock</t>
        </is>
      </c>
      <c r="R345" t="inlineStr">
        <is>
          <t>undefined</t>
        </is>
      </c>
      <c r="S345" t="inlineStr">
        <is>
          <t>7035088711</t>
        </is>
      </c>
    </row>
    <row r="346" ht="75" customHeight="1">
      <c r="A346" s="2">
        <f>HYPERLINK("https://camerareadycosmetics.com/products/ben-nye-powder-blush-and-contour-refill", "https://camerareadycosmetics.com/products/ben-nye-powder-blush-and-contour-refill")</f>
        <v/>
      </c>
      <c r="B346" s="2">
        <f>HYPERLINK("https://camerareadycosmetics.com/products/ben-nye-powder-blush-and-contour-refill", "https://camerareadycosmetics.com/products/ben-nye-powder-blush-and-contour-refill")</f>
        <v/>
      </c>
      <c r="C346" t="inlineStr">
        <is>
          <t>Powder Blush and Contour Refill</t>
        </is>
      </c>
      <c r="D346" t="inlineStr">
        <is>
          <t>FOCALLURE Powder Palette Blush, Matte Mineral Blush Powder, Bright Shimmer Face Blush Makeup, Contour and Highlight Blush Palette, Highly Pigmented, Long Lasting, Waterproof, Blendable, 402</t>
        </is>
      </c>
      <c r="E346" s="2">
        <f>HYPERLINK("https://www.amazon.com/FOCALLURE-Highlight-Pigmented-Waterproof-Blendable/dp/B09QYJ7LT1/ref=sr_1_10?keywords=Powder+Blush+and+Contour+Refill&amp;qid=1695565417&amp;sr=8-10", "https://www.amazon.com/FOCALLURE-Highlight-Pigmented-Waterproof-Blendable/dp/B09QYJ7LT1/ref=sr_1_10?keywords=Powder+Blush+and+Contour+Refill&amp;qid=1695565417&amp;sr=8-10")</f>
        <v/>
      </c>
      <c r="F346" t="inlineStr">
        <is>
          <t>B09QYJ7LT1</t>
        </is>
      </c>
      <c r="G346">
        <f>_xlfn.IMAGE("https://camerareadycosmetics.com/cdn/shop/products/Untitled_1__34302.1432945674.600.600_50x.jpeg?v=1689628250")</f>
        <v/>
      </c>
      <c r="H346">
        <f>_xlfn.IMAGE("https://m.media-amazon.com/images/I/61vsPcEHJQL._AC_UL320_.jpg")</f>
        <v/>
      </c>
      <c r="K346" t="inlineStr">
        <is>
          <t>9.0</t>
        </is>
      </c>
      <c r="L346" t="n">
        <v>5.99</v>
      </c>
      <c r="M346" s="1" t="inlineStr">
        <is>
          <t>-33.44%</t>
        </is>
      </c>
      <c r="N346" t="n">
        <v>3.8</v>
      </c>
      <c r="O346" t="n">
        <v>4</v>
      </c>
      <c r="Q346" t="inlineStr">
        <is>
          <t>InStock</t>
        </is>
      </c>
      <c r="R346" t="inlineStr">
        <is>
          <t>undefined</t>
        </is>
      </c>
      <c r="S346" t="inlineStr">
        <is>
          <t>7035088711</t>
        </is>
      </c>
    </row>
    <row r="347" ht="75" customHeight="1">
      <c r="A347" s="2">
        <f>HYPERLINK("https://camerareadycosmetics.com/products/ben-nye-precision-eye-liner", "https://camerareadycosmetics.com/products/ben-nye-precision-eye-liner")</f>
        <v/>
      </c>
      <c r="B347" s="2">
        <f>HYPERLINK("https://camerareadycosmetics.com/products/ben-nye-precision-eye-liner", "https://camerareadycosmetics.com/products/ben-nye-precision-eye-liner")</f>
        <v/>
      </c>
      <c r="C347" t="inlineStr">
        <is>
          <t>Precision Eye Liner</t>
        </is>
      </c>
      <c r="D347" t="inlineStr">
        <is>
          <t>Kevyn Aucoin The Precision Eye Definer, Black (Vanta): Self-sharpening eyeliner. Easy precise pencil application. Pro makeup artist go to. Define eyes for long-wearing, sharp and smooth lines.</t>
        </is>
      </c>
      <c r="E347" s="2">
        <f>HYPERLINK("https://www.amazon.com/Kevyn-Aucoin-Precision-Eye-Definer/dp/B014PZ1MTS/ref=sr_1_10?keywords=Precision+Eye+Liner&amp;qid=1695565492&amp;sr=8-10", "https://www.amazon.com/Kevyn-Aucoin-Precision-Eye-Definer/dp/B014PZ1MTS/ref=sr_1_10?keywords=Precision+Eye+Liner&amp;qid=1695565492&amp;sr=8-10")</f>
        <v/>
      </c>
      <c r="F347" t="inlineStr">
        <is>
          <t>B014PZ1MTS</t>
        </is>
      </c>
      <c r="G347">
        <f>_xlfn.IMAGE("https://camerareadycosmetics.com/cdn/shop/products/new_new_50x.jpg?v=1689635601")</f>
        <v/>
      </c>
      <c r="H347">
        <f>_xlfn.IMAGE("https://m.media-amazon.com/images/I/51pepkcLw3L._AC_UL320_.jpg")</f>
        <v/>
      </c>
      <c r="K347" t="inlineStr">
        <is>
          <t>15.0</t>
        </is>
      </c>
      <c r="L347" t="n">
        <v>12.46</v>
      </c>
      <c r="M347" s="1" t="inlineStr">
        <is>
          <t>-16.93%</t>
        </is>
      </c>
      <c r="N347" t="n">
        <v>4</v>
      </c>
      <c r="O347" t="n">
        <v>62</v>
      </c>
      <c r="Q347" t="inlineStr">
        <is>
          <t>InStock</t>
        </is>
      </c>
      <c r="R347" t="inlineStr">
        <is>
          <t>undefined</t>
        </is>
      </c>
      <c r="S347" t="inlineStr">
        <is>
          <t>7037527047</t>
        </is>
      </c>
    </row>
    <row r="348" ht="75" customHeight="1">
      <c r="A348" s="2">
        <f>HYPERLINK("https://camerareadycosmetics.com/products/ben-nye-precision-eye-liner", "https://camerareadycosmetics.com/products/ben-nye-precision-eye-liner")</f>
        <v/>
      </c>
      <c r="B348" s="2">
        <f>HYPERLINK("https://camerareadycosmetics.com/products/ben-nye-precision-eye-liner", "https://camerareadycosmetics.com/products/ben-nye-precision-eye-liner")</f>
        <v/>
      </c>
      <c r="C348" t="inlineStr">
        <is>
          <t>Precision Eye Liner</t>
        </is>
      </c>
      <c r="D348" t="inlineStr">
        <is>
          <t>L’Oréal Paris Telescopic Precision Liquid Waterproof Eyeliner, Black</t>
        </is>
      </c>
      <c r="E348" s="2">
        <f>HYPERLINK("https://www.amazon.com/Paris-Telescopic-Precision-Waterproof-Eyeliner/dp/B004BCZ3YG/ref=sr_1_9?keywords=Precision+Eye+Liner&amp;qid=1695565492&amp;sr=8-9", "https://www.amazon.com/Paris-Telescopic-Precision-Waterproof-Eyeliner/dp/B004BCZ3YG/ref=sr_1_9?keywords=Precision+Eye+Liner&amp;qid=1695565492&amp;sr=8-9")</f>
        <v/>
      </c>
      <c r="F348" t="inlineStr">
        <is>
          <t>B004BCZ3YG</t>
        </is>
      </c>
      <c r="G348">
        <f>_xlfn.IMAGE("https://camerareadycosmetics.com/cdn/shop/products/new_new_50x.jpg?v=1689635601")</f>
        <v/>
      </c>
      <c r="H348">
        <f>_xlfn.IMAGE("https://m.media-amazon.com/images/I/71mrAWv3ynL._AC_UL320_.jpg")</f>
        <v/>
      </c>
      <c r="K348" t="inlineStr">
        <is>
          <t>15.0</t>
        </is>
      </c>
      <c r="L348" t="n">
        <v>9.99</v>
      </c>
      <c r="M348" s="1" t="inlineStr">
        <is>
          <t>-33.40%</t>
        </is>
      </c>
      <c r="N348" t="n">
        <v>4.5</v>
      </c>
      <c r="O348" t="n">
        <v>2411</v>
      </c>
      <c r="Q348" t="inlineStr">
        <is>
          <t>InStock</t>
        </is>
      </c>
      <c r="R348" t="inlineStr">
        <is>
          <t>undefined</t>
        </is>
      </c>
      <c r="S348" t="inlineStr">
        <is>
          <t>7037527047</t>
        </is>
      </c>
    </row>
    <row r="349" ht="75" customHeight="1">
      <c r="A349" s="2">
        <f>HYPERLINK("https://camerareadycosmetics.com/products/ben-nye-precision-eye-liner", "https://camerareadycosmetics.com/products/ben-nye-precision-eye-liner")</f>
        <v/>
      </c>
      <c r="B349" s="2">
        <f>HYPERLINK("https://camerareadycosmetics.com/products/ben-nye-precision-eye-liner", "https://camerareadycosmetics.com/products/ben-nye-precision-eye-liner")</f>
        <v/>
      </c>
      <c r="C349" t="inlineStr">
        <is>
          <t>Precision Eye Liner</t>
        </is>
      </c>
      <c r="D349" t="inlineStr">
        <is>
          <t>L’Oréal Paris Cosmetics Infallible Grip Precision Felt Eyeliner, Smudge Resistant, Long Lasting Waterproof Eyeliner, Black, Black, 0.03 fl oz</t>
        </is>
      </c>
      <c r="E349" s="2">
        <f>HYPERLINK("https://www.amazon.com/LOreal-Paris-Infallible-Precision-Waterproof/dp/B09S8JWWZ3/ref=sr_1_2?keywords=Precision+Eye+Liner&amp;qid=1695565492&amp;sr=8-2", "https://www.amazon.com/LOreal-Paris-Infallible-Precision-Waterproof/dp/B09S8JWWZ3/ref=sr_1_2?keywords=Precision+Eye+Liner&amp;qid=1695565492&amp;sr=8-2")</f>
        <v/>
      </c>
      <c r="F349" t="inlineStr">
        <is>
          <t>B09S8JWWZ3</t>
        </is>
      </c>
      <c r="G349">
        <f>_xlfn.IMAGE("https://camerareadycosmetics.com/cdn/shop/products/new_new_50x.jpg?v=1689635601")</f>
        <v/>
      </c>
      <c r="H349">
        <f>_xlfn.IMAGE("https://m.media-amazon.com/images/I/41eYnbYKfpL._AC_UL320_.jpg")</f>
        <v/>
      </c>
      <c r="K349" t="inlineStr">
        <is>
          <t>15.0</t>
        </is>
      </c>
      <c r="L349" t="n">
        <v>8.99</v>
      </c>
      <c r="M349" s="1" t="inlineStr">
        <is>
          <t>-40.07%</t>
        </is>
      </c>
      <c r="N349" t="n">
        <v>4.3</v>
      </c>
      <c r="O349" t="n">
        <v>3100</v>
      </c>
      <c r="Q349" t="inlineStr">
        <is>
          <t>InStock</t>
        </is>
      </c>
      <c r="R349" t="inlineStr">
        <is>
          <t>undefined</t>
        </is>
      </c>
      <c r="S349" t="inlineStr">
        <is>
          <t>7037527047</t>
        </is>
      </c>
    </row>
    <row r="350" ht="75" customHeight="1">
      <c r="A350" s="2">
        <f>HYPERLINK("https://camerareadycosmetics.com/products/ben-nye-precision-eye-liner", "https://camerareadycosmetics.com/products/ben-nye-precision-eye-liner")</f>
        <v/>
      </c>
      <c r="B350" s="2">
        <f>HYPERLINK("https://camerareadycosmetics.com/products/ben-nye-precision-eye-liner", "https://camerareadycosmetics.com/products/ben-nye-precision-eye-liner")</f>
        <v/>
      </c>
      <c r="C350" t="inlineStr">
        <is>
          <t>Precision Eye Liner</t>
        </is>
      </c>
      <c r="D350" t="inlineStr">
        <is>
          <t>Revlon Gel Eyeliner, ColorStay Micro Hyper Precision Eye Makeup with Built-in Smudger, Waterproof, Longwearing with Micro Precision Tip, 215 Brown, 0.01 Oz</t>
        </is>
      </c>
      <c r="E350" s="2">
        <f>HYPERLINK("https://www.amazon.com/Colorstay-Precision-Eyeliner-Waterproof-wearing/dp/B07XTSY7BX/ref=sr_1_3?keywords=Precision+Eye+Liner&amp;qid=1695565492&amp;rdc=1&amp;sr=8-3", "https://www.amazon.com/Colorstay-Precision-Eyeliner-Waterproof-wearing/dp/B07XTSY7BX/ref=sr_1_3?keywords=Precision+Eye+Liner&amp;qid=1695565492&amp;rdc=1&amp;sr=8-3")</f>
        <v/>
      </c>
      <c r="F350" t="inlineStr">
        <is>
          <t>B07XTSY7BX</t>
        </is>
      </c>
      <c r="G350">
        <f>_xlfn.IMAGE("https://camerareadycosmetics.com/cdn/shop/products/new_new_50x.jpg?v=1689635601")</f>
        <v/>
      </c>
      <c r="H350">
        <f>_xlfn.IMAGE("https://m.media-amazon.com/images/I/716KNbKiwxL._AC_UL320_.jpg")</f>
        <v/>
      </c>
      <c r="K350" t="inlineStr">
        <is>
          <t>15.0</t>
        </is>
      </c>
      <c r="L350" t="n">
        <v>7.59</v>
      </c>
      <c r="M350" s="1" t="inlineStr">
        <is>
          <t>-49.40%</t>
        </is>
      </c>
      <c r="N350" t="n">
        <v>4</v>
      </c>
      <c r="O350" t="n">
        <v>1688</v>
      </c>
      <c r="Q350" t="inlineStr">
        <is>
          <t>InStock</t>
        </is>
      </c>
      <c r="R350" t="inlineStr">
        <is>
          <t>undefined</t>
        </is>
      </c>
      <c r="S350" t="inlineStr">
        <is>
          <t>7037527047</t>
        </is>
      </c>
    </row>
    <row r="351" ht="75" customHeight="1">
      <c r="A351" s="2">
        <f>HYPERLINK("https://camerareadycosmetics.com/products/ben-nye-precision-eye-liner", "https://camerareadycosmetics.com/products/ben-nye-precision-eye-liner")</f>
        <v/>
      </c>
      <c r="B351" s="2">
        <f>HYPERLINK("https://camerareadycosmetics.com/products/ben-nye-precision-eye-liner", "https://camerareadycosmetics.com/products/ben-nye-precision-eye-liner")</f>
        <v/>
      </c>
      <c r="C351" t="inlineStr">
        <is>
          <t>Precision Eye Liner</t>
        </is>
      </c>
      <c r="D351" t="inlineStr">
        <is>
          <t>Maybelline New York Line Stiletto Ultimate Precision Liquid Eyeliner, Blackest Black, 0.05 fl. oz.</t>
        </is>
      </c>
      <c r="E351" s="2">
        <f>HYPERLINK("https://www.amazon.com/Maybelline-New-York-Stiletto-Precision/dp/B002LFRRIK/ref=sr_1_5?keywords=Precision+Eye+Liner&amp;qid=1695565492&amp;sr=8-5", "https://www.amazon.com/Maybelline-New-York-Stiletto-Precision/dp/B002LFRRIK/ref=sr_1_5?keywords=Precision+Eye+Liner&amp;qid=1695565492&amp;sr=8-5")</f>
        <v/>
      </c>
      <c r="F351" t="inlineStr">
        <is>
          <t>B002LFRRIK</t>
        </is>
      </c>
      <c r="G351">
        <f>_xlfn.IMAGE("https://camerareadycosmetics.com/cdn/shop/products/new_new_50x.jpg?v=1689635601")</f>
        <v/>
      </c>
      <c r="H351">
        <f>_xlfn.IMAGE("https://m.media-amazon.com/images/I/61ANATCT0HL._AC_UL320_.jpg")</f>
        <v/>
      </c>
      <c r="K351" t="inlineStr">
        <is>
          <t>15.0</t>
        </is>
      </c>
      <c r="L351" t="n">
        <v>7.48</v>
      </c>
      <c r="M351" s="1" t="inlineStr">
        <is>
          <t>-50.13%</t>
        </is>
      </c>
      <c r="N351" t="n">
        <v>4.4</v>
      </c>
      <c r="O351" t="n">
        <v>4403</v>
      </c>
      <c r="Q351" t="inlineStr">
        <is>
          <t>InStock</t>
        </is>
      </c>
      <c r="R351" t="inlineStr">
        <is>
          <t>undefined</t>
        </is>
      </c>
      <c r="S351" t="inlineStr">
        <is>
          <t>7037527047</t>
        </is>
      </c>
    </row>
    <row r="352" ht="75" customHeight="1">
      <c r="A352" s="2">
        <f>HYPERLINK("https://camerareadycosmetics.com/products/ben-nye-precision-eye-liner", "https://camerareadycosmetics.com/products/ben-nye-precision-eye-liner")</f>
        <v/>
      </c>
      <c r="B352" s="2">
        <f>HYPERLINK("https://camerareadycosmetics.com/products/ben-nye-precision-eye-liner", "https://camerareadycosmetics.com/products/ben-nye-precision-eye-liner")</f>
        <v/>
      </c>
      <c r="C352" t="inlineStr">
        <is>
          <t>Precision Eye Liner</t>
        </is>
      </c>
      <c r="D352" t="inlineStr">
        <is>
          <t>Neutrogena Intense Gel Eyeliner with Antioxidant Vitamin E, Smudge- &amp; Water-Resistant Eyeliner Makeup for Precision Application, Jet Black, 0.004 oz</t>
        </is>
      </c>
      <c r="E352" s="2">
        <f>HYPERLINK("https://www.amazon.com/Neutrogena-Antioxidant-Water-resistant-Precision-Application/dp/B07JCLRTXK/ref=sr_1_8?keywords=Precision+Eye+Liner&amp;qid=1695565492&amp;sr=8-8", "https://www.amazon.com/Neutrogena-Antioxidant-Water-resistant-Precision-Application/dp/B07JCLRTXK/ref=sr_1_8?keywords=Precision+Eye+Liner&amp;qid=1695565492&amp;sr=8-8")</f>
        <v/>
      </c>
      <c r="F352" t="inlineStr">
        <is>
          <t>B07JCLRTXK</t>
        </is>
      </c>
      <c r="G352">
        <f>_xlfn.IMAGE("https://camerareadycosmetics.com/cdn/shop/products/new_new_50x.jpg?v=1689635601")</f>
        <v/>
      </c>
      <c r="H352">
        <f>_xlfn.IMAGE("https://m.media-amazon.com/images/I/71frpwNr7IL._AC_UL320_.jpg")</f>
        <v/>
      </c>
      <c r="K352" t="inlineStr">
        <is>
          <t>15.0</t>
        </is>
      </c>
      <c r="L352" t="n">
        <v>7.45</v>
      </c>
      <c r="M352" s="1" t="inlineStr">
        <is>
          <t>-50.33%</t>
        </is>
      </c>
      <c r="N352" t="n">
        <v>4.3</v>
      </c>
      <c r="O352" t="n">
        <v>2787</v>
      </c>
      <c r="Q352" t="inlineStr">
        <is>
          <t>InStock</t>
        </is>
      </c>
      <c r="R352" t="inlineStr">
        <is>
          <t>undefined</t>
        </is>
      </c>
      <c r="S352" t="inlineStr">
        <is>
          <t>7037527047</t>
        </is>
      </c>
    </row>
    <row r="353" ht="75" customHeight="1">
      <c r="A353" s="2">
        <f>HYPERLINK("https://camerareadycosmetics.com/products/ben-nye-precision-eye-liner", "https://camerareadycosmetics.com/products/ben-nye-precision-eye-liner")</f>
        <v/>
      </c>
      <c r="B353" s="2">
        <f>HYPERLINK("https://camerareadycosmetics.com/products/ben-nye-precision-eye-liner", "https://camerareadycosmetics.com/products/ben-nye-precision-eye-liner")</f>
        <v/>
      </c>
      <c r="C353" t="inlineStr">
        <is>
          <t>Precision Eye Liner</t>
        </is>
      </c>
      <c r="D353" t="inlineStr">
        <is>
          <t>Neutrogena Precision Liquid Eyeliner with Honey &amp; Coconut, Hypoallergenic, Smudge- &amp; Water-Resistant Eyeliner Makeup for Precise Application, Jet Black, 0.013 fl. oz</t>
        </is>
      </c>
      <c r="E353" s="2">
        <f>HYPERLINK("https://www.amazon.com/Neutrogena-Precision-Hypoallergenic-Water-Resistant-Application/dp/B07JDF1NYB/ref=sr_1_4?keywords=Precision+Eye+Liner&amp;qid=1695565492&amp;sr=8-4", "https://www.amazon.com/Neutrogena-Precision-Hypoallergenic-Water-Resistant-Application/dp/B07JDF1NYB/ref=sr_1_4?keywords=Precision+Eye+Liner&amp;qid=1695565492&amp;sr=8-4")</f>
        <v/>
      </c>
      <c r="F353" t="inlineStr">
        <is>
          <t>B07JDF1NYB</t>
        </is>
      </c>
      <c r="G353">
        <f>_xlfn.IMAGE("https://camerareadycosmetics.com/cdn/shop/products/new_new_50x.jpg?v=1689635601")</f>
        <v/>
      </c>
      <c r="H353">
        <f>_xlfn.IMAGE("https://m.media-amazon.com/images/I/711IfYpjYDL._AC_UL320_.jpg")</f>
        <v/>
      </c>
      <c r="K353" t="inlineStr">
        <is>
          <t>15.0</t>
        </is>
      </c>
      <c r="L353" t="n">
        <v>7.29</v>
      </c>
      <c r="M353" s="1" t="inlineStr">
        <is>
          <t>-51.40%</t>
        </is>
      </c>
      <c r="N353" t="n">
        <v>4.3</v>
      </c>
      <c r="O353" t="n">
        <v>2712</v>
      </c>
      <c r="Q353" t="inlineStr">
        <is>
          <t>InStock</t>
        </is>
      </c>
      <c r="R353" t="inlineStr">
        <is>
          <t>undefined</t>
        </is>
      </c>
      <c r="S353" t="inlineStr">
        <is>
          <t>7037527047</t>
        </is>
      </c>
    </row>
    <row r="354" ht="75" customHeight="1">
      <c r="A354" s="2">
        <f>HYPERLINK("https://camerareadycosmetics.com/products/ben-nye-precision-eye-liner", "https://camerareadycosmetics.com/products/ben-nye-precision-eye-liner")</f>
        <v/>
      </c>
      <c r="B354" s="2">
        <f>HYPERLINK("https://camerareadycosmetics.com/products/ben-nye-precision-eye-liner", "https://camerareadycosmetics.com/products/ben-nye-precision-eye-liner")</f>
        <v/>
      </c>
      <c r="C354" t="inlineStr">
        <is>
          <t>Precision Eye Liner</t>
        </is>
      </c>
      <c r="D354" t="inlineStr">
        <is>
          <t>Rimmel Scandaleyes Precision Mirco Eyeliner, Black 001, Pack of 1</t>
        </is>
      </c>
      <c r="E354" s="2">
        <f>HYPERLINK("https://www.amazon.com/Rimmel-Scandaleyes-Micro-Liner-Black/dp/B00E9QHSHO/ref=sr_1_7?keywords=Precision+Eye+Liner&amp;qid=1695565492&amp;sr=8-7", "https://www.amazon.com/Rimmel-Scandaleyes-Micro-Liner-Black/dp/B00E9QHSHO/ref=sr_1_7?keywords=Precision+Eye+Liner&amp;qid=1695565492&amp;sr=8-7")</f>
        <v/>
      </c>
      <c r="F354" t="inlineStr">
        <is>
          <t>B00E9QHSHO</t>
        </is>
      </c>
      <c r="G354">
        <f>_xlfn.IMAGE("https://camerareadycosmetics.com/cdn/shop/products/new_new_50x.jpg?v=1689635601")</f>
        <v/>
      </c>
      <c r="H354">
        <f>_xlfn.IMAGE("https://m.media-amazon.com/images/I/61CLc75Jq2L._AC_UL320_.jpg")</f>
        <v/>
      </c>
      <c r="K354" t="inlineStr">
        <is>
          <t>15.0</t>
        </is>
      </c>
      <c r="L354" t="n">
        <v>5.85</v>
      </c>
      <c r="M354" s="1" t="inlineStr">
        <is>
          <t>-61.00%</t>
        </is>
      </c>
      <c r="N354" t="n">
        <v>4.5</v>
      </c>
      <c r="O354" t="n">
        <v>282</v>
      </c>
      <c r="Q354" t="inlineStr">
        <is>
          <t>InStock</t>
        </is>
      </c>
      <c r="R354" t="inlineStr">
        <is>
          <t>undefined</t>
        </is>
      </c>
      <c r="S354" t="inlineStr">
        <is>
          <t>7037527047</t>
        </is>
      </c>
    </row>
    <row r="355" ht="75" customHeight="1">
      <c r="A355" s="2">
        <f>HYPERLINK("https://camerareadycosmetics.com/products/ben-nye-precision-eye-liner", "https://camerareadycosmetics.com/products/ben-nye-precision-eye-liner")</f>
        <v/>
      </c>
      <c r="B355" s="2">
        <f>HYPERLINK("https://camerareadycosmetics.com/products/ben-nye-precision-eye-liner", "https://camerareadycosmetics.com/products/ben-nye-precision-eye-liner")</f>
        <v/>
      </c>
      <c r="C355" t="inlineStr">
        <is>
          <t>Precision Eye Liner</t>
        </is>
      </c>
      <c r="D355" t="inlineStr">
        <is>
          <t>Revlon Gel Eyeliner, ColorStay Micro Hyper Precision Eye Makeup with Built-in Smudger, Waterproof, Longwearing with Micro Precision Tip, 215 Brown, 0.01 Oz</t>
        </is>
      </c>
      <c r="E355" s="2">
        <f>HYPERLINK("https://www.amazon.com/Colorstay-Precision-Eyeliner-Waterproof-wearing/dp/B07XTSY7BX/ref=sr_1_3?keywords=Precision+Eye+Liner&amp;qid=1695565492&amp;rdc=1&amp;sr=8-3", "https://www.amazon.com/Colorstay-Precision-Eyeliner-Waterproof-wearing/dp/B07XTSY7BX/ref=sr_1_3?keywords=Precision+Eye+Liner&amp;qid=1695565492&amp;rdc=1&amp;sr=8-3")</f>
        <v/>
      </c>
      <c r="F355" t="inlineStr">
        <is>
          <t>B07XTSY7BX</t>
        </is>
      </c>
      <c r="G355">
        <f>_xlfn.IMAGE("https://camerareadycosmetics.com/cdn/shop/products/new_new_50x.jpg?v=1689635601")</f>
        <v/>
      </c>
      <c r="H355">
        <f>_xlfn.IMAGE("https://m.media-amazon.com/images/I/716KNbKiwxL._AC_UL320_.jpg")</f>
        <v/>
      </c>
      <c r="K355" t="inlineStr">
        <is>
          <t>15.0</t>
        </is>
      </c>
      <c r="L355" t="n">
        <v>7.59</v>
      </c>
      <c r="M355" s="1" t="inlineStr">
        <is>
          <t>-49.40%</t>
        </is>
      </c>
      <c r="N355" t="n">
        <v>4</v>
      </c>
      <c r="O355" t="n">
        <v>1688</v>
      </c>
      <c r="Q355" t="inlineStr">
        <is>
          <t>InStock</t>
        </is>
      </c>
      <c r="R355" t="inlineStr">
        <is>
          <t>undefined</t>
        </is>
      </c>
      <c r="S355" t="inlineStr">
        <is>
          <t>7037527047</t>
        </is>
      </c>
    </row>
    <row r="356" ht="75" customHeight="1">
      <c r="A356" s="2">
        <f>HYPERLINK("https://camerareadycosmetics.com/products/ben-nye-precision-eye-liner", "https://camerareadycosmetics.com/products/ben-nye-precision-eye-liner")</f>
        <v/>
      </c>
      <c r="B356" s="2">
        <f>HYPERLINK("https://camerareadycosmetics.com/products/ben-nye-precision-eye-liner", "https://camerareadycosmetics.com/products/ben-nye-precision-eye-liner")</f>
        <v/>
      </c>
      <c r="C356" t="inlineStr">
        <is>
          <t>Precision Eye Liner</t>
        </is>
      </c>
      <c r="D356" t="inlineStr">
        <is>
          <t>Maybelline New York Line Stiletto Ultimate Precision Liquid Eyeliner, Blackest Black, 0.05 fl. oz.</t>
        </is>
      </c>
      <c r="E356" s="2">
        <f>HYPERLINK("https://www.amazon.com/Maybelline-New-York-Stiletto-Precision/dp/B002LFRRIK/ref=sr_1_5?keywords=Precision+Eye+Liner&amp;qid=1695565492&amp;sr=8-5", "https://www.amazon.com/Maybelline-New-York-Stiletto-Precision/dp/B002LFRRIK/ref=sr_1_5?keywords=Precision+Eye+Liner&amp;qid=1695565492&amp;sr=8-5")</f>
        <v/>
      </c>
      <c r="F356" t="inlineStr">
        <is>
          <t>B002LFRRIK</t>
        </is>
      </c>
      <c r="G356">
        <f>_xlfn.IMAGE("https://camerareadycosmetics.com/cdn/shop/products/new_new_50x.jpg?v=1689635601")</f>
        <v/>
      </c>
      <c r="H356">
        <f>_xlfn.IMAGE("https://m.media-amazon.com/images/I/61ANATCT0HL._AC_UL320_.jpg")</f>
        <v/>
      </c>
      <c r="K356" t="inlineStr">
        <is>
          <t>15.0</t>
        </is>
      </c>
      <c r="L356" t="n">
        <v>7.48</v>
      </c>
      <c r="M356" s="1" t="inlineStr">
        <is>
          <t>-50.13%</t>
        </is>
      </c>
      <c r="N356" t="n">
        <v>4.4</v>
      </c>
      <c r="O356" t="n">
        <v>4403</v>
      </c>
      <c r="Q356" t="inlineStr">
        <is>
          <t>InStock</t>
        </is>
      </c>
      <c r="R356" t="inlineStr">
        <is>
          <t>undefined</t>
        </is>
      </c>
      <c r="S356" t="inlineStr">
        <is>
          <t>7037527047</t>
        </is>
      </c>
    </row>
    <row r="357" ht="75" customHeight="1">
      <c r="A357" s="2">
        <f>HYPERLINK("https://camerareadycosmetics.com/products/ben-nye-precision-eye-liner", "https://camerareadycosmetics.com/products/ben-nye-precision-eye-liner")</f>
        <v/>
      </c>
      <c r="B357" s="2">
        <f>HYPERLINK("https://camerareadycosmetics.com/products/ben-nye-precision-eye-liner", "https://camerareadycosmetics.com/products/ben-nye-precision-eye-liner")</f>
        <v/>
      </c>
      <c r="C357" t="inlineStr">
        <is>
          <t>Precision Eye Liner</t>
        </is>
      </c>
      <c r="D357" t="inlineStr">
        <is>
          <t>Neutrogena Intense Gel Eyeliner with Antioxidant Vitamin E, Smudge- &amp; Water-Resistant Eyeliner Makeup for Precision Application, Jet Black, 0.004 oz</t>
        </is>
      </c>
      <c r="E357" s="2">
        <f>HYPERLINK("https://www.amazon.com/Neutrogena-Antioxidant-Water-resistant-Precision-Application/dp/B07JCLRTXK/ref=sr_1_8?keywords=Precision+Eye+Liner&amp;qid=1695565492&amp;sr=8-8", "https://www.amazon.com/Neutrogena-Antioxidant-Water-resistant-Precision-Application/dp/B07JCLRTXK/ref=sr_1_8?keywords=Precision+Eye+Liner&amp;qid=1695565492&amp;sr=8-8")</f>
        <v/>
      </c>
      <c r="F357" t="inlineStr">
        <is>
          <t>B07JCLRTXK</t>
        </is>
      </c>
      <c r="G357">
        <f>_xlfn.IMAGE("https://camerareadycosmetics.com/cdn/shop/products/new_new_50x.jpg?v=1689635601")</f>
        <v/>
      </c>
      <c r="H357">
        <f>_xlfn.IMAGE("https://m.media-amazon.com/images/I/71frpwNr7IL._AC_UL320_.jpg")</f>
        <v/>
      </c>
      <c r="K357" t="inlineStr">
        <is>
          <t>15.0</t>
        </is>
      </c>
      <c r="L357" t="n">
        <v>7.45</v>
      </c>
      <c r="M357" s="1" t="inlineStr">
        <is>
          <t>-50.33%</t>
        </is>
      </c>
      <c r="N357" t="n">
        <v>4.3</v>
      </c>
      <c r="O357" t="n">
        <v>2787</v>
      </c>
      <c r="Q357" t="inlineStr">
        <is>
          <t>InStock</t>
        </is>
      </c>
      <c r="R357" t="inlineStr">
        <is>
          <t>undefined</t>
        </is>
      </c>
      <c r="S357" t="inlineStr">
        <is>
          <t>7037527047</t>
        </is>
      </c>
    </row>
    <row r="358" ht="75" customHeight="1">
      <c r="A358" s="2">
        <f>HYPERLINK("https://camerareadycosmetics.com/products/ben-nye-precision-eye-liner", "https://camerareadycosmetics.com/products/ben-nye-precision-eye-liner")</f>
        <v/>
      </c>
      <c r="B358" s="2">
        <f>HYPERLINK("https://camerareadycosmetics.com/products/ben-nye-precision-eye-liner", "https://camerareadycosmetics.com/products/ben-nye-precision-eye-liner")</f>
        <v/>
      </c>
      <c r="C358" t="inlineStr">
        <is>
          <t>Precision Eye Liner</t>
        </is>
      </c>
      <c r="D358" t="inlineStr">
        <is>
          <t>Neutrogena Precision Liquid Eyeliner with Honey &amp; Coconut, Hypoallergenic, Smudge- &amp; Water-Resistant Eyeliner Makeup for Precise Application, Jet Black, 0.013 fl. oz</t>
        </is>
      </c>
      <c r="E358" s="2">
        <f>HYPERLINK("https://www.amazon.com/Neutrogena-Precision-Hypoallergenic-Water-Resistant-Application/dp/B07JDF1NYB/ref=sr_1_4?keywords=Precision+Eye+Liner&amp;qid=1695565492&amp;sr=8-4", "https://www.amazon.com/Neutrogena-Precision-Hypoallergenic-Water-Resistant-Application/dp/B07JDF1NYB/ref=sr_1_4?keywords=Precision+Eye+Liner&amp;qid=1695565492&amp;sr=8-4")</f>
        <v/>
      </c>
      <c r="F358" t="inlineStr">
        <is>
          <t>B07JDF1NYB</t>
        </is>
      </c>
      <c r="G358">
        <f>_xlfn.IMAGE("https://camerareadycosmetics.com/cdn/shop/products/new_new_50x.jpg?v=1689635601")</f>
        <v/>
      </c>
      <c r="H358">
        <f>_xlfn.IMAGE("https://m.media-amazon.com/images/I/711IfYpjYDL._AC_UL320_.jpg")</f>
        <v/>
      </c>
      <c r="K358" t="inlineStr">
        <is>
          <t>15.0</t>
        </is>
      </c>
      <c r="L358" t="n">
        <v>7.29</v>
      </c>
      <c r="M358" s="1" t="inlineStr">
        <is>
          <t>-51.40%</t>
        </is>
      </c>
      <c r="N358" t="n">
        <v>4.3</v>
      </c>
      <c r="O358" t="n">
        <v>2712</v>
      </c>
      <c r="Q358" t="inlineStr">
        <is>
          <t>InStock</t>
        </is>
      </c>
      <c r="R358" t="inlineStr">
        <is>
          <t>undefined</t>
        </is>
      </c>
      <c r="S358" t="inlineStr">
        <is>
          <t>7037527047</t>
        </is>
      </c>
    </row>
    <row r="359" ht="75" customHeight="1">
      <c r="A359" s="2">
        <f>HYPERLINK("https://camerareadycosmetics.com/products/ben-nye-precision-eye-liner", "https://camerareadycosmetics.com/products/ben-nye-precision-eye-liner")</f>
        <v/>
      </c>
      <c r="B359" s="2">
        <f>HYPERLINK("https://camerareadycosmetics.com/products/ben-nye-precision-eye-liner", "https://camerareadycosmetics.com/products/ben-nye-precision-eye-liner")</f>
        <v/>
      </c>
      <c r="C359" t="inlineStr">
        <is>
          <t>Precision Eye Liner</t>
        </is>
      </c>
      <c r="D359" t="inlineStr">
        <is>
          <t>Rimmel Scandaleyes Precision Mirco Eyeliner, Black 001, Pack of 1</t>
        </is>
      </c>
      <c r="E359" s="2">
        <f>HYPERLINK("https://www.amazon.com/Rimmel-Scandaleyes-Micro-Liner-Black/dp/B00E9QHSHO/ref=sr_1_7?keywords=Precision+Eye+Liner&amp;qid=1695565492&amp;sr=8-7", "https://www.amazon.com/Rimmel-Scandaleyes-Micro-Liner-Black/dp/B00E9QHSHO/ref=sr_1_7?keywords=Precision+Eye+Liner&amp;qid=1695565492&amp;sr=8-7")</f>
        <v/>
      </c>
      <c r="F359" t="inlineStr">
        <is>
          <t>B00E9QHSHO</t>
        </is>
      </c>
      <c r="G359">
        <f>_xlfn.IMAGE("https://camerareadycosmetics.com/cdn/shop/products/new_new_50x.jpg?v=1689635601")</f>
        <v/>
      </c>
      <c r="H359">
        <f>_xlfn.IMAGE("https://m.media-amazon.com/images/I/61CLc75Jq2L._AC_UL320_.jpg")</f>
        <v/>
      </c>
      <c r="K359" t="inlineStr">
        <is>
          <t>15.0</t>
        </is>
      </c>
      <c r="L359" t="n">
        <v>5.85</v>
      </c>
      <c r="M359" s="1" t="inlineStr">
        <is>
          <t>-61.00%</t>
        </is>
      </c>
      <c r="N359" t="n">
        <v>4.5</v>
      </c>
      <c r="O359" t="n">
        <v>282</v>
      </c>
      <c r="Q359" t="inlineStr">
        <is>
          <t>InStock</t>
        </is>
      </c>
      <c r="R359" t="inlineStr">
        <is>
          <t>undefined</t>
        </is>
      </c>
      <c r="S359" t="inlineStr">
        <is>
          <t>7037527047</t>
        </is>
      </c>
    </row>
    <row r="360" ht="75" customHeight="1">
      <c r="A360" s="2">
        <f>HYPERLINK("https://camerareadycosmetics.com/products/ben-nye-rose-petal-luxury-powder", "https://camerareadycosmetics.com/products/ben-nye-rose-petal-luxury-powder")</f>
        <v/>
      </c>
      <c r="B360" s="2">
        <f>HYPERLINK("https://camerareadycosmetics.com/products/ben-nye-rose-petal-luxury-powder", "https://camerareadycosmetics.com/products/ben-nye-rose-petal-luxury-powder")</f>
        <v/>
      </c>
      <c r="C360" t="inlineStr">
        <is>
          <t>Rose Petal Luxury Powder</t>
        </is>
      </c>
      <c r="D360" t="inlineStr">
        <is>
          <t>Ben Nye Luxury Powder, Rose Petal 3oz</t>
        </is>
      </c>
      <c r="E360" s="2">
        <f>HYPERLINK("https://www.amazon.com/Ben-Nye-Luxury-Powder-Petal/dp/B01IU3GRIM/ref=sr_1_1?keywords=Rose+Petal+Luxury+Powder&amp;qid=1695565439&amp;sr=8-1", "https://www.amazon.com/Ben-Nye-Luxury-Powder-Petal/dp/B01IU3GRIM/ref=sr_1_1?keywords=Rose+Petal+Luxury+Powder&amp;qid=1695565439&amp;sr=8-1")</f>
        <v/>
      </c>
      <c r="F360" t="inlineStr">
        <is>
          <t>B01IU3GRIM</t>
        </is>
      </c>
      <c r="G360">
        <f>_xlfn.IMAGE("https://camerareadycosmetics.com/cdn/shop/products/ben-nye-face-powder-BV42_Rose_Petal_50x.jpg?v=1689642994")</f>
        <v/>
      </c>
      <c r="H360">
        <f>_xlfn.IMAGE("https://m.media-amazon.com/images/I/81efeYRrbeL._AC_UL320_.jpg")</f>
        <v/>
      </c>
      <c r="K360" t="inlineStr">
        <is>
          <t>16.0</t>
        </is>
      </c>
      <c r="L360" t="n">
        <v>39.99</v>
      </c>
      <c r="M360" s="1" t="inlineStr">
        <is>
          <t>149.94%</t>
        </is>
      </c>
      <c r="N360" t="n">
        <v>4.7</v>
      </c>
      <c r="O360" t="n">
        <v>5</v>
      </c>
      <c r="Q360" t="inlineStr">
        <is>
          <t>InStock</t>
        </is>
      </c>
      <c r="R360" t="inlineStr">
        <is>
          <t>undefined</t>
        </is>
      </c>
      <c r="S360" t="inlineStr">
        <is>
          <t>7040759303</t>
        </is>
      </c>
    </row>
    <row r="361" ht="75" customHeight="1">
      <c r="A361" s="2">
        <f>HYPERLINK("https://camerareadycosmetics.com/products/ben-nye-rose-petal-luxury-powder", "https://camerareadycosmetics.com/products/ben-nye-rose-petal-luxury-powder")</f>
        <v/>
      </c>
      <c r="B361" s="2">
        <f>HYPERLINK("https://camerareadycosmetics.com/products/ben-nye-rose-petal-luxury-powder", "https://camerareadycosmetics.com/products/ben-nye-rose-petal-luxury-powder")</f>
        <v/>
      </c>
      <c r="C361" t="inlineStr">
        <is>
          <t>Rose Petal Luxury Powder</t>
        </is>
      </c>
      <c r="D361" t="inlineStr">
        <is>
          <t>Organic Veda Petal Powder - Edible Rose Dusting Powder for Cooking &amp; Baking - Natural Powdered for DIY Face Masks, Skin &amp; Hair Care Products - Vegan, Non-GMO - 16oz.</t>
        </is>
      </c>
      <c r="E361" s="2">
        <f>HYPERLINK("https://www.amazon.com/dp/B00SNSTBA6/ref=sr_1_3?keywords=Rose+Petal+Luxury+Powder&amp;qid=1695565439&amp;sr=8-3", "https://www.amazon.com/dp/B00SNSTBA6/ref=sr_1_3?keywords=Rose+Petal+Luxury+Powder&amp;qid=1695565439&amp;sr=8-3")</f>
        <v/>
      </c>
      <c r="F361" t="inlineStr">
        <is>
          <t>B00SNSTBA6</t>
        </is>
      </c>
      <c r="G361">
        <f>_xlfn.IMAGE("https://camerareadycosmetics.com/cdn/shop/products/ben-nye-face-powder-BV42_Rose_Petal_50x.jpg?v=1689642994")</f>
        <v/>
      </c>
      <c r="H361">
        <f>_xlfn.IMAGE("https://m.media-amazon.com/images/I/71PtQOHMoiL._AC_UL320_.jpg")</f>
        <v/>
      </c>
      <c r="K361" t="inlineStr">
        <is>
          <t>16.0</t>
        </is>
      </c>
      <c r="L361" t="n">
        <v>25.98</v>
      </c>
      <c r="M361" s="1" t="inlineStr">
        <is>
          <t>62.38%</t>
        </is>
      </c>
      <c r="N361" t="n">
        <v>4.5</v>
      </c>
      <c r="O361" t="n">
        <v>247</v>
      </c>
      <c r="Q361" t="inlineStr">
        <is>
          <t>InStock</t>
        </is>
      </c>
      <c r="R361" t="inlineStr">
        <is>
          <t>undefined</t>
        </is>
      </c>
      <c r="S361" t="inlineStr">
        <is>
          <t>7040759303</t>
        </is>
      </c>
    </row>
    <row r="362" ht="75" customHeight="1">
      <c r="A362" s="2">
        <f>HYPERLINK("https://camerareadycosmetics.com/products/ben-nye-rose-petal-luxury-powder", "https://camerareadycosmetics.com/products/ben-nye-rose-petal-luxury-powder")</f>
        <v/>
      </c>
      <c r="B362" s="2">
        <f>HYPERLINK("https://camerareadycosmetics.com/products/ben-nye-rose-petal-luxury-powder", "https://camerareadycosmetics.com/products/ben-nye-rose-petal-luxury-powder")</f>
        <v/>
      </c>
      <c r="C362" t="inlineStr">
        <is>
          <t>Rose Petal Luxury Powder</t>
        </is>
      </c>
      <c r="D362" t="inlineStr">
        <is>
          <t>Rose Petal Powder | 8 oz | Make Tea, Smoothies or Lattes | Best Ingredient for Face Mask Too | Soothing Fragrance | Excellent Natural Skin Toner | by Yogi’s Gift®</t>
        </is>
      </c>
      <c r="E362" s="2">
        <f>HYPERLINK("https://www.amazon.com/Smoothies-Ingredient-Soothing-Fragrance-Excellent/dp/B0862BYZBB/ref=sr_1_4?keywords=Rose+Petal+Luxury+Powder&amp;qid=1695565439&amp;sr=8-4", "https://www.amazon.com/Smoothies-Ingredient-Soothing-Fragrance-Excellent/dp/B0862BYZBB/ref=sr_1_4?keywords=Rose+Petal+Luxury+Powder&amp;qid=1695565439&amp;sr=8-4")</f>
        <v/>
      </c>
      <c r="F362" t="inlineStr">
        <is>
          <t>B0862BYZBB</t>
        </is>
      </c>
      <c r="G362">
        <f>_xlfn.IMAGE("https://camerareadycosmetics.com/cdn/shop/products/ben-nye-face-powder-BV42_Rose_Petal_50x.jpg?v=1689642994")</f>
        <v/>
      </c>
      <c r="H362">
        <f>_xlfn.IMAGE("https://m.media-amazon.com/images/I/716qBGrnI+L._AC_UL320_.jpg")</f>
        <v/>
      </c>
      <c r="K362" t="inlineStr">
        <is>
          <t>16.0</t>
        </is>
      </c>
      <c r="L362" t="n">
        <v>12.99</v>
      </c>
      <c r="M362" s="1" t="inlineStr">
        <is>
          <t>-18.81%</t>
        </is>
      </c>
      <c r="N362" t="n">
        <v>4.6</v>
      </c>
      <c r="O362" t="n">
        <v>369</v>
      </c>
      <c r="Q362" t="inlineStr">
        <is>
          <t>InStock</t>
        </is>
      </c>
      <c r="R362" t="inlineStr">
        <is>
          <t>undefined</t>
        </is>
      </c>
      <c r="S362" t="inlineStr">
        <is>
          <t>7040759303</t>
        </is>
      </c>
    </row>
    <row r="363" ht="75" customHeight="1">
      <c r="A363" s="2">
        <f>HYPERLINK("https://camerareadycosmetics.com/products/ben-nye-rose-petal-luxury-powder", "https://camerareadycosmetics.com/products/ben-nye-rose-petal-luxury-powder")</f>
        <v/>
      </c>
      <c r="B363" s="2">
        <f>HYPERLINK("https://camerareadycosmetics.com/products/ben-nye-rose-petal-luxury-powder", "https://camerareadycosmetics.com/products/ben-nye-rose-petal-luxury-powder")</f>
        <v/>
      </c>
      <c r="C363" t="inlineStr">
        <is>
          <t>Rose Petal Luxury Powder</t>
        </is>
      </c>
      <c r="D363" t="inlineStr">
        <is>
          <t>Rose petal powder by mi nature | 227 g (8 oz) (0.5 lb) | 100% Natural and Pure | Skin care | Chemical free | No added colours, no preservatives</t>
        </is>
      </c>
      <c r="E363" s="2">
        <f>HYPERLINK("https://www.amazon.com/nature-Natural-Chemical-colours-preservatives/dp/B07CWS9X6F/ref=sr_1_5?keywords=Rose+Petal+Luxury+Powder&amp;qid=1695565439&amp;sr=8-5", "https://www.amazon.com/nature-Natural-Chemical-colours-preservatives/dp/B07CWS9X6F/ref=sr_1_5?keywords=Rose+Petal+Luxury+Powder&amp;qid=1695565439&amp;sr=8-5")</f>
        <v/>
      </c>
      <c r="F363" t="inlineStr">
        <is>
          <t>B07CWS9X6F</t>
        </is>
      </c>
      <c r="G363">
        <f>_xlfn.IMAGE("https://camerareadycosmetics.com/cdn/shop/products/ben-nye-face-powder-BV42_Rose_Petal_50x.jpg?v=1689642994")</f>
        <v/>
      </c>
      <c r="H363">
        <f>_xlfn.IMAGE("https://m.media-amazon.com/images/I/7151ae18DmL._AC_UL320_.jpg")</f>
        <v/>
      </c>
      <c r="K363" t="inlineStr">
        <is>
          <t>16.0</t>
        </is>
      </c>
      <c r="L363" t="n">
        <v>9.49</v>
      </c>
      <c r="M363" s="1" t="inlineStr">
        <is>
          <t>-40.69%</t>
        </is>
      </c>
      <c r="N363" t="n">
        <v>4.7</v>
      </c>
      <c r="O363" t="n">
        <v>606</v>
      </c>
      <c r="Q363" t="inlineStr">
        <is>
          <t>InStock</t>
        </is>
      </c>
      <c r="R363" t="inlineStr">
        <is>
          <t>undefined</t>
        </is>
      </c>
      <c r="S363" t="inlineStr">
        <is>
          <t>7040759303</t>
        </is>
      </c>
    </row>
    <row r="364" ht="75" customHeight="1">
      <c r="A364" s="2">
        <f>HYPERLINK("https://camerareadycosmetics.com/products/ben-nye-rose-petal-luxury-powder", "https://camerareadycosmetics.com/products/ben-nye-rose-petal-luxury-powder")</f>
        <v/>
      </c>
      <c r="B364" s="2">
        <f>HYPERLINK("https://camerareadycosmetics.com/products/ben-nye-rose-petal-luxury-powder", "https://camerareadycosmetics.com/products/ben-nye-rose-petal-luxury-powder")</f>
        <v/>
      </c>
      <c r="C364" t="inlineStr">
        <is>
          <t>Rose Petal Luxury Powder</t>
        </is>
      </c>
      <c r="D364" t="inlineStr">
        <is>
          <t>MB Herbals Rose Powder 8 oz | 227G / 0.5lb | For Natural Face Packs &amp; Facial Mask Formulations | 100% Pure &amp; Natural | No Chemical Preservative | No Artifical Color | Rose Petals Powder</t>
        </is>
      </c>
      <c r="E364" s="2">
        <f>HYPERLINK("https://www.amazon.com/MB-Herbals-Formulations-Chemical-Free-Preservative-Free/dp/B07C2WRTH4/ref=sr_1_7?keywords=Rose+Petal+Luxury+Powder&amp;qid=1695565439&amp;sr=8-7", "https://www.amazon.com/MB-Herbals-Formulations-Chemical-Free-Preservative-Free/dp/B07C2WRTH4/ref=sr_1_7?keywords=Rose+Petal+Luxury+Powder&amp;qid=1695565439&amp;sr=8-7")</f>
        <v/>
      </c>
      <c r="F364" t="inlineStr">
        <is>
          <t>B07C2WRTH4</t>
        </is>
      </c>
      <c r="G364">
        <f>_xlfn.IMAGE("https://camerareadycosmetics.com/cdn/shop/products/ben-nye-face-powder-BV42_Rose_Petal_50x.jpg?v=1689642994")</f>
        <v/>
      </c>
      <c r="H364">
        <f>_xlfn.IMAGE("https://m.media-amazon.com/images/I/81sUBXgJw1L._AC_UL320_.jpg")</f>
        <v/>
      </c>
      <c r="K364" t="inlineStr">
        <is>
          <t>16.0</t>
        </is>
      </c>
      <c r="L364" t="n">
        <v>8.99</v>
      </c>
      <c r="M364" s="1" t="inlineStr">
        <is>
          <t>-43.81%</t>
        </is>
      </c>
      <c r="N364" t="n">
        <v>4.6</v>
      </c>
      <c r="O364" t="n">
        <v>240</v>
      </c>
      <c r="Q364" t="inlineStr">
        <is>
          <t>InStock</t>
        </is>
      </c>
      <c r="R364" t="inlineStr">
        <is>
          <t>undefined</t>
        </is>
      </c>
      <c r="S364" t="inlineStr">
        <is>
          <t>7040759303</t>
        </is>
      </c>
    </row>
    <row r="365" ht="75" customHeight="1">
      <c r="A365" s="2">
        <f>HYPERLINK("https://camerareadycosmetics.com/products/ben-nye-rose-petal-luxury-powder", "https://camerareadycosmetics.com/products/ben-nye-rose-petal-luxury-powder")</f>
        <v/>
      </c>
      <c r="B365" s="2">
        <f>HYPERLINK("https://camerareadycosmetics.com/products/ben-nye-rose-petal-luxury-powder", "https://camerareadycosmetics.com/products/ben-nye-rose-petal-luxury-powder")</f>
        <v/>
      </c>
      <c r="C365" t="inlineStr">
        <is>
          <t>Rose Petal Luxury Powder</t>
        </is>
      </c>
      <c r="D365" t="inlineStr">
        <is>
          <t>Jiva Organics Rose Petals Powder 200g (7oz) | Rosa centifolia Natural Face Packs &amp; Facial Mask Formulations - Great for Skin | 100% Pure | Chemical-Free | Preservative-Free | No Artificial Color</t>
        </is>
      </c>
      <c r="E365" s="2">
        <f>HYPERLINK("https://www.amazon.com/Jiva-centifolia-Formulations-Chemical-Free-Preservative-Free/dp/B09LV2WHXP/ref=sr_1_8?keywords=Rose+Petal+Luxury+Powder&amp;qid=1695565439&amp;sr=8-8", "https://www.amazon.com/Jiva-centifolia-Formulations-Chemical-Free-Preservative-Free/dp/B09LV2WHXP/ref=sr_1_8?keywords=Rose+Petal+Luxury+Powder&amp;qid=1695565439&amp;sr=8-8")</f>
        <v/>
      </c>
      <c r="F365" t="inlineStr">
        <is>
          <t>B09LV2WHXP</t>
        </is>
      </c>
      <c r="G365">
        <f>_xlfn.IMAGE("https://camerareadycosmetics.com/cdn/shop/products/ben-nye-face-powder-BV42_Rose_Petal_50x.jpg?v=1689642994")</f>
        <v/>
      </c>
      <c r="H365">
        <f>_xlfn.IMAGE("https://m.media-amazon.com/images/I/81GfuXAMgqL._AC_UL320_.jpg")</f>
        <v/>
      </c>
      <c r="K365" t="inlineStr">
        <is>
          <t>16.0</t>
        </is>
      </c>
      <c r="L365" t="n">
        <v>8.49</v>
      </c>
      <c r="M365" s="1" t="inlineStr">
        <is>
          <t>-46.94%</t>
        </is>
      </c>
      <c r="N365" t="n">
        <v>4.7</v>
      </c>
      <c r="O365" t="n">
        <v>4</v>
      </c>
      <c r="Q365" t="inlineStr">
        <is>
          <t>InStock</t>
        </is>
      </c>
      <c r="R365" t="inlineStr">
        <is>
          <t>undefined</t>
        </is>
      </c>
      <c r="S365" t="inlineStr">
        <is>
          <t>7040759303</t>
        </is>
      </c>
    </row>
    <row r="366" ht="75" customHeight="1">
      <c r="A366" s="2">
        <f>HYPERLINK("https://camerareadycosmetics.com/products/ben-nye-rose-petal-luxury-powder", "https://camerareadycosmetics.com/products/ben-nye-rose-petal-luxury-powder")</f>
        <v/>
      </c>
      <c r="B366" s="2">
        <f>HYPERLINK("https://camerareadycosmetics.com/products/ben-nye-rose-petal-luxury-powder", "https://camerareadycosmetics.com/products/ben-nye-rose-petal-luxury-powder")</f>
        <v/>
      </c>
      <c r="C366" t="inlineStr">
        <is>
          <t>Rose Petal Luxury Powder</t>
        </is>
      </c>
      <c r="D366" t="inlineStr">
        <is>
          <t>Rose Petal Powder by mi Nature | 100g(3.5 oz) | Rose Petal Powder fir Skin Care | Facial Masks | Face Pack | No Added Preservatives</t>
        </is>
      </c>
      <c r="E366" s="2">
        <f>HYPERLINK("https://www.amazon.com/petal-powder-nature-Facial-Preservatives/dp/B08X4JB6VV/ref=sr_1_2?keywords=Rose+Petal+Luxury+Powder&amp;qid=1695565439&amp;sr=8-2", "https://www.amazon.com/petal-powder-nature-Facial-Preservatives/dp/B08X4JB6VV/ref=sr_1_2?keywords=Rose+Petal+Luxury+Powder&amp;qid=1695565439&amp;sr=8-2")</f>
        <v/>
      </c>
      <c r="F366" t="inlineStr">
        <is>
          <t>B08X4JB6VV</t>
        </is>
      </c>
      <c r="G366">
        <f>_xlfn.IMAGE("https://camerareadycosmetics.com/cdn/shop/products/ben-nye-face-powder-BV42_Rose_Petal_50x.jpg?v=1689642994")</f>
        <v/>
      </c>
      <c r="H366">
        <f>_xlfn.IMAGE("https://m.media-amazon.com/images/I/81UXvR6Du1L._AC_UL320_.jpg")</f>
        <v/>
      </c>
      <c r="K366" t="inlineStr">
        <is>
          <t>16.0</t>
        </is>
      </c>
      <c r="L366" t="n">
        <v>8.49</v>
      </c>
      <c r="M366" s="1" t="inlineStr">
        <is>
          <t>-46.94%</t>
        </is>
      </c>
      <c r="N366" t="n">
        <v>4.4</v>
      </c>
      <c r="O366" t="n">
        <v>130</v>
      </c>
      <c r="Q366" t="inlineStr">
        <is>
          <t>InStock</t>
        </is>
      </c>
      <c r="R366" t="inlineStr">
        <is>
          <t>undefined</t>
        </is>
      </c>
      <c r="S366" t="inlineStr">
        <is>
          <t>7040759303</t>
        </is>
      </c>
    </row>
    <row r="367" ht="75" customHeight="1">
      <c r="A367" s="2">
        <f>HYPERLINK("https://camerareadycosmetics.com/products/ben-nye-rose-petal-luxury-powder", "https://camerareadycosmetics.com/products/ben-nye-rose-petal-luxury-powder")</f>
        <v/>
      </c>
      <c r="B367" s="2">
        <f>HYPERLINK("https://camerareadycosmetics.com/products/ben-nye-rose-petal-luxury-powder", "https://camerareadycosmetics.com/products/ben-nye-rose-petal-luxury-powder")</f>
        <v/>
      </c>
      <c r="C367" t="inlineStr">
        <is>
          <t>Rose Petal Luxury Powder</t>
        </is>
      </c>
      <c r="D367" t="inlineStr">
        <is>
          <t>Rose Petal Powder Organic For Face Mask DIY masks | Skin Care, Aromatherapy | Natural and Chemical Free | No Added Preservatives or Colors 100g / 3.52 oz</t>
        </is>
      </c>
      <c r="E367" s="2">
        <f>HYPERLINK("https://www.amazon.com/Herbs-Botanica-Organic-Chemical-Preservatives/dp/B08VJ96DWG/ref=sr_1_6?keywords=Rose+Petal+Luxury+Powder&amp;qid=1695565439&amp;sr=8-6", "https://www.amazon.com/Herbs-Botanica-Organic-Chemical-Preservatives/dp/B08VJ96DWG/ref=sr_1_6?keywords=Rose+Petal+Luxury+Powder&amp;qid=1695565439&amp;sr=8-6")</f>
        <v/>
      </c>
      <c r="F367" t="inlineStr">
        <is>
          <t>B08VJ96DWG</t>
        </is>
      </c>
      <c r="G367">
        <f>_xlfn.IMAGE("https://camerareadycosmetics.com/cdn/shop/products/ben-nye-face-powder-BV42_Rose_Petal_50x.jpg?v=1689642994")</f>
        <v/>
      </c>
      <c r="H367">
        <f>_xlfn.IMAGE("https://m.media-amazon.com/images/I/81gpw+UGw1L._AC_UL320_.jpg")</f>
        <v/>
      </c>
      <c r="K367" t="inlineStr">
        <is>
          <t>16.0</t>
        </is>
      </c>
      <c r="L367" t="n">
        <v>7.24</v>
      </c>
      <c r="M367" s="1" t="inlineStr">
        <is>
          <t>-54.75%</t>
        </is>
      </c>
      <c r="N367" t="n">
        <v>4.6</v>
      </c>
      <c r="O367" t="n">
        <v>66</v>
      </c>
      <c r="Q367" t="inlineStr">
        <is>
          <t>InStock</t>
        </is>
      </c>
      <c r="R367" t="inlineStr">
        <is>
          <t>undefined</t>
        </is>
      </c>
      <c r="S367" t="inlineStr">
        <is>
          <t>7040759303</t>
        </is>
      </c>
    </row>
    <row r="368" ht="75" customHeight="1">
      <c r="A368" s="2">
        <f>HYPERLINK("https://camerareadycosmetics.com/products/ben-nye-rose-petal-luxury-powder", "https://camerareadycosmetics.com/products/ben-nye-rose-petal-luxury-powder")</f>
        <v/>
      </c>
      <c r="B368" s="2">
        <f>HYPERLINK("https://camerareadycosmetics.com/products/ben-nye-rose-petal-luxury-powder", "https://camerareadycosmetics.com/products/ben-nye-rose-petal-luxury-powder")</f>
        <v/>
      </c>
      <c r="C368" t="inlineStr">
        <is>
          <t>Rose Petal Luxury Powder</t>
        </is>
      </c>
      <c r="D368" t="inlineStr">
        <is>
          <t>MB Herbals Rose Powder 100g (3.5oz) | for Face Packs &amp; Facial Mask Formulations | 100% Pure &amp; Natural | No Chemical Preservative | No Artificial Color | Rose Petals Powder</t>
        </is>
      </c>
      <c r="E368" s="2">
        <f>HYPERLINK("https://www.amazon.com/MB-Herbals-Formulations-Chemical-Free-Preservative-Free/dp/B07QX4L5C2/ref=sr_1_10?keywords=Rose+Petal+Luxury+Powder&amp;qid=1695565439&amp;sr=8-10", "https://www.amazon.com/MB-Herbals-Formulations-Chemical-Free-Preservative-Free/dp/B07QX4L5C2/ref=sr_1_10?keywords=Rose+Petal+Luxury+Powder&amp;qid=1695565439&amp;sr=8-10")</f>
        <v/>
      </c>
      <c r="F368" t="inlineStr">
        <is>
          <t>B07QX4L5C2</t>
        </is>
      </c>
      <c r="G368">
        <f>_xlfn.IMAGE("https://camerareadycosmetics.com/cdn/shop/products/ben-nye-face-powder-BV42_Rose_Petal_50x.jpg?v=1689642994")</f>
        <v/>
      </c>
      <c r="H368">
        <f>_xlfn.IMAGE("https://m.media-amazon.com/images/I/71Q-AxfBucL._AC_UL320_.jpg")</f>
        <v/>
      </c>
      <c r="K368" t="inlineStr">
        <is>
          <t>16.0</t>
        </is>
      </c>
      <c r="L368" t="n">
        <v>6.99</v>
      </c>
      <c r="M368" s="1" t="inlineStr">
        <is>
          <t>-56.31%</t>
        </is>
      </c>
      <c r="N368" t="n">
        <v>4.5</v>
      </c>
      <c r="O368" t="n">
        <v>573</v>
      </c>
      <c r="Q368" t="inlineStr">
        <is>
          <t>InStock</t>
        </is>
      </c>
      <c r="R368" t="inlineStr">
        <is>
          <t>undefined</t>
        </is>
      </c>
      <c r="S368" t="inlineStr">
        <is>
          <t>7040759303</t>
        </is>
      </c>
    </row>
    <row r="369" ht="75" customHeight="1">
      <c r="A369" s="2">
        <f>HYPERLINK("https://camerareadycosmetics.com/products/ben-nye-rose-petal-luxury-powder", "https://camerareadycosmetics.com/products/ben-nye-rose-petal-luxury-powder")</f>
        <v/>
      </c>
      <c r="B369" s="2">
        <f>HYPERLINK("https://camerareadycosmetics.com/products/ben-nye-rose-petal-luxury-powder", "https://camerareadycosmetics.com/products/ben-nye-rose-petal-luxury-powder")</f>
        <v/>
      </c>
      <c r="C369" t="inlineStr">
        <is>
          <t>Rose Petal Luxury Powder</t>
        </is>
      </c>
      <c r="D369" t="inlineStr">
        <is>
          <t>Rose Petal Powder Organic For Face Mask DIY masks | Skin Care, Aromatherapy | Natural and Chemical Free | No Added Preservatives or Colors 100g / 3.52 oz</t>
        </is>
      </c>
      <c r="E369" s="2">
        <f>HYPERLINK("https://www.amazon.com/Herbs-Botanica-Organic-Chemical-Preservatives/dp/B08VJ96DWG/ref=sr_1_6?keywords=Rose+Petal+Luxury+Powder&amp;qid=1695565439&amp;sr=8-6", "https://www.amazon.com/Herbs-Botanica-Organic-Chemical-Preservatives/dp/B08VJ96DWG/ref=sr_1_6?keywords=Rose+Petal+Luxury+Powder&amp;qid=1695565439&amp;sr=8-6")</f>
        <v/>
      </c>
      <c r="F369" t="inlineStr">
        <is>
          <t>B08VJ96DWG</t>
        </is>
      </c>
      <c r="G369">
        <f>_xlfn.IMAGE("https://camerareadycosmetics.com/cdn/shop/products/ben-nye-face-powder-BV42_Rose_Petal_50x.jpg?v=1689642994")</f>
        <v/>
      </c>
      <c r="H369">
        <f>_xlfn.IMAGE("https://m.media-amazon.com/images/I/81gpw+UGw1L._AC_UL320_.jpg")</f>
        <v/>
      </c>
      <c r="K369" t="inlineStr">
        <is>
          <t>16.0</t>
        </is>
      </c>
      <c r="L369" t="n">
        <v>7.24</v>
      </c>
      <c r="M369" s="1" t="inlineStr">
        <is>
          <t>-54.75%</t>
        </is>
      </c>
      <c r="N369" t="n">
        <v>4.6</v>
      </c>
      <c r="O369" t="n">
        <v>66</v>
      </c>
      <c r="Q369" t="inlineStr">
        <is>
          <t>InStock</t>
        </is>
      </c>
      <c r="R369" t="inlineStr">
        <is>
          <t>undefined</t>
        </is>
      </c>
      <c r="S369" t="inlineStr">
        <is>
          <t>7040759303</t>
        </is>
      </c>
    </row>
    <row r="370" ht="75" customHeight="1">
      <c r="A370" s="2">
        <f>HYPERLINK("https://camerareadycosmetics.com/products/ben-nye-rose-petal-luxury-powder", "https://camerareadycosmetics.com/products/ben-nye-rose-petal-luxury-powder")</f>
        <v/>
      </c>
      <c r="B370" s="2">
        <f>HYPERLINK("https://camerareadycosmetics.com/products/ben-nye-rose-petal-luxury-powder", "https://camerareadycosmetics.com/products/ben-nye-rose-petal-luxury-powder")</f>
        <v/>
      </c>
      <c r="C370" t="inlineStr">
        <is>
          <t>Rose Petal Luxury Powder</t>
        </is>
      </c>
      <c r="D370" t="inlineStr">
        <is>
          <t>MB Herbals Rose Powder 100g (3.5oz) | for Face Packs &amp; Facial Mask Formulations | 100% Pure &amp; Natural | No Chemical Preservative | No Artificial Color | Rose Petals Powder</t>
        </is>
      </c>
      <c r="E370" s="2">
        <f>HYPERLINK("https://www.amazon.com/MB-Herbals-Formulations-Chemical-Free-Preservative-Free/dp/B07QX4L5C2/ref=sr_1_10?keywords=Rose+Petal+Luxury+Powder&amp;qid=1695565439&amp;sr=8-10", "https://www.amazon.com/MB-Herbals-Formulations-Chemical-Free-Preservative-Free/dp/B07QX4L5C2/ref=sr_1_10?keywords=Rose+Petal+Luxury+Powder&amp;qid=1695565439&amp;sr=8-10")</f>
        <v/>
      </c>
      <c r="F370" t="inlineStr">
        <is>
          <t>B07QX4L5C2</t>
        </is>
      </c>
      <c r="G370">
        <f>_xlfn.IMAGE("https://camerareadycosmetics.com/cdn/shop/products/ben-nye-face-powder-BV42_Rose_Petal_50x.jpg?v=1689642994")</f>
        <v/>
      </c>
      <c r="H370">
        <f>_xlfn.IMAGE("https://m.media-amazon.com/images/I/71Q-AxfBucL._AC_UL320_.jpg")</f>
        <v/>
      </c>
      <c r="K370" t="inlineStr">
        <is>
          <t>16.0</t>
        </is>
      </c>
      <c r="L370" t="n">
        <v>6.99</v>
      </c>
      <c r="M370" s="1" t="inlineStr">
        <is>
          <t>-56.31%</t>
        </is>
      </c>
      <c r="N370" t="n">
        <v>4.5</v>
      </c>
      <c r="O370" t="n">
        <v>573</v>
      </c>
      <c r="Q370" t="inlineStr">
        <is>
          <t>InStock</t>
        </is>
      </c>
      <c r="R370" t="inlineStr">
        <is>
          <t>undefined</t>
        </is>
      </c>
      <c r="S370" t="inlineStr">
        <is>
          <t>7040759303</t>
        </is>
      </c>
    </row>
    <row r="371" ht="75" customHeight="1">
      <c r="A371" s="2">
        <f>HYPERLINK("https://camerareadycosmetics.com/products/ben-nye-sensational-shimmer-powder", "https://camerareadycosmetics.com/products/ben-nye-sensational-shimmer-powder")</f>
        <v/>
      </c>
      <c r="B371" s="2">
        <f>HYPERLINK("https://camerareadycosmetics.com/products/ben-nye-sensational-shimmer-powder", "https://camerareadycosmetics.com/products/ben-nye-sensational-shimmer-powder")</f>
        <v/>
      </c>
      <c r="C371" t="inlineStr">
        <is>
          <t>Shimmer Powder</t>
        </is>
      </c>
      <c r="D371" t="inlineStr">
        <is>
          <t>Yellow Gold Highlighter Makeup Loose Powder Shimmer Pigment for Face and Body | Vegan Paraben-Free Cruelty-Free</t>
        </is>
      </c>
      <c r="E371" s="2">
        <f>HYPERLINK("https://www.amazon.com/Mynena-Highlighter-Shimmer-Paraben-Free-Cruelty-Free/dp/B07MW3XMK5/ref=sr_1_9?keywords=Shimmer+Powder&amp;qid=1695565480&amp;sr=8-9", "https://www.amazon.com/Mynena-Highlighter-Shimmer-Paraben-Free-Cruelty-Free/dp/B07MW3XMK5/ref=sr_1_9?keywords=Shimmer+Powder&amp;qid=1695565480&amp;sr=8-9")</f>
        <v/>
      </c>
      <c r="F371" t="inlineStr">
        <is>
          <t>B07MW3XMK5</t>
        </is>
      </c>
      <c r="G371">
        <f>_xlfn.IMAGE("https://camerareadycosmetics.com/cdn/shop/products/ben-nye-shimmer-powder-shp-1-cameo-shimmer_1_50x.jpg?v=1529776467")</f>
        <v/>
      </c>
      <c r="H371">
        <f>_xlfn.IMAGE("https://m.media-amazon.com/images/I/91AwlfyEddL._AC_UL320_.jpg")</f>
        <v/>
      </c>
      <c r="K371" t="inlineStr">
        <is>
          <t>16.0</t>
        </is>
      </c>
      <c r="L371" t="n">
        <v>14.99</v>
      </c>
      <c r="M371" s="1" t="inlineStr">
        <is>
          <t>-6.31%</t>
        </is>
      </c>
      <c r="N371" t="n">
        <v>4.5</v>
      </c>
      <c r="O371" t="n">
        <v>49</v>
      </c>
      <c r="Q371" t="inlineStr">
        <is>
          <t>InStock</t>
        </is>
      </c>
      <c r="R371" t="inlineStr">
        <is>
          <t>undefined</t>
        </is>
      </c>
      <c r="S371" t="inlineStr">
        <is>
          <t>7042803015</t>
        </is>
      </c>
    </row>
    <row r="372" ht="75" customHeight="1">
      <c r="A372" s="2">
        <f>HYPERLINK("https://camerareadycosmetics.com/products/ben-nye-sensational-shimmer-powder", "https://camerareadycosmetics.com/products/ben-nye-sensational-shimmer-powder")</f>
        <v/>
      </c>
      <c r="B372" s="2">
        <f>HYPERLINK("https://camerareadycosmetics.com/products/ben-nye-sensational-shimmer-powder", "https://camerareadycosmetics.com/products/ben-nye-sensational-shimmer-powder")</f>
        <v/>
      </c>
      <c r="C372" t="inlineStr">
        <is>
          <t>Shimmer Powder</t>
        </is>
      </c>
      <c r="D372" t="inlineStr">
        <is>
          <t>bellapierre Shimmer Powder | Paraben Free | Vegan &amp; Cruelty Free | All Skin Types | 2.35g - Champagne</t>
        </is>
      </c>
      <c r="E372" s="2">
        <f>HYPERLINK("https://www.amazon.com/Bellapierre-Shimmer-Powder-Paraben-Cruelty/dp/B004L96NY8/ref=sr_1_3?keywords=Shimmer+Powder&amp;qid=1695565480&amp;sr=8-3", "https://www.amazon.com/Bellapierre-Shimmer-Powder-Paraben-Cruelty/dp/B004L96NY8/ref=sr_1_3?keywords=Shimmer+Powder&amp;qid=1695565480&amp;sr=8-3")</f>
        <v/>
      </c>
      <c r="F372" t="inlineStr">
        <is>
          <t>B004L96NY8</t>
        </is>
      </c>
      <c r="G372">
        <f>_xlfn.IMAGE("https://camerareadycosmetics.com/cdn/shop/products/ben-nye-shimmer-powder-shp-1-cameo-shimmer_1_50x.jpg?v=1529776467")</f>
        <v/>
      </c>
      <c r="H372">
        <f>_xlfn.IMAGE("https://m.media-amazon.com/images/I/61Nf6PWgxyL._AC_UL320_.jpg")</f>
        <v/>
      </c>
      <c r="K372" t="inlineStr">
        <is>
          <t>16.0</t>
        </is>
      </c>
      <c r="L372" t="n">
        <v>10</v>
      </c>
      <c r="M372" s="1" t="inlineStr">
        <is>
          <t>-37.50%</t>
        </is>
      </c>
      <c r="N372" t="n">
        <v>4.6</v>
      </c>
      <c r="O372" t="n">
        <v>246</v>
      </c>
      <c r="Q372" t="inlineStr">
        <is>
          <t>InStock</t>
        </is>
      </c>
      <c r="R372" t="inlineStr">
        <is>
          <t>undefined</t>
        </is>
      </c>
      <c r="S372" t="inlineStr">
        <is>
          <t>7042803015</t>
        </is>
      </c>
    </row>
    <row r="373" ht="75" customHeight="1">
      <c r="A373" s="2">
        <f>HYPERLINK("https://camerareadycosmetics.com/products/ben-nye-sensational-shimmer-powder", "https://camerareadycosmetics.com/products/ben-nye-sensational-shimmer-powder")</f>
        <v/>
      </c>
      <c r="B373" s="2">
        <f>HYPERLINK("https://camerareadycosmetics.com/products/ben-nye-sensational-shimmer-powder", "https://camerareadycosmetics.com/products/ben-nye-sensational-shimmer-powder")</f>
        <v/>
      </c>
      <c r="C373" t="inlineStr">
        <is>
          <t>Shimmer Powder</t>
        </is>
      </c>
      <c r="D373" t="inlineStr">
        <is>
          <t>Shimmering Spray Powder Sparkle Powder, Body Glitter Face High Gloss Highlighter Loose Makeup for Women Hair Nails Makeup( 1#Pearl White)</t>
        </is>
      </c>
      <c r="E373" s="2">
        <f>HYPERLINK("https://www.amazon.com/Highlighter-Glitter-Shimmer-Sparkle-Cosmetic/dp/B094W8J52J/ref=sr_1_6?keywords=Shimmer+Powder&amp;qid=1695565480&amp;sr=8-6", "https://www.amazon.com/Highlighter-Glitter-Shimmer-Sparkle-Cosmetic/dp/B094W8J52J/ref=sr_1_6?keywords=Shimmer+Powder&amp;qid=1695565480&amp;sr=8-6")</f>
        <v/>
      </c>
      <c r="F373" t="inlineStr">
        <is>
          <t>B094W8J52J</t>
        </is>
      </c>
      <c r="G373">
        <f>_xlfn.IMAGE("https://camerareadycosmetics.com/cdn/shop/products/ben-nye-shimmer-powder-shp-1-cameo-shimmer_1_50x.jpg?v=1529776467")</f>
        <v/>
      </c>
      <c r="H373">
        <f>_xlfn.IMAGE("https://m.media-amazon.com/images/I/61iNA1lUl3L._AC_UL320_.jpg")</f>
        <v/>
      </c>
      <c r="K373" t="inlineStr">
        <is>
          <t>16.0</t>
        </is>
      </c>
      <c r="L373" t="n">
        <v>8.99</v>
      </c>
      <c r="M373" s="1" t="inlineStr">
        <is>
          <t>-43.81%</t>
        </is>
      </c>
      <c r="N373" t="n">
        <v>4.1</v>
      </c>
      <c r="O373" t="n">
        <v>1705</v>
      </c>
      <c r="Q373" t="inlineStr">
        <is>
          <t>InStock</t>
        </is>
      </c>
      <c r="R373" t="inlineStr">
        <is>
          <t>undefined</t>
        </is>
      </c>
      <c r="S373" t="inlineStr">
        <is>
          <t>7042803015</t>
        </is>
      </c>
    </row>
    <row r="374" ht="75" customHeight="1">
      <c r="A374" s="2">
        <f>HYPERLINK("https://camerareadycosmetics.com/products/ben-nye-sensational-shimmer-powder", "https://camerareadycosmetics.com/products/ben-nye-sensational-shimmer-powder")</f>
        <v/>
      </c>
      <c r="B374" s="2">
        <f>HYPERLINK("https://camerareadycosmetics.com/products/ben-nye-sensational-shimmer-powder", "https://camerareadycosmetics.com/products/ben-nye-sensational-shimmer-powder")</f>
        <v/>
      </c>
      <c r="C374" t="inlineStr">
        <is>
          <t>Shimmer Powder</t>
        </is>
      </c>
      <c r="D374" t="inlineStr">
        <is>
          <t>L'Oreal Paris Cosmetics True Match Lumi Shimmerista Highlighting Powder, Sunlight 0.28 oz</t>
        </is>
      </c>
      <c r="E374" s="2">
        <f>HYPERLINK("https://www.amazon.com/LOreal-Paris-Makeup-Shimmerista-Highlighting/dp/B074PPZSQ8/ref=sr_1_4?keywords=Shimmer+Powder&amp;qid=1695565480&amp;sr=8-4", "https://www.amazon.com/LOreal-Paris-Makeup-Shimmerista-Highlighting/dp/B074PPZSQ8/ref=sr_1_4?keywords=Shimmer+Powder&amp;qid=1695565480&amp;sr=8-4")</f>
        <v/>
      </c>
      <c r="F374" t="inlineStr">
        <is>
          <t>B074PPZSQ8</t>
        </is>
      </c>
      <c r="G374">
        <f>_xlfn.IMAGE("https://camerareadycosmetics.com/cdn/shop/products/ben-nye-shimmer-powder-shp-1-cameo-shimmer_1_50x.jpg?v=1529776467")</f>
        <v/>
      </c>
      <c r="H374">
        <f>_xlfn.IMAGE("https://m.media-amazon.com/images/I/71T3cyzcQJL._AC_UL320_.jpg")</f>
        <v/>
      </c>
      <c r="K374" t="inlineStr">
        <is>
          <t>16.0</t>
        </is>
      </c>
      <c r="L374" t="n">
        <v>8</v>
      </c>
      <c r="M374" s="1" t="inlineStr">
        <is>
          <t>-50.00%</t>
        </is>
      </c>
      <c r="N374" t="n">
        <v>4.4</v>
      </c>
      <c r="O374" t="n">
        <v>1644</v>
      </c>
      <c r="Q374" t="inlineStr">
        <is>
          <t>InStock</t>
        </is>
      </c>
      <c r="R374" t="inlineStr">
        <is>
          <t>undefined</t>
        </is>
      </c>
      <c r="S374" t="inlineStr">
        <is>
          <t>7042803015</t>
        </is>
      </c>
    </row>
    <row r="375" ht="75" customHeight="1">
      <c r="A375" s="2">
        <f>HYPERLINK("https://camerareadycosmetics.com/products/ben-nye-sensational-shimmer-powder", "https://camerareadycosmetics.com/products/ben-nye-sensational-shimmer-powder")</f>
        <v/>
      </c>
      <c r="B375" s="2">
        <f>HYPERLINK("https://camerareadycosmetics.com/products/ben-nye-sensational-shimmer-powder", "https://camerareadycosmetics.com/products/ben-nye-sensational-shimmer-powder")</f>
        <v/>
      </c>
      <c r="C375" t="inlineStr">
        <is>
          <t>Shimmer Powder</t>
        </is>
      </c>
      <c r="D375" t="inlineStr">
        <is>
          <t>Revlon Highlighter Makeup, Skin Lights Prismatic Powder Face Makeup, Natural Glow, Shimmer Finish, 201 Daybrak Glimmer, 0.28 Oz</t>
        </is>
      </c>
      <c r="E375" s="2">
        <f>HYPERLINK("https://www.amazon.com/Skinlights-Prismatic-Highlighter-Daybreak-Glimmer/dp/B07YPNNSKW/ref=sr_1_8?keywords=Shimmer+Powder&amp;qid=1695565480&amp;sr=8-8", "https://www.amazon.com/Skinlights-Prismatic-Highlighter-Daybreak-Glimmer/dp/B07YPNNSKW/ref=sr_1_8?keywords=Shimmer+Powder&amp;qid=1695565480&amp;sr=8-8")</f>
        <v/>
      </c>
      <c r="F375" t="inlineStr">
        <is>
          <t>B07YPNNSKW</t>
        </is>
      </c>
      <c r="G375">
        <f>_xlfn.IMAGE("https://camerareadycosmetics.com/cdn/shop/products/ben-nye-shimmer-powder-shp-1-cameo-shimmer_1_50x.jpg?v=1529776467")</f>
        <v/>
      </c>
      <c r="H375">
        <f>_xlfn.IMAGE("https://m.media-amazon.com/images/I/91jQpaMt1PL._AC_UL320_.jpg")</f>
        <v/>
      </c>
      <c r="K375" t="inlineStr">
        <is>
          <t>16.0</t>
        </is>
      </c>
      <c r="L375" t="n">
        <v>7.45</v>
      </c>
      <c r="M375" s="1" t="inlineStr">
        <is>
          <t>-53.44%</t>
        </is>
      </c>
      <c r="N375" t="n">
        <v>4.5</v>
      </c>
      <c r="O375" t="n">
        <v>1264</v>
      </c>
      <c r="Q375" t="inlineStr">
        <is>
          <t>InStock</t>
        </is>
      </c>
      <c r="R375" t="inlineStr">
        <is>
          <t>undefined</t>
        </is>
      </c>
      <c r="S375" t="inlineStr">
        <is>
          <t>7042803015</t>
        </is>
      </c>
    </row>
    <row r="376" ht="75" customHeight="1">
      <c r="A376" s="2">
        <f>HYPERLINK("https://camerareadycosmetics.com/products/ben-nye-sensational-shimmer-powder", "https://camerareadycosmetics.com/products/ben-nye-sensational-shimmer-powder")</f>
        <v/>
      </c>
      <c r="B376" s="2">
        <f>HYPERLINK("https://camerareadycosmetics.com/products/ben-nye-sensational-shimmer-powder", "https://camerareadycosmetics.com/products/ben-nye-sensational-shimmer-powder")</f>
        <v/>
      </c>
      <c r="C376" t="inlineStr">
        <is>
          <t>Shimmer Powder</t>
        </is>
      </c>
      <c r="D376" t="inlineStr">
        <is>
          <t>Baked Highlighter Powder Palette, Sheer Pearl Shimmer Shades for Face Highlighter Makeup, Highly Pigmented Iluminadores de Maquillaje, 0.19 Oz(Pack of 1)</t>
        </is>
      </c>
      <c r="E376" s="2">
        <f>HYPERLINK("https://www.amazon.com/YOUNG-VISION-Highlighter-Iluminadores-Maquillaje/dp/B0BM8RTC1S/ref=sr_1_5?keywords=Shimmer+Powder&amp;qid=1695565480&amp;sr=8-5", "https://www.amazon.com/YOUNG-VISION-Highlighter-Iluminadores-Maquillaje/dp/B0BM8RTC1S/ref=sr_1_5?keywords=Shimmer+Powder&amp;qid=1695565480&amp;sr=8-5")</f>
        <v/>
      </c>
      <c r="F376" t="inlineStr">
        <is>
          <t>B0BM8RTC1S</t>
        </is>
      </c>
      <c r="G376">
        <f>_xlfn.IMAGE("https://camerareadycosmetics.com/cdn/shop/products/ben-nye-shimmer-powder-shp-1-cameo-shimmer_1_50x.jpg?v=1529776467")</f>
        <v/>
      </c>
      <c r="H376">
        <f>_xlfn.IMAGE("https://m.media-amazon.com/images/I/71I5Qc3pRmL._AC_UL320_.jpg")</f>
        <v/>
      </c>
      <c r="K376" t="inlineStr">
        <is>
          <t>16.0</t>
        </is>
      </c>
      <c r="L376" t="n">
        <v>5.99</v>
      </c>
      <c r="M376" s="1" t="inlineStr">
        <is>
          <t>-62.56%</t>
        </is>
      </c>
      <c r="N376" t="n">
        <v>4.4</v>
      </c>
      <c r="O376" t="n">
        <v>303</v>
      </c>
      <c r="Q376" t="inlineStr">
        <is>
          <t>InStock</t>
        </is>
      </c>
      <c r="R376" t="inlineStr">
        <is>
          <t>undefined</t>
        </is>
      </c>
      <c r="S376" t="inlineStr">
        <is>
          <t>7042803015</t>
        </is>
      </c>
    </row>
    <row r="377" ht="75" customHeight="1">
      <c r="A377" s="2">
        <f>HYPERLINK("https://camerareadycosmetics.com/products/ben-nye-sensational-shimmer-powder", "https://camerareadycosmetics.com/products/ben-nye-sensational-shimmer-powder")</f>
        <v/>
      </c>
      <c r="B377" s="2">
        <f>HYPERLINK("https://camerareadycosmetics.com/products/ben-nye-sensational-shimmer-powder", "https://camerareadycosmetics.com/products/ben-nye-sensational-shimmer-powder")</f>
        <v/>
      </c>
      <c r="C377" t="inlineStr">
        <is>
          <t>Shimmer Powder</t>
        </is>
      </c>
      <c r="D377" t="inlineStr">
        <is>
          <t>L'Oreal Paris Cosmetics True Match Lumi Shimmerista Highlighting Powder, Sunlight 0.28 oz</t>
        </is>
      </c>
      <c r="E377" s="2">
        <f>HYPERLINK("https://www.amazon.com/LOreal-Paris-Makeup-Shimmerista-Highlighting/dp/B074PPZSQ8/ref=sr_1_4?keywords=Shimmer+Powder&amp;qid=1695565480&amp;sr=8-4", "https://www.amazon.com/LOreal-Paris-Makeup-Shimmerista-Highlighting/dp/B074PPZSQ8/ref=sr_1_4?keywords=Shimmer+Powder&amp;qid=1695565480&amp;sr=8-4")</f>
        <v/>
      </c>
      <c r="F377" t="inlineStr">
        <is>
          <t>B074PPZSQ8</t>
        </is>
      </c>
      <c r="G377">
        <f>_xlfn.IMAGE("https://camerareadycosmetics.com/cdn/shop/products/ben-nye-shimmer-powder-shp-1-cameo-shimmer_1_50x.jpg?v=1529776467")</f>
        <v/>
      </c>
      <c r="H377">
        <f>_xlfn.IMAGE("https://m.media-amazon.com/images/I/71T3cyzcQJL._AC_UL320_.jpg")</f>
        <v/>
      </c>
      <c r="K377" t="inlineStr">
        <is>
          <t>16.0</t>
        </is>
      </c>
      <c r="L377" t="n">
        <v>8</v>
      </c>
      <c r="M377" s="1" t="inlineStr">
        <is>
          <t>-50.00%</t>
        </is>
      </c>
      <c r="N377" t="n">
        <v>4.4</v>
      </c>
      <c r="O377" t="n">
        <v>1644</v>
      </c>
      <c r="Q377" t="inlineStr">
        <is>
          <t>InStock</t>
        </is>
      </c>
      <c r="R377" t="inlineStr">
        <is>
          <t>undefined</t>
        </is>
      </c>
      <c r="S377" t="inlineStr">
        <is>
          <t>7042803015</t>
        </is>
      </c>
    </row>
    <row r="378" ht="75" customHeight="1">
      <c r="A378" s="2">
        <f>HYPERLINK("https://camerareadycosmetics.com/products/ben-nye-sensational-shimmer-powder", "https://camerareadycosmetics.com/products/ben-nye-sensational-shimmer-powder")</f>
        <v/>
      </c>
      <c r="B378" s="2">
        <f>HYPERLINK("https://camerareadycosmetics.com/products/ben-nye-sensational-shimmer-powder", "https://camerareadycosmetics.com/products/ben-nye-sensational-shimmer-powder")</f>
        <v/>
      </c>
      <c r="C378" t="inlineStr">
        <is>
          <t>Shimmer Powder</t>
        </is>
      </c>
      <c r="D378" t="inlineStr">
        <is>
          <t>Revlon Highlighter Makeup, Skin Lights Prismatic Powder Face Makeup, Natural Glow, Shimmer Finish, 201 Daybrak Glimmer, 0.28 Oz</t>
        </is>
      </c>
      <c r="E378" s="2">
        <f>HYPERLINK("https://www.amazon.com/Skinlights-Prismatic-Highlighter-Daybreak-Glimmer/dp/B07YPNNSKW/ref=sr_1_8?keywords=Shimmer+Powder&amp;qid=1695565480&amp;sr=8-8", "https://www.amazon.com/Skinlights-Prismatic-Highlighter-Daybreak-Glimmer/dp/B07YPNNSKW/ref=sr_1_8?keywords=Shimmer+Powder&amp;qid=1695565480&amp;sr=8-8")</f>
        <v/>
      </c>
      <c r="F378" t="inlineStr">
        <is>
          <t>B07YPNNSKW</t>
        </is>
      </c>
      <c r="G378">
        <f>_xlfn.IMAGE("https://camerareadycosmetics.com/cdn/shop/products/ben-nye-shimmer-powder-shp-1-cameo-shimmer_1_50x.jpg?v=1529776467")</f>
        <v/>
      </c>
      <c r="H378">
        <f>_xlfn.IMAGE("https://m.media-amazon.com/images/I/91jQpaMt1PL._AC_UL320_.jpg")</f>
        <v/>
      </c>
      <c r="K378" t="inlineStr">
        <is>
          <t>16.0</t>
        </is>
      </c>
      <c r="L378" t="n">
        <v>7.45</v>
      </c>
      <c r="M378" s="1" t="inlineStr">
        <is>
          <t>-53.44%</t>
        </is>
      </c>
      <c r="N378" t="n">
        <v>4.5</v>
      </c>
      <c r="O378" t="n">
        <v>1264</v>
      </c>
      <c r="Q378" t="inlineStr">
        <is>
          <t>InStock</t>
        </is>
      </c>
      <c r="R378" t="inlineStr">
        <is>
          <t>undefined</t>
        </is>
      </c>
      <c r="S378" t="inlineStr">
        <is>
          <t>7042803015</t>
        </is>
      </c>
    </row>
    <row r="379" ht="75" customHeight="1">
      <c r="A379" s="2">
        <f>HYPERLINK("https://camerareadycosmetics.com/products/ben-nye-sensational-shimmer-powder", "https://camerareadycosmetics.com/products/ben-nye-sensational-shimmer-powder")</f>
        <v/>
      </c>
      <c r="B379" s="2">
        <f>HYPERLINK("https://camerareadycosmetics.com/products/ben-nye-sensational-shimmer-powder", "https://camerareadycosmetics.com/products/ben-nye-sensational-shimmer-powder")</f>
        <v/>
      </c>
      <c r="C379" t="inlineStr">
        <is>
          <t>Shimmer Powder</t>
        </is>
      </c>
      <c r="D379" t="inlineStr">
        <is>
          <t>Baked Highlighter Powder Palette, Sheer Pearl Shimmer Shades for Face Highlighter Makeup, Highly Pigmented Iluminadores de Maquillaje, 0.19 Oz(Pack of 1)</t>
        </is>
      </c>
      <c r="E379" s="2">
        <f>HYPERLINK("https://www.amazon.com/YOUNG-VISION-Highlighter-Iluminadores-Maquillaje/dp/B0BM8RTC1S/ref=sr_1_5?keywords=Shimmer+Powder&amp;qid=1695565480&amp;sr=8-5", "https://www.amazon.com/YOUNG-VISION-Highlighter-Iluminadores-Maquillaje/dp/B0BM8RTC1S/ref=sr_1_5?keywords=Shimmer+Powder&amp;qid=1695565480&amp;sr=8-5")</f>
        <v/>
      </c>
      <c r="F379" t="inlineStr">
        <is>
          <t>B0BM8RTC1S</t>
        </is>
      </c>
      <c r="G379">
        <f>_xlfn.IMAGE("https://camerareadycosmetics.com/cdn/shop/products/ben-nye-shimmer-powder-shp-1-cameo-shimmer_1_50x.jpg?v=1529776467")</f>
        <v/>
      </c>
      <c r="H379">
        <f>_xlfn.IMAGE("https://m.media-amazon.com/images/I/71I5Qc3pRmL._AC_UL320_.jpg")</f>
        <v/>
      </c>
      <c r="K379" t="inlineStr">
        <is>
          <t>16.0</t>
        </is>
      </c>
      <c r="L379" t="n">
        <v>5.99</v>
      </c>
      <c r="M379" s="1" t="inlineStr">
        <is>
          <t>-62.56%</t>
        </is>
      </c>
      <c r="N379" t="n">
        <v>4.4</v>
      </c>
      <c r="O379" t="n">
        <v>303</v>
      </c>
      <c r="Q379" t="inlineStr">
        <is>
          <t>InStock</t>
        </is>
      </c>
      <c r="R379" t="inlineStr">
        <is>
          <t>undefined</t>
        </is>
      </c>
      <c r="S379" t="inlineStr">
        <is>
          <t>7042803015</t>
        </is>
      </c>
    </row>
    <row r="380" ht="75" customHeight="1">
      <c r="A380" s="2">
        <f>HYPERLINK("https://camerareadycosmetics.com/products/ben-nye-shimmer-crayon", "https://camerareadycosmetics.com/products/ben-nye-shimmer-crayon")</f>
        <v/>
      </c>
      <c r="B380" s="2">
        <f>HYPERLINK("https://camerareadycosmetics.com/products/ben-nye-shimmer-crayon", "https://camerareadycosmetics.com/products/ben-nye-shimmer-crayon")</f>
        <v/>
      </c>
      <c r="C380" t="inlineStr">
        <is>
          <t>Shimmer Crayon</t>
        </is>
      </c>
      <c r="D380" t="inlineStr">
        <is>
          <t>Marabu Art Crayons Shimmer Set - 10 Highly Pigmented Metallic Watercolor Crayons - Smooth and Easy Blending Water Soluble Crayons for Mixed Media Artists - Arts and Crafts for Adults</t>
        </is>
      </c>
      <c r="E380" s="2">
        <f>HYPERLINK("https://www.amazon.com/Marabu-Art-Crayons-Shimmer-Set/dp/B0B6GDQGWD/ref=sr_1_1?keywords=Shimmer+Crayon&amp;qid=1695565524&amp;sr=8-1", "https://www.amazon.com/Marabu-Art-Crayons-Shimmer-Set/dp/B0B6GDQGWD/ref=sr_1_1?keywords=Shimmer+Crayon&amp;qid=1695565524&amp;sr=8-1")</f>
        <v/>
      </c>
      <c r="F380" t="inlineStr">
        <is>
          <t>B0B6GDQGWD</t>
        </is>
      </c>
      <c r="G380">
        <f>_xlfn.IMAGE("https://camerareadycosmetics.com/cdn/shop/products/champagne-csc_50x.jpg?v=1689632568")</f>
        <v/>
      </c>
      <c r="H380">
        <f>_xlfn.IMAGE("https://m.media-amazon.com/images/I/91sPQeJvR8L._AC_UL320_.jpg")</f>
        <v/>
      </c>
      <c r="K380" t="inlineStr">
        <is>
          <t>10.0</t>
        </is>
      </c>
      <c r="L380" t="n">
        <v>23.99</v>
      </c>
      <c r="M380" s="1" t="inlineStr">
        <is>
          <t>139.90%</t>
        </is>
      </c>
      <c r="N380" t="n">
        <v>4.7</v>
      </c>
      <c r="O380" t="n">
        <v>21</v>
      </c>
      <c r="Q380" t="inlineStr">
        <is>
          <t>InStock</t>
        </is>
      </c>
      <c r="R380" t="inlineStr">
        <is>
          <t>undefined</t>
        </is>
      </c>
      <c r="S380" t="inlineStr">
        <is>
          <t>7036157895</t>
        </is>
      </c>
    </row>
    <row r="381" ht="75" customHeight="1">
      <c r="A381" s="2">
        <f>HYPERLINK("https://camerareadycosmetics.com/products/ben-nye-shimmer-crayon", "https://camerareadycosmetics.com/products/ben-nye-shimmer-crayon")</f>
        <v/>
      </c>
      <c r="B381" s="2">
        <f>HYPERLINK("https://camerareadycosmetics.com/products/ben-nye-shimmer-crayon", "https://camerareadycosmetics.com/products/ben-nye-shimmer-crayon")</f>
        <v/>
      </c>
      <c r="C381" t="inlineStr">
        <is>
          <t>Shimmer Crayon</t>
        </is>
      </c>
      <c r="D381" t="inlineStr">
        <is>
          <t>MEICOLY 12 Pcs Eyeshadow Stick,Cream Smokey Eyeshadow Metallic Shimmer Crayon,Silver Eye Brightener Stick,Pro Waterproof &amp; Long Lasting Shiny Bright Starter Rotating Eyeshadow Sticks</t>
        </is>
      </c>
      <c r="E381" s="2">
        <f>HYPERLINK("https://www.amazon.com/MEICOLY-Eyeshadow-Colorful-Metallic-Waterproof/dp/B095LGC4M5/ref=sr_1_4?keywords=Shimmer+Crayon&amp;qid=1695565524&amp;sr=8-4", "https://www.amazon.com/MEICOLY-Eyeshadow-Colorful-Metallic-Waterproof/dp/B095LGC4M5/ref=sr_1_4?keywords=Shimmer+Crayon&amp;qid=1695565524&amp;sr=8-4")</f>
        <v/>
      </c>
      <c r="F381" t="inlineStr">
        <is>
          <t>B095LGC4M5</t>
        </is>
      </c>
      <c r="G381">
        <f>_xlfn.IMAGE("https://camerareadycosmetics.com/cdn/shop/products/champagne-csc_50x.jpg?v=1689632568")</f>
        <v/>
      </c>
      <c r="H381">
        <f>_xlfn.IMAGE("https://m.media-amazon.com/images/I/614pv+D8ahL._AC_UL320_.jpg")</f>
        <v/>
      </c>
      <c r="K381" t="inlineStr">
        <is>
          <t>10.0</t>
        </is>
      </c>
      <c r="L381" t="n">
        <v>17.99</v>
      </c>
      <c r="M381" s="1" t="inlineStr">
        <is>
          <t>79.90%</t>
        </is>
      </c>
      <c r="N381" t="n">
        <v>4.2</v>
      </c>
      <c r="O381" t="n">
        <v>187</v>
      </c>
      <c r="Q381" t="inlineStr">
        <is>
          <t>InStock</t>
        </is>
      </c>
      <c r="R381" t="inlineStr">
        <is>
          <t>undefined</t>
        </is>
      </c>
      <c r="S381" t="inlineStr">
        <is>
          <t>7036157895</t>
        </is>
      </c>
    </row>
    <row r="382" ht="75" customHeight="1">
      <c r="A382" s="2">
        <f>HYPERLINK("https://camerareadycosmetics.com/products/ben-nye-shimmer-crayon", "https://camerareadycosmetics.com/products/ben-nye-shimmer-crayon")</f>
        <v/>
      </c>
      <c r="B382" s="2">
        <f>HYPERLINK("https://camerareadycosmetics.com/products/ben-nye-shimmer-crayon", "https://camerareadycosmetics.com/products/ben-nye-shimmer-crayon")</f>
        <v/>
      </c>
      <c r="C382" t="inlineStr">
        <is>
          <t>Shimmer Crayon</t>
        </is>
      </c>
      <c r="D382" t="inlineStr">
        <is>
          <t>FOCALLURE 3 Pcs Cream Eyeshadow Stick,Shimmer Eyeshadow Pencil Crayon,High Pigmented Crease-proof Eye Shadow Brightener Stick Sets,Long Lasting Waterproof Eye Shadow Highlighter Stick(Burning Sky)</t>
        </is>
      </c>
      <c r="E382" s="2">
        <f>HYPERLINK("https://www.amazon.com/FOCALLURE-Crease-proof-Brightener-Waterproof-Highlighter/dp/B0C3CN44QY/ref=sr_1_8?keywords=Shimmer+Crayon&amp;qid=1695565524&amp;sr=8-8", "https://www.amazon.com/FOCALLURE-Crease-proof-Brightener-Waterproof-Highlighter/dp/B0C3CN44QY/ref=sr_1_8?keywords=Shimmer+Crayon&amp;qid=1695565524&amp;sr=8-8")</f>
        <v/>
      </c>
      <c r="F382" t="inlineStr">
        <is>
          <t>B0C3CN44QY</t>
        </is>
      </c>
      <c r="G382">
        <f>_xlfn.IMAGE("https://camerareadycosmetics.com/cdn/shop/products/champagne-csc_50x.jpg?v=1689632568")</f>
        <v/>
      </c>
      <c r="H382">
        <f>_xlfn.IMAGE("https://m.media-amazon.com/images/I/71+Dg3HQjwL._AC_UL320_.jpg")</f>
        <v/>
      </c>
      <c r="K382" t="inlineStr">
        <is>
          <t>10.0</t>
        </is>
      </c>
      <c r="L382" t="n">
        <v>15.99</v>
      </c>
      <c r="M382" s="1" t="inlineStr">
        <is>
          <t>59.90%</t>
        </is>
      </c>
      <c r="N382" t="n">
        <v>3.8</v>
      </c>
      <c r="O382" t="n">
        <v>6860</v>
      </c>
      <c r="Q382" t="inlineStr">
        <is>
          <t>InStock</t>
        </is>
      </c>
      <c r="R382" t="inlineStr">
        <is>
          <t>undefined</t>
        </is>
      </c>
      <c r="S382" t="inlineStr">
        <is>
          <t>7036157895</t>
        </is>
      </c>
    </row>
    <row r="383" ht="75" customHeight="1">
      <c r="A383" s="2">
        <f>HYPERLINK("https://camerareadycosmetics.com/products/ben-nye-shimmer-crayon", "https://camerareadycosmetics.com/products/ben-nye-shimmer-crayon")</f>
        <v/>
      </c>
      <c r="B383" s="2">
        <f>HYPERLINK("https://camerareadycosmetics.com/products/ben-nye-shimmer-crayon", "https://camerareadycosmetics.com/products/ben-nye-shimmer-crayon")</f>
        <v/>
      </c>
      <c r="C383" t="inlineStr">
        <is>
          <t>Shimmer Crayon</t>
        </is>
      </c>
      <c r="D383" t="inlineStr">
        <is>
          <t>evpct 8Pcs Cream Eyeshadow Sticks Set for Eyes, Desert Mocha Beige Gold Light Purple Pink Sky Dazzling Blue Geen Shimmer Eye Crayon Shadow Brightener Stick Pencil Pen Bulk sombras en crema para ojos</t>
        </is>
      </c>
      <c r="E383" s="2">
        <f>HYPERLINK("https://www.amazon.com/evpct-Eyeshadow-Dazzling-Shimmer-Brightener/dp/B0C4VF9SKL/ref=sr_1_5?keywords=Shimmer+Crayon&amp;qid=1695565524&amp;sr=8-5", "https://www.amazon.com/evpct-Eyeshadow-Dazzling-Shimmer-Brightener/dp/B0C4VF9SKL/ref=sr_1_5?keywords=Shimmer+Crayon&amp;qid=1695565524&amp;sr=8-5")</f>
        <v/>
      </c>
      <c r="F383" t="inlineStr">
        <is>
          <t>B0C4VF9SKL</t>
        </is>
      </c>
      <c r="G383">
        <f>_xlfn.IMAGE("https://camerareadycosmetics.com/cdn/shop/products/champagne-csc_50x.jpg?v=1689632568")</f>
        <v/>
      </c>
      <c r="H383">
        <f>_xlfn.IMAGE("https://m.media-amazon.com/images/I/71NEEzgYDZL._AC_UL320_.jpg")</f>
        <v/>
      </c>
      <c r="K383" t="inlineStr">
        <is>
          <t>10.0</t>
        </is>
      </c>
      <c r="L383" t="n">
        <v>9.99</v>
      </c>
      <c r="M383" s="1" t="inlineStr">
        <is>
          <t>-0.10%</t>
        </is>
      </c>
      <c r="N383" t="n">
        <v>4</v>
      </c>
      <c r="O383" t="n">
        <v>65</v>
      </c>
      <c r="Q383" t="inlineStr">
        <is>
          <t>InStock</t>
        </is>
      </c>
      <c r="R383" t="inlineStr">
        <is>
          <t>undefined</t>
        </is>
      </c>
      <c r="S383" t="inlineStr">
        <is>
          <t>7036157895</t>
        </is>
      </c>
    </row>
    <row r="384" ht="75" customHeight="1">
      <c r="A384" s="2">
        <f>HYPERLINK("https://camerareadycosmetics.com/products/ben-nye-shimmer-crayon", "https://camerareadycosmetics.com/products/ben-nye-shimmer-crayon")</f>
        <v/>
      </c>
      <c r="B384" s="2">
        <f>HYPERLINK("https://camerareadycosmetics.com/products/ben-nye-shimmer-crayon", "https://camerareadycosmetics.com/products/ben-nye-shimmer-crayon")</f>
        <v/>
      </c>
      <c r="C384" t="inlineStr">
        <is>
          <t>Shimmer Crayon</t>
        </is>
      </c>
      <c r="D384" t="inlineStr">
        <is>
          <t>M2U NYC Eye Crayon, Eyeshadow Stick, Shimmer Cream Eyeshadow Pencil Crayon, Eye Brightener Stick Highlighter Makeup, Pro &amp; Long Lasting Eyeshadow Stick (Silver)</t>
        </is>
      </c>
      <c r="E384" s="2">
        <f>HYPERLINK("https://www.amazon.com/M2U-NYC-Eyeshadow-Brightener-Highlighter/dp/B0BHM83QRT/ref=sr_1_6?keywords=Shimmer+Crayon&amp;qid=1695565524&amp;sr=8-6", "https://www.amazon.com/M2U-NYC-Eyeshadow-Brightener-Highlighter/dp/B0BHM83QRT/ref=sr_1_6?keywords=Shimmer+Crayon&amp;qid=1695565524&amp;sr=8-6")</f>
        <v/>
      </c>
      <c r="F384" t="inlineStr">
        <is>
          <t>B0BHM83QRT</t>
        </is>
      </c>
      <c r="G384">
        <f>_xlfn.IMAGE("https://camerareadycosmetics.com/cdn/shop/products/champagne-csc_50x.jpg?v=1689632568")</f>
        <v/>
      </c>
      <c r="H384">
        <f>_xlfn.IMAGE("https://m.media-amazon.com/images/I/41RzRqwb1ZL._AC_UL320_.jpg")</f>
        <v/>
      </c>
      <c r="K384" t="inlineStr">
        <is>
          <t>10.0</t>
        </is>
      </c>
      <c r="L384" t="n">
        <v>8</v>
      </c>
      <c r="M384" s="1" t="inlineStr">
        <is>
          <t>-20.00%</t>
        </is>
      </c>
      <c r="N384" t="n">
        <v>4.6</v>
      </c>
      <c r="O384" t="n">
        <v>16</v>
      </c>
      <c r="Q384" t="inlineStr">
        <is>
          <t>InStock</t>
        </is>
      </c>
      <c r="R384" t="inlineStr">
        <is>
          <t>undefined</t>
        </is>
      </c>
      <c r="S384" t="inlineStr">
        <is>
          <t>7036157895</t>
        </is>
      </c>
    </row>
    <row r="385" ht="75" customHeight="1">
      <c r="A385" s="2">
        <f>HYPERLINK("https://camerareadycosmetics.com/products/ben-nye-shimmer-crayon", "https://camerareadycosmetics.com/products/ben-nye-shimmer-crayon")</f>
        <v/>
      </c>
      <c r="B385" s="2">
        <f>HYPERLINK("https://camerareadycosmetics.com/products/ben-nye-shimmer-crayon", "https://camerareadycosmetics.com/products/ben-nye-shimmer-crayon")</f>
        <v/>
      </c>
      <c r="C385" t="inlineStr">
        <is>
          <t>Shimmer Crayon</t>
        </is>
      </c>
      <c r="D385" t="inlineStr">
        <is>
          <t>FOCALLURE 2 Pcs Shimmer Cream Eyeshadow Stick,Brightener Pencil Crayon,Highlighter Eye Shadow Sets with Crease-proof Formula,Long Lasting Waterproof (Twilight)</t>
        </is>
      </c>
      <c r="E385" s="2">
        <f>HYPERLINK("https://www.amazon.com/Waterproof-Hypoallergenic-Highlighter-Multi-Dimensional-FA38-11116-12/dp/B08LDLCDB6/ref=sr_1_7?keywords=Shimmer+Crayon&amp;qid=1695565524&amp;sr=8-7", "https://www.amazon.com/Waterproof-Hypoallergenic-Highlighter-Multi-Dimensional-FA38-11116-12/dp/B08LDLCDB6/ref=sr_1_7?keywords=Shimmer+Crayon&amp;qid=1695565524&amp;sr=8-7")</f>
        <v/>
      </c>
      <c r="F385" t="inlineStr">
        <is>
          <t>B08LDLCDB6</t>
        </is>
      </c>
      <c r="G385">
        <f>_xlfn.IMAGE("https://camerareadycosmetics.com/cdn/shop/products/champagne-csc_50x.jpg?v=1689632568")</f>
        <v/>
      </c>
      <c r="H385">
        <f>_xlfn.IMAGE("https://m.media-amazon.com/images/I/71eU3KYKPaL._AC_UL320_.jpg")</f>
        <v/>
      </c>
      <c r="K385" t="inlineStr">
        <is>
          <t>10.0</t>
        </is>
      </c>
      <c r="L385" t="n">
        <v>7.99</v>
      </c>
      <c r="M385" s="1" t="inlineStr">
        <is>
          <t>-20.10%</t>
        </is>
      </c>
      <c r="N385" t="n">
        <v>4</v>
      </c>
      <c r="O385" t="n">
        <v>5633</v>
      </c>
      <c r="Q385" t="inlineStr">
        <is>
          <t>InStock</t>
        </is>
      </c>
      <c r="R385" t="inlineStr">
        <is>
          <t>undefined</t>
        </is>
      </c>
      <c r="S385" t="inlineStr">
        <is>
          <t>7036157895</t>
        </is>
      </c>
    </row>
    <row r="386" ht="75" customHeight="1">
      <c r="A386" s="2">
        <f>HYPERLINK("https://camerareadycosmetics.com/products/ben-nye-shimmer-crayon", "https://camerareadycosmetics.com/products/ben-nye-shimmer-crayon")</f>
        <v/>
      </c>
      <c r="B386" s="2">
        <f>HYPERLINK("https://camerareadycosmetics.com/products/ben-nye-shimmer-crayon", "https://camerareadycosmetics.com/products/ben-nye-shimmer-crayon")</f>
        <v/>
      </c>
      <c r="C386" t="inlineStr">
        <is>
          <t>Shimmer Crayon</t>
        </is>
      </c>
      <c r="D386" t="inlineStr">
        <is>
          <t>Boobeen Eyeshadow Pencil Crayon Waterproof Eyeshadow Stick Shimmer Cream Eyeshadow Pen Create Glitter Eye Makeup, Easy to Use</t>
        </is>
      </c>
      <c r="E386" s="2">
        <f>HYPERLINK("https://www.amazon.com/Boobeen-Eyeshadow-Waterproof-Shimmer-Glitter/dp/B0B1D56T9W/ref=sr_1_10?keywords=Shimmer+Crayon&amp;qid=1695565524&amp;sr=8-10", "https://www.amazon.com/Boobeen-Eyeshadow-Waterproof-Shimmer-Glitter/dp/B0B1D56T9W/ref=sr_1_10?keywords=Shimmer+Crayon&amp;qid=1695565524&amp;sr=8-10")</f>
        <v/>
      </c>
      <c r="F386" t="inlineStr">
        <is>
          <t>B0B1D56T9W</t>
        </is>
      </c>
      <c r="G386">
        <f>_xlfn.IMAGE("https://camerareadycosmetics.com/cdn/shop/products/champagne-csc_50x.jpg?v=1689632568")</f>
        <v/>
      </c>
      <c r="H386">
        <f>_xlfn.IMAGE("https://m.media-amazon.com/images/I/81-eIlI1jsL._AC_UL320_.jpg")</f>
        <v/>
      </c>
      <c r="K386" t="inlineStr">
        <is>
          <t>10.0</t>
        </is>
      </c>
      <c r="L386" t="n">
        <v>7.99</v>
      </c>
      <c r="M386" s="1" t="inlineStr">
        <is>
          <t>-20.10%</t>
        </is>
      </c>
      <c r="N386" t="n">
        <v>3.8</v>
      </c>
      <c r="O386" t="n">
        <v>659</v>
      </c>
      <c r="Q386" t="inlineStr">
        <is>
          <t>InStock</t>
        </is>
      </c>
      <c r="R386" t="inlineStr">
        <is>
          <t>undefined</t>
        </is>
      </c>
      <c r="S386" t="inlineStr">
        <is>
          <t>7036157895</t>
        </is>
      </c>
    </row>
    <row r="387" ht="75" customHeight="1">
      <c r="A387" s="2">
        <f>HYPERLINK("https://camerareadycosmetics.com/products/ben-nye-shimmer-crayon", "https://camerareadycosmetics.com/products/ben-nye-shimmer-crayon")</f>
        <v/>
      </c>
      <c r="B387" s="2">
        <f>HYPERLINK("https://camerareadycosmetics.com/products/ben-nye-shimmer-crayon", "https://camerareadycosmetics.com/products/ben-nye-shimmer-crayon")</f>
        <v/>
      </c>
      <c r="C387" t="inlineStr">
        <is>
          <t>Shimmer Crayon</t>
        </is>
      </c>
      <c r="D387" t="inlineStr">
        <is>
          <t>Shimmer Cream Eyeshadow Stick, Eye Brightener Stick Glitter Eyeshadow Crayon Pencil with Soft Smudger, Long Lasting Waterproof Highlighter Eye Shadow Makeup (01 Pearl White Shimmer)</t>
        </is>
      </c>
      <c r="E387" s="2">
        <f>HYPERLINK("https://www.amazon.com/Enfuntins-Eyeshadow-Brightener-Waterproof-Highlighter/dp/B0B2QD9XM5/ref=sr_1_9?keywords=Shimmer+Crayon&amp;qid=1695565524&amp;sr=8-9", "https://www.amazon.com/Enfuntins-Eyeshadow-Brightener-Waterproof-Highlighter/dp/B0B2QD9XM5/ref=sr_1_9?keywords=Shimmer+Crayon&amp;qid=1695565524&amp;sr=8-9")</f>
        <v/>
      </c>
      <c r="F387" t="inlineStr">
        <is>
          <t>B0B2QD9XM5</t>
        </is>
      </c>
      <c r="G387">
        <f>_xlfn.IMAGE("https://camerareadycosmetics.com/cdn/shop/products/champagne-csc_50x.jpg?v=1689632568")</f>
        <v/>
      </c>
      <c r="H387">
        <f>_xlfn.IMAGE("https://m.media-amazon.com/images/I/71AffzBaG2L._AC_UL320_.jpg")</f>
        <v/>
      </c>
      <c r="K387" t="inlineStr">
        <is>
          <t>10.0</t>
        </is>
      </c>
      <c r="L387" t="n">
        <v>6.98</v>
      </c>
      <c r="M387" s="1" t="inlineStr">
        <is>
          <t>-30.20%</t>
        </is>
      </c>
      <c r="N387" t="n">
        <v>3.8</v>
      </c>
      <c r="O387" t="n">
        <v>516</v>
      </c>
      <c r="Q387" t="inlineStr">
        <is>
          <t>InStock</t>
        </is>
      </c>
      <c r="R387" t="inlineStr">
        <is>
          <t>undefined</t>
        </is>
      </c>
      <c r="S387" t="inlineStr">
        <is>
          <t>7036157895</t>
        </is>
      </c>
    </row>
    <row r="388" ht="75" customHeight="1">
      <c r="A388" s="2">
        <f>HYPERLINK("https://camerareadycosmetics.com/products/ben-nye-shimmer-crayon", "https://camerareadycosmetics.com/products/ben-nye-shimmer-crayon")</f>
        <v/>
      </c>
      <c r="B388" s="2">
        <f>HYPERLINK("https://camerareadycosmetics.com/products/ben-nye-shimmer-crayon", "https://camerareadycosmetics.com/products/ben-nye-shimmer-crayon")</f>
        <v/>
      </c>
      <c r="C388" t="inlineStr">
        <is>
          <t>Shimmer Crayon</t>
        </is>
      </c>
      <c r="D388" t="inlineStr">
        <is>
          <t>Cream Single Eyeshadow Stick with Blending Brush, Hypoallergenic Eye Shadow Stick Makeup, Pro Waterproof &amp; Long Lasting Eye Brightener Stick, Eyeshadow Pencil Crayon Shimmer #120</t>
        </is>
      </c>
      <c r="E388" s="2">
        <f>HYPERLINK("https://www.amazon.com/LUXAZA-Hypoallergenic-Waterproof-Brightener-Cruelty-free/dp/B0BFFBGXPF/ref=sr_1_3?keywords=Shimmer+Crayon&amp;qid=1695565524&amp;sr=8-3", "https://www.amazon.com/LUXAZA-Hypoallergenic-Waterproof-Brightener-Cruelty-free/dp/B0BFFBGXPF/ref=sr_1_3?keywords=Shimmer+Crayon&amp;qid=1695565524&amp;sr=8-3")</f>
        <v/>
      </c>
      <c r="F388" t="inlineStr">
        <is>
          <t>B0BFFBGXPF</t>
        </is>
      </c>
      <c r="G388">
        <f>_xlfn.IMAGE("https://camerareadycosmetics.com/cdn/shop/products/champagne-csc_50x.jpg?v=1689632568")</f>
        <v/>
      </c>
      <c r="H388">
        <f>_xlfn.IMAGE("https://m.media-amazon.com/images/I/6197C+GiQEL._AC_UL320_.jpg")</f>
        <v/>
      </c>
      <c r="K388" t="inlineStr">
        <is>
          <t>10.0</t>
        </is>
      </c>
      <c r="L388" t="n">
        <v>5.99</v>
      </c>
      <c r="M388" s="1" t="inlineStr">
        <is>
          <t>-40.10%</t>
        </is>
      </c>
      <c r="N388" t="n">
        <v>4</v>
      </c>
      <c r="O388" t="n">
        <v>3794</v>
      </c>
      <c r="Q388" t="inlineStr">
        <is>
          <t>InStock</t>
        </is>
      </c>
      <c r="R388" t="inlineStr">
        <is>
          <t>undefined</t>
        </is>
      </c>
      <c r="S388" t="inlineStr">
        <is>
          <t>7036157895</t>
        </is>
      </c>
    </row>
    <row r="389" ht="75" customHeight="1">
      <c r="A389" s="2">
        <f>HYPERLINK("https://camerareadycosmetics.com/products/ben-nye-special-color-wheel", "https://camerareadycosmetics.com/products/ben-nye-special-color-wheel")</f>
        <v/>
      </c>
      <c r="B389" s="2">
        <f>HYPERLINK("https://camerareadycosmetics.com/products/ben-nye-special-color-wheel", "https://camerareadycosmetics.com/products/ben-nye-special-color-wheel")</f>
        <v/>
      </c>
      <c r="C389" t="inlineStr">
        <is>
          <t>Special Color Wheel</t>
        </is>
      </c>
      <c r="D389" t="inlineStr">
        <is>
          <t>Teresa Ivanore's Color Wheel Collection: Special Edition Volume 1</t>
        </is>
      </c>
      <c r="E389" s="2">
        <f>HYPERLINK("https://www.amazon.com/Teresa-Ivanores-Color-Wheel-Collection/dp/1089077122/ref=sr_1_10?keywords=Special+Color+Wheel&amp;qid=1695565430&amp;sr=8-10", "https://www.amazon.com/Teresa-Ivanores-Color-Wheel-Collection/dp/1089077122/ref=sr_1_10?keywords=Special+Color+Wheel&amp;qid=1695565430&amp;sr=8-10")</f>
        <v/>
      </c>
      <c r="F389" t="inlineStr">
        <is>
          <t>1089077122</t>
        </is>
      </c>
      <c r="G389">
        <f>_xlfn.IMAGE("https://camerareadycosmetics.com/cdn/shop/products/107055000__68640.1436237605.600.600_50x.jpeg?v=1689629613")</f>
        <v/>
      </c>
      <c r="H389">
        <f>_xlfn.IMAGE("https://m.media-amazon.com/images/I/51ZuXwgKovL._AC_UL320_.jpg")</f>
        <v/>
      </c>
      <c r="K389" t="inlineStr">
        <is>
          <t>18.0</t>
        </is>
      </c>
      <c r="L389" t="n">
        <v>39.99</v>
      </c>
      <c r="M389" s="1" t="inlineStr">
        <is>
          <t>122.17%</t>
        </is>
      </c>
      <c r="N389" t="n">
        <v>4.3</v>
      </c>
      <c r="O389" t="n">
        <v>14</v>
      </c>
      <c r="Q389" t="inlineStr">
        <is>
          <t>InStock</t>
        </is>
      </c>
      <c r="R389" t="inlineStr">
        <is>
          <t>undefined</t>
        </is>
      </c>
      <c r="S389" t="inlineStr">
        <is>
          <t>7035321287</t>
        </is>
      </c>
    </row>
    <row r="390" ht="75" customHeight="1">
      <c r="A390" s="2">
        <f>HYPERLINK("https://camerareadycosmetics.com/products/ben-nye-special-color-wheel", "https://camerareadycosmetics.com/products/ben-nye-special-color-wheel")</f>
        <v/>
      </c>
      <c r="B390" s="2">
        <f>HYPERLINK("https://camerareadycosmetics.com/products/ben-nye-special-color-wheel", "https://camerareadycosmetics.com/products/ben-nye-special-color-wheel")</f>
        <v/>
      </c>
      <c r="C390" t="inlineStr">
        <is>
          <t>Special Color Wheel</t>
        </is>
      </c>
      <c r="D390" t="inlineStr">
        <is>
          <t>Graftobian Severe Trauma Bruise FX Makeup Wheel for Special Effects and Halloween - 6 Colors</t>
        </is>
      </c>
      <c r="E390" s="2">
        <f>HYPERLINK("https://www.amazon.com/Graftobian-Professional-Makeup-Severe-Trauma/dp/B0054TL8PI/ref=sr_1_6?keywords=Special+Color+Wheel&amp;qid=1695565430&amp;sr=8-6", "https://www.amazon.com/Graftobian-Professional-Makeup-Severe-Trauma/dp/B0054TL8PI/ref=sr_1_6?keywords=Special+Color+Wheel&amp;qid=1695565430&amp;sr=8-6")</f>
        <v/>
      </c>
      <c r="F390" t="inlineStr">
        <is>
          <t>B0054TL8PI</t>
        </is>
      </c>
      <c r="G390">
        <f>_xlfn.IMAGE("https://camerareadycosmetics.com/cdn/shop/products/107055000__68640.1436237605.600.600_50x.jpeg?v=1689629613")</f>
        <v/>
      </c>
      <c r="H390">
        <f>_xlfn.IMAGE("https://m.media-amazon.com/images/I/71zif+oZRVL._AC_UL320_.jpg")</f>
        <v/>
      </c>
      <c r="K390" t="inlineStr">
        <is>
          <t>18.0</t>
        </is>
      </c>
      <c r="L390" t="n">
        <v>21.99</v>
      </c>
      <c r="M390" s="1" t="inlineStr">
        <is>
          <t>22.17%</t>
        </is>
      </c>
      <c r="N390" t="n">
        <v>4.3</v>
      </c>
      <c r="O390" t="n">
        <v>53</v>
      </c>
      <c r="Q390" t="inlineStr">
        <is>
          <t>InStock</t>
        </is>
      </c>
      <c r="R390" t="inlineStr">
        <is>
          <t>undefined</t>
        </is>
      </c>
      <c r="S390" t="inlineStr">
        <is>
          <t>7035321287</t>
        </is>
      </c>
    </row>
    <row r="391" ht="75" customHeight="1">
      <c r="A391" s="2">
        <f>HYPERLINK("https://camerareadycosmetics.com/products/ben-nye-special-color-wheel", "https://camerareadycosmetics.com/products/ben-nye-special-color-wheel")</f>
        <v/>
      </c>
      <c r="B391" s="2">
        <f>HYPERLINK("https://camerareadycosmetics.com/products/ben-nye-special-color-wheel", "https://camerareadycosmetics.com/products/ben-nye-special-color-wheel")</f>
        <v/>
      </c>
      <c r="C391" t="inlineStr">
        <is>
          <t>Special Color Wheel</t>
        </is>
      </c>
      <c r="D391" t="inlineStr">
        <is>
          <t>CCbeauty Halloween SFX Makuep Kit, 6 Colors Bruise Wheel with Fake Wound Modeling Scar Wax (1.6Oz)+Spatula Tool+Coagulated Blood Gel+Stipple Sponge+10 Sponges for Special Effects Stage Costume Makeup</t>
        </is>
      </c>
      <c r="E391" s="2">
        <f>HYPERLINK("https://www.amazon.com/CCbeauty-Special-Effects-Halloween-Triangle/dp/B08KY28JR3/ref=sr_1_7?keywords=Special+Color+Wheel&amp;qid=1695565430&amp;sr=8-7", "https://www.amazon.com/CCbeauty-Special-Effects-Halloween-Triangle/dp/B08KY28JR3/ref=sr_1_7?keywords=Special+Color+Wheel&amp;qid=1695565430&amp;sr=8-7")</f>
        <v/>
      </c>
      <c r="F391" t="inlineStr">
        <is>
          <t>B08KY28JR3</t>
        </is>
      </c>
      <c r="G391">
        <f>_xlfn.IMAGE("https://camerareadycosmetics.com/cdn/shop/products/107055000__68640.1436237605.600.600_50x.jpeg?v=1689629613")</f>
        <v/>
      </c>
      <c r="H391">
        <f>_xlfn.IMAGE("https://m.media-amazon.com/images/I/71icxatLI7L._AC_UL320_.jpg")</f>
        <v/>
      </c>
      <c r="K391" t="inlineStr">
        <is>
          <t>18.0</t>
        </is>
      </c>
      <c r="L391" t="n">
        <v>19.99</v>
      </c>
      <c r="M391" s="1" t="inlineStr">
        <is>
          <t>11.06%</t>
        </is>
      </c>
      <c r="N391" t="n">
        <v>4.5</v>
      </c>
      <c r="O391" t="n">
        <v>88</v>
      </c>
      <c r="Q391" t="inlineStr">
        <is>
          <t>InStock</t>
        </is>
      </c>
      <c r="R391" t="inlineStr">
        <is>
          <t>undefined</t>
        </is>
      </c>
      <c r="S391" t="inlineStr">
        <is>
          <t>7035321287</t>
        </is>
      </c>
    </row>
    <row r="392" ht="75" customHeight="1">
      <c r="A392" s="2">
        <f>HYPERLINK("https://camerareadycosmetics.com/products/ben-nye-special-color-wheel", "https://camerareadycosmetics.com/products/ben-nye-special-color-wheel")</f>
        <v/>
      </c>
      <c r="B392" s="2">
        <f>HYPERLINK("https://camerareadycosmetics.com/products/ben-nye-special-color-wheel", "https://camerareadycosmetics.com/products/ben-nye-special-color-wheel")</f>
        <v/>
      </c>
      <c r="C392" t="inlineStr">
        <is>
          <t>Special Color Wheel</t>
        </is>
      </c>
      <c r="D392" t="inlineStr">
        <is>
          <t>Special Effects Sfx Makeup Kit Professional Scar Wax Set 6 Color Bruise Wheel Makeup Kit Face Body Paint Oil with Sponges, Fake Scab Blood, Spatula Tool</t>
        </is>
      </c>
      <c r="E392" s="2">
        <f>HYPERLINK("https://www.amazon.com/Wismee-Special-Effects-Professional-Sponges/dp/B08NDXGQMX/ref=sr_1_5?keywords=Special+Color+Wheel&amp;qid=1695565430&amp;sr=8-5", "https://www.amazon.com/Wismee-Special-Effects-Professional-Sponges/dp/B08NDXGQMX/ref=sr_1_5?keywords=Special+Color+Wheel&amp;qid=1695565430&amp;sr=8-5")</f>
        <v/>
      </c>
      <c r="F392" t="inlineStr">
        <is>
          <t>B08NDXGQMX</t>
        </is>
      </c>
      <c r="G392">
        <f>_xlfn.IMAGE("https://camerareadycosmetics.com/cdn/shop/products/107055000__68640.1436237605.600.600_50x.jpeg?v=1689629613")</f>
        <v/>
      </c>
      <c r="H392">
        <f>_xlfn.IMAGE("https://m.media-amazon.com/images/I/71qhIfmsNmL._AC_UL320_.jpg")</f>
        <v/>
      </c>
      <c r="K392" t="inlineStr">
        <is>
          <t>18.0</t>
        </is>
      </c>
      <c r="L392" t="n">
        <v>19.99</v>
      </c>
      <c r="M392" s="1" t="inlineStr">
        <is>
          <t>11.06%</t>
        </is>
      </c>
      <c r="N392" t="n">
        <v>4.3</v>
      </c>
      <c r="O392" t="n">
        <v>96</v>
      </c>
      <c r="Q392" t="inlineStr">
        <is>
          <t>InStock</t>
        </is>
      </c>
      <c r="R392" t="inlineStr">
        <is>
          <t>undefined</t>
        </is>
      </c>
      <c r="S392" t="inlineStr">
        <is>
          <t>7035321287</t>
        </is>
      </c>
    </row>
    <row r="393" ht="75" customHeight="1">
      <c r="A393" s="2">
        <f>HYPERLINK("https://camerareadycosmetics.com/products/ben-nye-special-color-wheel", "https://camerareadycosmetics.com/products/ben-nye-special-color-wheel")</f>
        <v/>
      </c>
      <c r="B393" s="2">
        <f>HYPERLINK("https://camerareadycosmetics.com/products/ben-nye-special-color-wheel", "https://camerareadycosmetics.com/products/ben-nye-special-color-wheel")</f>
        <v/>
      </c>
      <c r="C393" t="inlineStr">
        <is>
          <t>Special Color Wheel</t>
        </is>
      </c>
      <c r="D393" t="inlineStr">
        <is>
          <t>Mehron Makeup 5 Color Bruise Wheel for Special Effects| Movies| Halloween</t>
        </is>
      </c>
      <c r="E393" s="2">
        <f>HYPERLINK("https://www.amazon.com/Mehron-Makeup-Special-Effects-Halloween/dp/B002KV5JQW/ref=sr_1_1?keywords=Special+Color+Wheel&amp;qid=1695565430&amp;sr=8-1", "https://www.amazon.com/Mehron-Makeup-Special-Effects-Halloween/dp/B002KV5JQW/ref=sr_1_1?keywords=Special+Color+Wheel&amp;qid=1695565430&amp;sr=8-1")</f>
        <v/>
      </c>
      <c r="F393" t="inlineStr">
        <is>
          <t>B002KV5JQW</t>
        </is>
      </c>
      <c r="G393">
        <f>_xlfn.IMAGE("https://camerareadycosmetics.com/cdn/shop/products/107055000__68640.1436237605.600.600_50x.jpeg?v=1689629613")</f>
        <v/>
      </c>
      <c r="H393">
        <f>_xlfn.IMAGE("https://m.media-amazon.com/images/I/91ap6hA0jnL._AC_UL320_.jpg")</f>
        <v/>
      </c>
      <c r="K393" t="inlineStr">
        <is>
          <t>18.0</t>
        </is>
      </c>
      <c r="L393" t="n">
        <v>15.95</v>
      </c>
      <c r="M393" s="1" t="inlineStr">
        <is>
          <t>-11.39%</t>
        </is>
      </c>
      <c r="N393" t="n">
        <v>4.7</v>
      </c>
      <c r="O393" t="n">
        <v>2192</v>
      </c>
      <c r="Q393" t="inlineStr">
        <is>
          <t>InStock</t>
        </is>
      </c>
      <c r="R393" t="inlineStr">
        <is>
          <t>undefined</t>
        </is>
      </c>
      <c r="S393" t="inlineStr">
        <is>
          <t>7035321287</t>
        </is>
      </c>
    </row>
    <row r="394" ht="75" customHeight="1">
      <c r="A394" s="2">
        <f>HYPERLINK("https://camerareadycosmetics.com/products/ben-nye-special-color-wheel", "https://camerareadycosmetics.com/products/ben-nye-special-color-wheel")</f>
        <v/>
      </c>
      <c r="B394" s="2">
        <f>HYPERLINK("https://camerareadycosmetics.com/products/ben-nye-special-color-wheel", "https://camerareadycosmetics.com/products/ben-nye-special-color-wheel")</f>
        <v/>
      </c>
      <c r="C394" t="inlineStr">
        <is>
          <t>Special Color Wheel</t>
        </is>
      </c>
      <c r="D394" t="inlineStr">
        <is>
          <t>MEICOLY 6 Color Bruise Wheel for Special Effects, 2.1oz Fake Blood Spray Blood Splatter Theatrical Halloween Liquid Blood for Clothes Face Body Paint with 3pcs Stipple Sponges for Cosplay,Monsters and Aliens</t>
        </is>
      </c>
      <c r="E394" s="2">
        <f>HYPERLINK("https://www.amazon.com/MEICOLY-Special-Effects-Theatrical-Halloween/dp/B084TNFXVP/ref=sr_1_9?keywords=Special+Color+Wheel&amp;qid=1695565430&amp;sr=8-9", "https://www.amazon.com/MEICOLY-Special-Effects-Theatrical-Halloween/dp/B084TNFXVP/ref=sr_1_9?keywords=Special+Color+Wheel&amp;qid=1695565430&amp;sr=8-9")</f>
        <v/>
      </c>
      <c r="F394" t="inlineStr">
        <is>
          <t>B084TNFXVP</t>
        </is>
      </c>
      <c r="G394">
        <f>_xlfn.IMAGE("https://camerareadycosmetics.com/cdn/shop/products/107055000__68640.1436237605.600.600_50x.jpeg?v=1689629613")</f>
        <v/>
      </c>
      <c r="H394">
        <f>_xlfn.IMAGE("https://m.media-amazon.com/images/I/71m6rDphUUL._AC_UL320_.jpg")</f>
        <v/>
      </c>
      <c r="K394" t="inlineStr">
        <is>
          <t>18.0</t>
        </is>
      </c>
      <c r="L394" t="n">
        <v>12.98</v>
      </c>
      <c r="M394" s="1" t="inlineStr">
        <is>
          <t>-27.89%</t>
        </is>
      </c>
      <c r="N394" t="n">
        <v>4.5</v>
      </c>
      <c r="O394" t="n">
        <v>447</v>
      </c>
      <c r="Q394" t="inlineStr">
        <is>
          <t>InStock</t>
        </is>
      </c>
      <c r="R394" t="inlineStr">
        <is>
          <t>undefined</t>
        </is>
      </c>
      <c r="S394" t="inlineStr">
        <is>
          <t>7035321287</t>
        </is>
      </c>
    </row>
    <row r="395" ht="75" customHeight="1">
      <c r="A395" s="2">
        <f>HYPERLINK("https://camerareadycosmetics.com/products/ben-nye-special-color-wheel", "https://camerareadycosmetics.com/products/ben-nye-special-color-wheel")</f>
        <v/>
      </c>
      <c r="B395" s="2">
        <f>HYPERLINK("https://camerareadycosmetics.com/products/ben-nye-special-color-wheel", "https://camerareadycosmetics.com/products/ben-nye-special-color-wheel")</f>
        <v/>
      </c>
      <c r="C395" t="inlineStr">
        <is>
          <t>Special Color Wheel</t>
        </is>
      </c>
      <c r="D395" t="inlineStr">
        <is>
          <t>MEICOLY 6 Color Bruise Wheel for Special Effects, Face Body Paint Oil Based Hunting Camo Face Paint,Light Green Gamora Witch Face Paint SFX Cosplay Theatrical Halloween with 8 Pcs Makeup Sponges</t>
        </is>
      </c>
      <c r="E395" s="2">
        <f>HYPERLINK("https://www.amazon.com/MEICOLY-Special-Effects-Theatrical-Halloween/dp/B08T6ZY9V2/ref=sr_1_8?keywords=Special+Color+Wheel&amp;qid=1695565430&amp;sr=8-8", "https://www.amazon.com/MEICOLY-Special-Effects-Theatrical-Halloween/dp/B08T6ZY9V2/ref=sr_1_8?keywords=Special+Color+Wheel&amp;qid=1695565430&amp;sr=8-8")</f>
        <v/>
      </c>
      <c r="F395" t="inlineStr">
        <is>
          <t>B08T6ZY9V2</t>
        </is>
      </c>
      <c r="G395">
        <f>_xlfn.IMAGE("https://camerareadycosmetics.com/cdn/shop/products/107055000__68640.1436237605.600.600_50x.jpeg?v=1689629613")</f>
        <v/>
      </c>
      <c r="H395">
        <f>_xlfn.IMAGE("https://m.media-amazon.com/images/I/511HJLnZchL._AC_UL320_.jpg")</f>
        <v/>
      </c>
      <c r="K395" t="inlineStr">
        <is>
          <t>18.0</t>
        </is>
      </c>
      <c r="L395" t="n">
        <v>8.99</v>
      </c>
      <c r="M395" s="1" t="inlineStr">
        <is>
          <t>-50.06%</t>
        </is>
      </c>
      <c r="N395" t="n">
        <v>4.5</v>
      </c>
      <c r="O395" t="n">
        <v>56</v>
      </c>
      <c r="Q395" t="inlineStr">
        <is>
          <t>InStock</t>
        </is>
      </c>
      <c r="R395" t="inlineStr">
        <is>
          <t>undefined</t>
        </is>
      </c>
      <c r="S395" t="inlineStr">
        <is>
          <t>7035321287</t>
        </is>
      </c>
    </row>
    <row r="396" ht="75" customHeight="1">
      <c r="A396" s="2">
        <f>HYPERLINK("https://camerareadycosmetics.com/products/ben-nye-special-color-wheel", "https://camerareadycosmetics.com/products/ben-nye-special-color-wheel")</f>
        <v/>
      </c>
      <c r="B396" s="2">
        <f>HYPERLINK("https://camerareadycosmetics.com/products/ben-nye-special-color-wheel", "https://camerareadycosmetics.com/products/ben-nye-special-color-wheel")</f>
        <v/>
      </c>
      <c r="C396" t="inlineStr">
        <is>
          <t>Special Color Wheel</t>
        </is>
      </c>
      <c r="D396" t="inlineStr">
        <is>
          <t>MEICOLY 6 Color Bruise Wheel for Special Effects,Hunting Camo Face Body Paint Kit,Light Green Gamora Witch Face Paint SFX,Theatrical Halloween Makeup with 3pcs Stipple Sponges,Monsters and Aliens</t>
        </is>
      </c>
      <c r="E396" s="2">
        <f>HYPERLINK("https://www.amazon.com/MEICOLY-Special-Effects-Theatrical-Halloween/dp/B099BQ8WD6/ref=sr_1_3?keywords=Special+Color+Wheel&amp;qid=1695565430&amp;sr=8-3", "https://www.amazon.com/MEICOLY-Special-Effects-Theatrical-Halloween/dp/B099BQ8WD6/ref=sr_1_3?keywords=Special+Color+Wheel&amp;qid=1695565430&amp;sr=8-3")</f>
        <v/>
      </c>
      <c r="F396" t="inlineStr">
        <is>
          <t>B099BQ8WD6</t>
        </is>
      </c>
      <c r="G396">
        <f>_xlfn.IMAGE("https://camerareadycosmetics.com/cdn/shop/products/107055000__68640.1436237605.600.600_50x.jpeg?v=1689629613")</f>
        <v/>
      </c>
      <c r="H396">
        <f>_xlfn.IMAGE("https://m.media-amazon.com/images/I/61JZ-R24-DL._AC_UL320_.jpg")</f>
        <v/>
      </c>
      <c r="K396" t="inlineStr">
        <is>
          <t>18.0</t>
        </is>
      </c>
      <c r="L396" t="n">
        <v>7.38</v>
      </c>
      <c r="M396" s="1" t="inlineStr">
        <is>
          <t>-59.00%</t>
        </is>
      </c>
      <c r="N396" t="n">
        <v>4.5</v>
      </c>
      <c r="O396" t="n">
        <v>214</v>
      </c>
      <c r="Q396" t="inlineStr">
        <is>
          <t>InStock</t>
        </is>
      </c>
      <c r="R396" t="inlineStr">
        <is>
          <t>undefined</t>
        </is>
      </c>
      <c r="S396" t="inlineStr">
        <is>
          <t>7035321287</t>
        </is>
      </c>
    </row>
    <row r="397" ht="75" customHeight="1">
      <c r="A397" s="2">
        <f>HYPERLINK("https://camerareadycosmetics.com/products/ben-nye-special-color-wheel", "https://camerareadycosmetics.com/products/ben-nye-special-color-wheel")</f>
        <v/>
      </c>
      <c r="B397" s="2">
        <f>HYPERLINK("https://camerareadycosmetics.com/products/ben-nye-special-color-wheel", "https://camerareadycosmetics.com/products/ben-nye-special-color-wheel")</f>
        <v/>
      </c>
      <c r="C397" t="inlineStr">
        <is>
          <t>Special Color Wheel</t>
        </is>
      </c>
      <c r="D397" t="inlineStr">
        <is>
          <t>Mysense 6 Color Bruise Wheel Special Effects SFX Zombie Makeup Kit Halloween Professional Non Toxic Face Body Paint Oil Sfx Makeup Set with Sponge</t>
        </is>
      </c>
      <c r="E397" s="2">
        <f>HYPERLINK("https://www.amazon.com/Mysense-Special-Effects-Halloween-Professional/dp/B09961WSJT/ref=sr_1_4?keywords=Special+Color+Wheel&amp;qid=1695565430&amp;sr=8-4", "https://www.amazon.com/Mysense-Special-Effects-Halloween-Professional/dp/B09961WSJT/ref=sr_1_4?keywords=Special+Color+Wheel&amp;qid=1695565430&amp;sr=8-4")</f>
        <v/>
      </c>
      <c r="F397" t="inlineStr">
        <is>
          <t>B09961WSJT</t>
        </is>
      </c>
      <c r="G397">
        <f>_xlfn.IMAGE("https://camerareadycosmetics.com/cdn/shop/products/107055000__68640.1436237605.600.600_50x.jpeg?v=1689629613")</f>
        <v/>
      </c>
      <c r="H397">
        <f>_xlfn.IMAGE("https://m.media-amazon.com/images/I/51IFrsq397L._AC_UL320_.jpg")</f>
        <v/>
      </c>
      <c r="K397" t="inlineStr">
        <is>
          <t>18.0</t>
        </is>
      </c>
      <c r="L397" t="n">
        <v>6.99</v>
      </c>
      <c r="M397" s="1" t="inlineStr">
        <is>
          <t>-61.17%</t>
        </is>
      </c>
      <c r="N397" t="n">
        <v>4.3</v>
      </c>
      <c r="O397" t="n">
        <v>263</v>
      </c>
      <c r="Q397" t="inlineStr">
        <is>
          <t>InStock</t>
        </is>
      </c>
      <c r="R397" t="inlineStr">
        <is>
          <t>undefined</t>
        </is>
      </c>
      <c r="S397" t="inlineStr">
        <is>
          <t>7035321287</t>
        </is>
      </c>
    </row>
    <row r="398" ht="75" customHeight="1">
      <c r="A398" s="2">
        <f>HYPERLINK("https://camerareadycosmetics.com/products/ben-nye-special-color-wheel", "https://camerareadycosmetics.com/products/ben-nye-special-color-wheel")</f>
        <v/>
      </c>
      <c r="B398" s="2">
        <f>HYPERLINK("https://camerareadycosmetics.com/products/ben-nye-special-color-wheel", "https://camerareadycosmetics.com/products/ben-nye-special-color-wheel")</f>
        <v/>
      </c>
      <c r="C398" t="inlineStr">
        <is>
          <t>Special Color Wheel</t>
        </is>
      </c>
      <c r="D398" t="inlineStr">
        <is>
          <t>Go Ho 6 Colors Bruise Makeup Set for SFX,Bruises Wheel for Body Oil Paint Theatrical Halloween Fevstival,Face Paint Makeup Materials for Special Effects with Sponges</t>
        </is>
      </c>
      <c r="E398" s="2">
        <f>HYPERLINK("https://www.amazon.com/Go-Ho-Theatrical-Halloween-Fevstival/dp/B0998PTG26/ref=sr_1_2?keywords=Special+Color+Wheel&amp;qid=1695565430&amp;sr=8-2", "https://www.amazon.com/Go-Ho-Theatrical-Halloween-Fevstival/dp/B0998PTG26/ref=sr_1_2?keywords=Special+Color+Wheel&amp;qid=1695565430&amp;sr=8-2")</f>
        <v/>
      </c>
      <c r="F398" t="inlineStr">
        <is>
          <t>B0998PTG26</t>
        </is>
      </c>
      <c r="G398">
        <f>_xlfn.IMAGE("https://camerareadycosmetics.com/cdn/shop/products/107055000__68640.1436237605.600.600_50x.jpeg?v=1689629613")</f>
        <v/>
      </c>
      <c r="H398">
        <f>_xlfn.IMAGE("https://m.media-amazon.com/images/I/61Z7iQud0pS._AC_UL320_.jpg")</f>
        <v/>
      </c>
      <c r="K398" t="inlineStr">
        <is>
          <t>18.0</t>
        </is>
      </c>
      <c r="L398" t="n">
        <v>6.99</v>
      </c>
      <c r="M398" s="1" t="inlineStr">
        <is>
          <t>-61.17%</t>
        </is>
      </c>
      <c r="N398" t="n">
        <v>4.4</v>
      </c>
      <c r="O398" t="n">
        <v>142</v>
      </c>
      <c r="Q398" t="inlineStr">
        <is>
          <t>InStock</t>
        </is>
      </c>
      <c r="R398" t="inlineStr">
        <is>
          <t>undefined</t>
        </is>
      </c>
      <c r="S398" t="inlineStr">
        <is>
          <t>7035321287</t>
        </is>
      </c>
    </row>
    <row r="399" ht="75" customHeight="1">
      <c r="A399" s="2">
        <f>HYPERLINK("https://camerareadycosmetics.com/products/ben-nye-special-color-wheel", "https://camerareadycosmetics.com/products/ben-nye-special-color-wheel")</f>
        <v/>
      </c>
      <c r="B399" s="2">
        <f>HYPERLINK("https://camerareadycosmetics.com/products/ben-nye-special-color-wheel", "https://camerareadycosmetics.com/products/ben-nye-special-color-wheel")</f>
        <v/>
      </c>
      <c r="C399" t="inlineStr">
        <is>
          <t>Special Color Wheel</t>
        </is>
      </c>
      <c r="D399" t="inlineStr">
        <is>
          <t>MEICOLY 6 Color Bruise Wheel for Special Effects, Face Body Paint Oil Based Hunting Camo Face Paint,Light Green Gamora Witch Face Paint SFX Cosplay Theatrical Halloween with 8 Pcs Makeup Sponges</t>
        </is>
      </c>
      <c r="E399" s="2">
        <f>HYPERLINK("https://www.amazon.com/MEICOLY-Special-Effects-Theatrical-Halloween/dp/B08T6ZY9V2/ref=sr_1_8?keywords=Special+Color+Wheel&amp;qid=1695565430&amp;sr=8-8", "https://www.amazon.com/MEICOLY-Special-Effects-Theatrical-Halloween/dp/B08T6ZY9V2/ref=sr_1_8?keywords=Special+Color+Wheel&amp;qid=1695565430&amp;sr=8-8")</f>
        <v/>
      </c>
      <c r="F399" t="inlineStr">
        <is>
          <t>B08T6ZY9V2</t>
        </is>
      </c>
      <c r="G399">
        <f>_xlfn.IMAGE("https://camerareadycosmetics.com/cdn/shop/products/107055000__68640.1436237605.600.600_50x.jpeg?v=1689629613")</f>
        <v/>
      </c>
      <c r="H399">
        <f>_xlfn.IMAGE("https://m.media-amazon.com/images/I/511HJLnZchL._AC_UL320_.jpg")</f>
        <v/>
      </c>
      <c r="K399" t="inlineStr">
        <is>
          <t>18.0</t>
        </is>
      </c>
      <c r="L399" t="n">
        <v>8.99</v>
      </c>
      <c r="M399" s="1" t="inlineStr">
        <is>
          <t>-50.06%</t>
        </is>
      </c>
      <c r="N399" t="n">
        <v>4.5</v>
      </c>
      <c r="O399" t="n">
        <v>56</v>
      </c>
      <c r="Q399" t="inlineStr">
        <is>
          <t>InStock</t>
        </is>
      </c>
      <c r="R399" t="inlineStr">
        <is>
          <t>undefined</t>
        </is>
      </c>
      <c r="S399" t="inlineStr">
        <is>
          <t>7035321287</t>
        </is>
      </c>
    </row>
    <row r="400" ht="75" customHeight="1">
      <c r="A400" s="2">
        <f>HYPERLINK("https://camerareadycosmetics.com/products/ben-nye-special-color-wheel", "https://camerareadycosmetics.com/products/ben-nye-special-color-wheel")</f>
        <v/>
      </c>
      <c r="B400" s="2">
        <f>HYPERLINK("https://camerareadycosmetics.com/products/ben-nye-special-color-wheel", "https://camerareadycosmetics.com/products/ben-nye-special-color-wheel")</f>
        <v/>
      </c>
      <c r="C400" t="inlineStr">
        <is>
          <t>Special Color Wheel</t>
        </is>
      </c>
      <c r="D400" t="inlineStr">
        <is>
          <t>MEICOLY 6 Color Bruise Wheel for Special Effects,Hunting Camo Face Body Paint Kit,Light Green Gamora Witch Face Paint SFX,Theatrical Halloween Makeup with 3pcs Stipple Sponges,Monsters and Aliens</t>
        </is>
      </c>
      <c r="E400" s="2">
        <f>HYPERLINK("https://www.amazon.com/MEICOLY-Special-Effects-Theatrical-Halloween/dp/B099BQ8WD6/ref=sr_1_3?keywords=Special+Color+Wheel&amp;qid=1695565430&amp;sr=8-3", "https://www.amazon.com/MEICOLY-Special-Effects-Theatrical-Halloween/dp/B099BQ8WD6/ref=sr_1_3?keywords=Special+Color+Wheel&amp;qid=1695565430&amp;sr=8-3")</f>
        <v/>
      </c>
      <c r="F400" t="inlineStr">
        <is>
          <t>B099BQ8WD6</t>
        </is>
      </c>
      <c r="G400">
        <f>_xlfn.IMAGE("https://camerareadycosmetics.com/cdn/shop/products/107055000__68640.1436237605.600.600_50x.jpeg?v=1689629613")</f>
        <v/>
      </c>
      <c r="H400">
        <f>_xlfn.IMAGE("https://m.media-amazon.com/images/I/61JZ-R24-DL._AC_UL320_.jpg")</f>
        <v/>
      </c>
      <c r="K400" t="inlineStr">
        <is>
          <t>18.0</t>
        </is>
      </c>
      <c r="L400" t="n">
        <v>7.38</v>
      </c>
      <c r="M400" s="1" t="inlineStr">
        <is>
          <t>-59.00%</t>
        </is>
      </c>
      <c r="N400" t="n">
        <v>4.5</v>
      </c>
      <c r="O400" t="n">
        <v>214</v>
      </c>
      <c r="Q400" t="inlineStr">
        <is>
          <t>InStock</t>
        </is>
      </c>
      <c r="R400" t="inlineStr">
        <is>
          <t>undefined</t>
        </is>
      </c>
      <c r="S400" t="inlineStr">
        <is>
          <t>7035321287</t>
        </is>
      </c>
    </row>
    <row r="401" ht="75" customHeight="1">
      <c r="A401" s="2">
        <f>HYPERLINK("https://camerareadycosmetics.com/products/ben-nye-special-color-wheel", "https://camerareadycosmetics.com/products/ben-nye-special-color-wheel")</f>
        <v/>
      </c>
      <c r="B401" s="2">
        <f>HYPERLINK("https://camerareadycosmetics.com/products/ben-nye-special-color-wheel", "https://camerareadycosmetics.com/products/ben-nye-special-color-wheel")</f>
        <v/>
      </c>
      <c r="C401" t="inlineStr">
        <is>
          <t>Special Color Wheel</t>
        </is>
      </c>
      <c r="D401" t="inlineStr">
        <is>
          <t>Mysense 6 Color Bruise Wheel Special Effects SFX Zombie Makeup Kit Halloween Professional Non Toxic Face Body Paint Oil Sfx Makeup Set with Sponge</t>
        </is>
      </c>
      <c r="E401" s="2">
        <f>HYPERLINK("https://www.amazon.com/Mysense-Special-Effects-Halloween-Professional/dp/B09961WSJT/ref=sr_1_4?keywords=Special+Color+Wheel&amp;qid=1695565430&amp;sr=8-4", "https://www.amazon.com/Mysense-Special-Effects-Halloween-Professional/dp/B09961WSJT/ref=sr_1_4?keywords=Special+Color+Wheel&amp;qid=1695565430&amp;sr=8-4")</f>
        <v/>
      </c>
      <c r="F401" t="inlineStr">
        <is>
          <t>B09961WSJT</t>
        </is>
      </c>
      <c r="G401">
        <f>_xlfn.IMAGE("https://camerareadycosmetics.com/cdn/shop/products/107055000__68640.1436237605.600.600_50x.jpeg?v=1689629613")</f>
        <v/>
      </c>
      <c r="H401">
        <f>_xlfn.IMAGE("https://m.media-amazon.com/images/I/51IFrsq397L._AC_UL320_.jpg")</f>
        <v/>
      </c>
      <c r="K401" t="inlineStr">
        <is>
          <t>18.0</t>
        </is>
      </c>
      <c r="L401" t="n">
        <v>6.99</v>
      </c>
      <c r="M401" s="1" t="inlineStr">
        <is>
          <t>-61.17%</t>
        </is>
      </c>
      <c r="N401" t="n">
        <v>4.3</v>
      </c>
      <c r="O401" t="n">
        <v>263</v>
      </c>
      <c r="Q401" t="inlineStr">
        <is>
          <t>InStock</t>
        </is>
      </c>
      <c r="R401" t="inlineStr">
        <is>
          <t>undefined</t>
        </is>
      </c>
      <c r="S401" t="inlineStr">
        <is>
          <t>7035321287</t>
        </is>
      </c>
    </row>
    <row r="402" ht="75" customHeight="1">
      <c r="A402" s="2">
        <f>HYPERLINK("https://camerareadycosmetics.com/products/ben-nye-special-color-wheel", "https://camerareadycosmetics.com/products/ben-nye-special-color-wheel")</f>
        <v/>
      </c>
      <c r="B402" s="2">
        <f>HYPERLINK("https://camerareadycosmetics.com/products/ben-nye-special-color-wheel", "https://camerareadycosmetics.com/products/ben-nye-special-color-wheel")</f>
        <v/>
      </c>
      <c r="C402" t="inlineStr">
        <is>
          <t>Special Color Wheel</t>
        </is>
      </c>
      <c r="D402" t="inlineStr">
        <is>
          <t>Go Ho 6 Colors Bruise Makeup Set for SFX,Bruises Wheel for Body Oil Paint Theatrical Halloween Fevstival,Face Paint Makeup Materials for Special Effects with Sponges</t>
        </is>
      </c>
      <c r="E402" s="2">
        <f>HYPERLINK("https://www.amazon.com/Go-Ho-Theatrical-Halloween-Fevstival/dp/B0998PTG26/ref=sr_1_2?keywords=Special+Color+Wheel&amp;qid=1695565430&amp;sr=8-2", "https://www.amazon.com/Go-Ho-Theatrical-Halloween-Fevstival/dp/B0998PTG26/ref=sr_1_2?keywords=Special+Color+Wheel&amp;qid=1695565430&amp;sr=8-2")</f>
        <v/>
      </c>
      <c r="F402" t="inlineStr">
        <is>
          <t>B0998PTG26</t>
        </is>
      </c>
      <c r="G402">
        <f>_xlfn.IMAGE("https://camerareadycosmetics.com/cdn/shop/products/107055000__68640.1436237605.600.600_50x.jpeg?v=1689629613")</f>
        <v/>
      </c>
      <c r="H402">
        <f>_xlfn.IMAGE("https://m.media-amazon.com/images/I/61Z7iQud0pS._AC_UL320_.jpg")</f>
        <v/>
      </c>
      <c r="K402" t="inlineStr">
        <is>
          <t>18.0</t>
        </is>
      </c>
      <c r="L402" t="n">
        <v>6.99</v>
      </c>
      <c r="M402" s="1" t="inlineStr">
        <is>
          <t>-61.17%</t>
        </is>
      </c>
      <c r="N402" t="n">
        <v>4.4</v>
      </c>
      <c r="O402" t="n">
        <v>142</v>
      </c>
      <c r="Q402" t="inlineStr">
        <is>
          <t>InStock</t>
        </is>
      </c>
      <c r="R402" t="inlineStr">
        <is>
          <t>undefined</t>
        </is>
      </c>
      <c r="S402" t="inlineStr">
        <is>
          <t>7035321287</t>
        </is>
      </c>
    </row>
    <row r="403" ht="75" customHeight="1">
      <c r="A403" s="2">
        <f>HYPERLINK("https://camerareadycosmetics.com/products/ben-nye-tattoo-cover", "https://camerareadycosmetics.com/products/ben-nye-tattoo-cover")</f>
        <v/>
      </c>
      <c r="B403" s="2">
        <f>HYPERLINK("https://camerareadycosmetics.com/products/ben-nye-tattoo-cover", "https://camerareadycosmetics.com/products/ben-nye-tattoo-cover")</f>
        <v/>
      </c>
      <c r="C403" t="inlineStr">
        <is>
          <t>Tattoo Cover</t>
        </is>
      </c>
      <c r="D403" t="inlineStr">
        <is>
          <t>Westmore Beauty Body Coverage Perfector 2.5 Oz/ 74ml (Natural Radiance) - Waterproof Leg And Body Makeup For Tattoo Cover Up And More - The Best Tattoo Cover Up Leg Makeup</t>
        </is>
      </c>
      <c r="E403" s="2" t="n"/>
      <c r="F403" t="inlineStr">
        <is>
          <t>B07CF7BVZK</t>
        </is>
      </c>
      <c r="G403">
        <f>_xlfn.IMAGE("https://camerareadycosmetics.com/cdn/shop/products/Untitled_1__12264.1433029130.600.600_50x.jpeg?v=1689624052")</f>
        <v/>
      </c>
      <c r="H403">
        <f>_xlfn.IMAGE("https://m.media-amazon.com/images/I/51K2B8r-A9L._AC_UL320_.jpg")</f>
        <v/>
      </c>
      <c r="K403" t="inlineStr">
        <is>
          <t>9.5</t>
        </is>
      </c>
      <c r="L403" t="n">
        <v>39</v>
      </c>
      <c r="M403" s="1" t="inlineStr">
        <is>
          <t>310.53%</t>
        </is>
      </c>
      <c r="N403" t="n">
        <v>3.9</v>
      </c>
      <c r="O403" t="n">
        <v>3895</v>
      </c>
      <c r="Q403" t="inlineStr">
        <is>
          <t>InStock</t>
        </is>
      </c>
      <c r="R403" t="inlineStr">
        <is>
          <t>undefined</t>
        </is>
      </c>
      <c r="S403" t="inlineStr">
        <is>
          <t>7034225095</t>
        </is>
      </c>
    </row>
    <row r="404" ht="75" customHeight="1">
      <c r="A404" s="2">
        <f>HYPERLINK("https://camerareadycosmetics.com/products/ben-nye-tattoo-cover", "https://camerareadycosmetics.com/products/ben-nye-tattoo-cover")</f>
        <v/>
      </c>
      <c r="B404" s="2">
        <f>HYPERLINK("https://camerareadycosmetics.com/products/ben-nye-tattoo-cover", "https://camerareadycosmetics.com/products/ben-nye-tattoo-cover")</f>
        <v/>
      </c>
      <c r="C404" t="inlineStr">
        <is>
          <t>Tattoo Cover</t>
        </is>
      </c>
      <c r="D404" t="inlineStr">
        <is>
          <t>150 Pieces Tattoo Cover Up Tape Tattoo Flaw Conceal Sticker Breathable Medium Thin Patch Makeup Skin Concealing Tape to Hide Skin Spots, 3 Sizes (Nude)</t>
        </is>
      </c>
      <c r="E404" s="2">
        <f>HYPERLINK("https://www.amazon.com/Pieces-Conceal-Sticker-Breathable-Concealing/dp/B0B38B35X5/ref=sr_1_9?keywords=Tattoo+Cover&amp;qid=1695565526&amp;sr=8-9", "https://www.amazon.com/Pieces-Conceal-Sticker-Breathable-Concealing/dp/B0B38B35X5/ref=sr_1_9?keywords=Tattoo+Cover&amp;qid=1695565526&amp;sr=8-9")</f>
        <v/>
      </c>
      <c r="F404" t="inlineStr">
        <is>
          <t>B0B38B35X5</t>
        </is>
      </c>
      <c r="G404">
        <f>_xlfn.IMAGE("https://camerareadycosmetics.com/cdn/shop/products/Untitled_1__12264.1433029130.600.600_50x.jpeg?v=1689624052")</f>
        <v/>
      </c>
      <c r="H404">
        <f>_xlfn.IMAGE("https://m.media-amazon.com/images/I/810jUHwXjOL._AC_UL320_.jpg")</f>
        <v/>
      </c>
      <c r="K404" t="inlineStr">
        <is>
          <t>9.5</t>
        </is>
      </c>
      <c r="L404" t="n">
        <v>15.99</v>
      </c>
      <c r="M404" s="1" t="inlineStr">
        <is>
          <t>68.32%</t>
        </is>
      </c>
      <c r="N404" t="n">
        <v>3.7</v>
      </c>
      <c r="O404" t="n">
        <v>128</v>
      </c>
      <c r="Q404" t="inlineStr">
        <is>
          <t>InStock</t>
        </is>
      </c>
      <c r="R404" t="inlineStr">
        <is>
          <t>undefined</t>
        </is>
      </c>
      <c r="S404" t="inlineStr">
        <is>
          <t>7034225095</t>
        </is>
      </c>
    </row>
    <row r="405" ht="75" customHeight="1">
      <c r="A405" s="2">
        <f>HYPERLINK("https://camerareadycosmetics.com/products/ben-nye-tattoo-cover", "https://camerareadycosmetics.com/products/ben-nye-tattoo-cover")</f>
        <v/>
      </c>
      <c r="B405" s="2">
        <f>HYPERLINK("https://camerareadycosmetics.com/products/ben-nye-tattoo-cover", "https://camerareadycosmetics.com/products/ben-nye-tattoo-cover")</f>
        <v/>
      </c>
      <c r="C405" t="inlineStr">
        <is>
          <t>Tattoo Cover</t>
        </is>
      </c>
      <c r="D405" t="inlineStr">
        <is>
          <t>6 Pairs UV Sun Protection Arm Sleeves, UPF 50 Arm Compression Sleeves for Men Women Teenager, Tattoo Cover Up Cooling Arm Sleeves - Arm Shields for Outdoor, Baseball Football Gardening (3 Colors)</t>
        </is>
      </c>
      <c r="E405" s="2">
        <f>HYPERLINK("https://www.amazon.com/Protection-Sleeves-Compression-Teenager-Cooling/dp/B0BX2V6Y37/ref=sr_1_10?keywords=Tattoo+Cover&amp;qid=1695565526&amp;sr=8-10", "https://www.amazon.com/Protection-Sleeves-Compression-Teenager-Cooling/dp/B0BX2V6Y37/ref=sr_1_10?keywords=Tattoo+Cover&amp;qid=1695565526&amp;sr=8-10")</f>
        <v/>
      </c>
      <c r="F405" t="inlineStr">
        <is>
          <t>B0BX2V6Y37</t>
        </is>
      </c>
      <c r="G405">
        <f>_xlfn.IMAGE("https://camerareadycosmetics.com/cdn/shop/products/Untitled_1__12264.1433029130.600.600_50x.jpeg?v=1689624052")</f>
        <v/>
      </c>
      <c r="H405">
        <f>_xlfn.IMAGE("https://m.media-amazon.com/images/I/81+4E0mav5L._AC_UL320_.jpg")</f>
        <v/>
      </c>
      <c r="K405" t="inlineStr">
        <is>
          <t>9.5</t>
        </is>
      </c>
      <c r="L405" t="n">
        <v>14.15</v>
      </c>
      <c r="M405" s="1" t="inlineStr">
        <is>
          <t>48.95%</t>
        </is>
      </c>
      <c r="N405" t="n">
        <v>4.5</v>
      </c>
      <c r="O405" t="n">
        <v>658</v>
      </c>
      <c r="Q405" t="inlineStr">
        <is>
          <t>InStock</t>
        </is>
      </c>
      <c r="R405" t="inlineStr">
        <is>
          <t>undefined</t>
        </is>
      </c>
      <c r="S405" t="inlineStr">
        <is>
          <t>7034225095</t>
        </is>
      </c>
    </row>
    <row r="406" ht="75" customHeight="1">
      <c r="A406" s="2">
        <f>HYPERLINK("https://camerareadycosmetics.com/products/ben-nye-tattoo-cover", "https://camerareadycosmetics.com/products/ben-nye-tattoo-cover")</f>
        <v/>
      </c>
      <c r="B406" s="2">
        <f>HYPERLINK("https://camerareadycosmetics.com/products/ben-nye-tattoo-cover", "https://camerareadycosmetics.com/products/ben-nye-tattoo-cover")</f>
        <v/>
      </c>
      <c r="C406" t="inlineStr">
        <is>
          <t>Tattoo Cover</t>
        </is>
      </c>
      <c r="D406" t="inlineStr">
        <is>
          <t>Tattoo Cover Up, 6Pcs Invisible Breathable Tattoo Cover Up Tape, Tattoo Cover Up Makeup Waterproof for Covering Up Scars and Tattoo</t>
        </is>
      </c>
      <c r="E406" s="2">
        <f>HYPERLINK("https://www.amazon.com/Tattoo-Invisible-Breathable-Waterproof-Covering/dp/B0C26YKR8S/ref=sr_1_6?keywords=Tattoo+Cover&amp;qid=1695565526&amp;sr=8-6", "https://www.amazon.com/Tattoo-Invisible-Breathable-Waterproof-Covering/dp/B0C26YKR8S/ref=sr_1_6?keywords=Tattoo+Cover&amp;qid=1695565526&amp;sr=8-6")</f>
        <v/>
      </c>
      <c r="F406" t="inlineStr">
        <is>
          <t>B0C26YKR8S</t>
        </is>
      </c>
      <c r="G406">
        <f>_xlfn.IMAGE("https://camerareadycosmetics.com/cdn/shop/products/Untitled_1__12264.1433029130.600.600_50x.jpeg?v=1689624052")</f>
        <v/>
      </c>
      <c r="H406">
        <f>_xlfn.IMAGE("https://m.media-amazon.com/images/I/619IkaNZYjL._AC_UL320_.jpg")</f>
        <v/>
      </c>
      <c r="K406" t="inlineStr">
        <is>
          <t>9.5</t>
        </is>
      </c>
      <c r="L406" t="n">
        <v>13.96</v>
      </c>
      <c r="M406" s="1" t="inlineStr">
        <is>
          <t>46.95%</t>
        </is>
      </c>
      <c r="N406" t="n">
        <v>4.5</v>
      </c>
      <c r="O406" t="n">
        <v>2052</v>
      </c>
      <c r="Q406" t="inlineStr">
        <is>
          <t>InStock</t>
        </is>
      </c>
      <c r="R406" t="inlineStr">
        <is>
          <t>undefined</t>
        </is>
      </c>
      <c r="S406" t="inlineStr">
        <is>
          <t>7034225095</t>
        </is>
      </c>
    </row>
    <row r="407" ht="75" customHeight="1">
      <c r="A407" s="2">
        <f>HYPERLINK("https://camerareadycosmetics.com/products/ben-nye-tattoo-cover", "https://camerareadycosmetics.com/products/ben-nye-tattoo-cover")</f>
        <v/>
      </c>
      <c r="B407" s="2">
        <f>HYPERLINK("https://camerareadycosmetics.com/products/ben-nye-tattoo-cover", "https://camerareadycosmetics.com/products/ben-nye-tattoo-cover")</f>
        <v/>
      </c>
      <c r="C407" t="inlineStr">
        <is>
          <t>Tattoo Cover</t>
        </is>
      </c>
      <c r="D407" t="inlineStr">
        <is>
          <t>Tattoo Cover Up, 6Pcs Invisible Breathable Tattoo Cover Up Tape, Tattoo Cover Up Makeup Waterproof for Covering Up Scars and Tattoo</t>
        </is>
      </c>
      <c r="E407" s="2" t="n"/>
      <c r="F407" t="inlineStr">
        <is>
          <t>B0C26YKR8S</t>
        </is>
      </c>
      <c r="G407">
        <f>_xlfn.IMAGE("https://camerareadycosmetics.com/cdn/shop/products/Untitled_1__12264.1433029130.600.600_50x.jpeg?v=1689624052")</f>
        <v/>
      </c>
      <c r="H407">
        <f>_xlfn.IMAGE("https://m.media-amazon.com/images/I/619IkaNZYjL._AC_UL320_.jpg")</f>
        <v/>
      </c>
      <c r="K407" t="inlineStr">
        <is>
          <t>9.5</t>
        </is>
      </c>
      <c r="L407" t="n">
        <v>13.96</v>
      </c>
      <c r="M407" s="1" t="inlineStr">
        <is>
          <t>46.95%</t>
        </is>
      </c>
      <c r="N407" t="n">
        <v>4.5</v>
      </c>
      <c r="O407" t="n">
        <v>2052</v>
      </c>
      <c r="Q407" t="inlineStr">
        <is>
          <t>InStock</t>
        </is>
      </c>
      <c r="R407" t="inlineStr">
        <is>
          <t>undefined</t>
        </is>
      </c>
      <c r="S407" t="inlineStr">
        <is>
          <t>7034225095</t>
        </is>
      </c>
    </row>
    <row r="408" ht="75" customHeight="1">
      <c r="A408" s="2">
        <f>HYPERLINK("https://camerareadycosmetics.com/products/ben-nye-tattoo-cover", "https://camerareadycosmetics.com/products/ben-nye-tattoo-cover")</f>
        <v/>
      </c>
      <c r="B408" s="2">
        <f>HYPERLINK("https://camerareadycosmetics.com/products/ben-nye-tattoo-cover", "https://camerareadycosmetics.com/products/ben-nye-tattoo-cover")</f>
        <v/>
      </c>
      <c r="C408" t="inlineStr">
        <is>
          <t>Tattoo Cover</t>
        </is>
      </c>
      <c r="D408" t="inlineStr">
        <is>
          <t>Tattoo Aftercare Waterproof Bandages, 6" x 4.4 Yard Tattoo Cover Up Tape, Tattoo Supplies Second Skin Transparent Film Healing Protective Clear Sterile and Safe Bandages 4 Rolls (6" x 1.1 Yard/Roll)</t>
        </is>
      </c>
      <c r="E408" s="2" t="n"/>
      <c r="F408" t="inlineStr">
        <is>
          <t>B0B2DK1425</t>
        </is>
      </c>
      <c r="G408">
        <f>_xlfn.IMAGE("https://camerareadycosmetics.com/cdn/shop/products/Untitled_1__12264.1433029130.600.600_50x.jpeg?v=1689624052")</f>
        <v/>
      </c>
      <c r="H408">
        <f>_xlfn.IMAGE("https://m.media-amazon.com/images/I/71jpPgwaR5L._AC_UL320_.jpg")</f>
        <v/>
      </c>
      <c r="K408" t="inlineStr">
        <is>
          <t>9.5</t>
        </is>
      </c>
      <c r="L408" t="n">
        <v>7.99</v>
      </c>
      <c r="M408" s="1" t="inlineStr">
        <is>
          <t>-15.89%</t>
        </is>
      </c>
      <c r="N408" t="n">
        <v>4.3</v>
      </c>
      <c r="O408" t="n">
        <v>594</v>
      </c>
      <c r="Q408" t="inlineStr">
        <is>
          <t>InStock</t>
        </is>
      </c>
      <c r="R408" t="inlineStr">
        <is>
          <t>undefined</t>
        </is>
      </c>
      <c r="S408" t="inlineStr">
        <is>
          <t>7034225095</t>
        </is>
      </c>
    </row>
    <row r="409" ht="75" customHeight="1">
      <c r="A409" s="2">
        <f>HYPERLINK("https://camerareadycosmetics.com/products/ben-nye-tattoo-cover", "https://camerareadycosmetics.com/products/ben-nye-tattoo-cover")</f>
        <v/>
      </c>
      <c r="B409" s="2">
        <f>HYPERLINK("https://camerareadycosmetics.com/products/ben-nye-tattoo-cover", "https://camerareadycosmetics.com/products/ben-nye-tattoo-cover")</f>
        <v/>
      </c>
      <c r="C409" t="inlineStr">
        <is>
          <t>Tattoo Cover</t>
        </is>
      </c>
      <c r="D409" t="inlineStr">
        <is>
          <t>Vicenpal 2 Pairs Full Forearm Tattoo Cover Up Compression Sleeves Band Concealer Support UV Arm Sleeves for Women Men</t>
        </is>
      </c>
      <c r="E409" s="2">
        <f>HYPERLINK("https://www.amazon.com/Sleeves-Forearm-Concealer-Compression-Athletic/dp/B09HZYKJH9/ref=sr_1_7?keywords=Tattoo+Cover&amp;qid=1695565526&amp;sr=8-7", "https://www.amazon.com/Sleeves-Forearm-Concealer-Compression-Athletic/dp/B09HZYKJH9/ref=sr_1_7?keywords=Tattoo+Cover&amp;qid=1695565526&amp;sr=8-7")</f>
        <v/>
      </c>
      <c r="F409" t="inlineStr">
        <is>
          <t>B09HZYKJH9</t>
        </is>
      </c>
      <c r="G409">
        <f>_xlfn.IMAGE("https://camerareadycosmetics.com/cdn/shop/products/Untitled_1__12264.1433029130.600.600_50x.jpeg?v=1689624052")</f>
        <v/>
      </c>
      <c r="H409">
        <f>_xlfn.IMAGE("https://m.media-amazon.com/images/I/819aB1E4I7L._AC_UL320_.jpg")</f>
        <v/>
      </c>
      <c r="K409" t="inlineStr">
        <is>
          <t>9.5</t>
        </is>
      </c>
      <c r="L409" t="n">
        <v>7.39</v>
      </c>
      <c r="M409" s="1" t="inlineStr">
        <is>
          <t>-22.21%</t>
        </is>
      </c>
      <c r="N409" t="n">
        <v>4.2</v>
      </c>
      <c r="O409" t="n">
        <v>199</v>
      </c>
      <c r="Q409" t="inlineStr">
        <is>
          <t>InStock</t>
        </is>
      </c>
      <c r="R409" t="inlineStr">
        <is>
          <t>undefined</t>
        </is>
      </c>
      <c r="S409" t="inlineStr">
        <is>
          <t>7034225095</t>
        </is>
      </c>
    </row>
    <row r="410" ht="75" customHeight="1">
      <c r="A410" s="2">
        <f>HYPERLINK("https://camerareadycosmetics.com/products/ben-nye-theatrical-eye-shadow-palette", "https://camerareadycosmetics.com/products/ben-nye-theatrical-eye-shadow-palette")</f>
        <v/>
      </c>
      <c r="B410" s="2">
        <f>HYPERLINK("https://camerareadycosmetics.com/products/ben-nye-theatrical-eye-shadow-palette", "https://camerareadycosmetics.com/products/ben-nye-theatrical-eye-shadow-palette")</f>
        <v/>
      </c>
      <c r="C410" t="inlineStr">
        <is>
          <t>Theatrical Eye Shadow Palette</t>
        </is>
      </c>
      <c r="D410" t="inlineStr">
        <is>
          <t>Black Eyeshadow Palette, Brown Neutral Dark Smokey Eye Eye Shadow Palettes for Halloween Goth Make up, Midnight Masquerade 21 Colors Glitter Matte Shimmer Makeup Pallets, Talc Free</t>
        </is>
      </c>
      <c r="E410" s="2">
        <f>HYPERLINK("https://www.amazon.com/Tintark-Eyeshadow-Palettes-Halloween-Masquerade/dp/B0CDL3BL6C/ref=sr_1_8?keywords=Theatrical+Eye+Shadow+Palette&amp;qid=1695565667&amp;sr=8-8", "https://www.amazon.com/Tintark-Eyeshadow-Palettes-Halloween-Masquerade/dp/B0CDL3BL6C/ref=sr_1_8?keywords=Theatrical+Eye+Shadow+Palette&amp;qid=1695565667&amp;sr=8-8")</f>
        <v/>
      </c>
      <c r="F410" t="inlineStr">
        <is>
          <t>B0CDL3BL6C</t>
        </is>
      </c>
      <c r="G410">
        <f>_xlfn.IMAGE("https://camerareadycosmetics.com/cdn/shop/products/Ben_Nye_Theatrical_Eye_Shadow_Palette__90162.1398455276.600.600_50x.jpeg?v=1689635539")</f>
        <v/>
      </c>
      <c r="H410">
        <f>_xlfn.IMAGE("https://m.media-amazon.com/images/I/81TvZf-ArnL._AC_UL320_.jpg")</f>
        <v/>
      </c>
      <c r="K410" t="inlineStr">
        <is>
          <t>58.0</t>
        </is>
      </c>
      <c r="L410" t="n">
        <v>16.99</v>
      </c>
      <c r="M410" s="1" t="inlineStr">
        <is>
          <t>-70.71%</t>
        </is>
      </c>
      <c r="N410" t="n">
        <v>4.4</v>
      </c>
      <c r="O410" t="n">
        <v>25</v>
      </c>
      <c r="Q410" t="inlineStr">
        <is>
          <t>InStock</t>
        </is>
      </c>
      <c r="R410" t="inlineStr">
        <is>
          <t>undefined</t>
        </is>
      </c>
      <c r="S410" t="inlineStr">
        <is>
          <t>7037503815</t>
        </is>
      </c>
    </row>
    <row r="411" ht="75" customHeight="1">
      <c r="A411" s="2">
        <f>HYPERLINK("https://camerareadycosmetics.com/products/ben-nye-theatrical-eye-shadow-palette", "https://camerareadycosmetics.com/products/ben-nye-theatrical-eye-shadow-palette")</f>
        <v/>
      </c>
      <c r="B411" s="2">
        <f>HYPERLINK("https://camerareadycosmetics.com/products/ben-nye-theatrical-eye-shadow-palette", "https://camerareadycosmetics.com/products/ben-nye-theatrical-eye-shadow-palette")</f>
        <v/>
      </c>
      <c r="C411" t="inlineStr">
        <is>
          <t>Theatrical Eye Shadow Palette</t>
        </is>
      </c>
      <c r="D411" t="inlineStr">
        <is>
          <t>NYX PROFESSIONAL MAKEUP Ultimate Shadow Palette, Eyeshadow Palette - Ultimate Queen</t>
        </is>
      </c>
      <c r="E411" s="2">
        <f>HYPERLINK("https://www.amazon.com/NYX-PROFESSIONAL-MAKEUP-Ultimate-Eyeshadow/dp/B09QMH2DKM/ref=sr_1_7?keywords=Theatrical+Eye+Shadow+Palette&amp;qid=1695565667&amp;sr=8-7", "https://www.amazon.com/NYX-PROFESSIONAL-MAKEUP-Ultimate-Eyeshadow/dp/B09QMH2DKM/ref=sr_1_7?keywords=Theatrical+Eye+Shadow+Palette&amp;qid=1695565667&amp;sr=8-7")</f>
        <v/>
      </c>
      <c r="F411" t="inlineStr">
        <is>
          <t>B09QMH2DKM</t>
        </is>
      </c>
      <c r="G411">
        <f>_xlfn.IMAGE("https://camerareadycosmetics.com/cdn/shop/products/Ben_Nye_Theatrical_Eye_Shadow_Palette__90162.1398455276.600.600_50x.jpeg?v=1689635539")</f>
        <v/>
      </c>
      <c r="H411">
        <f>_xlfn.IMAGE("https://m.media-amazon.com/images/I/81w6j1nhFCL._AC_UL320_.jpg")</f>
        <v/>
      </c>
      <c r="K411" t="inlineStr">
        <is>
          <t>58.0</t>
        </is>
      </c>
      <c r="L411" t="n">
        <v>14.66</v>
      </c>
      <c r="M411" s="1" t="inlineStr">
        <is>
          <t>-74.72%</t>
        </is>
      </c>
      <c r="N411" t="n">
        <v>4.6</v>
      </c>
      <c r="O411" t="n">
        <v>34816</v>
      </c>
      <c r="Q411" t="inlineStr">
        <is>
          <t>InStock</t>
        </is>
      </c>
      <c r="R411" t="inlineStr">
        <is>
          <t>undefined</t>
        </is>
      </c>
      <c r="S411" t="inlineStr">
        <is>
          <t>7037503815</t>
        </is>
      </c>
    </row>
    <row r="412" ht="75" customHeight="1">
      <c r="A412" s="2">
        <f>HYPERLINK("https://camerareadycosmetics.com/products/ben-nye-theatrical-eye-shadow-palette", "https://camerareadycosmetics.com/products/ben-nye-theatrical-eye-shadow-palette")</f>
        <v/>
      </c>
      <c r="B412" s="2">
        <f>HYPERLINK("https://camerareadycosmetics.com/products/ben-nye-theatrical-eye-shadow-palette", "https://camerareadycosmetics.com/products/ben-nye-theatrical-eye-shadow-palette")</f>
        <v/>
      </c>
      <c r="C412" t="inlineStr">
        <is>
          <t>Theatrical Eye Shadow Palette</t>
        </is>
      </c>
      <c r="D412" t="inlineStr">
        <is>
          <t>Best Pro Eyeshadow Palette Makeup - Matte Shimmer 16 Colors - Highly Pigmented - Professional Nudes Warm Natural Bronze Neutral Smoky Cosmetic Eye Shadows</t>
        </is>
      </c>
      <c r="E412" s="2">
        <f>HYPERLINK("https://www.amazon.com/Best-Pro-Eyeshadow-Palette-Makeup/dp/B01CNZMMVO/ref=sr_1_5?keywords=Theatrical+Eye+Shadow+Palette&amp;qid=1695565667&amp;sr=8-5", "https://www.amazon.com/Best-Pro-Eyeshadow-Palette-Makeup/dp/B01CNZMMVO/ref=sr_1_5?keywords=Theatrical+Eye+Shadow+Palette&amp;qid=1695565667&amp;sr=8-5")</f>
        <v/>
      </c>
      <c r="F412" t="inlineStr">
        <is>
          <t>B01CNZMMVO</t>
        </is>
      </c>
      <c r="G412">
        <f>_xlfn.IMAGE("https://camerareadycosmetics.com/cdn/shop/products/Ben_Nye_Theatrical_Eye_Shadow_Palette__90162.1398455276.600.600_50x.jpeg?v=1689635539")</f>
        <v/>
      </c>
      <c r="H412">
        <f>_xlfn.IMAGE("https://m.media-amazon.com/images/I/71Skyg+J4+L._AC_UL320_.jpg")</f>
        <v/>
      </c>
      <c r="K412" t="inlineStr">
        <is>
          <t>58.0</t>
        </is>
      </c>
      <c r="L412" t="n">
        <v>9.99</v>
      </c>
      <c r="M412" s="1" t="inlineStr">
        <is>
          <t>-82.78%</t>
        </is>
      </c>
      <c r="N412" t="n">
        <v>4.4</v>
      </c>
      <c r="O412" t="n">
        <v>27631</v>
      </c>
      <c r="Q412" t="inlineStr">
        <is>
          <t>InStock</t>
        </is>
      </c>
      <c r="R412" t="inlineStr">
        <is>
          <t>undefined</t>
        </is>
      </c>
      <c r="S412" t="inlineStr">
        <is>
          <t>7037503815</t>
        </is>
      </c>
    </row>
    <row r="413" ht="75" customHeight="1">
      <c r="A413" s="2">
        <f>HYPERLINK("https://camerareadycosmetics.com/products/ben-nye-theatrical-eye-shadow-palette", "https://camerareadycosmetics.com/products/ben-nye-theatrical-eye-shadow-palette")</f>
        <v/>
      </c>
      <c r="B413" s="2">
        <f>HYPERLINK("https://camerareadycosmetics.com/products/ben-nye-theatrical-eye-shadow-palette", "https://camerareadycosmetics.com/products/ben-nye-theatrical-eye-shadow-palette")</f>
        <v/>
      </c>
      <c r="C413" t="inlineStr">
        <is>
          <t>Theatrical Eye Shadow Palette</t>
        </is>
      </c>
      <c r="D413" t="inlineStr">
        <is>
          <t>Grey Smokey Eyeshadow Palette, 16 Colors Black White Violet Smoky Eye Shadow Pallet, Matte Shimmer Neutral Sliver Glitter Shades Pallets, High Pigment Cool Tone Eye Makeup Palette Talc Free</t>
        </is>
      </c>
      <c r="E413" s="2">
        <f>HYPERLINK("https://www.amazon.com/DELANCI-Eyeshadow-Palette-Shimmer-Neutral/dp/B0C1YJFBGX/ref=sr_1_10?keywords=Theatrical+Eye+Shadow+Palette&amp;qid=1695565667&amp;sr=8-10", "https://www.amazon.com/DELANCI-Eyeshadow-Palette-Shimmer-Neutral/dp/B0C1YJFBGX/ref=sr_1_10?keywords=Theatrical+Eye+Shadow+Palette&amp;qid=1695565667&amp;sr=8-10")</f>
        <v/>
      </c>
      <c r="F413" t="inlineStr">
        <is>
          <t>B0C1YJFBGX</t>
        </is>
      </c>
      <c r="G413">
        <f>_xlfn.IMAGE("https://camerareadycosmetics.com/cdn/shop/products/Ben_Nye_Theatrical_Eye_Shadow_Palette__90162.1398455276.600.600_50x.jpeg?v=1689635539")</f>
        <v/>
      </c>
      <c r="H413">
        <f>_xlfn.IMAGE("https://m.media-amazon.com/images/I/71CTImkjviL._AC_UL320_.jpg")</f>
        <v/>
      </c>
      <c r="K413" t="inlineStr">
        <is>
          <t>58.0</t>
        </is>
      </c>
      <c r="L413" t="n">
        <v>9.99</v>
      </c>
      <c r="M413" s="1" t="inlineStr">
        <is>
          <t>-82.78%</t>
        </is>
      </c>
      <c r="N413" t="n">
        <v>4.4</v>
      </c>
      <c r="O413" t="n">
        <v>9</v>
      </c>
      <c r="Q413" t="inlineStr">
        <is>
          <t>InStock</t>
        </is>
      </c>
      <c r="R413" t="inlineStr">
        <is>
          <t>undefined</t>
        </is>
      </c>
      <c r="S413" t="inlineStr">
        <is>
          <t>7037503815</t>
        </is>
      </c>
    </row>
    <row r="414" ht="75" customHeight="1">
      <c r="A414" s="2">
        <f>HYPERLINK("https://camerareadycosmetics.com/products/ben-nye-theatrical-eye-shadow-palette", "https://camerareadycosmetics.com/products/ben-nye-theatrical-eye-shadow-palette")</f>
        <v/>
      </c>
      <c r="B414" s="2">
        <f>HYPERLINK("https://camerareadycosmetics.com/products/ben-nye-theatrical-eye-shadow-palette", "https://camerareadycosmetics.com/products/ben-nye-theatrical-eye-shadow-palette")</f>
        <v/>
      </c>
      <c r="C414" t="inlineStr">
        <is>
          <t>Theatrical Eye Shadow Palette</t>
        </is>
      </c>
      <c r="D414" t="inlineStr">
        <is>
          <t>Smokey Eye Neutral Eyeshadow Palette - 12 Highly Pigmented Cool Toned Shimmer Matte Colors For Professional Everyday Nude Looks - Travel Size Eye Shadow Makeup Palette With Mirror</t>
        </is>
      </c>
      <c r="E414" s="2">
        <f>HYPERLINK("https://www.amazon.com/Lamora-Cold-Smokey-Eyeshadow-Palette/dp/B09DGFQB81/ref=sr_1_4?keywords=Theatrical+Eye+Shadow+Palette&amp;qid=1695565667&amp;sr=8-4", "https://www.amazon.com/Lamora-Cold-Smokey-Eyeshadow-Palette/dp/B09DGFQB81/ref=sr_1_4?keywords=Theatrical+Eye+Shadow+Palette&amp;qid=1695565667&amp;sr=8-4")</f>
        <v/>
      </c>
      <c r="F414" t="inlineStr">
        <is>
          <t>B09DGFQB81</t>
        </is>
      </c>
      <c r="G414">
        <f>_xlfn.IMAGE("https://camerareadycosmetics.com/cdn/shop/products/Ben_Nye_Theatrical_Eye_Shadow_Palette__90162.1398455276.600.600_50x.jpeg?v=1689635539")</f>
        <v/>
      </c>
      <c r="H414">
        <f>_xlfn.IMAGE("https://m.media-amazon.com/images/I/81T-OVjGJ6L._AC_UL320_.jpg")</f>
        <v/>
      </c>
      <c r="K414" t="inlineStr">
        <is>
          <t>58.0</t>
        </is>
      </c>
      <c r="L414" t="n">
        <v>9.99</v>
      </c>
      <c r="M414" s="1" t="inlineStr">
        <is>
          <t>-82.78%</t>
        </is>
      </c>
      <c r="N414" t="n">
        <v>4.6</v>
      </c>
      <c r="O414" t="n">
        <v>467</v>
      </c>
      <c r="Q414" t="inlineStr">
        <is>
          <t>InStock</t>
        </is>
      </c>
      <c r="R414" t="inlineStr">
        <is>
          <t>undefined</t>
        </is>
      </c>
      <c r="S414" t="inlineStr">
        <is>
          <t>7037503815</t>
        </is>
      </c>
    </row>
    <row r="415" ht="75" customHeight="1">
      <c r="A415" s="2">
        <f>HYPERLINK("https://camerareadycosmetics.com/products/ben-nye-theatrical-eye-shadow-palette", "https://camerareadycosmetics.com/products/ben-nye-theatrical-eye-shadow-palette")</f>
        <v/>
      </c>
      <c r="B415" s="2">
        <f>HYPERLINK("https://camerareadycosmetics.com/products/ben-nye-theatrical-eye-shadow-palette", "https://camerareadycosmetics.com/products/ben-nye-theatrical-eye-shadow-palette")</f>
        <v/>
      </c>
      <c r="C415" t="inlineStr">
        <is>
          <t>Theatrical Eye Shadow Palette</t>
        </is>
      </c>
      <c r="D415" t="inlineStr">
        <is>
          <t>UCANBE 12 Color Eyeshadow Makeup Palette, Naked Nude Eye Shadow, Neutral Matte Shimmer Make Up Pallet with Double-ended Brush Set Kit, Highly Pigmented Long Lasting Waterproof (01)</t>
        </is>
      </c>
      <c r="E415" s="2">
        <f>HYPERLINK("https://www.amazon.com/UCANBE-Eyeshadow-Double-ended-Pigmented-Waterproof/dp/B0C4LFB2SQ/ref=sr_1_3?keywords=Theatrical+Eye+Shadow+Palette&amp;qid=1695565667&amp;sr=8-3", "https://www.amazon.com/UCANBE-Eyeshadow-Double-ended-Pigmented-Waterproof/dp/B0C4LFB2SQ/ref=sr_1_3?keywords=Theatrical+Eye+Shadow+Palette&amp;qid=1695565667&amp;sr=8-3")</f>
        <v/>
      </c>
      <c r="F415" t="inlineStr">
        <is>
          <t>B0C4LFB2SQ</t>
        </is>
      </c>
      <c r="G415">
        <f>_xlfn.IMAGE("https://camerareadycosmetics.com/cdn/shop/products/Ben_Nye_Theatrical_Eye_Shadow_Palette__90162.1398455276.600.600_50x.jpeg?v=1689635539")</f>
        <v/>
      </c>
      <c r="H415">
        <f>_xlfn.IMAGE("https://m.media-amazon.com/images/I/71KDwfGL6zL._AC_UL320_.jpg")</f>
        <v/>
      </c>
      <c r="K415" t="inlineStr">
        <is>
          <t>58.0</t>
        </is>
      </c>
      <c r="L415" t="n">
        <v>9.99</v>
      </c>
      <c r="M415" s="1" t="inlineStr">
        <is>
          <t>-82.78%</t>
        </is>
      </c>
      <c r="N415" t="n">
        <v>4.5</v>
      </c>
      <c r="O415" t="n">
        <v>459</v>
      </c>
      <c r="Q415" t="inlineStr">
        <is>
          <t>InStock</t>
        </is>
      </c>
      <c r="R415" t="inlineStr">
        <is>
          <t>undefined</t>
        </is>
      </c>
      <c r="S415" t="inlineStr">
        <is>
          <t>7037503815</t>
        </is>
      </c>
    </row>
    <row r="416" ht="75" customHeight="1">
      <c r="A416" s="2">
        <f>HYPERLINK("https://camerareadycosmetics.com/products/ben-nye-theatrical-eye-shadow-palette", "https://camerareadycosmetics.com/products/ben-nye-theatrical-eye-shadow-palette")</f>
        <v/>
      </c>
      <c r="B416" s="2">
        <f>HYPERLINK("https://camerareadycosmetics.com/products/ben-nye-theatrical-eye-shadow-palette", "https://camerareadycosmetics.com/products/ben-nye-theatrical-eye-shadow-palette")</f>
        <v/>
      </c>
      <c r="C416" t="inlineStr">
        <is>
          <t>Theatrical Eye Shadow Palette</t>
        </is>
      </c>
      <c r="D416" t="inlineStr">
        <is>
          <t>Gray Eyeshadow Palette Black Grey White Silver, Blendable Smokey Eye Eyeshadow Palette, for Halloween SFX Clown Skull Goth Makeup Palette Look, Long Lasting Dark Eye Shadow Pallet- Panda</t>
        </is>
      </c>
      <c r="E416" s="2">
        <f>HYPERLINK("https://www.amazon.com/Eyeshadow-Palette-Silver-Lasting-Halloween/dp/B0B3RPT9WM/ref=sr_1_9?keywords=Theatrical+Eye+Shadow+Palette&amp;qid=1695565667&amp;sr=8-9", "https://www.amazon.com/Eyeshadow-Palette-Silver-Lasting-Halloween/dp/B0B3RPT9WM/ref=sr_1_9?keywords=Theatrical+Eye+Shadow+Palette&amp;qid=1695565667&amp;sr=8-9")</f>
        <v/>
      </c>
      <c r="F416" t="inlineStr">
        <is>
          <t>B0B3RPT9WM</t>
        </is>
      </c>
      <c r="G416">
        <f>_xlfn.IMAGE("https://camerareadycosmetics.com/cdn/shop/products/Ben_Nye_Theatrical_Eye_Shadow_Palette__90162.1398455276.600.600_50x.jpeg?v=1689635539")</f>
        <v/>
      </c>
      <c r="H416">
        <f>_xlfn.IMAGE("https://m.media-amazon.com/images/I/81oKhJAHV8L._AC_UL320_.jpg")</f>
        <v/>
      </c>
      <c r="K416" t="inlineStr">
        <is>
          <t>58.0</t>
        </is>
      </c>
      <c r="L416" t="n">
        <v>9.98</v>
      </c>
      <c r="M416" s="1" t="inlineStr">
        <is>
          <t>-82.79%</t>
        </is>
      </c>
      <c r="N416" t="n">
        <v>4.6</v>
      </c>
      <c r="O416" t="n">
        <v>251</v>
      </c>
      <c r="Q416" t="inlineStr">
        <is>
          <t>InStock</t>
        </is>
      </c>
      <c r="R416" t="inlineStr">
        <is>
          <t>undefined</t>
        </is>
      </c>
      <c r="S416" t="inlineStr">
        <is>
          <t>7037503815</t>
        </is>
      </c>
    </row>
    <row r="417" ht="75" customHeight="1">
      <c r="A417" s="2">
        <f>HYPERLINK("https://camerareadycosmetics.com/products/ben-nye-theatrical-eye-shadow-palette", "https://camerareadycosmetics.com/products/ben-nye-theatrical-eye-shadow-palette")</f>
        <v/>
      </c>
      <c r="B417" s="2">
        <f>HYPERLINK("https://camerareadycosmetics.com/products/ben-nye-theatrical-eye-shadow-palette", "https://camerareadycosmetics.com/products/ben-nye-theatrical-eye-shadow-palette")</f>
        <v/>
      </c>
      <c r="C417" t="inlineStr">
        <is>
          <t>Theatrical Eye Shadow Palette</t>
        </is>
      </c>
      <c r="D417" t="inlineStr">
        <is>
          <t>AMY'S DIARY Brown Shiny Gold Eyeshadow Palette Makeup, 16 Colors Matte Glitter Eye shadow Long Lasting Colorful Eye Shadow Plattet for Women Girls (J3)</t>
        </is>
      </c>
      <c r="E417" s="2">
        <f>HYPERLINK("https://www.amazon.com/AMYS-DIARY-Eyeshadow-Palette-Colorful/dp/B0BWWHXZ6W/ref=sr_1_6?keywords=Theatrical+Eye+Shadow+Palette&amp;qid=1695565667&amp;sr=8-6", "https://www.amazon.com/AMYS-DIARY-Eyeshadow-Palette-Colorful/dp/B0BWWHXZ6W/ref=sr_1_6?keywords=Theatrical+Eye+Shadow+Palette&amp;qid=1695565667&amp;sr=8-6")</f>
        <v/>
      </c>
      <c r="F417" t="inlineStr">
        <is>
          <t>B0BWWHXZ6W</t>
        </is>
      </c>
      <c r="G417">
        <f>_xlfn.IMAGE("https://camerareadycosmetics.com/cdn/shop/products/Ben_Nye_Theatrical_Eye_Shadow_Palette__90162.1398455276.600.600_50x.jpeg?v=1689635539")</f>
        <v/>
      </c>
      <c r="H417">
        <f>_xlfn.IMAGE("https://m.media-amazon.com/images/I/61p2BDVGFwL._AC_UL320_.jpg")</f>
        <v/>
      </c>
      <c r="K417" t="inlineStr">
        <is>
          <t>58.0</t>
        </is>
      </c>
      <c r="L417" t="n">
        <v>7.99</v>
      </c>
      <c r="M417" s="1" t="inlineStr">
        <is>
          <t>-86.22%</t>
        </is>
      </c>
      <c r="N417" t="n">
        <v>3.8</v>
      </c>
      <c r="O417" t="n">
        <v>1857</v>
      </c>
      <c r="Q417" t="inlineStr">
        <is>
          <t>InStock</t>
        </is>
      </c>
      <c r="R417" t="inlineStr">
        <is>
          <t>undefined</t>
        </is>
      </c>
      <c r="S417" t="inlineStr">
        <is>
          <t>7037503815</t>
        </is>
      </c>
    </row>
    <row r="418" ht="75" customHeight="1">
      <c r="A418" s="2">
        <f>HYPERLINK("https://camerareadycosmetics.com/products/ben-nye-theatrical-eye-shadow-palette", "https://camerareadycosmetics.com/products/ben-nye-theatrical-eye-shadow-palette")</f>
        <v/>
      </c>
      <c r="B418" s="2">
        <f>HYPERLINK("https://camerareadycosmetics.com/products/ben-nye-theatrical-eye-shadow-palette", "https://camerareadycosmetics.com/products/ben-nye-theatrical-eye-shadow-palette")</f>
        <v/>
      </c>
      <c r="C418" t="inlineStr">
        <is>
          <t>Theatrical Eye Shadow Palette</t>
        </is>
      </c>
      <c r="D418" t="inlineStr">
        <is>
          <t>6 Colors Mini Naked Eyeshadow Makeup Palette Neutral Nude Smoky Eye Shadow Taupe &amp; Brown Matte Make Up Pallet with Mirror Highly Pigmented Long Lasting Waterproof Travel Size Gift Kit 01</t>
        </is>
      </c>
      <c r="E418" s="2">
        <f>HYPERLINK("https://www.amazon.com/SUSIKEKI-Eyeshadow-Palette-Pigmented-Waterproof/dp/B0C4L2KRCH/ref=sr_1_1?keywords=Theatrical+Eye+Shadow+Palette&amp;qid=1695565667&amp;sr=8-1", "https://www.amazon.com/SUSIKEKI-Eyeshadow-Palette-Pigmented-Waterproof/dp/B0C4L2KRCH/ref=sr_1_1?keywords=Theatrical+Eye+Shadow+Palette&amp;qid=1695565667&amp;sr=8-1")</f>
        <v/>
      </c>
      <c r="F418" t="inlineStr">
        <is>
          <t>B0C4L2KRCH</t>
        </is>
      </c>
      <c r="G418">
        <f>_xlfn.IMAGE("https://camerareadycosmetics.com/cdn/shop/products/Ben_Nye_Theatrical_Eye_Shadow_Palette__90162.1398455276.600.600_50x.jpeg?v=1689635539")</f>
        <v/>
      </c>
      <c r="H418">
        <f>_xlfn.IMAGE("https://m.media-amazon.com/images/I/712XpOgENpL._AC_UL320_.jpg")</f>
        <v/>
      </c>
      <c r="K418" t="inlineStr">
        <is>
          <t>58.0</t>
        </is>
      </c>
      <c r="L418" t="n">
        <v>7.98</v>
      </c>
      <c r="M418" s="1" t="inlineStr">
        <is>
          <t>-86.24%</t>
        </is>
      </c>
      <c r="N418" t="n">
        <v>4.4</v>
      </c>
      <c r="O418" t="n">
        <v>59</v>
      </c>
      <c r="Q418" t="inlineStr">
        <is>
          <t>InStock</t>
        </is>
      </c>
      <c r="R418" t="inlineStr">
        <is>
          <t>undefined</t>
        </is>
      </c>
      <c r="S418" t="inlineStr">
        <is>
          <t>7037503815</t>
        </is>
      </c>
    </row>
    <row r="419" ht="75" customHeight="1">
      <c r="A419" s="2">
        <f>HYPERLINK("https://camerareadycosmetics.com/products/ben-nye-theatrical-eye-shadow-palette", "https://camerareadycosmetics.com/products/ben-nye-theatrical-eye-shadow-palette")</f>
        <v/>
      </c>
      <c r="B419" s="2">
        <f>HYPERLINK("https://camerareadycosmetics.com/products/ben-nye-theatrical-eye-shadow-palette", "https://camerareadycosmetics.com/products/ben-nye-theatrical-eye-shadow-palette")</f>
        <v/>
      </c>
      <c r="C419" t="inlineStr">
        <is>
          <t>Theatrical Eye Shadow Palette</t>
        </is>
      </c>
      <c r="D419" t="inlineStr">
        <is>
          <t>Go Ho Black/Silver Smokey Eyeshadow Palette,White Eye Black Eye Shadow Palette,9 Colors Matte &amp; Shimmer Eye Makeup Palette,Gray Sliver Eye Shadow Makeup,Waterproof Cool Daily Shades Eyeshadow Palette</t>
        </is>
      </c>
      <c r="E419" s="2">
        <f>HYPERLINK("https://www.amazon.com/Go-Ho-Eyeshadow-Palette-Waterproof/dp/B0BLCDY7ZX/ref=sr_1_2?keywords=Theatrical+Eye+Shadow+Palette&amp;qid=1695565667&amp;sr=8-2", "https://www.amazon.com/Go-Ho-Eyeshadow-Palette-Waterproof/dp/B0BLCDY7ZX/ref=sr_1_2?keywords=Theatrical+Eye+Shadow+Palette&amp;qid=1695565667&amp;sr=8-2")</f>
        <v/>
      </c>
      <c r="F419" t="inlineStr">
        <is>
          <t>B0BLCDY7ZX</t>
        </is>
      </c>
      <c r="G419">
        <f>_xlfn.IMAGE("https://camerareadycosmetics.com/cdn/shop/products/Ben_Nye_Theatrical_Eye_Shadow_Palette__90162.1398455276.600.600_50x.jpeg?v=1689635539")</f>
        <v/>
      </c>
      <c r="H419">
        <f>_xlfn.IMAGE("https://m.media-amazon.com/images/I/61tueK7tyuL._AC_UL320_.jpg")</f>
        <v/>
      </c>
      <c r="K419" t="inlineStr">
        <is>
          <t>58.0</t>
        </is>
      </c>
      <c r="L419" t="n">
        <v>6.88</v>
      </c>
      <c r="M419" s="1" t="inlineStr">
        <is>
          <t>-88.14%</t>
        </is>
      </c>
      <c r="N419" t="n">
        <v>4.3</v>
      </c>
      <c r="O419" t="n">
        <v>269</v>
      </c>
      <c r="Q419" t="inlineStr">
        <is>
          <t>InStock</t>
        </is>
      </c>
      <c r="R419" t="inlineStr">
        <is>
          <t>undefined</t>
        </is>
      </c>
      <c r="S419" t="inlineStr">
        <is>
          <t>7037503815</t>
        </is>
      </c>
    </row>
    <row r="420" ht="75" customHeight="1">
      <c r="A420" s="2">
        <f>HYPERLINK("https://camerareadycosmetics.com/products/ben-nye-theatrical-eye-shadow-palette", "https://camerareadycosmetics.com/products/ben-nye-theatrical-eye-shadow-palette")</f>
        <v/>
      </c>
      <c r="B420" s="2">
        <f>HYPERLINK("https://camerareadycosmetics.com/products/ben-nye-theatrical-eye-shadow-palette", "https://camerareadycosmetics.com/products/ben-nye-theatrical-eye-shadow-palette")</f>
        <v/>
      </c>
      <c r="C420" t="inlineStr">
        <is>
          <t>Theatrical Eye Shadow Palette</t>
        </is>
      </c>
      <c r="D420" t="inlineStr">
        <is>
          <t>Black Eyeshadow Palette, Brown Neutral Dark Smokey Eye Eye Shadow Palettes for Halloween Goth Make up, Midnight Masquerade 21 Colors Glitter Matte Shimmer Makeup Pallets, Talc Free</t>
        </is>
      </c>
      <c r="E420" s="2">
        <f>HYPERLINK("https://www.amazon.com/Tintark-Eyeshadow-Palettes-Halloween-Masquerade/dp/B0CDL3BL6C/ref=sr_1_8?keywords=Theatrical+Eye+Shadow+Palette&amp;qid=1695565667&amp;sr=8-8", "https://www.amazon.com/Tintark-Eyeshadow-Palettes-Halloween-Masquerade/dp/B0CDL3BL6C/ref=sr_1_8?keywords=Theatrical+Eye+Shadow+Palette&amp;qid=1695565667&amp;sr=8-8")</f>
        <v/>
      </c>
      <c r="F420" t="inlineStr">
        <is>
          <t>B0CDL3BL6C</t>
        </is>
      </c>
      <c r="G420">
        <f>_xlfn.IMAGE("https://camerareadycosmetics.com/cdn/shop/products/Ben_Nye_Theatrical_Eye_Shadow_Palette__90162.1398455276.600.600_50x.jpeg?v=1689635539")</f>
        <v/>
      </c>
      <c r="H420">
        <f>_xlfn.IMAGE("https://m.media-amazon.com/images/I/81TvZf-ArnL._AC_UL320_.jpg")</f>
        <v/>
      </c>
      <c r="K420" t="inlineStr">
        <is>
          <t>58.0</t>
        </is>
      </c>
      <c r="L420" t="n">
        <v>16.99</v>
      </c>
      <c r="M420" s="1" t="inlineStr">
        <is>
          <t>-70.71%</t>
        </is>
      </c>
      <c r="N420" t="n">
        <v>4.4</v>
      </c>
      <c r="O420" t="n">
        <v>25</v>
      </c>
      <c r="Q420" t="inlineStr">
        <is>
          <t>InStock</t>
        </is>
      </c>
      <c r="R420" t="inlineStr">
        <is>
          <t>undefined</t>
        </is>
      </c>
      <c r="S420" t="inlineStr">
        <is>
          <t>7037503815</t>
        </is>
      </c>
    </row>
    <row r="421" ht="75" customHeight="1">
      <c r="A421" s="2">
        <f>HYPERLINK("https://camerareadycosmetics.com/products/ben-nye-theatrical-eye-shadow-palette", "https://camerareadycosmetics.com/products/ben-nye-theatrical-eye-shadow-palette")</f>
        <v/>
      </c>
      <c r="B421" s="2">
        <f>HYPERLINK("https://camerareadycosmetics.com/products/ben-nye-theatrical-eye-shadow-palette", "https://camerareadycosmetics.com/products/ben-nye-theatrical-eye-shadow-palette")</f>
        <v/>
      </c>
      <c r="C421" t="inlineStr">
        <is>
          <t>Theatrical Eye Shadow Palette</t>
        </is>
      </c>
      <c r="D421" t="inlineStr">
        <is>
          <t>NYX PROFESSIONAL MAKEUP Ultimate Shadow Palette, Eyeshadow Palette - Ultimate Queen</t>
        </is>
      </c>
      <c r="E421" s="2">
        <f>HYPERLINK("https://www.amazon.com/NYX-PROFESSIONAL-MAKEUP-Ultimate-Eyeshadow/dp/B09QMH2DKM/ref=sr_1_7?keywords=Theatrical+Eye+Shadow+Palette&amp;qid=1695565667&amp;sr=8-7", "https://www.amazon.com/NYX-PROFESSIONAL-MAKEUP-Ultimate-Eyeshadow/dp/B09QMH2DKM/ref=sr_1_7?keywords=Theatrical+Eye+Shadow+Palette&amp;qid=1695565667&amp;sr=8-7")</f>
        <v/>
      </c>
      <c r="F421" t="inlineStr">
        <is>
          <t>B09QMH2DKM</t>
        </is>
      </c>
      <c r="G421">
        <f>_xlfn.IMAGE("https://camerareadycosmetics.com/cdn/shop/products/Ben_Nye_Theatrical_Eye_Shadow_Palette__90162.1398455276.600.600_50x.jpeg?v=1689635539")</f>
        <v/>
      </c>
      <c r="H421">
        <f>_xlfn.IMAGE("https://m.media-amazon.com/images/I/81w6j1nhFCL._AC_UL320_.jpg")</f>
        <v/>
      </c>
      <c r="K421" t="inlineStr">
        <is>
          <t>58.0</t>
        </is>
      </c>
      <c r="L421" t="n">
        <v>14.66</v>
      </c>
      <c r="M421" s="1" t="inlineStr">
        <is>
          <t>-74.72%</t>
        </is>
      </c>
      <c r="N421" t="n">
        <v>4.6</v>
      </c>
      <c r="O421" t="n">
        <v>34816</v>
      </c>
      <c r="Q421" t="inlineStr">
        <is>
          <t>InStock</t>
        </is>
      </c>
      <c r="R421" t="inlineStr">
        <is>
          <t>undefined</t>
        </is>
      </c>
      <c r="S421" t="inlineStr">
        <is>
          <t>7037503815</t>
        </is>
      </c>
    </row>
    <row r="422" ht="75" customHeight="1">
      <c r="A422" s="2">
        <f>HYPERLINK("https://camerareadycosmetics.com/products/ben-nye-theatrical-eye-shadow-palette", "https://camerareadycosmetics.com/products/ben-nye-theatrical-eye-shadow-palette")</f>
        <v/>
      </c>
      <c r="B422" s="2">
        <f>HYPERLINK("https://camerareadycosmetics.com/products/ben-nye-theatrical-eye-shadow-palette", "https://camerareadycosmetics.com/products/ben-nye-theatrical-eye-shadow-palette")</f>
        <v/>
      </c>
      <c r="C422" t="inlineStr">
        <is>
          <t>Theatrical Eye Shadow Palette</t>
        </is>
      </c>
      <c r="D422" t="inlineStr">
        <is>
          <t>Best Pro Eyeshadow Palette Makeup - Matte Shimmer 16 Colors - Highly Pigmented - Professional Nudes Warm Natural Bronze Neutral Smoky Cosmetic Eye Shadows</t>
        </is>
      </c>
      <c r="E422" s="2">
        <f>HYPERLINK("https://www.amazon.com/Best-Pro-Eyeshadow-Palette-Makeup/dp/B01CNZMMVO/ref=sr_1_5?keywords=Theatrical+Eye+Shadow+Palette&amp;qid=1695565667&amp;sr=8-5", "https://www.amazon.com/Best-Pro-Eyeshadow-Palette-Makeup/dp/B01CNZMMVO/ref=sr_1_5?keywords=Theatrical+Eye+Shadow+Palette&amp;qid=1695565667&amp;sr=8-5")</f>
        <v/>
      </c>
      <c r="F422" t="inlineStr">
        <is>
          <t>B01CNZMMVO</t>
        </is>
      </c>
      <c r="G422">
        <f>_xlfn.IMAGE("https://camerareadycosmetics.com/cdn/shop/products/Ben_Nye_Theatrical_Eye_Shadow_Palette__90162.1398455276.600.600_50x.jpeg?v=1689635539")</f>
        <v/>
      </c>
      <c r="H422">
        <f>_xlfn.IMAGE("https://m.media-amazon.com/images/I/71Skyg+J4+L._AC_UL320_.jpg")</f>
        <v/>
      </c>
      <c r="K422" t="inlineStr">
        <is>
          <t>58.0</t>
        </is>
      </c>
      <c r="L422" t="n">
        <v>9.99</v>
      </c>
      <c r="M422" s="1" t="inlineStr">
        <is>
          <t>-82.78%</t>
        </is>
      </c>
      <c r="N422" t="n">
        <v>4.4</v>
      </c>
      <c r="O422" t="n">
        <v>27631</v>
      </c>
      <c r="Q422" t="inlineStr">
        <is>
          <t>InStock</t>
        </is>
      </c>
      <c r="R422" t="inlineStr">
        <is>
          <t>undefined</t>
        </is>
      </c>
      <c r="S422" t="inlineStr">
        <is>
          <t>7037503815</t>
        </is>
      </c>
    </row>
    <row r="423" ht="75" customHeight="1">
      <c r="A423" s="2">
        <f>HYPERLINK("https://camerareadycosmetics.com/products/ben-nye-theatrical-eye-shadow-palette", "https://camerareadycosmetics.com/products/ben-nye-theatrical-eye-shadow-palette")</f>
        <v/>
      </c>
      <c r="B423" s="2">
        <f>HYPERLINK("https://camerareadycosmetics.com/products/ben-nye-theatrical-eye-shadow-palette", "https://camerareadycosmetics.com/products/ben-nye-theatrical-eye-shadow-palette")</f>
        <v/>
      </c>
      <c r="C423" t="inlineStr">
        <is>
          <t>Theatrical Eye Shadow Palette</t>
        </is>
      </c>
      <c r="D423" t="inlineStr">
        <is>
          <t>Grey Smokey Eyeshadow Palette, 16 Colors Black White Violet Smoky Eye Shadow Pallet, Matte Shimmer Neutral Sliver Glitter Shades Pallets, High Pigment Cool Tone Eye Makeup Palette Talc Free</t>
        </is>
      </c>
      <c r="E423" s="2">
        <f>HYPERLINK("https://www.amazon.com/DELANCI-Eyeshadow-Palette-Shimmer-Neutral/dp/B0C1YJFBGX/ref=sr_1_10?keywords=Theatrical+Eye+Shadow+Palette&amp;qid=1695565667&amp;sr=8-10", "https://www.amazon.com/DELANCI-Eyeshadow-Palette-Shimmer-Neutral/dp/B0C1YJFBGX/ref=sr_1_10?keywords=Theatrical+Eye+Shadow+Palette&amp;qid=1695565667&amp;sr=8-10")</f>
        <v/>
      </c>
      <c r="F423" t="inlineStr">
        <is>
          <t>B0C1YJFBGX</t>
        </is>
      </c>
      <c r="G423">
        <f>_xlfn.IMAGE("https://camerareadycosmetics.com/cdn/shop/products/Ben_Nye_Theatrical_Eye_Shadow_Palette__90162.1398455276.600.600_50x.jpeg?v=1689635539")</f>
        <v/>
      </c>
      <c r="H423">
        <f>_xlfn.IMAGE("https://m.media-amazon.com/images/I/71CTImkjviL._AC_UL320_.jpg")</f>
        <v/>
      </c>
      <c r="K423" t="inlineStr">
        <is>
          <t>58.0</t>
        </is>
      </c>
      <c r="L423" t="n">
        <v>9.99</v>
      </c>
      <c r="M423" s="1" t="inlineStr">
        <is>
          <t>-82.78%</t>
        </is>
      </c>
      <c r="N423" t="n">
        <v>4.4</v>
      </c>
      <c r="O423" t="n">
        <v>9</v>
      </c>
      <c r="Q423" t="inlineStr">
        <is>
          <t>InStock</t>
        </is>
      </c>
      <c r="R423" t="inlineStr">
        <is>
          <t>undefined</t>
        </is>
      </c>
      <c r="S423" t="inlineStr">
        <is>
          <t>7037503815</t>
        </is>
      </c>
    </row>
    <row r="424" ht="75" customHeight="1">
      <c r="A424" s="2">
        <f>HYPERLINK("https://camerareadycosmetics.com/products/ben-nye-theatrical-eye-shadow-palette", "https://camerareadycosmetics.com/products/ben-nye-theatrical-eye-shadow-palette")</f>
        <v/>
      </c>
      <c r="B424" s="2">
        <f>HYPERLINK("https://camerareadycosmetics.com/products/ben-nye-theatrical-eye-shadow-palette", "https://camerareadycosmetics.com/products/ben-nye-theatrical-eye-shadow-palette")</f>
        <v/>
      </c>
      <c r="C424" t="inlineStr">
        <is>
          <t>Theatrical Eye Shadow Palette</t>
        </is>
      </c>
      <c r="D424" t="inlineStr">
        <is>
          <t>Smokey Eye Neutral Eyeshadow Palette - 12 Highly Pigmented Cool Toned Shimmer Matte Colors For Professional Everyday Nude Looks - Travel Size Eye Shadow Makeup Palette With Mirror</t>
        </is>
      </c>
      <c r="E424" s="2">
        <f>HYPERLINK("https://www.amazon.com/Lamora-Cold-Smokey-Eyeshadow-Palette/dp/B09DGFQB81/ref=sr_1_4?keywords=Theatrical+Eye+Shadow+Palette&amp;qid=1695565667&amp;sr=8-4", "https://www.amazon.com/Lamora-Cold-Smokey-Eyeshadow-Palette/dp/B09DGFQB81/ref=sr_1_4?keywords=Theatrical+Eye+Shadow+Palette&amp;qid=1695565667&amp;sr=8-4")</f>
        <v/>
      </c>
      <c r="F424" t="inlineStr">
        <is>
          <t>B09DGFQB81</t>
        </is>
      </c>
      <c r="G424">
        <f>_xlfn.IMAGE("https://camerareadycosmetics.com/cdn/shop/products/Ben_Nye_Theatrical_Eye_Shadow_Palette__90162.1398455276.600.600_50x.jpeg?v=1689635539")</f>
        <v/>
      </c>
      <c r="H424">
        <f>_xlfn.IMAGE("https://m.media-amazon.com/images/I/81T-OVjGJ6L._AC_UL320_.jpg")</f>
        <v/>
      </c>
      <c r="K424" t="inlineStr">
        <is>
          <t>58.0</t>
        </is>
      </c>
      <c r="L424" t="n">
        <v>9.99</v>
      </c>
      <c r="M424" s="1" t="inlineStr">
        <is>
          <t>-82.78%</t>
        </is>
      </c>
      <c r="N424" t="n">
        <v>4.6</v>
      </c>
      <c r="O424" t="n">
        <v>467</v>
      </c>
      <c r="Q424" t="inlineStr">
        <is>
          <t>InStock</t>
        </is>
      </c>
      <c r="R424" t="inlineStr">
        <is>
          <t>undefined</t>
        </is>
      </c>
      <c r="S424" t="inlineStr">
        <is>
          <t>7037503815</t>
        </is>
      </c>
    </row>
    <row r="425" ht="75" customHeight="1">
      <c r="A425" s="2">
        <f>HYPERLINK("https://camerareadycosmetics.com/products/ben-nye-theatrical-eye-shadow-palette", "https://camerareadycosmetics.com/products/ben-nye-theatrical-eye-shadow-palette")</f>
        <v/>
      </c>
      <c r="B425" s="2">
        <f>HYPERLINK("https://camerareadycosmetics.com/products/ben-nye-theatrical-eye-shadow-palette", "https://camerareadycosmetics.com/products/ben-nye-theatrical-eye-shadow-palette")</f>
        <v/>
      </c>
      <c r="C425" t="inlineStr">
        <is>
          <t>Theatrical Eye Shadow Palette</t>
        </is>
      </c>
      <c r="D425" t="inlineStr">
        <is>
          <t>UCANBE 12 Color Eyeshadow Makeup Palette, Naked Nude Eye Shadow, Neutral Matte Shimmer Make Up Pallet with Double-ended Brush Set Kit, Highly Pigmented Long Lasting Waterproof (01)</t>
        </is>
      </c>
      <c r="E425" s="2">
        <f>HYPERLINK("https://www.amazon.com/UCANBE-Eyeshadow-Double-ended-Pigmented-Waterproof/dp/B0C4LFB2SQ/ref=sr_1_3?keywords=Theatrical+Eye+Shadow+Palette&amp;qid=1695565667&amp;sr=8-3", "https://www.amazon.com/UCANBE-Eyeshadow-Double-ended-Pigmented-Waterproof/dp/B0C4LFB2SQ/ref=sr_1_3?keywords=Theatrical+Eye+Shadow+Palette&amp;qid=1695565667&amp;sr=8-3")</f>
        <v/>
      </c>
      <c r="F425" t="inlineStr">
        <is>
          <t>B0C4LFB2SQ</t>
        </is>
      </c>
      <c r="G425">
        <f>_xlfn.IMAGE("https://camerareadycosmetics.com/cdn/shop/products/Ben_Nye_Theatrical_Eye_Shadow_Palette__90162.1398455276.600.600_50x.jpeg?v=1689635539")</f>
        <v/>
      </c>
      <c r="H425">
        <f>_xlfn.IMAGE("https://m.media-amazon.com/images/I/71KDwfGL6zL._AC_UL320_.jpg")</f>
        <v/>
      </c>
      <c r="K425" t="inlineStr">
        <is>
          <t>58.0</t>
        </is>
      </c>
      <c r="L425" t="n">
        <v>9.99</v>
      </c>
      <c r="M425" s="1" t="inlineStr">
        <is>
          <t>-82.78%</t>
        </is>
      </c>
      <c r="N425" t="n">
        <v>4.5</v>
      </c>
      <c r="O425" t="n">
        <v>459</v>
      </c>
      <c r="Q425" t="inlineStr">
        <is>
          <t>InStock</t>
        </is>
      </c>
      <c r="R425" t="inlineStr">
        <is>
          <t>undefined</t>
        </is>
      </c>
      <c r="S425" t="inlineStr">
        <is>
          <t>7037503815</t>
        </is>
      </c>
    </row>
    <row r="426" ht="75" customHeight="1">
      <c r="A426" s="2">
        <f>HYPERLINK("https://camerareadycosmetics.com/products/ben-nye-theatrical-eye-shadow-palette", "https://camerareadycosmetics.com/products/ben-nye-theatrical-eye-shadow-palette")</f>
        <v/>
      </c>
      <c r="B426" s="2">
        <f>HYPERLINK("https://camerareadycosmetics.com/products/ben-nye-theatrical-eye-shadow-palette", "https://camerareadycosmetics.com/products/ben-nye-theatrical-eye-shadow-palette")</f>
        <v/>
      </c>
      <c r="C426" t="inlineStr">
        <is>
          <t>Theatrical Eye Shadow Palette</t>
        </is>
      </c>
      <c r="D426" t="inlineStr">
        <is>
          <t>Gray Eyeshadow Palette Black Grey White Silver, Blendable Smokey Eye Eyeshadow Palette, for Halloween SFX Clown Skull Goth Makeup Palette Look, Long Lasting Dark Eye Shadow Pallet- Panda</t>
        </is>
      </c>
      <c r="E426" s="2">
        <f>HYPERLINK("https://www.amazon.com/Eyeshadow-Palette-Silver-Lasting-Halloween/dp/B0B3RPT9WM/ref=sr_1_9?keywords=Theatrical+Eye+Shadow+Palette&amp;qid=1695565667&amp;sr=8-9", "https://www.amazon.com/Eyeshadow-Palette-Silver-Lasting-Halloween/dp/B0B3RPT9WM/ref=sr_1_9?keywords=Theatrical+Eye+Shadow+Palette&amp;qid=1695565667&amp;sr=8-9")</f>
        <v/>
      </c>
      <c r="F426" t="inlineStr">
        <is>
          <t>B0B3RPT9WM</t>
        </is>
      </c>
      <c r="G426">
        <f>_xlfn.IMAGE("https://camerareadycosmetics.com/cdn/shop/products/Ben_Nye_Theatrical_Eye_Shadow_Palette__90162.1398455276.600.600_50x.jpeg?v=1689635539")</f>
        <v/>
      </c>
      <c r="H426">
        <f>_xlfn.IMAGE("https://m.media-amazon.com/images/I/81oKhJAHV8L._AC_UL320_.jpg")</f>
        <v/>
      </c>
      <c r="K426" t="inlineStr">
        <is>
          <t>58.0</t>
        </is>
      </c>
      <c r="L426" t="n">
        <v>9.98</v>
      </c>
      <c r="M426" s="1" t="inlineStr">
        <is>
          <t>-82.79%</t>
        </is>
      </c>
      <c r="N426" t="n">
        <v>4.6</v>
      </c>
      <c r="O426" t="n">
        <v>251</v>
      </c>
      <c r="Q426" t="inlineStr">
        <is>
          <t>InStock</t>
        </is>
      </c>
      <c r="R426" t="inlineStr">
        <is>
          <t>undefined</t>
        </is>
      </c>
      <c r="S426" t="inlineStr">
        <is>
          <t>7037503815</t>
        </is>
      </c>
    </row>
    <row r="427" ht="75" customHeight="1">
      <c r="A427" s="2">
        <f>HYPERLINK("https://camerareadycosmetics.com/products/ben-nye-theatrical-eye-shadow-palette", "https://camerareadycosmetics.com/products/ben-nye-theatrical-eye-shadow-palette")</f>
        <v/>
      </c>
      <c r="B427" s="2">
        <f>HYPERLINK("https://camerareadycosmetics.com/products/ben-nye-theatrical-eye-shadow-palette", "https://camerareadycosmetics.com/products/ben-nye-theatrical-eye-shadow-palette")</f>
        <v/>
      </c>
      <c r="C427" t="inlineStr">
        <is>
          <t>Theatrical Eye Shadow Palette</t>
        </is>
      </c>
      <c r="D427" t="inlineStr">
        <is>
          <t>AMY'S DIARY Brown Shiny Gold Eyeshadow Palette Makeup, 16 Colors Matte Glitter Eye shadow Long Lasting Colorful Eye Shadow Plattet for Women Girls (J3)</t>
        </is>
      </c>
      <c r="E427" s="2">
        <f>HYPERLINK("https://www.amazon.com/AMYS-DIARY-Eyeshadow-Palette-Colorful/dp/B0BWWHXZ6W/ref=sr_1_6?keywords=Theatrical+Eye+Shadow+Palette&amp;qid=1695565667&amp;sr=8-6", "https://www.amazon.com/AMYS-DIARY-Eyeshadow-Palette-Colorful/dp/B0BWWHXZ6W/ref=sr_1_6?keywords=Theatrical+Eye+Shadow+Palette&amp;qid=1695565667&amp;sr=8-6")</f>
        <v/>
      </c>
      <c r="F427" t="inlineStr">
        <is>
          <t>B0BWWHXZ6W</t>
        </is>
      </c>
      <c r="G427">
        <f>_xlfn.IMAGE("https://camerareadycosmetics.com/cdn/shop/products/Ben_Nye_Theatrical_Eye_Shadow_Palette__90162.1398455276.600.600_50x.jpeg?v=1689635539")</f>
        <v/>
      </c>
      <c r="H427">
        <f>_xlfn.IMAGE("https://m.media-amazon.com/images/I/61p2BDVGFwL._AC_UL320_.jpg")</f>
        <v/>
      </c>
      <c r="K427" t="inlineStr">
        <is>
          <t>58.0</t>
        </is>
      </c>
      <c r="L427" t="n">
        <v>7.99</v>
      </c>
      <c r="M427" s="1" t="inlineStr">
        <is>
          <t>-86.22%</t>
        </is>
      </c>
      <c r="N427" t="n">
        <v>3.8</v>
      </c>
      <c r="O427" t="n">
        <v>1857</v>
      </c>
      <c r="Q427" t="inlineStr">
        <is>
          <t>InStock</t>
        </is>
      </c>
      <c r="R427" t="inlineStr">
        <is>
          <t>undefined</t>
        </is>
      </c>
      <c r="S427" t="inlineStr">
        <is>
          <t>7037503815</t>
        </is>
      </c>
    </row>
    <row r="428" ht="75" customHeight="1">
      <c r="A428" s="2">
        <f>HYPERLINK("https://camerareadycosmetics.com/products/ben-nye-theatrical-eye-shadow-palette", "https://camerareadycosmetics.com/products/ben-nye-theatrical-eye-shadow-palette")</f>
        <v/>
      </c>
      <c r="B428" s="2">
        <f>HYPERLINK("https://camerareadycosmetics.com/products/ben-nye-theatrical-eye-shadow-palette", "https://camerareadycosmetics.com/products/ben-nye-theatrical-eye-shadow-palette")</f>
        <v/>
      </c>
      <c r="C428" t="inlineStr">
        <is>
          <t>Theatrical Eye Shadow Palette</t>
        </is>
      </c>
      <c r="D428" t="inlineStr">
        <is>
          <t>6 Colors Mini Naked Eyeshadow Makeup Palette Neutral Nude Smoky Eye Shadow Taupe &amp; Brown Matte Make Up Pallet with Mirror Highly Pigmented Long Lasting Waterproof Travel Size Gift Kit 01</t>
        </is>
      </c>
      <c r="E428" s="2">
        <f>HYPERLINK("https://www.amazon.com/SUSIKEKI-Eyeshadow-Palette-Pigmented-Waterproof/dp/B0C4L2KRCH/ref=sr_1_1?keywords=Theatrical+Eye+Shadow+Palette&amp;qid=1695565667&amp;sr=8-1", "https://www.amazon.com/SUSIKEKI-Eyeshadow-Palette-Pigmented-Waterproof/dp/B0C4L2KRCH/ref=sr_1_1?keywords=Theatrical+Eye+Shadow+Palette&amp;qid=1695565667&amp;sr=8-1")</f>
        <v/>
      </c>
      <c r="F428" t="inlineStr">
        <is>
          <t>B0C4L2KRCH</t>
        </is>
      </c>
      <c r="G428">
        <f>_xlfn.IMAGE("https://camerareadycosmetics.com/cdn/shop/products/Ben_Nye_Theatrical_Eye_Shadow_Palette__90162.1398455276.600.600_50x.jpeg?v=1689635539")</f>
        <v/>
      </c>
      <c r="H428">
        <f>_xlfn.IMAGE("https://m.media-amazon.com/images/I/712XpOgENpL._AC_UL320_.jpg")</f>
        <v/>
      </c>
      <c r="K428" t="inlineStr">
        <is>
          <t>58.0</t>
        </is>
      </c>
      <c r="L428" t="n">
        <v>7.98</v>
      </c>
      <c r="M428" s="1" t="inlineStr">
        <is>
          <t>-86.24%</t>
        </is>
      </c>
      <c r="N428" t="n">
        <v>4.4</v>
      </c>
      <c r="O428" t="n">
        <v>59</v>
      </c>
      <c r="Q428" t="inlineStr">
        <is>
          <t>InStock</t>
        </is>
      </c>
      <c r="R428" t="inlineStr">
        <is>
          <t>undefined</t>
        </is>
      </c>
      <c r="S428" t="inlineStr">
        <is>
          <t>7037503815</t>
        </is>
      </c>
    </row>
    <row r="429" ht="75" customHeight="1">
      <c r="A429" s="2">
        <f>HYPERLINK("https://camerareadycosmetics.com/products/ben-nye-theatrical-eye-shadow-palette", "https://camerareadycosmetics.com/products/ben-nye-theatrical-eye-shadow-palette")</f>
        <v/>
      </c>
      <c r="B429" s="2">
        <f>HYPERLINK("https://camerareadycosmetics.com/products/ben-nye-theatrical-eye-shadow-palette", "https://camerareadycosmetics.com/products/ben-nye-theatrical-eye-shadow-palette")</f>
        <v/>
      </c>
      <c r="C429" t="inlineStr">
        <is>
          <t>Theatrical Eye Shadow Palette</t>
        </is>
      </c>
      <c r="D429" t="inlineStr">
        <is>
          <t>Go Ho Black/Silver Smokey Eyeshadow Palette,White Eye Black Eye Shadow Palette,9 Colors Matte &amp; Shimmer Eye Makeup Palette,Gray Sliver Eye Shadow Makeup,Waterproof Cool Daily Shades Eyeshadow Palette</t>
        </is>
      </c>
      <c r="E429" s="2">
        <f>HYPERLINK("https://www.amazon.com/Go-Ho-Eyeshadow-Palette-Waterproof/dp/B0BLCDY7ZX/ref=sr_1_2?keywords=Theatrical+Eye+Shadow+Palette&amp;qid=1695565667&amp;sr=8-2", "https://www.amazon.com/Go-Ho-Eyeshadow-Palette-Waterproof/dp/B0BLCDY7ZX/ref=sr_1_2?keywords=Theatrical+Eye+Shadow+Palette&amp;qid=1695565667&amp;sr=8-2")</f>
        <v/>
      </c>
      <c r="F429" t="inlineStr">
        <is>
          <t>B0BLCDY7ZX</t>
        </is>
      </c>
      <c r="G429">
        <f>_xlfn.IMAGE("https://camerareadycosmetics.com/cdn/shop/products/Ben_Nye_Theatrical_Eye_Shadow_Palette__90162.1398455276.600.600_50x.jpeg?v=1689635539")</f>
        <v/>
      </c>
      <c r="H429">
        <f>_xlfn.IMAGE("https://m.media-amazon.com/images/I/61tueK7tyuL._AC_UL320_.jpg")</f>
        <v/>
      </c>
      <c r="K429" t="inlineStr">
        <is>
          <t>58.0</t>
        </is>
      </c>
      <c r="L429" t="n">
        <v>6.88</v>
      </c>
      <c r="M429" s="1" t="inlineStr">
        <is>
          <t>-88.14%</t>
        </is>
      </c>
      <c r="N429" t="n">
        <v>4.3</v>
      </c>
      <c r="O429" t="n">
        <v>269</v>
      </c>
      <c r="Q429" t="inlineStr">
        <is>
          <t>InStock</t>
        </is>
      </c>
      <c r="R429" t="inlineStr">
        <is>
          <t>undefined</t>
        </is>
      </c>
      <c r="S429" t="inlineStr">
        <is>
          <t>7037503815</t>
        </is>
      </c>
    </row>
    <row r="430" ht="75" customHeight="1">
      <c r="A430" s="2">
        <f>HYPERLINK("https://camerareadycosmetics.com/products/besame-cosmetics-1920-besame-red-lipstick", "https://camerareadycosmetics.com/products/besame-cosmetics-1920-besame-red-lipstick")</f>
        <v/>
      </c>
      <c r="B430" s="2">
        <f>HYPERLINK("https://camerareadycosmetics.com/products/besame-cosmetics-1920-besame-red-lipstick", "https://camerareadycosmetics.com/products/besame-cosmetics-1920-besame-red-lipstick")</f>
        <v/>
      </c>
      <c r="C430" t="inlineStr">
        <is>
          <t>1920 - Besame Red Lipstick</t>
        </is>
      </c>
      <c r="D430" t="inlineStr">
        <is>
          <t>BESAME COSMETICS - Red Velvet Lipstick + Masterliner Universal Red Lip Pencil, Vintage Makeup, Long Lasting Lipstick, Coquette Makeup, Deep Red Lipstick for Women, Moisturizing Lipsticks for Women</t>
        </is>
      </c>
      <c r="E430" s="2">
        <f>HYPERLINK("https://www.amazon.com/BESAME-COSMETICS-Masterliner-Universal-Moisturizing/dp/B0BKH2H3HJ/ref=sr_1_5?keywords=1920+-+Besame+Red+Lipstick&amp;qid=1695565773&amp;sr=8-5", "https://www.amazon.com/BESAME-COSMETICS-Masterliner-Universal-Moisturizing/dp/B0BKH2H3HJ/ref=sr_1_5?keywords=1920+-+Besame+Red+Lipstick&amp;qid=1695565773&amp;sr=8-5")</f>
        <v/>
      </c>
      <c r="F430" t="inlineStr">
        <is>
          <t>B0BKH2H3HJ</t>
        </is>
      </c>
      <c r="G430">
        <f>_xlfn.IMAGE("https://camerareadycosmetics.com/cdn/shop/products/BesameRedWithYear_600x600_a3fe2d1a-590c-4611-a644-f709189af161_50x.jpg?v=1521501002")</f>
        <v/>
      </c>
      <c r="H430">
        <f>_xlfn.IMAGE("https://m.media-amazon.com/images/I/717ip3s4QCL._AC_UL320_.jpg")</f>
        <v/>
      </c>
      <c r="K430" t="inlineStr">
        <is>
          <t>28.0</t>
        </is>
      </c>
      <c r="L430" t="n">
        <v>40</v>
      </c>
      <c r="M430" s="1" t="inlineStr">
        <is>
          <t>42.86%</t>
        </is>
      </c>
      <c r="N430" t="n">
        <v>5</v>
      </c>
      <c r="O430" t="n">
        <v>1</v>
      </c>
      <c r="Q430" t="inlineStr">
        <is>
          <t>InStock</t>
        </is>
      </c>
      <c r="R430" t="inlineStr">
        <is>
          <t>undefined</t>
        </is>
      </c>
      <c r="S430" t="inlineStr">
        <is>
          <t>536445222922</t>
        </is>
      </c>
    </row>
    <row r="431" ht="75" customHeight="1">
      <c r="A431" s="2">
        <f>HYPERLINK("https://camerareadycosmetics.com/products/besame-cosmetics-1920-besame-red-lipstick", "https://camerareadycosmetics.com/products/besame-cosmetics-1920-besame-red-lipstick")</f>
        <v/>
      </c>
      <c r="B431" s="2">
        <f>HYPERLINK("https://camerareadycosmetics.com/products/besame-cosmetics-1920-besame-red-lipstick", "https://camerareadycosmetics.com/products/besame-cosmetics-1920-besame-red-lipstick")</f>
        <v/>
      </c>
      <c r="C431" t="inlineStr">
        <is>
          <t>1920 - Besame Red Lipstick</t>
        </is>
      </c>
      <c r="D431" t="inlineStr">
        <is>
          <t>BESAME COSMETICS - Red Hot Red Lipstick + Masterliner Universal Red Lip Pencil, Vintage Makeup, Long Lasting Lipstick, Coquette Makeup, Deep Red Lipstick for Women, Moisturizing Lipsticks for Women</t>
        </is>
      </c>
      <c r="E431" s="2">
        <f>HYPERLINK("https://www.amazon.com/BESAME-COSMETICS-Masterliner-Universal-Moisturizing/dp/B0BKH1JLTK/ref=sr_1_3?keywords=1920+-+Besame+Red+Lipstick&amp;qid=1695565773&amp;sr=8-3", "https://www.amazon.com/BESAME-COSMETICS-Masterliner-Universal-Moisturizing/dp/B0BKH1JLTK/ref=sr_1_3?keywords=1920+-+Besame+Red+Lipstick&amp;qid=1695565773&amp;sr=8-3")</f>
        <v/>
      </c>
      <c r="F431" t="inlineStr">
        <is>
          <t>B0BKH1JLTK</t>
        </is>
      </c>
      <c r="G431">
        <f>_xlfn.IMAGE("https://camerareadycosmetics.com/cdn/shop/products/BesameRedWithYear_600x600_a3fe2d1a-590c-4611-a644-f709189af161_50x.jpg?v=1521501002")</f>
        <v/>
      </c>
      <c r="H431">
        <f>_xlfn.IMAGE("https://m.media-amazon.com/images/I/71WiotK8EIL._AC_UL320_.jpg")</f>
        <v/>
      </c>
      <c r="K431" t="inlineStr">
        <is>
          <t>28.0</t>
        </is>
      </c>
      <c r="L431" t="n">
        <v>40</v>
      </c>
      <c r="M431" s="1" t="inlineStr">
        <is>
          <t>42.86%</t>
        </is>
      </c>
      <c r="N431" t="n">
        <v>4</v>
      </c>
      <c r="O431" t="n">
        <v>2</v>
      </c>
      <c r="Q431" t="inlineStr">
        <is>
          <t>InStock</t>
        </is>
      </c>
      <c r="R431" t="inlineStr">
        <is>
          <t>undefined</t>
        </is>
      </c>
      <c r="S431" t="inlineStr">
        <is>
          <t>536445222922</t>
        </is>
      </c>
    </row>
    <row r="432" ht="75" customHeight="1">
      <c r="A432" s="2">
        <f>HYPERLINK("https://camerareadycosmetics.com/products/besame-cosmetics-1920-besame-red-lipstick", "https://camerareadycosmetics.com/products/besame-cosmetics-1920-besame-red-lipstick")</f>
        <v/>
      </c>
      <c r="B432" s="2">
        <f>HYPERLINK("https://camerareadycosmetics.com/products/besame-cosmetics-1920-besame-red-lipstick", "https://camerareadycosmetics.com/products/besame-cosmetics-1920-besame-red-lipstick")</f>
        <v/>
      </c>
      <c r="C432" t="inlineStr">
        <is>
          <t>1920 - Besame Red Lipstick</t>
        </is>
      </c>
      <c r="D432" t="inlineStr">
        <is>
          <t>BESAME Red Lipstick - 1920 Vintage Shade With Vitamin E, Moisturizing, Satin Finish, Long-Lasting Lip-Stick Color, Doubles as a Super Stay Lip Stain, Blot for Matte Effect, Bright Red for Bold Lips for Women</t>
        </is>
      </c>
      <c r="E432" s="2">
        <f>HYPERLINK("https://www.amazon.com/BESAME-COSMETICS-Lipstick-B%C3%A9same-Red/dp/B0009GI7K0/ref=sr_1_2?keywords=1920+-+Besame+Red+Lipstick&amp;qid=1695565773&amp;sr=8-2", "https://www.amazon.com/BESAME-COSMETICS-Lipstick-B%C3%A9same-Red/dp/B0009GI7K0/ref=sr_1_2?keywords=1920+-+Besame+Red+Lipstick&amp;qid=1695565773&amp;sr=8-2")</f>
        <v/>
      </c>
      <c r="F432" t="inlineStr">
        <is>
          <t>B0009GI7K0</t>
        </is>
      </c>
      <c r="G432">
        <f>_xlfn.IMAGE("https://camerareadycosmetics.com/cdn/shop/products/BesameRedWithYear_600x600_a3fe2d1a-590c-4611-a644-f709189af161_50x.jpg?v=1521501002")</f>
        <v/>
      </c>
      <c r="H432">
        <f>_xlfn.IMAGE("https://m.media-amazon.com/images/I/61xa6aqkgGL._AC_UL320_.jpg")</f>
        <v/>
      </c>
      <c r="K432" t="inlineStr">
        <is>
          <t>28.0</t>
        </is>
      </c>
      <c r="L432" t="n">
        <v>29</v>
      </c>
      <c r="M432" s="1" t="inlineStr">
        <is>
          <t>3.57%</t>
        </is>
      </c>
      <c r="N432" t="n">
        <v>4.5</v>
      </c>
      <c r="O432" t="n">
        <v>1287</v>
      </c>
      <c r="Q432" t="inlineStr">
        <is>
          <t>InStock</t>
        </is>
      </c>
      <c r="R432" t="inlineStr">
        <is>
          <t>undefined</t>
        </is>
      </c>
      <c r="S432" t="inlineStr">
        <is>
          <t>536445222922</t>
        </is>
      </c>
    </row>
    <row r="433" ht="75" customHeight="1">
      <c r="A433" s="2">
        <f>HYPERLINK("https://camerareadycosmetics.com/products/besame-cosmetics-1920-besame-red-lipstick", "https://camerareadycosmetics.com/products/besame-cosmetics-1920-besame-red-lipstick")</f>
        <v/>
      </c>
      <c r="B433" s="2">
        <f>HYPERLINK("https://camerareadycosmetics.com/products/besame-cosmetics-1920-besame-red-lipstick", "https://camerareadycosmetics.com/products/besame-cosmetics-1920-besame-red-lipstick")</f>
        <v/>
      </c>
      <c r="C433" t="inlineStr">
        <is>
          <t>1920 - Besame Red Lipstick</t>
        </is>
      </c>
      <c r="D433" t="inlineStr">
        <is>
          <t>BESAME Forever Red Lipstick - 1925 | Classic Color for All Skin Tones | Luxe Vintage Makeup | Long Lasting | Semi Matte Satin Finish for Women | Moisturizing with Vitamin E | Made for Sensitive Skin</t>
        </is>
      </c>
      <c r="E433" s="2">
        <f>HYPERLINK("https://www.amazon.com/Besame-Cosmetics-Forever-Red-Lipstick/dp/B09YS83CNP/ref=sr_1_1?keywords=1920+-+Besame+Red+Lipstick&amp;qid=1695565773&amp;sr=8-1", "https://www.amazon.com/Besame-Cosmetics-Forever-Red-Lipstick/dp/B09YS83CNP/ref=sr_1_1?keywords=1920+-+Besame+Red+Lipstick&amp;qid=1695565773&amp;sr=8-1")</f>
        <v/>
      </c>
      <c r="F433" t="inlineStr">
        <is>
          <t>B09YS83CNP</t>
        </is>
      </c>
      <c r="G433">
        <f>_xlfn.IMAGE("https://camerareadycosmetics.com/cdn/shop/products/BesameRedWithYear_600x600_a3fe2d1a-590c-4611-a644-f709189af161_50x.jpg?v=1521501002")</f>
        <v/>
      </c>
      <c r="H433">
        <f>_xlfn.IMAGE("https://m.media-amazon.com/images/I/61lQ6NcoRLL._AC_UL320_.jpg")</f>
        <v/>
      </c>
      <c r="K433" t="inlineStr">
        <is>
          <t>28.0</t>
        </is>
      </c>
      <c r="L433" t="n">
        <v>29</v>
      </c>
      <c r="M433" s="1" t="inlineStr">
        <is>
          <t>3.57%</t>
        </is>
      </c>
      <c r="N433" t="n">
        <v>3.7</v>
      </c>
      <c r="O433" t="n">
        <v>12</v>
      </c>
      <c r="Q433" t="inlineStr">
        <is>
          <t>InStock</t>
        </is>
      </c>
      <c r="R433" t="inlineStr">
        <is>
          <t>undefined</t>
        </is>
      </c>
      <c r="S433" t="inlineStr">
        <is>
          <t>536445222922</t>
        </is>
      </c>
    </row>
    <row r="434" ht="75" customHeight="1">
      <c r="A434" s="2">
        <f>HYPERLINK("https://camerareadycosmetics.com/products/besame-cosmetics-1920-black-cake-mascara", "https://camerareadycosmetics.com/products/besame-cosmetics-1920-black-cake-mascara")</f>
        <v/>
      </c>
      <c r="B434" s="2">
        <f>HYPERLINK("https://camerareadycosmetics.com/products/besame-cosmetics-1920-black-cake-mascara", "https://camerareadycosmetics.com/products/besame-cosmetics-1920-black-cake-mascara")</f>
        <v/>
      </c>
      <c r="C434" t="inlineStr">
        <is>
          <t>1920 Black Cake Mascara</t>
        </is>
      </c>
      <c r="D434" t="inlineStr">
        <is>
          <t>Half Caked Totally Tubular Mascara, The Heights | tubing formula, blackest black, flake-free, smudge-free, easy to remove | 8.5ml</t>
        </is>
      </c>
      <c r="E434" s="2">
        <f>HYPERLINK("https://www.amazon.com/Half-Caked-Totally-Tubular-Heights/dp/B08R31HNR8/ref=sr_1_2?keywords=1920+Black+Cake+Mascara&amp;qid=1695565566&amp;sr=8-2", "https://www.amazon.com/Half-Caked-Totally-Tubular-Heights/dp/B08R31HNR8/ref=sr_1_2?keywords=1920+Black+Cake+Mascara&amp;qid=1695565566&amp;sr=8-2")</f>
        <v/>
      </c>
      <c r="F434" t="inlineStr">
        <is>
          <t>B08R31HNR8</t>
        </is>
      </c>
      <c r="G434">
        <f>_xlfn.IMAGE("https://camerareadycosmetics.com/cdn/shop/products/BlackCakeOpen_600x600_87b04e47-e3f3-4fe1-96c7-6bc6d69b4c78_50x.jpg?v=1611001045")</f>
        <v/>
      </c>
      <c r="H434">
        <f>_xlfn.IMAGE("https://m.media-amazon.com/images/I/51XKcRgbXnL._AC_UL320_.jpg")</f>
        <v/>
      </c>
      <c r="K434" t="inlineStr">
        <is>
          <t>28.0</t>
        </is>
      </c>
      <c r="L434" t="n">
        <v>14</v>
      </c>
      <c r="M434" s="1" t="inlineStr">
        <is>
          <t>-50.00%</t>
        </is>
      </c>
      <c r="N434" t="n">
        <v>3.9</v>
      </c>
      <c r="O434" t="n">
        <v>332</v>
      </c>
      <c r="Q434" t="inlineStr">
        <is>
          <t>InStock</t>
        </is>
      </c>
      <c r="R434" t="inlineStr">
        <is>
          <t>undefined</t>
        </is>
      </c>
      <c r="S434" t="inlineStr">
        <is>
          <t>533266268170</t>
        </is>
      </c>
    </row>
    <row r="435" ht="75" customHeight="1">
      <c r="A435" s="2">
        <f>HYPERLINK("https://camerareadycosmetics.com/products/besame-cosmetics-1920-black-cake-mascara", "https://camerareadycosmetics.com/products/besame-cosmetics-1920-black-cake-mascara")</f>
        <v/>
      </c>
      <c r="B435" s="2">
        <f>HYPERLINK("https://camerareadycosmetics.com/products/besame-cosmetics-1920-black-cake-mascara", "https://camerareadycosmetics.com/products/besame-cosmetics-1920-black-cake-mascara")</f>
        <v/>
      </c>
      <c r="C435" t="inlineStr">
        <is>
          <t>1920 Black Cake Mascara</t>
        </is>
      </c>
      <c r="D435" t="inlineStr">
        <is>
          <t>Half Caked Totally Tubular Mascara, The Heights | tubing formula, blackest black, flake-free, smudge-free, easy to remove | 8.5ml</t>
        </is>
      </c>
      <c r="E435" s="2">
        <f>HYPERLINK("https://www.amazon.com/Half-Caked-Totally-Tubular-Heights/dp/B08R31HNR8/ref=sr_1_2?keywords=1920+Black+Cake+Mascara&amp;qid=1695565566&amp;sr=8-2", "https://www.amazon.com/Half-Caked-Totally-Tubular-Heights/dp/B08R31HNR8/ref=sr_1_2?keywords=1920+Black+Cake+Mascara&amp;qid=1695565566&amp;sr=8-2")</f>
        <v/>
      </c>
      <c r="F435" t="inlineStr">
        <is>
          <t>B08R31HNR8</t>
        </is>
      </c>
      <c r="G435">
        <f>_xlfn.IMAGE("https://camerareadycosmetics.com/cdn/shop/products/BlackCakeOpen_600x600_87b04e47-e3f3-4fe1-96c7-6bc6d69b4c78_50x.jpg?v=1611001045")</f>
        <v/>
      </c>
      <c r="H435">
        <f>_xlfn.IMAGE("https://m.media-amazon.com/images/I/51XKcRgbXnL._AC_UL320_.jpg")</f>
        <v/>
      </c>
      <c r="K435" t="inlineStr">
        <is>
          <t>28.0</t>
        </is>
      </c>
      <c r="L435" t="n">
        <v>14</v>
      </c>
      <c r="M435" s="1" t="inlineStr">
        <is>
          <t>-50.00%</t>
        </is>
      </c>
      <c r="N435" t="n">
        <v>3.9</v>
      </c>
      <c r="O435" t="n">
        <v>332</v>
      </c>
      <c r="Q435" t="inlineStr">
        <is>
          <t>InStock</t>
        </is>
      </c>
      <c r="R435" t="inlineStr">
        <is>
          <t>undefined</t>
        </is>
      </c>
      <c r="S435" t="inlineStr">
        <is>
          <t>533266268170</t>
        </is>
      </c>
    </row>
    <row r="436" ht="75" customHeight="1">
      <c r="A436" s="2">
        <f>HYPERLINK("https://camerareadycosmetics.com/products/besame-cosmetics-1946-red-velvet-lipstick", "https://camerareadycosmetics.com/products/besame-cosmetics-1946-red-velvet-lipstick")</f>
        <v/>
      </c>
      <c r="B436" s="2">
        <f>HYPERLINK("https://camerareadycosmetics.com/products/besame-cosmetics-1946-red-velvet-lipstick", "https://camerareadycosmetics.com/products/besame-cosmetics-1946-red-velvet-lipstick")</f>
        <v/>
      </c>
      <c r="C436" t="inlineStr">
        <is>
          <t>1946 - Red Velvet Lipstick</t>
        </is>
      </c>
      <c r="D436" t="inlineStr">
        <is>
          <t>BESAME COSMETICS - Red Velvet Lipstick + Masterliner Universal Red Lip Pencil, Vintage Makeup, Long Lasting Lipstick, Coquette Makeup, Deep Red Lipstick for Women, Moisturizing Lipsticks for Women</t>
        </is>
      </c>
      <c r="E436" s="2">
        <f>HYPERLINK("https://www.amazon.com/BESAME-COSMETICS-Masterliner-Universal-Moisturizing/dp/B0BKH2H3HJ/ref=sr_1_7?keywords=1946+-+Red+Velvet+Lipstick&amp;qid=1695565674&amp;sr=8-7", "https://www.amazon.com/BESAME-COSMETICS-Masterliner-Universal-Moisturizing/dp/B0BKH2H3HJ/ref=sr_1_7?keywords=1946+-+Red+Velvet+Lipstick&amp;qid=1695565674&amp;sr=8-7")</f>
        <v/>
      </c>
      <c r="F436" t="inlineStr">
        <is>
          <t>B0BKH2H3HJ</t>
        </is>
      </c>
      <c r="G436">
        <f>_xlfn.IMAGE("https://camerareadycosmetics.com/cdn/shop/products/RedVelvetWithYear_600x600_00b9ad74-3245-4808-becc-ed4d95cae5ff_50x.jpg?v=1521501011")</f>
        <v/>
      </c>
      <c r="H436">
        <f>_xlfn.IMAGE("https://m.media-amazon.com/images/I/717ip3s4QCL._AC_UL320_.jpg")</f>
        <v/>
      </c>
      <c r="K436" t="inlineStr">
        <is>
          <t>28.0</t>
        </is>
      </c>
      <c r="L436" t="n">
        <v>40</v>
      </c>
      <c r="M436" s="1" t="inlineStr">
        <is>
          <t>42.86%</t>
        </is>
      </c>
      <c r="N436" t="n">
        <v>5</v>
      </c>
      <c r="O436" t="n">
        <v>1</v>
      </c>
      <c r="Q436" t="inlineStr">
        <is>
          <t>InStock</t>
        </is>
      </c>
      <c r="R436" t="inlineStr">
        <is>
          <t>undefined</t>
        </is>
      </c>
      <c r="S436" t="inlineStr">
        <is>
          <t>536500174858</t>
        </is>
      </c>
    </row>
    <row r="437" ht="75" customHeight="1">
      <c r="A437" s="2">
        <f>HYPERLINK("https://camerareadycosmetics.com/products/besame-cosmetics-1946-red-velvet-lipstick", "https://camerareadycosmetics.com/products/besame-cosmetics-1946-red-velvet-lipstick")</f>
        <v/>
      </c>
      <c r="B437" s="2">
        <f>HYPERLINK("https://camerareadycosmetics.com/products/besame-cosmetics-1946-red-velvet-lipstick", "https://camerareadycosmetics.com/products/besame-cosmetics-1946-red-velvet-lipstick")</f>
        <v/>
      </c>
      <c r="C437" t="inlineStr">
        <is>
          <t>1946 - Red Velvet Lipstick</t>
        </is>
      </c>
      <c r="D437" t="inlineStr">
        <is>
          <t>BESAME Red Velvet Brick Red Lipstick and Finger-Nail Polish Set - 1945 Vintage Shade, Satin Finish Moisturizing Lip-Stick &amp; Long-Lasting Ruby Nail Enamel With Glossy Shine, Striking Lip Color &amp; Durable NailPolish</t>
        </is>
      </c>
      <c r="E437" s="2">
        <f>HYPERLINK("https://www.amazon.com/BESAME-Velvet-Lipstick-Finger-Nail-Polish/dp/B0C7K2VP27/ref=sr_1_5?keywords=1946+-+Red+Velvet+Lipstick&amp;qid=1695565674&amp;sr=8-5", "https://www.amazon.com/BESAME-Velvet-Lipstick-Finger-Nail-Polish/dp/B0C7K2VP27/ref=sr_1_5?keywords=1946+-+Red+Velvet+Lipstick&amp;qid=1695565674&amp;sr=8-5")</f>
        <v/>
      </c>
      <c r="F437" t="inlineStr">
        <is>
          <t>B0C7K2VP27</t>
        </is>
      </c>
      <c r="G437">
        <f>_xlfn.IMAGE("https://camerareadycosmetics.com/cdn/shop/products/RedVelvetWithYear_600x600_00b9ad74-3245-4808-becc-ed4d95cae5ff_50x.jpg?v=1521501011")</f>
        <v/>
      </c>
      <c r="H437">
        <f>_xlfn.IMAGE("https://m.media-amazon.com/images/I/71YKUHAwuuL._AC_UL320_.jpg")</f>
        <v/>
      </c>
      <c r="K437" t="inlineStr">
        <is>
          <t>28.0</t>
        </is>
      </c>
      <c r="L437" t="n">
        <v>35</v>
      </c>
      <c r="M437" s="1" t="inlineStr">
        <is>
          <t>25.00%</t>
        </is>
      </c>
      <c r="N437" t="n">
        <v>5</v>
      </c>
      <c r="O437" t="n">
        <v>1</v>
      </c>
      <c r="Q437" t="inlineStr">
        <is>
          <t>InStock</t>
        </is>
      </c>
      <c r="R437" t="inlineStr">
        <is>
          <t>undefined</t>
        </is>
      </c>
      <c r="S437" t="inlineStr">
        <is>
          <t>536500174858</t>
        </is>
      </c>
    </row>
    <row r="438" ht="75" customHeight="1">
      <c r="A438" s="2">
        <f>HYPERLINK("https://camerareadycosmetics.com/products/besame-cosmetics-1946-red-velvet-lipstick", "https://camerareadycosmetics.com/products/besame-cosmetics-1946-red-velvet-lipstick")</f>
        <v/>
      </c>
      <c r="B438" s="2">
        <f>HYPERLINK("https://camerareadycosmetics.com/products/besame-cosmetics-1946-red-velvet-lipstick", "https://camerareadycosmetics.com/products/besame-cosmetics-1946-red-velvet-lipstick")</f>
        <v/>
      </c>
      <c r="C438" t="inlineStr">
        <is>
          <t>1946 - Red Velvet Lipstick</t>
        </is>
      </c>
      <c r="D438" t="inlineStr">
        <is>
          <t>BESAME COSMETICS - Red Velvet Lipstick - 1946 Classic Color Lipstick, Vintage Makeup, Long Lasting Lipstick, Coquette Makeup, Deep Red Lipstick for Women, Moisturizing Lipsticks for Women</t>
        </is>
      </c>
      <c r="E438" s="2">
        <f>HYPERLINK("https://www.amazon.com/Cosmetics-Classic-Lipstick-Moisturizing-Sensitive/dp/B004IJHG7O/ref=sr_1_1?keywords=1946+-+Red+Velvet+Lipstick&amp;qid=1695565674&amp;sr=8-1", "https://www.amazon.com/Cosmetics-Classic-Lipstick-Moisturizing-Sensitive/dp/B004IJHG7O/ref=sr_1_1?keywords=1946+-+Red+Velvet+Lipstick&amp;qid=1695565674&amp;sr=8-1")</f>
        <v/>
      </c>
      <c r="F438" t="inlineStr">
        <is>
          <t>B004IJHG7O</t>
        </is>
      </c>
      <c r="G438">
        <f>_xlfn.IMAGE("https://camerareadycosmetics.com/cdn/shop/products/RedVelvetWithYear_600x600_00b9ad74-3245-4808-becc-ed4d95cae5ff_50x.jpg?v=1521501011")</f>
        <v/>
      </c>
      <c r="H438">
        <f>_xlfn.IMAGE("https://m.media-amazon.com/images/I/61LhWHmauSL._AC_UL320_.jpg")</f>
        <v/>
      </c>
      <c r="K438" t="inlineStr">
        <is>
          <t>28.0</t>
        </is>
      </c>
      <c r="L438" t="n">
        <v>29</v>
      </c>
      <c r="M438" s="1" t="inlineStr">
        <is>
          <t>3.57%</t>
        </is>
      </c>
      <c r="N438" t="n">
        <v>4.5</v>
      </c>
      <c r="O438" t="n">
        <v>1287</v>
      </c>
      <c r="Q438" t="inlineStr">
        <is>
          <t>InStock</t>
        </is>
      </c>
      <c r="R438" t="inlineStr">
        <is>
          <t>undefined</t>
        </is>
      </c>
      <c r="S438" t="inlineStr">
        <is>
          <t>536500174858</t>
        </is>
      </c>
    </row>
    <row r="439" ht="75" customHeight="1">
      <c r="A439" s="2">
        <f>HYPERLINK("https://camerareadycosmetics.com/products/besame-cosmetics-1946-red-velvet-lipstick", "https://camerareadycosmetics.com/products/besame-cosmetics-1946-red-velvet-lipstick")</f>
        <v/>
      </c>
      <c r="B439" s="2">
        <f>HYPERLINK("https://camerareadycosmetics.com/products/besame-cosmetics-1946-red-velvet-lipstick", "https://camerareadycosmetics.com/products/besame-cosmetics-1946-red-velvet-lipstick")</f>
        <v/>
      </c>
      <c r="C439" t="inlineStr">
        <is>
          <t>1946 - Red Velvet Lipstick</t>
        </is>
      </c>
      <c r="D439" t="inlineStr">
        <is>
          <t>Lime Crime Velvetines Liquid Matte Lipstick, Red Velvet (True Red) - Bold, Long Lasting Shades &amp; Lip Lining - Stellar Color &amp; High Comfort for All-Day Wear - Talc-Free &amp; Paraben-Free</t>
        </is>
      </c>
      <c r="E439" s="2">
        <f>HYPERLINK("https://www.amazon.com/Lime-Crime-Matte-Liquid-Lipstick-Lip/dp/B00AEYGIR6/ref=sr_1_4?keywords=1946+-+Red+Velvet+Lipstick&amp;qid=1695565674&amp;rdc=1&amp;sr=8-4", "https://www.amazon.com/Lime-Crime-Matte-Liquid-Lipstick-Lip/dp/B00AEYGIR6/ref=sr_1_4?keywords=1946+-+Red+Velvet+Lipstick&amp;qid=1695565674&amp;rdc=1&amp;sr=8-4")</f>
        <v/>
      </c>
      <c r="F439" t="inlineStr">
        <is>
          <t>B00AEYGIR6</t>
        </is>
      </c>
      <c r="G439">
        <f>_xlfn.IMAGE("https://camerareadycosmetics.com/cdn/shop/products/RedVelvetWithYear_600x600_00b9ad74-3245-4808-becc-ed4d95cae5ff_50x.jpg?v=1521501011")</f>
        <v/>
      </c>
      <c r="H439">
        <f>_xlfn.IMAGE("https://m.media-amazon.com/images/I/61OD5bJtalL._AC_UL320_.jpg")</f>
        <v/>
      </c>
      <c r="K439" t="inlineStr">
        <is>
          <t>28.0</t>
        </is>
      </c>
      <c r="L439" t="n">
        <v>15</v>
      </c>
      <c r="M439" s="1" t="inlineStr">
        <is>
          <t>-46.43%</t>
        </is>
      </c>
      <c r="N439" t="n">
        <v>4.3</v>
      </c>
      <c r="O439" t="n">
        <v>5876</v>
      </c>
      <c r="Q439" t="inlineStr">
        <is>
          <t>InStock</t>
        </is>
      </c>
      <c r="R439" t="inlineStr">
        <is>
          <t>undefined</t>
        </is>
      </c>
      <c r="S439" t="inlineStr">
        <is>
          <t>536500174858</t>
        </is>
      </c>
    </row>
    <row r="440" ht="75" customHeight="1">
      <c r="A440" s="2">
        <f>HYPERLINK("https://camerareadycosmetics.com/products/besame-cosmetics-1946-red-velvet-lipstick", "https://camerareadycosmetics.com/products/besame-cosmetics-1946-red-velvet-lipstick")</f>
        <v/>
      </c>
      <c r="B440" s="2">
        <f>HYPERLINK("https://camerareadycosmetics.com/products/besame-cosmetics-1946-red-velvet-lipstick", "https://camerareadycosmetics.com/products/besame-cosmetics-1946-red-velvet-lipstick")</f>
        <v/>
      </c>
      <c r="C440" t="inlineStr">
        <is>
          <t>1946 - Red Velvet Lipstick</t>
        </is>
      </c>
      <c r="D440" t="inlineStr">
        <is>
          <t>bom My Lipstick #802 Cherry Red Long Lasting Red Matte Lipstick Velvet Texture</t>
        </is>
      </c>
      <c r="E440" s="2">
        <f>HYPERLINK("https://www.amazon.com/Cosmetics-lipstick-Colors-Lipstick-Magnetic/dp/B01LPX7S8M/ref=sr_1_8?keywords=1946+-+Red+Velvet+Lipstick&amp;qid=1695565674&amp;sr=8-8", "https://www.amazon.com/Cosmetics-lipstick-Colors-Lipstick-Magnetic/dp/B01LPX7S8M/ref=sr_1_8?keywords=1946+-+Red+Velvet+Lipstick&amp;qid=1695565674&amp;sr=8-8")</f>
        <v/>
      </c>
      <c r="F440" t="inlineStr">
        <is>
          <t>B01LPX7S8M</t>
        </is>
      </c>
      <c r="G440">
        <f>_xlfn.IMAGE("https://camerareadycosmetics.com/cdn/shop/products/RedVelvetWithYear_600x600_00b9ad74-3245-4808-becc-ed4d95cae5ff_50x.jpg?v=1521501011")</f>
        <v/>
      </c>
      <c r="H440">
        <f>_xlfn.IMAGE("https://m.media-amazon.com/images/I/415kcJoX0hL._AC_UL320_.jpg")</f>
        <v/>
      </c>
      <c r="K440" t="inlineStr">
        <is>
          <t>28.0</t>
        </is>
      </c>
      <c r="L440" t="n">
        <v>9.99</v>
      </c>
      <c r="M440" s="1" t="inlineStr">
        <is>
          <t>-64.32%</t>
        </is>
      </c>
      <c r="N440" t="n">
        <v>4.2</v>
      </c>
      <c r="O440" t="n">
        <v>93</v>
      </c>
      <c r="Q440" t="inlineStr">
        <is>
          <t>InStock</t>
        </is>
      </c>
      <c r="R440" t="inlineStr">
        <is>
          <t>undefined</t>
        </is>
      </c>
      <c r="S440" t="inlineStr">
        <is>
          <t>536500174858</t>
        </is>
      </c>
    </row>
    <row r="441" ht="75" customHeight="1">
      <c r="A441" s="2">
        <f>HYPERLINK("https://camerareadycosmetics.com/products/besame-cosmetics-1946-red-velvet-lipstick", "https://camerareadycosmetics.com/products/besame-cosmetics-1946-red-velvet-lipstick")</f>
        <v/>
      </c>
      <c r="B441" s="2">
        <f>HYPERLINK("https://camerareadycosmetics.com/products/besame-cosmetics-1946-red-velvet-lipstick", "https://camerareadycosmetics.com/products/besame-cosmetics-1946-red-velvet-lipstick")</f>
        <v/>
      </c>
      <c r="C441" t="inlineStr">
        <is>
          <t>1946 - Red Velvet Lipstick</t>
        </is>
      </c>
      <c r="D441" t="inlineStr">
        <is>
          <t>evpct 3Pcs Dark Light Bright Red Silky Velvet Matte Lipstick Pack Sets for Women,Ruby Red Long Lasting Smudge Proof Lip Stain Makeup Sets Kit 24 hours original</t>
        </is>
      </c>
      <c r="E441" s="2">
        <f>HYPERLINK("https://www.amazon.com/Lipstick-Velvet-Lasting-lipstick-original/dp/B0B6Q7LNGS/ref=sr_1_10?keywords=1946+-+Red+Velvet+Lipstick&amp;qid=1695565674&amp;sr=8-10", "https://www.amazon.com/Lipstick-Velvet-Lasting-lipstick-original/dp/B0B6Q7LNGS/ref=sr_1_10?keywords=1946+-+Red+Velvet+Lipstick&amp;qid=1695565674&amp;sr=8-10")</f>
        <v/>
      </c>
      <c r="F441" t="inlineStr">
        <is>
          <t>B0B6Q7LNGS</t>
        </is>
      </c>
      <c r="G441">
        <f>_xlfn.IMAGE("https://camerareadycosmetics.com/cdn/shop/products/RedVelvetWithYear_600x600_00b9ad74-3245-4808-becc-ed4d95cae5ff_50x.jpg?v=1521501011")</f>
        <v/>
      </c>
      <c r="H441">
        <f>_xlfn.IMAGE("https://m.media-amazon.com/images/I/61l28EIk7QL._AC_UL320_.jpg")</f>
        <v/>
      </c>
      <c r="K441" t="inlineStr">
        <is>
          <t>28.0</t>
        </is>
      </c>
      <c r="L441" t="n">
        <v>8.99</v>
      </c>
      <c r="M441" s="1" t="inlineStr">
        <is>
          <t>-67.89%</t>
        </is>
      </c>
      <c r="N441" t="n">
        <v>4.2</v>
      </c>
      <c r="O441" t="n">
        <v>167</v>
      </c>
      <c r="Q441" t="inlineStr">
        <is>
          <t>InStock</t>
        </is>
      </c>
      <c r="R441" t="inlineStr">
        <is>
          <t>undefined</t>
        </is>
      </c>
      <c r="S441" t="inlineStr">
        <is>
          <t>536500174858</t>
        </is>
      </c>
    </row>
    <row r="442" ht="75" customHeight="1">
      <c r="A442" s="2">
        <f>HYPERLINK("https://camerareadycosmetics.com/products/besame-cosmetics-1946-red-velvet-lipstick", "https://camerareadycosmetics.com/products/besame-cosmetics-1946-red-velvet-lipstick")</f>
        <v/>
      </c>
      <c r="B442" s="2">
        <f>HYPERLINK("https://camerareadycosmetics.com/products/besame-cosmetics-1946-red-velvet-lipstick", "https://camerareadycosmetics.com/products/besame-cosmetics-1946-red-velvet-lipstick")</f>
        <v/>
      </c>
      <c r="C442" t="inlineStr">
        <is>
          <t>1946 - Red Velvet Lipstick</t>
        </is>
      </c>
      <c r="D442" t="inlineStr">
        <is>
          <t>evpct 3Pcs Dark Deep Ruby Light Bright Red Matte Velvet Lipstick Set Long Lasting Smudge Proof Lip Stick Packs Matte Lipstick Lip Stain Makeup Set for Women labiales matte larga duracion 24 01#02#10#</t>
        </is>
      </c>
      <c r="E442" s="2">
        <f>HYPERLINK("https://www.amazon.com/evpct-Lipstick-Lasting-labiales-duracion/dp/B0BRDC3K6N/ref=sr_1_6?keywords=1946+-+Red+Velvet+Lipstick&amp;qid=1695565674&amp;sr=8-6", "https://www.amazon.com/evpct-Lipstick-Lasting-labiales-duracion/dp/B0BRDC3K6N/ref=sr_1_6?keywords=1946+-+Red+Velvet+Lipstick&amp;qid=1695565674&amp;sr=8-6")</f>
        <v/>
      </c>
      <c r="F442" t="inlineStr">
        <is>
          <t>B0BRDC3K6N</t>
        </is>
      </c>
      <c r="G442">
        <f>_xlfn.IMAGE("https://camerareadycosmetics.com/cdn/shop/products/RedVelvetWithYear_600x600_00b9ad74-3245-4808-becc-ed4d95cae5ff_50x.jpg?v=1521501011")</f>
        <v/>
      </c>
      <c r="H442">
        <f>_xlfn.IMAGE("https://m.media-amazon.com/images/I/61iFRMID+tL._AC_UL320_.jpg")</f>
        <v/>
      </c>
      <c r="K442" t="inlineStr">
        <is>
          <t>28.0</t>
        </is>
      </c>
      <c r="L442" t="n">
        <v>8.99</v>
      </c>
      <c r="M442" s="1" t="inlineStr">
        <is>
          <t>-67.89%</t>
        </is>
      </c>
      <c r="N442" t="n">
        <v>3.8</v>
      </c>
      <c r="O442" t="n">
        <v>200</v>
      </c>
      <c r="Q442" t="inlineStr">
        <is>
          <t>InStock</t>
        </is>
      </c>
      <c r="R442" t="inlineStr">
        <is>
          <t>undefined</t>
        </is>
      </c>
      <c r="S442" t="inlineStr">
        <is>
          <t>536500174858</t>
        </is>
      </c>
    </row>
    <row r="443" ht="75" customHeight="1">
      <c r="A443" s="2">
        <f>HYPERLINK("https://camerareadycosmetics.com/products/besame-cosmetics-1946-red-velvet-lipstick", "https://camerareadycosmetics.com/products/besame-cosmetics-1946-red-velvet-lipstick")</f>
        <v/>
      </c>
      <c r="B443" s="2">
        <f>HYPERLINK("https://camerareadycosmetics.com/products/besame-cosmetics-1946-red-velvet-lipstick", "https://camerareadycosmetics.com/products/besame-cosmetics-1946-red-velvet-lipstick")</f>
        <v/>
      </c>
      <c r="C443" t="inlineStr">
        <is>
          <t>1946 - Red Velvet Lipstick</t>
        </is>
      </c>
      <c r="D443" t="inlineStr">
        <is>
          <t>bom My Lipstick #802 Cherry Red Long Lasting Red Matte Lipstick Velvet Texture</t>
        </is>
      </c>
      <c r="E443" s="2">
        <f>HYPERLINK("https://www.amazon.com/Cosmetics-lipstick-Colors-Lipstick-Magnetic/dp/B01LPX7S8M/ref=sr_1_8?keywords=1946+-+Red+Velvet+Lipstick&amp;qid=1695565674&amp;sr=8-8", "https://www.amazon.com/Cosmetics-lipstick-Colors-Lipstick-Magnetic/dp/B01LPX7S8M/ref=sr_1_8?keywords=1946+-+Red+Velvet+Lipstick&amp;qid=1695565674&amp;sr=8-8")</f>
        <v/>
      </c>
      <c r="F443" t="inlineStr">
        <is>
          <t>B01LPX7S8M</t>
        </is>
      </c>
      <c r="G443">
        <f>_xlfn.IMAGE("https://camerareadycosmetics.com/cdn/shop/products/RedVelvetWithYear_600x600_00b9ad74-3245-4808-becc-ed4d95cae5ff_50x.jpg?v=1521501011")</f>
        <v/>
      </c>
      <c r="H443">
        <f>_xlfn.IMAGE("https://m.media-amazon.com/images/I/415kcJoX0hL._AC_UL320_.jpg")</f>
        <v/>
      </c>
      <c r="K443" t="inlineStr">
        <is>
          <t>28.0</t>
        </is>
      </c>
      <c r="L443" t="n">
        <v>9.99</v>
      </c>
      <c r="M443" s="1" t="inlineStr">
        <is>
          <t>-64.32%</t>
        </is>
      </c>
      <c r="N443" t="n">
        <v>4.2</v>
      </c>
      <c r="O443" t="n">
        <v>93</v>
      </c>
      <c r="Q443" t="inlineStr">
        <is>
          <t>InStock</t>
        </is>
      </c>
      <c r="R443" t="inlineStr">
        <is>
          <t>undefined</t>
        </is>
      </c>
      <c r="S443" t="inlineStr">
        <is>
          <t>536500174858</t>
        </is>
      </c>
    </row>
    <row r="444" ht="75" customHeight="1">
      <c r="A444" s="2">
        <f>HYPERLINK("https://camerareadycosmetics.com/products/besame-cosmetics-1946-red-velvet-lipstick", "https://camerareadycosmetics.com/products/besame-cosmetics-1946-red-velvet-lipstick")</f>
        <v/>
      </c>
      <c r="B444" s="2">
        <f>HYPERLINK("https://camerareadycosmetics.com/products/besame-cosmetics-1946-red-velvet-lipstick", "https://camerareadycosmetics.com/products/besame-cosmetics-1946-red-velvet-lipstick")</f>
        <v/>
      </c>
      <c r="C444" t="inlineStr">
        <is>
          <t>1946 - Red Velvet Lipstick</t>
        </is>
      </c>
      <c r="D444" t="inlineStr">
        <is>
          <t>evpct 3Pcs Dark Light Bright Red Silky Velvet Matte Lipstick Pack Sets for Women,Ruby Red Long Lasting Smudge Proof Lip Stain Makeup Sets Kit 24 hours original</t>
        </is>
      </c>
      <c r="E444" s="2">
        <f>HYPERLINK("https://www.amazon.com/Lipstick-Velvet-Lasting-lipstick-original/dp/B0B6Q7LNGS/ref=sr_1_10?keywords=1946+-+Red+Velvet+Lipstick&amp;qid=1695565674&amp;sr=8-10", "https://www.amazon.com/Lipstick-Velvet-Lasting-lipstick-original/dp/B0B6Q7LNGS/ref=sr_1_10?keywords=1946+-+Red+Velvet+Lipstick&amp;qid=1695565674&amp;sr=8-10")</f>
        <v/>
      </c>
      <c r="F444" t="inlineStr">
        <is>
          <t>B0B6Q7LNGS</t>
        </is>
      </c>
      <c r="G444">
        <f>_xlfn.IMAGE("https://camerareadycosmetics.com/cdn/shop/products/RedVelvetWithYear_600x600_00b9ad74-3245-4808-becc-ed4d95cae5ff_50x.jpg?v=1521501011")</f>
        <v/>
      </c>
      <c r="H444">
        <f>_xlfn.IMAGE("https://m.media-amazon.com/images/I/61l28EIk7QL._AC_UL320_.jpg")</f>
        <v/>
      </c>
      <c r="K444" t="inlineStr">
        <is>
          <t>28.0</t>
        </is>
      </c>
      <c r="L444" t="n">
        <v>8.99</v>
      </c>
      <c r="M444" s="1" t="inlineStr">
        <is>
          <t>-67.89%</t>
        </is>
      </c>
      <c r="N444" t="n">
        <v>4.2</v>
      </c>
      <c r="O444" t="n">
        <v>167</v>
      </c>
      <c r="Q444" t="inlineStr">
        <is>
          <t>InStock</t>
        </is>
      </c>
      <c r="R444" t="inlineStr">
        <is>
          <t>undefined</t>
        </is>
      </c>
      <c r="S444" t="inlineStr">
        <is>
          <t>536500174858</t>
        </is>
      </c>
    </row>
    <row r="445" ht="75" customHeight="1">
      <c r="A445" s="2">
        <f>HYPERLINK("https://camerareadycosmetics.com/products/besame-cosmetics-1946-red-velvet-lipstick", "https://camerareadycosmetics.com/products/besame-cosmetics-1946-red-velvet-lipstick")</f>
        <v/>
      </c>
      <c r="B445" s="2">
        <f>HYPERLINK("https://camerareadycosmetics.com/products/besame-cosmetics-1946-red-velvet-lipstick", "https://camerareadycosmetics.com/products/besame-cosmetics-1946-red-velvet-lipstick")</f>
        <v/>
      </c>
      <c r="C445" t="inlineStr">
        <is>
          <t>1946 - Red Velvet Lipstick</t>
        </is>
      </c>
      <c r="D445" t="inlineStr">
        <is>
          <t>evpct 3Pcs Dark Deep Ruby Light Bright Red Matte Velvet Lipstick Set Long Lasting Smudge Proof Lip Stick Packs Matte Lipstick Lip Stain Makeup Set for Women labiales matte larga duracion 24 01#02#10#</t>
        </is>
      </c>
      <c r="E445" s="2">
        <f>HYPERLINK("https://www.amazon.com/evpct-Lipstick-Lasting-labiales-duracion/dp/B0BRDC3K6N/ref=sr_1_6?keywords=1946+-+Red+Velvet+Lipstick&amp;qid=1695565674&amp;sr=8-6", "https://www.amazon.com/evpct-Lipstick-Lasting-labiales-duracion/dp/B0BRDC3K6N/ref=sr_1_6?keywords=1946+-+Red+Velvet+Lipstick&amp;qid=1695565674&amp;sr=8-6")</f>
        <v/>
      </c>
      <c r="F445" t="inlineStr">
        <is>
          <t>B0BRDC3K6N</t>
        </is>
      </c>
      <c r="G445">
        <f>_xlfn.IMAGE("https://camerareadycosmetics.com/cdn/shop/products/RedVelvetWithYear_600x600_00b9ad74-3245-4808-becc-ed4d95cae5ff_50x.jpg?v=1521501011")</f>
        <v/>
      </c>
      <c r="H445">
        <f>_xlfn.IMAGE("https://m.media-amazon.com/images/I/61iFRMID+tL._AC_UL320_.jpg")</f>
        <v/>
      </c>
      <c r="K445" t="inlineStr">
        <is>
          <t>28.0</t>
        </is>
      </c>
      <c r="L445" t="n">
        <v>8.99</v>
      </c>
      <c r="M445" s="1" t="inlineStr">
        <is>
          <t>-67.89%</t>
        </is>
      </c>
      <c r="N445" t="n">
        <v>3.8</v>
      </c>
      <c r="O445" t="n">
        <v>200</v>
      </c>
      <c r="Q445" t="inlineStr">
        <is>
          <t>InStock</t>
        </is>
      </c>
      <c r="R445" t="inlineStr">
        <is>
          <t>undefined</t>
        </is>
      </c>
      <c r="S445" t="inlineStr">
        <is>
          <t>536500174858</t>
        </is>
      </c>
    </row>
    <row r="446" ht="75" customHeight="1">
      <c r="A446" s="2">
        <f>HYPERLINK("https://camerareadycosmetics.com/products/besame-cosmetics-1969-dusty-rose-lipstick", "https://camerareadycosmetics.com/products/besame-cosmetics-1969-dusty-rose-lipstick")</f>
        <v/>
      </c>
      <c r="B446" s="2">
        <f>HYPERLINK("https://camerareadycosmetics.com/products/besame-cosmetics-1969-dusty-rose-lipstick", "https://camerareadycosmetics.com/products/besame-cosmetics-1969-dusty-rose-lipstick")</f>
        <v/>
      </c>
      <c r="C446" t="inlineStr">
        <is>
          <t>1969 - Dusty Rose Lipstick</t>
        </is>
      </c>
      <c r="D446" t="inlineStr">
        <is>
          <t>Besame Cosmetics - Dusty Rose Lipstick - 1969 Classic Color Lipstick, Vintage Makeup, Long Lasting Lipstick, Coquette Makeup, Pink Red Lipstick for Women, Moisturizing Lipsticks for Women</t>
        </is>
      </c>
      <c r="E446" s="2">
        <f>HYPERLINK("https://www.amazon.com/Cosmetics-Classic-Lipstick-Moisturizing-Sensitive/dp/B004IJFJ6E/ref=sr_1_1?keywords=1969+-+Dusty+Rose+Lipstick&amp;qid=1695565745&amp;sr=8-1", "https://www.amazon.com/Cosmetics-Classic-Lipstick-Moisturizing-Sensitive/dp/B004IJFJ6E/ref=sr_1_1?keywords=1969+-+Dusty+Rose+Lipstick&amp;qid=1695565745&amp;sr=8-1")</f>
        <v/>
      </c>
      <c r="F446" t="inlineStr">
        <is>
          <t>B004IJFJ6E</t>
        </is>
      </c>
      <c r="G446">
        <f>_xlfn.IMAGE("https://camerareadycosmetics.com/cdn/shop/products/DustyRoseWithYear_600x600_622524c1-7ab1-468c-83fd-05aedc37ec15_50x.jpg?v=1521501016")</f>
        <v/>
      </c>
      <c r="H446">
        <f>_xlfn.IMAGE("https://m.media-amazon.com/images/I/61enX0ameKL._AC_UL320_.jpg")</f>
        <v/>
      </c>
      <c r="K446" t="inlineStr">
        <is>
          <t>28.0</t>
        </is>
      </c>
      <c r="L446" t="n">
        <v>29</v>
      </c>
      <c r="M446" s="1" t="inlineStr">
        <is>
          <t>3.57%</t>
        </is>
      </c>
      <c r="N446" t="n">
        <v>4.5</v>
      </c>
      <c r="O446" t="n">
        <v>1287</v>
      </c>
      <c r="Q446" t="inlineStr">
        <is>
          <t>InStock</t>
        </is>
      </c>
      <c r="R446" t="inlineStr">
        <is>
          <t>undefined</t>
        </is>
      </c>
      <c r="S446" t="inlineStr">
        <is>
          <t>536507219978</t>
        </is>
      </c>
    </row>
    <row r="447" ht="75" customHeight="1">
      <c r="A447" s="2">
        <f>HYPERLINK("https://camerareadycosmetics.com/products/besame-cosmetics-1969-dusty-rose-lipstick", "https://camerareadycosmetics.com/products/besame-cosmetics-1969-dusty-rose-lipstick")</f>
        <v/>
      </c>
      <c r="B447" s="2">
        <f>HYPERLINK("https://camerareadycosmetics.com/products/besame-cosmetics-1969-dusty-rose-lipstick", "https://camerareadycosmetics.com/products/besame-cosmetics-1969-dusty-rose-lipstick")</f>
        <v/>
      </c>
      <c r="C447" t="inlineStr">
        <is>
          <t>1969 - Dusty Rose Lipstick</t>
        </is>
      </c>
      <c r="D447" t="inlineStr">
        <is>
          <t>Rimmel Moisture Renew Lipstick Dusty Rose</t>
        </is>
      </c>
      <c r="E447" s="2">
        <f>HYPERLINK("https://www.amazon.com/Rimmel-Moisture-Renew-Lipstick-Dusty/dp/B0037MGV74/ref=sr_1_8?keywords=1969+-+Dusty+Rose+Lipstick&amp;qid=1695565745&amp;sr=8-8", "https://www.amazon.com/Rimmel-Moisture-Renew-Lipstick-Dusty/dp/B0037MGV74/ref=sr_1_8?keywords=1969+-+Dusty+Rose+Lipstick&amp;qid=1695565745&amp;sr=8-8")</f>
        <v/>
      </c>
      <c r="F447" t="inlineStr">
        <is>
          <t>B0037MGV74</t>
        </is>
      </c>
      <c r="G447">
        <f>_xlfn.IMAGE("https://camerareadycosmetics.com/cdn/shop/products/DustyRoseWithYear_600x600_622524c1-7ab1-468c-83fd-05aedc37ec15_50x.jpg?v=1521501016")</f>
        <v/>
      </c>
      <c r="H447">
        <f>_xlfn.IMAGE("https://m.media-amazon.com/images/I/71rFq19oiqL._AC_UL320_.jpg")</f>
        <v/>
      </c>
      <c r="K447" t="inlineStr">
        <is>
          <t>28.0</t>
        </is>
      </c>
      <c r="L447" t="n">
        <v>27.93</v>
      </c>
      <c r="M447" s="1" t="inlineStr">
        <is>
          <t>-0.25%</t>
        </is>
      </c>
      <c r="N447" t="n">
        <v>4.5</v>
      </c>
      <c r="O447" t="n">
        <v>291</v>
      </c>
      <c r="Q447" t="inlineStr">
        <is>
          <t>InStock</t>
        </is>
      </c>
      <c r="R447" t="inlineStr">
        <is>
          <t>undefined</t>
        </is>
      </c>
      <c r="S447" t="inlineStr">
        <is>
          <t>536507219978</t>
        </is>
      </c>
    </row>
    <row r="448" ht="75" customHeight="1">
      <c r="A448" s="2">
        <f>HYPERLINK("https://camerareadycosmetics.com/products/besame-cosmetics-1969-dusty-rose-lipstick", "https://camerareadycosmetics.com/products/besame-cosmetics-1969-dusty-rose-lipstick")</f>
        <v/>
      </c>
      <c r="B448" s="2">
        <f>HYPERLINK("https://camerareadycosmetics.com/products/besame-cosmetics-1969-dusty-rose-lipstick", "https://camerareadycosmetics.com/products/besame-cosmetics-1969-dusty-rose-lipstick")</f>
        <v/>
      </c>
      <c r="C448" t="inlineStr">
        <is>
          <t>1969 - Dusty Rose Lipstick</t>
        </is>
      </c>
      <c r="D448" t="inlineStr">
        <is>
          <t>Color Renew Lipstick Dusty Rose (CMLS07)</t>
        </is>
      </c>
      <c r="E448" s="2">
        <f>HYPERLINK("https://www.amazon.com/Color-Me-Beautiful-Lipstick-CMLS07/dp/B00078X2PU/ref=sr_1_2?keywords=1969+-+Dusty+Rose+Lipstick&amp;qid=1695565745&amp;sr=8-2", "https://www.amazon.com/Color-Me-Beautiful-Lipstick-CMLS07/dp/B00078X2PU/ref=sr_1_2?keywords=1969+-+Dusty+Rose+Lipstick&amp;qid=1695565745&amp;sr=8-2")</f>
        <v/>
      </c>
      <c r="F448" t="inlineStr">
        <is>
          <t>B00078X2PU</t>
        </is>
      </c>
      <c r="G448">
        <f>_xlfn.IMAGE("https://camerareadycosmetics.com/cdn/shop/products/DustyRoseWithYear_600x600_622524c1-7ab1-468c-83fd-05aedc37ec15_50x.jpg?v=1521501016")</f>
        <v/>
      </c>
      <c r="H448">
        <f>_xlfn.IMAGE("https://m.media-amazon.com/images/I/21IPYNyi6FL._AC_UL320_.jpg")</f>
        <v/>
      </c>
      <c r="K448" t="inlineStr">
        <is>
          <t>28.0</t>
        </is>
      </c>
      <c r="L448" t="n">
        <v>20</v>
      </c>
      <c r="M448" s="1" t="inlineStr">
        <is>
          <t>-28.57%</t>
        </is>
      </c>
      <c r="N448" t="n">
        <v>3.7</v>
      </c>
      <c r="O448" t="n">
        <v>24</v>
      </c>
      <c r="Q448" t="inlineStr">
        <is>
          <t>InStock</t>
        </is>
      </c>
      <c r="R448" t="inlineStr">
        <is>
          <t>undefined</t>
        </is>
      </c>
      <c r="S448" t="inlineStr">
        <is>
          <t>536507219978</t>
        </is>
      </c>
    </row>
    <row r="449" ht="75" customHeight="1">
      <c r="A449" s="2">
        <f>HYPERLINK("https://camerareadycosmetics.com/products/bioderma-atoderm-lip-stick", "https://camerareadycosmetics.com/products/bioderma-atoderm-lip-stick")</f>
        <v/>
      </c>
      <c r="B449" s="2">
        <f>HYPERLINK("https://camerareadycosmetics.com/products/bioderma-atoderm-lip-stick", "https://camerareadycosmetics.com/products/bioderma-atoderm-lip-stick")</f>
        <v/>
      </c>
      <c r="C449" t="inlineStr">
        <is>
          <t>Atoderm Lip Stick</t>
        </is>
      </c>
      <c r="D449" t="inlineStr">
        <is>
          <t>Bioderma - Lip Stick - Atoderm - Hydrating, Soothing and Renewing - Lip Conditioner for Dry Lips</t>
        </is>
      </c>
      <c r="E449" s="2">
        <f>HYPERLINK("https://www.amazon.com/Bioderma-Atoderm-Hydrating-Soothing-Renewing/dp/B08FD7W4SD/ref=sr_1_1?keywords=atoderm+lipstick&amp;qid=1695565522&amp;sr=8-1", "https://www.amazon.com/Bioderma-Atoderm-Hydrating-Soothing-Renewing/dp/B08FD7W4SD/ref=sr_1_1?keywords=atoderm+lipstick&amp;qid=1695565522&amp;sr=8-1")</f>
        <v/>
      </c>
      <c r="F449" t="inlineStr">
        <is>
          <t>B08FD7W4SD</t>
        </is>
      </c>
      <c r="G449">
        <f>_xlfn.IMAGE("https://camerareadycosmetics.com/cdn/shop/products/bio-lips_50x.jpg?v=1691124826")</f>
        <v/>
      </c>
      <c r="H449">
        <f>_xlfn.IMAGE("https://m.media-amazon.com/images/I/51Ws7io5FyL._AC_UL320_.jpg")</f>
        <v/>
      </c>
      <c r="K449" t="inlineStr">
        <is>
          <t>9.99</t>
        </is>
      </c>
      <c r="L449" t="n">
        <v>14.99</v>
      </c>
      <c r="M449" s="1" t="inlineStr">
        <is>
          <t>50.05%</t>
        </is>
      </c>
      <c r="N449" t="n">
        <v>4.5</v>
      </c>
      <c r="O449" t="n">
        <v>6158</v>
      </c>
      <c r="Q449" t="inlineStr">
        <is>
          <t>InStock</t>
        </is>
      </c>
      <c r="R449" t="inlineStr">
        <is>
          <t>undefined</t>
        </is>
      </c>
      <c r="S449" t="inlineStr">
        <is>
          <t>9673705162</t>
        </is>
      </c>
    </row>
    <row r="450" ht="75" customHeight="1">
      <c r="A450" s="2">
        <f>HYPERLINK("https://camerareadycosmetics.com/products/blend-bunny-bare-cheeks-face-palette", "https://camerareadycosmetics.com/products/blend-bunny-bare-cheeks-face-palette")</f>
        <v/>
      </c>
      <c r="B450" s="2">
        <f>HYPERLINK("https://camerareadycosmetics.com/products/blend-bunny-bare-cheeks-face-palette", "https://camerareadycosmetics.com/products/blend-bunny-bare-cheeks-face-palette")</f>
        <v/>
      </c>
      <c r="C450" t="inlineStr">
        <is>
          <t>Bare Cheeks Palette</t>
        </is>
      </c>
      <c r="D450" t="inlineStr">
        <is>
          <t>Ruby Kisses Bare Blusher Sweet Cheeks Palette (Livin Bare)</t>
        </is>
      </c>
      <c r="E450" s="2">
        <f>HYPERLINK("https://www.amazon.com/Ruby-Kisses-Blusher-Cheeks-Palette/dp/B08Q8SD66H/ref=sr_1_1?keywords=Bare+Cheeks+Palette&amp;qid=1695565627&amp;sr=8-1", "https://www.amazon.com/Ruby-Kisses-Blusher-Cheeks-Palette/dp/B08Q8SD66H/ref=sr_1_1?keywords=Bare+Cheeks+Palette&amp;qid=1695565627&amp;sr=8-1")</f>
        <v/>
      </c>
      <c r="F450" t="inlineStr">
        <is>
          <t>B08Q8SD66H</t>
        </is>
      </c>
      <c r="G450">
        <f>_xlfn.IMAGE("https://camerareadycosmetics.com/cdn/shop/products/bare-cheek-palette-blend-bunny_50x.jpg?v=1681181030")</f>
        <v/>
      </c>
      <c r="H450">
        <f>_xlfn.IMAGE("https://m.media-amazon.com/images/I/71IQOxtOuAL._AC_UL320_.jpg")</f>
        <v/>
      </c>
      <c r="K450" t="inlineStr">
        <is>
          <t>32.0</t>
        </is>
      </c>
      <c r="L450" t="n">
        <v>5.99</v>
      </c>
      <c r="M450" s="1" t="inlineStr">
        <is>
          <t>-81.28%</t>
        </is>
      </c>
      <c r="N450" t="n">
        <v>4.4</v>
      </c>
      <c r="O450" t="n">
        <v>69</v>
      </c>
      <c r="Q450" t="inlineStr">
        <is>
          <t>InStock</t>
        </is>
      </c>
      <c r="R450" t="inlineStr">
        <is>
          <t>undefined</t>
        </is>
      </c>
      <c r="S450" t="inlineStr">
        <is>
          <t>7582407033017</t>
        </is>
      </c>
    </row>
    <row r="451" ht="75" customHeight="1">
      <c r="A451" s="2">
        <f>HYPERLINK("https://camerareadycosmetics.com/products/blend-bunny-bare-cheeks-face-palette", "https://camerareadycosmetics.com/products/blend-bunny-bare-cheeks-face-palette")</f>
        <v/>
      </c>
      <c r="B451" s="2">
        <f>HYPERLINK("https://camerareadycosmetics.com/products/blend-bunny-bare-cheeks-face-palette", "https://camerareadycosmetics.com/products/blend-bunny-bare-cheeks-face-palette")</f>
        <v/>
      </c>
      <c r="C451" t="inlineStr">
        <is>
          <t>Bare Cheeks Palette</t>
        </is>
      </c>
      <c r="D451" t="inlineStr">
        <is>
          <t>Ruby Kisses Bare Blusher Sweet Cheeks Palette (Livin Bare)</t>
        </is>
      </c>
      <c r="E451" s="2">
        <f>HYPERLINK("https://www.amazon.com/Ruby-Kisses-Blusher-Cheeks-Palette/dp/B08Q8SD66H/ref=sr_1_1?keywords=Bare+Cheeks+Palette&amp;qid=1695565627&amp;sr=8-1", "https://www.amazon.com/Ruby-Kisses-Blusher-Cheeks-Palette/dp/B08Q8SD66H/ref=sr_1_1?keywords=Bare+Cheeks+Palette&amp;qid=1695565627&amp;sr=8-1")</f>
        <v/>
      </c>
      <c r="F451" t="inlineStr">
        <is>
          <t>B08Q8SD66H</t>
        </is>
      </c>
      <c r="G451">
        <f>_xlfn.IMAGE("https://camerareadycosmetics.com/cdn/shop/products/bare-cheek-palette-blend-bunny_50x.jpg?v=1681181030")</f>
        <v/>
      </c>
      <c r="H451">
        <f>_xlfn.IMAGE("https://m.media-amazon.com/images/I/71IQOxtOuAL._AC_UL320_.jpg")</f>
        <v/>
      </c>
      <c r="K451" t="inlineStr">
        <is>
          <t>32.0</t>
        </is>
      </c>
      <c r="L451" t="n">
        <v>5.99</v>
      </c>
      <c r="M451" s="1" t="inlineStr">
        <is>
          <t>-81.28%</t>
        </is>
      </c>
      <c r="N451" t="n">
        <v>4.4</v>
      </c>
      <c r="O451" t="n">
        <v>69</v>
      </c>
      <c r="Q451" t="inlineStr">
        <is>
          <t>InStock</t>
        </is>
      </c>
      <c r="R451" t="inlineStr">
        <is>
          <t>undefined</t>
        </is>
      </c>
      <c r="S451" t="inlineStr">
        <is>
          <t>7582407033017</t>
        </is>
      </c>
    </row>
    <row r="452" ht="75" customHeight="1">
      <c r="A452" s="2">
        <f>HYPERLINK("https://camerareadycosmetics.com/products/blend-bunny-cosmetics-noctilucent-highlighter-palette", "https://camerareadycosmetics.com/products/blend-bunny-cosmetics-noctilucent-highlighter-palette")</f>
        <v/>
      </c>
      <c r="B452" s="2">
        <f>HYPERLINK("https://camerareadycosmetics.com/products/blend-bunny-cosmetics-noctilucent-highlighter-palette", "https://camerareadycosmetics.com/products/blend-bunny-cosmetics-noctilucent-highlighter-palette")</f>
        <v/>
      </c>
      <c r="C452" t="inlineStr">
        <is>
          <t>Noctilucent Highlighter Makeup Palette</t>
        </is>
      </c>
      <c r="D452" t="inlineStr">
        <is>
          <t>CHARMACY Multichrome Glitter Highlighter Makeup Palette, Shimmer Cream Contour Face Brightening Illuminator Hybrid Chameleon Highlighter, Long Lasting, Cruetly-Free (#614)</t>
        </is>
      </c>
      <c r="E452" s="2">
        <f>HYPERLINK("https://www.amazon.com/CHARMACY-Multichrome-Highlighter-Brightening-Cruetly-Free/dp/B0BRSH87W3/ref=sr_1_9?keywords=Noctilucent+Highlighter+Makeup+Palette&amp;qid=1695565695&amp;sr=8-9", "https://www.amazon.com/CHARMACY-Multichrome-Highlighter-Brightening-Cruetly-Free/dp/B0BRSH87W3/ref=sr_1_9?keywords=Noctilucent+Highlighter+Makeup+Palette&amp;qid=1695565695&amp;sr=8-9")</f>
        <v/>
      </c>
      <c r="F452" t="inlineStr">
        <is>
          <t>B0BRSH87W3</t>
        </is>
      </c>
      <c r="G452">
        <f>_xlfn.IMAGE("https://camerareadycosmetics.com/cdn/shop/products/Noctilucent-Highlighter-Palette-swatch_12e55424-9f21-4098-9da8-bef2b36a81e9_50x.jpg?v=1688678050")</f>
        <v/>
      </c>
      <c r="H452">
        <f>_xlfn.IMAGE("https://m.media-amazon.com/images/I/71pSWmSN+XL._AC_UL320_.jpg")</f>
        <v/>
      </c>
      <c r="K452" t="inlineStr">
        <is>
          <t>40.0</t>
        </is>
      </c>
      <c r="L452" t="n">
        <v>11.99</v>
      </c>
      <c r="M452" s="1" t="inlineStr">
        <is>
          <t>-70.02%</t>
        </is>
      </c>
      <c r="N452" t="n">
        <v>4.3</v>
      </c>
      <c r="O452" t="n">
        <v>75</v>
      </c>
      <c r="Q452" t="inlineStr">
        <is>
          <t>InStock</t>
        </is>
      </c>
      <c r="R452" t="inlineStr">
        <is>
          <t>undefined</t>
        </is>
      </c>
      <c r="S452" t="inlineStr">
        <is>
          <t>7573720531129</t>
        </is>
      </c>
    </row>
    <row r="453" ht="75" customHeight="1">
      <c r="A453" s="2">
        <f>HYPERLINK("https://camerareadycosmetics.com/products/blend-bunny-cosmetics-noctilucent-highlighter-palette", "https://camerareadycosmetics.com/products/blend-bunny-cosmetics-noctilucent-highlighter-palette")</f>
        <v/>
      </c>
      <c r="B453" s="2">
        <f>HYPERLINK("https://camerareadycosmetics.com/products/blend-bunny-cosmetics-noctilucent-highlighter-palette", "https://camerareadycosmetics.com/products/blend-bunny-cosmetics-noctilucent-highlighter-palette")</f>
        <v/>
      </c>
      <c r="C453" t="inlineStr">
        <is>
          <t>Noctilucent Highlighter Makeup Palette</t>
        </is>
      </c>
      <c r="D453" t="inlineStr">
        <is>
          <t>4-color highlighter makeup palette shimmer bronze contour shadow illumination highlight eyeshadow palette eyeshadow cosmetic set</t>
        </is>
      </c>
      <c r="E453" s="2">
        <f>HYPERLINK("https://www.amazon.com/highlighter-illumination-highlight-eyeshadow-cosmetic/dp/B0BZMSSPKV/ref=sr_1_5?keywords=Noctilucent+Highlighter+Makeup+Palette&amp;qid=1695565695&amp;sr=8-5", "https://www.amazon.com/highlighter-illumination-highlight-eyeshadow-cosmetic/dp/B0BZMSSPKV/ref=sr_1_5?keywords=Noctilucent+Highlighter+Makeup+Palette&amp;qid=1695565695&amp;sr=8-5")</f>
        <v/>
      </c>
      <c r="F453" t="inlineStr">
        <is>
          <t>B0BZMSSPKV</t>
        </is>
      </c>
      <c r="G453">
        <f>_xlfn.IMAGE("https://camerareadycosmetics.com/cdn/shop/products/Noctilucent-Highlighter-Palette-swatch_12e55424-9f21-4098-9da8-bef2b36a81e9_50x.jpg?v=1688678050")</f>
        <v/>
      </c>
      <c r="H453">
        <f>_xlfn.IMAGE("https://m.media-amazon.com/images/I/61ZRMF6hleL._AC_UL320_.jpg")</f>
        <v/>
      </c>
      <c r="K453" t="inlineStr">
        <is>
          <t>40.0</t>
        </is>
      </c>
      <c r="L453" t="n">
        <v>9.99</v>
      </c>
      <c r="M453" s="1" t="inlineStr">
        <is>
          <t>-75.02%</t>
        </is>
      </c>
      <c r="N453" t="n">
        <v>4.5</v>
      </c>
      <c r="O453" t="n">
        <v>2</v>
      </c>
      <c r="Q453" t="inlineStr">
        <is>
          <t>InStock</t>
        </is>
      </c>
      <c r="R453" t="inlineStr">
        <is>
          <t>undefined</t>
        </is>
      </c>
      <c r="S453" t="inlineStr">
        <is>
          <t>7573720531129</t>
        </is>
      </c>
    </row>
    <row r="454" ht="75" customHeight="1">
      <c r="A454" s="2">
        <f>HYPERLINK("https://camerareadycosmetics.com/products/blend-bunny-cosmetics-noctilucent-highlighter-palette", "https://camerareadycosmetics.com/products/blend-bunny-cosmetics-noctilucent-highlighter-palette")</f>
        <v/>
      </c>
      <c r="B454" s="2">
        <f>HYPERLINK("https://camerareadycosmetics.com/products/blend-bunny-cosmetics-noctilucent-highlighter-palette", "https://camerareadycosmetics.com/products/blend-bunny-cosmetics-noctilucent-highlighter-palette")</f>
        <v/>
      </c>
      <c r="C454" t="inlineStr">
        <is>
          <t>Noctilucent Highlighter Makeup Palette</t>
        </is>
      </c>
      <c r="D454" t="inlineStr">
        <is>
          <t>Highlighter Palette Highlighter Makeup Iluminador - Glow Bronzer Powder Makeup Highlighter Kit With Mirror - 4 Highly Pigmented Face Highlighter Shimmer Colors - Vegan, Cruelty Free &amp; Hypoallergenic</t>
        </is>
      </c>
      <c r="E454" s="2">
        <f>HYPERLINK("https://www.amazon.com/Highlighter-Palette-Highlighters-Makeup-Iluminador/dp/B081VHHJSY/ref=sr_1_2?keywords=Noctilucent+Highlighter+Makeup+Palette&amp;qid=1695565695&amp;sr=8-2", "https://www.amazon.com/Highlighter-Palette-Highlighters-Makeup-Iluminador/dp/B081VHHJSY/ref=sr_1_2?keywords=Noctilucent+Highlighter+Makeup+Palette&amp;qid=1695565695&amp;sr=8-2")</f>
        <v/>
      </c>
      <c r="F454" t="inlineStr">
        <is>
          <t>B081VHHJSY</t>
        </is>
      </c>
      <c r="G454">
        <f>_xlfn.IMAGE("https://camerareadycosmetics.com/cdn/shop/products/Noctilucent-Highlighter-Palette-swatch_12e55424-9f21-4098-9da8-bef2b36a81e9_50x.jpg?v=1688678050")</f>
        <v/>
      </c>
      <c r="H454">
        <f>_xlfn.IMAGE("https://m.media-amazon.com/images/I/71waxZOAHLL._AC_UL320_.jpg")</f>
        <v/>
      </c>
      <c r="K454" t="inlineStr">
        <is>
          <t>40.0</t>
        </is>
      </c>
      <c r="L454" t="n">
        <v>9.99</v>
      </c>
      <c r="M454" s="1" t="inlineStr">
        <is>
          <t>-75.02%</t>
        </is>
      </c>
      <c r="N454" t="n">
        <v>4.5</v>
      </c>
      <c r="O454" t="n">
        <v>2351</v>
      </c>
      <c r="Q454" t="inlineStr">
        <is>
          <t>InStock</t>
        </is>
      </c>
      <c r="R454" t="inlineStr">
        <is>
          <t>undefined</t>
        </is>
      </c>
      <c r="S454" t="inlineStr">
        <is>
          <t>7573720531129</t>
        </is>
      </c>
    </row>
    <row r="455" ht="75" customHeight="1">
      <c r="A455" s="2">
        <f>HYPERLINK("https://camerareadycosmetics.com/products/blend-bunny-cosmetics-noctilucent-highlighter-palette", "https://camerareadycosmetics.com/products/blend-bunny-cosmetics-noctilucent-highlighter-palette")</f>
        <v/>
      </c>
      <c r="B455" s="2">
        <f>HYPERLINK("https://camerareadycosmetics.com/products/blend-bunny-cosmetics-noctilucent-highlighter-palette", "https://camerareadycosmetics.com/products/blend-bunny-cosmetics-noctilucent-highlighter-palette")</f>
        <v/>
      </c>
      <c r="C455" t="inlineStr">
        <is>
          <t>Noctilucent Highlighter Makeup Palette</t>
        </is>
      </c>
      <c r="D455" t="inlineStr">
        <is>
          <t>evpct 4 Color Highlighter Makeup Palette for Face Cheek Pink Blonde gold Aurora blue Mermaid pink Halographic Diamond Shimmer Glitter Highlighters &amp; Luminizers Stick Palette iluminadores de maquillaje</t>
        </is>
      </c>
      <c r="E455" s="2">
        <f>HYPERLINK("https://www.amazon.com/evpct-Highlighter-Halographic-Highlighters-iluminadores/dp/B0C5SMGFBT/ref=sr_1_1?keywords=Noctilucent+Highlighter+Makeup+Palette&amp;qid=1695565695&amp;sr=8-1", "https://www.amazon.com/evpct-Highlighter-Halographic-Highlighters-iluminadores/dp/B0C5SMGFBT/ref=sr_1_1?keywords=Noctilucent+Highlighter+Makeup+Palette&amp;qid=1695565695&amp;sr=8-1")</f>
        <v/>
      </c>
      <c r="F455" t="inlineStr">
        <is>
          <t>B0C5SMGFBT</t>
        </is>
      </c>
      <c r="G455">
        <f>_xlfn.IMAGE("https://camerareadycosmetics.com/cdn/shop/products/Noctilucent-Highlighter-Palette-swatch_12e55424-9f21-4098-9da8-bef2b36a81e9_50x.jpg?v=1688678050")</f>
        <v/>
      </c>
      <c r="H455">
        <f>_xlfn.IMAGE("https://m.media-amazon.com/images/I/71yLCuGfeOL._AC_UL320_.jpg")</f>
        <v/>
      </c>
      <c r="K455" t="inlineStr">
        <is>
          <t>40.0</t>
        </is>
      </c>
      <c r="L455" t="n">
        <v>8.99</v>
      </c>
      <c r="M455" s="1" t="inlineStr">
        <is>
          <t>-77.53%</t>
        </is>
      </c>
      <c r="N455" t="n">
        <v>4.1</v>
      </c>
      <c r="O455" t="n">
        <v>978</v>
      </c>
      <c r="Q455" t="inlineStr">
        <is>
          <t>InStock</t>
        </is>
      </c>
      <c r="R455" t="inlineStr">
        <is>
          <t>undefined</t>
        </is>
      </c>
      <c r="S455" t="inlineStr">
        <is>
          <t>7573720531129</t>
        </is>
      </c>
    </row>
    <row r="456" ht="75" customHeight="1">
      <c r="A456" s="2">
        <f>HYPERLINK("https://camerareadycosmetics.com/products/blend-bunny-cosmetics-noctilucent-highlighter-palette", "https://camerareadycosmetics.com/products/blend-bunny-cosmetics-noctilucent-highlighter-palette")</f>
        <v/>
      </c>
      <c r="B456" s="2">
        <f>HYPERLINK("https://camerareadycosmetics.com/products/blend-bunny-cosmetics-noctilucent-highlighter-palette", "https://camerareadycosmetics.com/products/blend-bunny-cosmetics-noctilucent-highlighter-palette")</f>
        <v/>
      </c>
      <c r="C456" t="inlineStr">
        <is>
          <t>Noctilucent Highlighter Makeup Palette</t>
        </is>
      </c>
      <c r="D456" t="inlineStr">
        <is>
          <t>SUMEITANG 8 Colors Face Highlighter Makeup Palette iluminadores de maquillaje profesional Natural Glow Facial Highlighters &amp; luminizers Contour Concealer Highlight powder Palette Lasting Lightweight</t>
        </is>
      </c>
      <c r="E456" s="2">
        <f>HYPERLINK("https://www.amazon.com/SUMEITANG-Pearlescent-Highlighter-Illuminator-Luminizers/dp/B09NDB7491/ref=sr_1_7?keywords=Noctilucent+Highlighter+Makeup+Palette&amp;qid=1695565695&amp;sr=8-7", "https://www.amazon.com/SUMEITANG-Pearlescent-Highlighter-Illuminator-Luminizers/dp/B09NDB7491/ref=sr_1_7?keywords=Noctilucent+Highlighter+Makeup+Palette&amp;qid=1695565695&amp;sr=8-7")</f>
        <v/>
      </c>
      <c r="F456" t="inlineStr">
        <is>
          <t>B09NDB7491</t>
        </is>
      </c>
      <c r="G456">
        <f>_xlfn.IMAGE("https://camerareadycosmetics.com/cdn/shop/products/Noctilucent-Highlighter-Palette-swatch_12e55424-9f21-4098-9da8-bef2b36a81e9_50x.jpg?v=1688678050")</f>
        <v/>
      </c>
      <c r="H456">
        <f>_xlfn.IMAGE("https://m.media-amazon.com/images/I/71fm6SnY8TL._AC_UL320_.jpg")</f>
        <v/>
      </c>
      <c r="K456" t="inlineStr">
        <is>
          <t>40.0</t>
        </is>
      </c>
      <c r="L456" t="n">
        <v>8.98</v>
      </c>
      <c r="M456" s="1" t="inlineStr">
        <is>
          <t>-77.55%</t>
        </is>
      </c>
      <c r="N456" t="n">
        <v>4.1</v>
      </c>
      <c r="O456" t="n">
        <v>422</v>
      </c>
      <c r="Q456" t="inlineStr">
        <is>
          <t>InStock</t>
        </is>
      </c>
      <c r="R456" t="inlineStr">
        <is>
          <t>undefined</t>
        </is>
      </c>
      <c r="S456" t="inlineStr">
        <is>
          <t>7573720531129</t>
        </is>
      </c>
    </row>
    <row r="457" ht="75" customHeight="1">
      <c r="A457" s="2">
        <f>HYPERLINK("https://camerareadycosmetics.com/products/blend-bunny-cosmetics-noctilucent-highlighter-palette", "https://camerareadycosmetics.com/products/blend-bunny-cosmetics-noctilucent-highlighter-palette")</f>
        <v/>
      </c>
      <c r="B457" s="2">
        <f>HYPERLINK("https://camerareadycosmetics.com/products/blend-bunny-cosmetics-noctilucent-highlighter-palette", "https://camerareadycosmetics.com/products/blend-bunny-cosmetics-noctilucent-highlighter-palette")</f>
        <v/>
      </c>
      <c r="C457" t="inlineStr">
        <is>
          <t>Noctilucent Highlighter Makeup Palette</t>
        </is>
      </c>
      <c r="D457" t="inlineStr">
        <is>
          <t>FREEORR Baked Highlighter Powder Palette, Makeup Highlighter Powder Palette Sheer Shimmering Finish Face Highlighters Makeup Iluminadores de Maquillaje #02 Mermaid Pink</t>
        </is>
      </c>
      <c r="E457" s="2">
        <f>HYPERLINK("https://www.amazon.com/FREEORR-Highlighter-Shimmering-Highlighters-Iluminadores/dp/B0BW47TMW5/ref=sr_1_3?keywords=Noctilucent+Highlighter+Makeup+Palette&amp;qid=1695565695&amp;sr=8-3", "https://www.amazon.com/FREEORR-Highlighter-Shimmering-Highlighters-Iluminadores/dp/B0BW47TMW5/ref=sr_1_3?keywords=Noctilucent+Highlighter+Makeup+Palette&amp;qid=1695565695&amp;sr=8-3")</f>
        <v/>
      </c>
      <c r="F457" t="inlineStr">
        <is>
          <t>B0BW47TMW5</t>
        </is>
      </c>
      <c r="G457">
        <f>_xlfn.IMAGE("https://camerareadycosmetics.com/cdn/shop/products/Noctilucent-Highlighter-Palette-swatch_12e55424-9f21-4098-9da8-bef2b36a81e9_50x.jpg?v=1688678050")</f>
        <v/>
      </c>
      <c r="H457">
        <f>_xlfn.IMAGE("https://m.media-amazon.com/images/I/81mzZn9DPBL._AC_UL320_.jpg")</f>
        <v/>
      </c>
      <c r="K457" t="inlineStr">
        <is>
          <t>40.0</t>
        </is>
      </c>
      <c r="L457" t="n">
        <v>6.99</v>
      </c>
      <c r="M457" s="1" t="inlineStr">
        <is>
          <t>-82.52%</t>
        </is>
      </c>
      <c r="N457" t="n">
        <v>4</v>
      </c>
      <c r="O457" t="n">
        <v>7</v>
      </c>
      <c r="Q457" t="inlineStr">
        <is>
          <t>InStock</t>
        </is>
      </c>
      <c r="R457" t="inlineStr">
        <is>
          <t>undefined</t>
        </is>
      </c>
      <c r="S457" t="inlineStr">
        <is>
          <t>7573720531129</t>
        </is>
      </c>
    </row>
    <row r="458" ht="75" customHeight="1">
      <c r="A458" s="2">
        <f>HYPERLINK("https://camerareadycosmetics.com/products/blend-bunny-cosmetics-noctilucent-highlighter-palette", "https://camerareadycosmetics.com/products/blend-bunny-cosmetics-noctilucent-highlighter-palette")</f>
        <v/>
      </c>
      <c r="B458" s="2">
        <f>HYPERLINK("https://camerareadycosmetics.com/products/blend-bunny-cosmetics-noctilucent-highlighter-palette", "https://camerareadycosmetics.com/products/blend-bunny-cosmetics-noctilucent-highlighter-palette")</f>
        <v/>
      </c>
      <c r="C458" t="inlineStr">
        <is>
          <t>Noctilucent Highlighter Makeup Palette</t>
        </is>
      </c>
      <c r="D458" t="inlineStr">
        <is>
          <t>Highlighter Makeup Palette White Silver,Shimmer Glitter Highlight Makeup Pallets,Glow Illuminator Highlighters Pallet,Highly Pigmented Shiny For Face Cheek Pale Skin, Suit For All Skin Tones</t>
        </is>
      </c>
      <c r="E458" s="2">
        <f>HYPERLINK("https://www.amazon.com/Highlighter-Highlight-Contouring-Illuminator-Highlighters/dp/B0BYD9C46S/ref=sr_1_8?keywords=Noctilucent+Highlighter+Makeup+Palette&amp;qid=1695565695&amp;sr=8-8", "https://www.amazon.com/Highlighter-Highlight-Contouring-Illuminator-Highlighters/dp/B0BYD9C46S/ref=sr_1_8?keywords=Noctilucent+Highlighter+Makeup+Palette&amp;qid=1695565695&amp;sr=8-8")</f>
        <v/>
      </c>
      <c r="F458" t="inlineStr">
        <is>
          <t>B0BYD9C46S</t>
        </is>
      </c>
      <c r="G458">
        <f>_xlfn.IMAGE("https://camerareadycosmetics.com/cdn/shop/products/Noctilucent-Highlighter-Palette-swatch_12e55424-9f21-4098-9da8-bef2b36a81e9_50x.jpg?v=1688678050")</f>
        <v/>
      </c>
      <c r="H458">
        <f>_xlfn.IMAGE("https://m.media-amazon.com/images/I/81CmrDnESnL._AC_UL320_.jpg")</f>
        <v/>
      </c>
      <c r="K458" t="inlineStr">
        <is>
          <t>40.0</t>
        </is>
      </c>
      <c r="L458" t="n">
        <v>6.99</v>
      </c>
      <c r="M458" s="1" t="inlineStr">
        <is>
          <t>-82.52%</t>
        </is>
      </c>
      <c r="N458" t="n">
        <v>5</v>
      </c>
      <c r="O458" t="n">
        <v>2</v>
      </c>
      <c r="Q458" t="inlineStr">
        <is>
          <t>InStock</t>
        </is>
      </c>
      <c r="R458" t="inlineStr">
        <is>
          <t>undefined</t>
        </is>
      </c>
      <c r="S458" t="inlineStr">
        <is>
          <t>7573720531129</t>
        </is>
      </c>
    </row>
    <row r="459" ht="75" customHeight="1">
      <c r="A459" s="2">
        <f>HYPERLINK("https://camerareadycosmetics.com/products/blend-bunny-cosmetics-noctilucent-highlighter-palette", "https://camerareadycosmetics.com/products/blend-bunny-cosmetics-noctilucent-highlighter-palette")</f>
        <v/>
      </c>
      <c r="B459" s="2">
        <f>HYPERLINK("https://camerareadycosmetics.com/products/blend-bunny-cosmetics-noctilucent-highlighter-palette", "https://camerareadycosmetics.com/products/blend-bunny-cosmetics-noctilucent-highlighter-palette")</f>
        <v/>
      </c>
      <c r="C459" t="inlineStr">
        <is>
          <t>Noctilucent Highlighter Makeup Palette</t>
        </is>
      </c>
      <c r="D459" t="inlineStr">
        <is>
          <t>8 Colors Highlighter Palette Shimmer Contour Highlighter Makeup Palette Face Body Powder Highlighter Natural Glitter Sparkle Makeup Palette</t>
        </is>
      </c>
      <c r="E459" s="2">
        <f>HYPERLINK("https://www.amazon.com/Highlighter-Palette-Shimmer-Contour-Natural/dp/B0BX6L1KP8/ref=sr_1_6?keywords=Noctilucent+Highlighter+Makeup+Palette&amp;qid=1695565695&amp;sr=8-6", "https://www.amazon.com/Highlighter-Palette-Shimmer-Contour-Natural/dp/B0BX6L1KP8/ref=sr_1_6?keywords=Noctilucent+Highlighter+Makeup+Palette&amp;qid=1695565695&amp;sr=8-6")</f>
        <v/>
      </c>
      <c r="F459" t="inlineStr">
        <is>
          <t>B0BX6L1KP8</t>
        </is>
      </c>
      <c r="G459">
        <f>_xlfn.IMAGE("https://camerareadycosmetics.com/cdn/shop/products/Noctilucent-Highlighter-Palette-swatch_12e55424-9f21-4098-9da8-bef2b36a81e9_50x.jpg?v=1688678050")</f>
        <v/>
      </c>
      <c r="H459">
        <f>_xlfn.IMAGE("https://m.media-amazon.com/images/I/817kU2n81KL._AC_UL320_.jpg")</f>
        <v/>
      </c>
      <c r="K459" t="inlineStr">
        <is>
          <t>40.0</t>
        </is>
      </c>
      <c r="L459" t="n">
        <v>6.99</v>
      </c>
      <c r="M459" s="1" t="inlineStr">
        <is>
          <t>-82.52%</t>
        </is>
      </c>
      <c r="N459" t="n">
        <v>5</v>
      </c>
      <c r="O459" t="n">
        <v>1</v>
      </c>
      <c r="Q459" t="inlineStr">
        <is>
          <t>InStock</t>
        </is>
      </c>
      <c r="R459" t="inlineStr">
        <is>
          <t>undefined</t>
        </is>
      </c>
      <c r="S459" t="inlineStr">
        <is>
          <t>7573720531129</t>
        </is>
      </c>
    </row>
    <row r="460" ht="75" customHeight="1">
      <c r="A460" s="2">
        <f>HYPERLINK("https://camerareadycosmetics.com/products/blend-bunny-cosmetics-noctilucent-highlighter-palette", "https://camerareadycosmetics.com/products/blend-bunny-cosmetics-noctilucent-highlighter-palette")</f>
        <v/>
      </c>
      <c r="B460" s="2">
        <f>HYPERLINK("https://camerareadycosmetics.com/products/blend-bunny-cosmetics-noctilucent-highlighter-palette", "https://camerareadycosmetics.com/products/blend-bunny-cosmetics-noctilucent-highlighter-palette")</f>
        <v/>
      </c>
      <c r="C460" t="inlineStr">
        <is>
          <t>Noctilucent Highlighter Makeup Palette</t>
        </is>
      </c>
      <c r="D460" t="inlineStr">
        <is>
          <t>UCANBE 3 Colors Face Highlighter Makeup Palette, Holographic Shimmer Glow Duo Chrome Cheek Contour illuminators, Highlighting Bronzer iluminadores de maquillaje luminizers Pallet Kit</t>
        </is>
      </c>
      <c r="E460" s="2">
        <f>HYPERLINK("https://www.amazon.com/UCANBE-Highlighter-illuminators-Highlighting-iluminadores/dp/B0C33CNPC5/ref=sr_1_4?keywords=Noctilucent+Highlighter+Makeup+Palette&amp;qid=1695565695&amp;sr=8-4", "https://www.amazon.com/UCANBE-Highlighter-illuminators-Highlighting-iluminadores/dp/B0C33CNPC5/ref=sr_1_4?keywords=Noctilucent+Highlighter+Makeup+Palette&amp;qid=1695565695&amp;sr=8-4")</f>
        <v/>
      </c>
      <c r="F460" t="inlineStr">
        <is>
          <t>B0C33CNPC5</t>
        </is>
      </c>
      <c r="G460">
        <f>_xlfn.IMAGE("https://camerareadycosmetics.com/cdn/shop/products/Noctilucent-Highlighter-Palette-swatch_12e55424-9f21-4098-9da8-bef2b36a81e9_50x.jpg?v=1688678050")</f>
        <v/>
      </c>
      <c r="H460">
        <f>_xlfn.IMAGE("https://m.media-amazon.com/images/I/812SHO6kA9L._AC_UL320_.jpg")</f>
        <v/>
      </c>
      <c r="K460" t="inlineStr">
        <is>
          <t>40.0</t>
        </is>
      </c>
      <c r="L460" t="n">
        <v>6.5</v>
      </c>
      <c r="M460" s="1" t="inlineStr">
        <is>
          <t>-83.75%</t>
        </is>
      </c>
      <c r="N460" t="n">
        <v>4.5</v>
      </c>
      <c r="O460" t="n">
        <v>1618</v>
      </c>
      <c r="Q460" t="inlineStr">
        <is>
          <t>InStock</t>
        </is>
      </c>
      <c r="R460" t="inlineStr">
        <is>
          <t>undefined</t>
        </is>
      </c>
      <c r="S460" t="inlineStr">
        <is>
          <t>7573720531129</t>
        </is>
      </c>
    </row>
    <row r="461" ht="75" customHeight="1">
      <c r="A461" s="2">
        <f>HYPERLINK("https://camerareadycosmetics.com/products/blend-bunny-cosmetics-noctilucent-highlighter-palette", "https://camerareadycosmetics.com/products/blend-bunny-cosmetics-noctilucent-highlighter-palette")</f>
        <v/>
      </c>
      <c r="B461" s="2">
        <f>HYPERLINK("https://camerareadycosmetics.com/products/blend-bunny-cosmetics-noctilucent-highlighter-palette", "https://camerareadycosmetics.com/products/blend-bunny-cosmetics-noctilucent-highlighter-palette")</f>
        <v/>
      </c>
      <c r="C461" t="inlineStr">
        <is>
          <t>Noctilucent Highlighter Makeup Palette</t>
        </is>
      </c>
      <c r="D461" t="inlineStr">
        <is>
          <t>Highlighter Powder Palette, Shimmer Highlighters Makeup Iluminador,Great Long Lasting Waterproof, Glow Bronzer Brilliant Lighten Skin Color Face Makeup Highlighter (A)</t>
        </is>
      </c>
      <c r="E461" s="2">
        <f>HYPERLINK("https://www.amazon.com/Highlighter-Highlighters-Iluminador-Waterproof-Brilliant/dp/B0BN1BLP7H/ref=sr_1_10?keywords=Noctilucent+Highlighter+Makeup+Palette&amp;qid=1695565695&amp;sr=8-10", "https://www.amazon.com/Highlighter-Highlighters-Iluminador-Waterproof-Brilliant/dp/B0BN1BLP7H/ref=sr_1_10?keywords=Noctilucent+Highlighter+Makeup+Palette&amp;qid=1695565695&amp;sr=8-10")</f>
        <v/>
      </c>
      <c r="F461" t="inlineStr">
        <is>
          <t>B0BN1BLP7H</t>
        </is>
      </c>
      <c r="G461">
        <f>_xlfn.IMAGE("https://camerareadycosmetics.com/cdn/shop/products/Noctilucent-Highlighter-Palette-swatch_12e55424-9f21-4098-9da8-bef2b36a81e9_50x.jpg?v=1688678050")</f>
        <v/>
      </c>
      <c r="H461">
        <f>_xlfn.IMAGE("https://m.media-amazon.com/images/I/61wsBR9T8bL._AC_UL320_.jpg")</f>
        <v/>
      </c>
      <c r="K461" t="inlineStr">
        <is>
          <t>40.0</t>
        </is>
      </c>
      <c r="L461" t="n">
        <v>5.97</v>
      </c>
      <c r="M461" s="1" t="inlineStr">
        <is>
          <t>-85.08%</t>
        </is>
      </c>
      <c r="N461" t="n">
        <v>4</v>
      </c>
      <c r="O461" t="n">
        <v>54</v>
      </c>
      <c r="Q461" t="inlineStr">
        <is>
          <t>InStock</t>
        </is>
      </c>
      <c r="R461" t="inlineStr">
        <is>
          <t>undefined</t>
        </is>
      </c>
      <c r="S461" t="inlineStr">
        <is>
          <t>7573720531129</t>
        </is>
      </c>
    </row>
    <row r="462" ht="75" customHeight="1">
      <c r="A462" s="2">
        <f>HYPERLINK("https://camerareadycosmetics.com/products/blend-bunny-cosmetics-noctilucent-highlighter-palette", "https://camerareadycosmetics.com/products/blend-bunny-cosmetics-noctilucent-highlighter-palette")</f>
        <v/>
      </c>
      <c r="B462" s="2">
        <f>HYPERLINK("https://camerareadycosmetics.com/products/blend-bunny-cosmetics-noctilucent-highlighter-palette", "https://camerareadycosmetics.com/products/blend-bunny-cosmetics-noctilucent-highlighter-palette")</f>
        <v/>
      </c>
      <c r="C462" t="inlineStr">
        <is>
          <t>Noctilucent Highlighter Makeup Palette</t>
        </is>
      </c>
      <c r="D462" t="inlineStr">
        <is>
          <t>CHARMACY Multichrome Glitter Highlighter Makeup Palette, Shimmer Cream Contour Face Brightening Illuminator Hybrid Chameleon Highlighter, Long Lasting, Cruetly-Free (#614)</t>
        </is>
      </c>
      <c r="E462" s="2">
        <f>HYPERLINK("https://www.amazon.com/CHARMACY-Multichrome-Highlighter-Brightening-Cruetly-Free/dp/B0BRSH87W3/ref=sr_1_9?keywords=Noctilucent+Highlighter+Makeup+Palette&amp;qid=1695565695&amp;sr=8-9", "https://www.amazon.com/CHARMACY-Multichrome-Highlighter-Brightening-Cruetly-Free/dp/B0BRSH87W3/ref=sr_1_9?keywords=Noctilucent+Highlighter+Makeup+Palette&amp;qid=1695565695&amp;sr=8-9")</f>
        <v/>
      </c>
      <c r="F462" t="inlineStr">
        <is>
          <t>B0BRSH87W3</t>
        </is>
      </c>
      <c r="G462">
        <f>_xlfn.IMAGE("https://camerareadycosmetics.com/cdn/shop/products/Noctilucent-Highlighter-Palette-swatch_12e55424-9f21-4098-9da8-bef2b36a81e9_50x.jpg?v=1688678050")</f>
        <v/>
      </c>
      <c r="H462">
        <f>_xlfn.IMAGE("https://m.media-amazon.com/images/I/71pSWmSN+XL._AC_UL320_.jpg")</f>
        <v/>
      </c>
      <c r="K462" t="inlineStr">
        <is>
          <t>40.0</t>
        </is>
      </c>
      <c r="L462" t="n">
        <v>11.99</v>
      </c>
      <c r="M462" s="1" t="inlineStr">
        <is>
          <t>-70.02%</t>
        </is>
      </c>
      <c r="N462" t="n">
        <v>4.3</v>
      </c>
      <c r="O462" t="n">
        <v>75</v>
      </c>
      <c r="Q462" t="inlineStr">
        <is>
          <t>InStock</t>
        </is>
      </c>
      <c r="R462" t="inlineStr">
        <is>
          <t>undefined</t>
        </is>
      </c>
      <c r="S462" t="inlineStr">
        <is>
          <t>7573720531129</t>
        </is>
      </c>
    </row>
    <row r="463" ht="75" customHeight="1">
      <c r="A463" s="2">
        <f>HYPERLINK("https://camerareadycosmetics.com/products/blend-bunny-cosmetics-noctilucent-highlighter-palette", "https://camerareadycosmetics.com/products/blend-bunny-cosmetics-noctilucent-highlighter-palette")</f>
        <v/>
      </c>
      <c r="B463" s="2">
        <f>HYPERLINK("https://camerareadycosmetics.com/products/blend-bunny-cosmetics-noctilucent-highlighter-palette", "https://camerareadycosmetics.com/products/blend-bunny-cosmetics-noctilucent-highlighter-palette")</f>
        <v/>
      </c>
      <c r="C463" t="inlineStr">
        <is>
          <t>Noctilucent Highlighter Makeup Palette</t>
        </is>
      </c>
      <c r="D463" t="inlineStr">
        <is>
          <t>4-color highlighter makeup palette shimmer bronze contour shadow illumination highlight eyeshadow palette eyeshadow cosmetic set</t>
        </is>
      </c>
      <c r="E463" s="2">
        <f>HYPERLINK("https://www.amazon.com/highlighter-illumination-highlight-eyeshadow-cosmetic/dp/B0BZMSSPKV/ref=sr_1_5?keywords=Noctilucent+Highlighter+Makeup+Palette&amp;qid=1695565695&amp;sr=8-5", "https://www.amazon.com/highlighter-illumination-highlight-eyeshadow-cosmetic/dp/B0BZMSSPKV/ref=sr_1_5?keywords=Noctilucent+Highlighter+Makeup+Palette&amp;qid=1695565695&amp;sr=8-5")</f>
        <v/>
      </c>
      <c r="F463" t="inlineStr">
        <is>
          <t>B0BZMSSPKV</t>
        </is>
      </c>
      <c r="G463">
        <f>_xlfn.IMAGE("https://camerareadycosmetics.com/cdn/shop/products/Noctilucent-Highlighter-Palette-swatch_12e55424-9f21-4098-9da8-bef2b36a81e9_50x.jpg?v=1688678050")</f>
        <v/>
      </c>
      <c r="H463">
        <f>_xlfn.IMAGE("https://m.media-amazon.com/images/I/61ZRMF6hleL._AC_UL320_.jpg")</f>
        <v/>
      </c>
      <c r="K463" t="inlineStr">
        <is>
          <t>40.0</t>
        </is>
      </c>
      <c r="L463" t="n">
        <v>9.99</v>
      </c>
      <c r="M463" s="1" t="inlineStr">
        <is>
          <t>-75.02%</t>
        </is>
      </c>
      <c r="N463" t="n">
        <v>4.5</v>
      </c>
      <c r="O463" t="n">
        <v>2</v>
      </c>
      <c r="Q463" t="inlineStr">
        <is>
          <t>InStock</t>
        </is>
      </c>
      <c r="R463" t="inlineStr">
        <is>
          <t>undefined</t>
        </is>
      </c>
      <c r="S463" t="inlineStr">
        <is>
          <t>7573720531129</t>
        </is>
      </c>
    </row>
    <row r="464" ht="75" customHeight="1">
      <c r="A464" s="2">
        <f>HYPERLINK("https://camerareadycosmetics.com/products/blend-bunny-cosmetics-noctilucent-highlighter-palette", "https://camerareadycosmetics.com/products/blend-bunny-cosmetics-noctilucent-highlighter-palette")</f>
        <v/>
      </c>
      <c r="B464" s="2">
        <f>HYPERLINK("https://camerareadycosmetics.com/products/blend-bunny-cosmetics-noctilucent-highlighter-palette", "https://camerareadycosmetics.com/products/blend-bunny-cosmetics-noctilucent-highlighter-palette")</f>
        <v/>
      </c>
      <c r="C464" t="inlineStr">
        <is>
          <t>Noctilucent Highlighter Makeup Palette</t>
        </is>
      </c>
      <c r="D464" t="inlineStr">
        <is>
          <t>Highlighter Palette Highlighter Makeup Iluminador - Glow Bronzer Powder Makeup Highlighter Kit With Mirror - 4 Highly Pigmented Face Highlighter Shimmer Colors - Vegan, Cruelty Free &amp; Hypoallergenic</t>
        </is>
      </c>
      <c r="E464" s="2">
        <f>HYPERLINK("https://www.amazon.com/Highlighter-Palette-Highlighters-Makeup-Iluminador/dp/B081VHHJSY/ref=sr_1_2?keywords=Noctilucent+Highlighter+Makeup+Palette&amp;qid=1695565695&amp;sr=8-2", "https://www.amazon.com/Highlighter-Palette-Highlighters-Makeup-Iluminador/dp/B081VHHJSY/ref=sr_1_2?keywords=Noctilucent+Highlighter+Makeup+Palette&amp;qid=1695565695&amp;sr=8-2")</f>
        <v/>
      </c>
      <c r="F464" t="inlineStr">
        <is>
          <t>B081VHHJSY</t>
        </is>
      </c>
      <c r="G464">
        <f>_xlfn.IMAGE("https://camerareadycosmetics.com/cdn/shop/products/Noctilucent-Highlighter-Palette-swatch_12e55424-9f21-4098-9da8-bef2b36a81e9_50x.jpg?v=1688678050")</f>
        <v/>
      </c>
      <c r="H464">
        <f>_xlfn.IMAGE("https://m.media-amazon.com/images/I/71waxZOAHLL._AC_UL320_.jpg")</f>
        <v/>
      </c>
      <c r="K464" t="inlineStr">
        <is>
          <t>40.0</t>
        </is>
      </c>
      <c r="L464" t="n">
        <v>9.99</v>
      </c>
      <c r="M464" s="1" t="inlineStr">
        <is>
          <t>-75.02%</t>
        </is>
      </c>
      <c r="N464" t="n">
        <v>4.5</v>
      </c>
      <c r="O464" t="n">
        <v>2351</v>
      </c>
      <c r="Q464" t="inlineStr">
        <is>
          <t>InStock</t>
        </is>
      </c>
      <c r="R464" t="inlineStr">
        <is>
          <t>undefined</t>
        </is>
      </c>
      <c r="S464" t="inlineStr">
        <is>
          <t>7573720531129</t>
        </is>
      </c>
    </row>
    <row r="465" ht="75" customHeight="1">
      <c r="A465" s="2">
        <f>HYPERLINK("https://camerareadycosmetics.com/products/blend-bunny-cosmetics-noctilucent-highlighter-palette", "https://camerareadycosmetics.com/products/blend-bunny-cosmetics-noctilucent-highlighter-palette")</f>
        <v/>
      </c>
      <c r="B465" s="2">
        <f>HYPERLINK("https://camerareadycosmetics.com/products/blend-bunny-cosmetics-noctilucent-highlighter-palette", "https://camerareadycosmetics.com/products/blend-bunny-cosmetics-noctilucent-highlighter-palette")</f>
        <v/>
      </c>
      <c r="C465" t="inlineStr">
        <is>
          <t>Noctilucent Highlighter Makeup Palette</t>
        </is>
      </c>
      <c r="D465" t="inlineStr">
        <is>
          <t>evpct 4 Color Highlighter Makeup Palette for Face Cheek Pink Blonde gold Aurora blue Mermaid pink Halographic Diamond Shimmer Glitter Highlighters &amp; Luminizers Stick Palette iluminadores de maquillaje</t>
        </is>
      </c>
      <c r="E465" s="2">
        <f>HYPERLINK("https://www.amazon.com/evpct-Highlighter-Halographic-Highlighters-iluminadores/dp/B0C5SMGFBT/ref=sr_1_1?keywords=Noctilucent+Highlighter+Makeup+Palette&amp;qid=1695565695&amp;sr=8-1", "https://www.amazon.com/evpct-Highlighter-Halographic-Highlighters-iluminadores/dp/B0C5SMGFBT/ref=sr_1_1?keywords=Noctilucent+Highlighter+Makeup+Palette&amp;qid=1695565695&amp;sr=8-1")</f>
        <v/>
      </c>
      <c r="F465" t="inlineStr">
        <is>
          <t>B0C5SMGFBT</t>
        </is>
      </c>
      <c r="G465">
        <f>_xlfn.IMAGE("https://camerareadycosmetics.com/cdn/shop/products/Noctilucent-Highlighter-Palette-swatch_12e55424-9f21-4098-9da8-bef2b36a81e9_50x.jpg?v=1688678050")</f>
        <v/>
      </c>
      <c r="H465">
        <f>_xlfn.IMAGE("https://m.media-amazon.com/images/I/71yLCuGfeOL._AC_UL320_.jpg")</f>
        <v/>
      </c>
      <c r="K465" t="inlineStr">
        <is>
          <t>40.0</t>
        </is>
      </c>
      <c r="L465" t="n">
        <v>8.99</v>
      </c>
      <c r="M465" s="1" t="inlineStr">
        <is>
          <t>-77.53%</t>
        </is>
      </c>
      <c r="N465" t="n">
        <v>4.1</v>
      </c>
      <c r="O465" t="n">
        <v>978</v>
      </c>
      <c r="Q465" t="inlineStr">
        <is>
          <t>InStock</t>
        </is>
      </c>
      <c r="R465" t="inlineStr">
        <is>
          <t>undefined</t>
        </is>
      </c>
      <c r="S465" t="inlineStr">
        <is>
          <t>7573720531129</t>
        </is>
      </c>
    </row>
    <row r="466" ht="75" customHeight="1">
      <c r="A466" s="2">
        <f>HYPERLINK("https://camerareadycosmetics.com/products/blend-bunny-cosmetics-noctilucent-highlighter-palette", "https://camerareadycosmetics.com/products/blend-bunny-cosmetics-noctilucent-highlighter-palette")</f>
        <v/>
      </c>
      <c r="B466" s="2">
        <f>HYPERLINK("https://camerareadycosmetics.com/products/blend-bunny-cosmetics-noctilucent-highlighter-palette", "https://camerareadycosmetics.com/products/blend-bunny-cosmetics-noctilucent-highlighter-palette")</f>
        <v/>
      </c>
      <c r="C466" t="inlineStr">
        <is>
          <t>Noctilucent Highlighter Makeup Palette</t>
        </is>
      </c>
      <c r="D466" t="inlineStr">
        <is>
          <t>SUMEITANG 8 Colors Face Highlighter Makeup Palette iluminadores de maquillaje profesional Natural Glow Facial Highlighters &amp; luminizers Contour Concealer Highlight powder Palette Lasting Lightweight</t>
        </is>
      </c>
      <c r="E466" s="2">
        <f>HYPERLINK("https://www.amazon.com/SUMEITANG-Pearlescent-Highlighter-Illuminator-Luminizers/dp/B09NDB7491/ref=sr_1_7?keywords=Noctilucent+Highlighter+Makeup+Palette&amp;qid=1695565695&amp;sr=8-7", "https://www.amazon.com/SUMEITANG-Pearlescent-Highlighter-Illuminator-Luminizers/dp/B09NDB7491/ref=sr_1_7?keywords=Noctilucent+Highlighter+Makeup+Palette&amp;qid=1695565695&amp;sr=8-7")</f>
        <v/>
      </c>
      <c r="F466" t="inlineStr">
        <is>
          <t>B09NDB7491</t>
        </is>
      </c>
      <c r="G466">
        <f>_xlfn.IMAGE("https://camerareadycosmetics.com/cdn/shop/products/Noctilucent-Highlighter-Palette-swatch_12e55424-9f21-4098-9da8-bef2b36a81e9_50x.jpg?v=1688678050")</f>
        <v/>
      </c>
      <c r="H466">
        <f>_xlfn.IMAGE("https://m.media-amazon.com/images/I/71fm6SnY8TL._AC_UL320_.jpg")</f>
        <v/>
      </c>
      <c r="K466" t="inlineStr">
        <is>
          <t>40.0</t>
        </is>
      </c>
      <c r="L466" t="n">
        <v>8.98</v>
      </c>
      <c r="M466" s="1" t="inlineStr">
        <is>
          <t>-77.55%</t>
        </is>
      </c>
      <c r="N466" t="n">
        <v>4.1</v>
      </c>
      <c r="O466" t="n">
        <v>422</v>
      </c>
      <c r="Q466" t="inlineStr">
        <is>
          <t>InStock</t>
        </is>
      </c>
      <c r="R466" t="inlineStr">
        <is>
          <t>undefined</t>
        </is>
      </c>
      <c r="S466" t="inlineStr">
        <is>
          <t>7573720531129</t>
        </is>
      </c>
    </row>
    <row r="467" ht="75" customHeight="1">
      <c r="A467" s="2">
        <f>HYPERLINK("https://camerareadycosmetics.com/products/blend-bunny-cosmetics-noctilucent-highlighter-palette", "https://camerareadycosmetics.com/products/blend-bunny-cosmetics-noctilucent-highlighter-palette")</f>
        <v/>
      </c>
      <c r="B467" s="2">
        <f>HYPERLINK("https://camerareadycosmetics.com/products/blend-bunny-cosmetics-noctilucent-highlighter-palette", "https://camerareadycosmetics.com/products/blend-bunny-cosmetics-noctilucent-highlighter-palette")</f>
        <v/>
      </c>
      <c r="C467" t="inlineStr">
        <is>
          <t>Noctilucent Highlighter Makeup Palette</t>
        </is>
      </c>
      <c r="D467" t="inlineStr">
        <is>
          <t>FREEORR Baked Highlighter Powder Palette, Makeup Highlighter Powder Palette Sheer Shimmering Finish Face Highlighters Makeup Iluminadores de Maquillaje #02 Mermaid Pink</t>
        </is>
      </c>
      <c r="E467" s="2">
        <f>HYPERLINK("https://www.amazon.com/FREEORR-Highlighter-Shimmering-Highlighters-Iluminadores/dp/B0BW47TMW5/ref=sr_1_3?keywords=Noctilucent+Highlighter+Makeup+Palette&amp;qid=1695565695&amp;sr=8-3", "https://www.amazon.com/FREEORR-Highlighter-Shimmering-Highlighters-Iluminadores/dp/B0BW47TMW5/ref=sr_1_3?keywords=Noctilucent+Highlighter+Makeup+Palette&amp;qid=1695565695&amp;sr=8-3")</f>
        <v/>
      </c>
      <c r="F467" t="inlineStr">
        <is>
          <t>B0BW47TMW5</t>
        </is>
      </c>
      <c r="G467">
        <f>_xlfn.IMAGE("https://camerareadycosmetics.com/cdn/shop/products/Noctilucent-Highlighter-Palette-swatch_12e55424-9f21-4098-9da8-bef2b36a81e9_50x.jpg?v=1688678050")</f>
        <v/>
      </c>
      <c r="H467">
        <f>_xlfn.IMAGE("https://m.media-amazon.com/images/I/81mzZn9DPBL._AC_UL320_.jpg")</f>
        <v/>
      </c>
      <c r="K467" t="inlineStr">
        <is>
          <t>40.0</t>
        </is>
      </c>
      <c r="L467" t="n">
        <v>6.99</v>
      </c>
      <c r="M467" s="1" t="inlineStr">
        <is>
          <t>-82.52%</t>
        </is>
      </c>
      <c r="N467" t="n">
        <v>4</v>
      </c>
      <c r="O467" t="n">
        <v>7</v>
      </c>
      <c r="Q467" t="inlineStr">
        <is>
          <t>InStock</t>
        </is>
      </c>
      <c r="R467" t="inlineStr">
        <is>
          <t>undefined</t>
        </is>
      </c>
      <c r="S467" t="inlineStr">
        <is>
          <t>7573720531129</t>
        </is>
      </c>
    </row>
    <row r="468" ht="75" customHeight="1">
      <c r="A468" s="2">
        <f>HYPERLINK("https://camerareadycosmetics.com/products/blend-bunny-cosmetics-noctilucent-highlighter-palette", "https://camerareadycosmetics.com/products/blend-bunny-cosmetics-noctilucent-highlighter-palette")</f>
        <v/>
      </c>
      <c r="B468" s="2">
        <f>HYPERLINK("https://camerareadycosmetics.com/products/blend-bunny-cosmetics-noctilucent-highlighter-palette", "https://camerareadycosmetics.com/products/blend-bunny-cosmetics-noctilucent-highlighter-palette")</f>
        <v/>
      </c>
      <c r="C468" t="inlineStr">
        <is>
          <t>Noctilucent Highlighter Makeup Palette</t>
        </is>
      </c>
      <c r="D468" t="inlineStr">
        <is>
          <t>Highlighter Makeup Palette White Silver,Shimmer Glitter Highlight Makeup Pallets,Glow Illuminator Highlighters Pallet,Highly Pigmented Shiny For Face Cheek Pale Skin, Suit For All Skin Tones</t>
        </is>
      </c>
      <c r="E468" s="2">
        <f>HYPERLINK("https://www.amazon.com/Highlighter-Highlight-Contouring-Illuminator-Highlighters/dp/B0BYD9C46S/ref=sr_1_8?keywords=Noctilucent+Highlighter+Makeup+Palette&amp;qid=1695565695&amp;sr=8-8", "https://www.amazon.com/Highlighter-Highlight-Contouring-Illuminator-Highlighters/dp/B0BYD9C46S/ref=sr_1_8?keywords=Noctilucent+Highlighter+Makeup+Palette&amp;qid=1695565695&amp;sr=8-8")</f>
        <v/>
      </c>
      <c r="F468" t="inlineStr">
        <is>
          <t>B0BYD9C46S</t>
        </is>
      </c>
      <c r="G468">
        <f>_xlfn.IMAGE("https://camerareadycosmetics.com/cdn/shop/products/Noctilucent-Highlighter-Palette-swatch_12e55424-9f21-4098-9da8-bef2b36a81e9_50x.jpg?v=1688678050")</f>
        <v/>
      </c>
      <c r="H468">
        <f>_xlfn.IMAGE("https://m.media-amazon.com/images/I/81CmrDnESnL._AC_UL320_.jpg")</f>
        <v/>
      </c>
      <c r="K468" t="inlineStr">
        <is>
          <t>40.0</t>
        </is>
      </c>
      <c r="L468" t="n">
        <v>6.99</v>
      </c>
      <c r="M468" s="1" t="inlineStr">
        <is>
          <t>-82.52%</t>
        </is>
      </c>
      <c r="N468" t="n">
        <v>5</v>
      </c>
      <c r="O468" t="n">
        <v>2</v>
      </c>
      <c r="Q468" t="inlineStr">
        <is>
          <t>InStock</t>
        </is>
      </c>
      <c r="R468" t="inlineStr">
        <is>
          <t>undefined</t>
        </is>
      </c>
      <c r="S468" t="inlineStr">
        <is>
          <t>7573720531129</t>
        </is>
      </c>
    </row>
    <row r="469" ht="75" customHeight="1">
      <c r="A469" s="2">
        <f>HYPERLINK("https://camerareadycosmetics.com/products/blend-bunny-cosmetics-noctilucent-highlighter-palette", "https://camerareadycosmetics.com/products/blend-bunny-cosmetics-noctilucent-highlighter-palette")</f>
        <v/>
      </c>
      <c r="B469" s="2">
        <f>HYPERLINK("https://camerareadycosmetics.com/products/blend-bunny-cosmetics-noctilucent-highlighter-palette", "https://camerareadycosmetics.com/products/blend-bunny-cosmetics-noctilucent-highlighter-palette")</f>
        <v/>
      </c>
      <c r="C469" t="inlineStr">
        <is>
          <t>Noctilucent Highlighter Makeup Palette</t>
        </is>
      </c>
      <c r="D469" t="inlineStr">
        <is>
          <t>8 Colors Highlighter Palette Shimmer Contour Highlighter Makeup Palette Face Body Powder Highlighter Natural Glitter Sparkle Makeup Palette</t>
        </is>
      </c>
      <c r="E469" s="2">
        <f>HYPERLINK("https://www.amazon.com/Highlighter-Palette-Shimmer-Contour-Natural/dp/B0BX6L1KP8/ref=sr_1_6?keywords=Noctilucent+Highlighter+Makeup+Palette&amp;qid=1695565695&amp;sr=8-6", "https://www.amazon.com/Highlighter-Palette-Shimmer-Contour-Natural/dp/B0BX6L1KP8/ref=sr_1_6?keywords=Noctilucent+Highlighter+Makeup+Palette&amp;qid=1695565695&amp;sr=8-6")</f>
        <v/>
      </c>
      <c r="F469" t="inlineStr">
        <is>
          <t>B0BX6L1KP8</t>
        </is>
      </c>
      <c r="G469">
        <f>_xlfn.IMAGE("https://camerareadycosmetics.com/cdn/shop/products/Noctilucent-Highlighter-Palette-swatch_12e55424-9f21-4098-9da8-bef2b36a81e9_50x.jpg?v=1688678050")</f>
        <v/>
      </c>
      <c r="H469">
        <f>_xlfn.IMAGE("https://m.media-amazon.com/images/I/817kU2n81KL._AC_UL320_.jpg")</f>
        <v/>
      </c>
      <c r="K469" t="inlineStr">
        <is>
          <t>40.0</t>
        </is>
      </c>
      <c r="L469" t="n">
        <v>6.99</v>
      </c>
      <c r="M469" s="1" t="inlineStr">
        <is>
          <t>-82.52%</t>
        </is>
      </c>
      <c r="N469" t="n">
        <v>5</v>
      </c>
      <c r="O469" t="n">
        <v>1</v>
      </c>
      <c r="Q469" t="inlineStr">
        <is>
          <t>InStock</t>
        </is>
      </c>
      <c r="R469" t="inlineStr">
        <is>
          <t>undefined</t>
        </is>
      </c>
      <c r="S469" t="inlineStr">
        <is>
          <t>7573720531129</t>
        </is>
      </c>
    </row>
    <row r="470" ht="75" customHeight="1">
      <c r="A470" s="2">
        <f>HYPERLINK("https://camerareadycosmetics.com/products/blend-bunny-cosmetics-noctilucent-highlighter-palette", "https://camerareadycosmetics.com/products/blend-bunny-cosmetics-noctilucent-highlighter-palette")</f>
        <v/>
      </c>
      <c r="B470" s="2">
        <f>HYPERLINK("https://camerareadycosmetics.com/products/blend-bunny-cosmetics-noctilucent-highlighter-palette", "https://camerareadycosmetics.com/products/blend-bunny-cosmetics-noctilucent-highlighter-palette")</f>
        <v/>
      </c>
      <c r="C470" t="inlineStr">
        <is>
          <t>Noctilucent Highlighter Makeup Palette</t>
        </is>
      </c>
      <c r="D470" t="inlineStr">
        <is>
          <t>UCANBE 3 Colors Face Highlighter Makeup Palette, Holographic Shimmer Glow Duo Chrome Cheek Contour illuminators, Highlighting Bronzer iluminadores de maquillaje luminizers Pallet Kit</t>
        </is>
      </c>
      <c r="E470" s="2">
        <f>HYPERLINK("https://www.amazon.com/UCANBE-Highlighter-illuminators-Highlighting-iluminadores/dp/B0C33CNPC5/ref=sr_1_4?keywords=Noctilucent+Highlighter+Makeup+Palette&amp;qid=1695565695&amp;sr=8-4", "https://www.amazon.com/UCANBE-Highlighter-illuminators-Highlighting-iluminadores/dp/B0C33CNPC5/ref=sr_1_4?keywords=Noctilucent+Highlighter+Makeup+Palette&amp;qid=1695565695&amp;sr=8-4")</f>
        <v/>
      </c>
      <c r="F470" t="inlineStr">
        <is>
          <t>B0C33CNPC5</t>
        </is>
      </c>
      <c r="G470">
        <f>_xlfn.IMAGE("https://camerareadycosmetics.com/cdn/shop/products/Noctilucent-Highlighter-Palette-swatch_12e55424-9f21-4098-9da8-bef2b36a81e9_50x.jpg?v=1688678050")</f>
        <v/>
      </c>
      <c r="H470">
        <f>_xlfn.IMAGE("https://m.media-amazon.com/images/I/812SHO6kA9L._AC_UL320_.jpg")</f>
        <v/>
      </c>
      <c r="K470" t="inlineStr">
        <is>
          <t>40.0</t>
        </is>
      </c>
      <c r="L470" t="n">
        <v>6.5</v>
      </c>
      <c r="M470" s="1" t="inlineStr">
        <is>
          <t>-83.75%</t>
        </is>
      </c>
      <c r="N470" t="n">
        <v>4.5</v>
      </c>
      <c r="O470" t="n">
        <v>1618</v>
      </c>
      <c r="Q470" t="inlineStr">
        <is>
          <t>InStock</t>
        </is>
      </c>
      <c r="R470" t="inlineStr">
        <is>
          <t>undefined</t>
        </is>
      </c>
      <c r="S470" t="inlineStr">
        <is>
          <t>7573720531129</t>
        </is>
      </c>
    </row>
    <row r="471" ht="75" customHeight="1">
      <c r="A471" s="2">
        <f>HYPERLINK("https://camerareadycosmetics.com/products/blend-bunny-cosmetics-noctilucent-highlighter-palette", "https://camerareadycosmetics.com/products/blend-bunny-cosmetics-noctilucent-highlighter-palette")</f>
        <v/>
      </c>
      <c r="B471" s="2">
        <f>HYPERLINK("https://camerareadycosmetics.com/products/blend-bunny-cosmetics-noctilucent-highlighter-palette", "https://camerareadycosmetics.com/products/blend-bunny-cosmetics-noctilucent-highlighter-palette")</f>
        <v/>
      </c>
      <c r="C471" t="inlineStr">
        <is>
          <t>Noctilucent Highlighter Makeup Palette</t>
        </is>
      </c>
      <c r="D471" t="inlineStr">
        <is>
          <t>Highlighter Powder Palette, Shimmer Highlighters Makeup Iluminador,Great Long Lasting Waterproof, Glow Bronzer Brilliant Lighten Skin Color Face Makeup Highlighter (A)</t>
        </is>
      </c>
      <c r="E471" s="2">
        <f>HYPERLINK("https://www.amazon.com/Highlighter-Highlighters-Iluminador-Waterproof-Brilliant/dp/B0BN1BLP7H/ref=sr_1_10?keywords=Noctilucent+Highlighter+Makeup+Palette&amp;qid=1695565695&amp;sr=8-10", "https://www.amazon.com/Highlighter-Highlighters-Iluminador-Waterproof-Brilliant/dp/B0BN1BLP7H/ref=sr_1_10?keywords=Noctilucent+Highlighter+Makeup+Palette&amp;qid=1695565695&amp;sr=8-10")</f>
        <v/>
      </c>
      <c r="F471" t="inlineStr">
        <is>
          <t>B0BN1BLP7H</t>
        </is>
      </c>
      <c r="G471">
        <f>_xlfn.IMAGE("https://camerareadycosmetics.com/cdn/shop/products/Noctilucent-Highlighter-Palette-swatch_12e55424-9f21-4098-9da8-bef2b36a81e9_50x.jpg?v=1688678050")</f>
        <v/>
      </c>
      <c r="H471">
        <f>_xlfn.IMAGE("https://m.media-amazon.com/images/I/61wsBR9T8bL._AC_UL320_.jpg")</f>
        <v/>
      </c>
      <c r="K471" t="inlineStr">
        <is>
          <t>40.0</t>
        </is>
      </c>
      <c r="L471" t="n">
        <v>5.97</v>
      </c>
      <c r="M471" s="1" t="inlineStr">
        <is>
          <t>-85.08%</t>
        </is>
      </c>
      <c r="N471" t="n">
        <v>4</v>
      </c>
      <c r="O471" t="n">
        <v>54</v>
      </c>
      <c r="Q471" t="inlineStr">
        <is>
          <t>InStock</t>
        </is>
      </c>
      <c r="R471" t="inlineStr">
        <is>
          <t>undefined</t>
        </is>
      </c>
      <c r="S471" t="inlineStr">
        <is>
          <t>7573720531129</t>
        </is>
      </c>
    </row>
    <row r="472" ht="75" customHeight="1">
      <c r="A472" s="2">
        <f>HYPERLINK("https://camerareadycosmetics.com/products/blend-bunny-cosmetics-sugar-and-grunge-matte-lip-cream", "https://camerareadycosmetics.com/products/blend-bunny-cosmetics-sugar-and-grunge-matte-lip-cream")</f>
        <v/>
      </c>
      <c r="B472" s="2">
        <f>HYPERLINK("https://camerareadycosmetics.com/products/blend-bunny-cosmetics-sugar-and-grunge-matte-lip-cream", "https://camerareadycosmetics.com/products/blend-bunny-cosmetics-sugar-and-grunge-matte-lip-cream")</f>
        <v/>
      </c>
      <c r="C472" t="inlineStr">
        <is>
          <t>Matte Lip Cream - Sugar &amp; Grunge</t>
        </is>
      </c>
      <c r="D472" t="inlineStr">
        <is>
          <t>Mehron Makeup Highly Pigmented Semi-Matte LIP Cream (Sugar Mama)</t>
        </is>
      </c>
      <c r="E472" s="2">
        <f>HYPERLINK("https://www.amazon.com/Mehron-Makeup-Highly-Pigmented-Semi-Matte/dp/B07CXY54MZ/ref=sr_1_1?keywords=Matte+Lip+Cream+-+Sugar&amp;qid=1695565879&amp;sr=8-1", "https://www.amazon.com/Mehron-Makeup-Highly-Pigmented-Semi-Matte/dp/B07CXY54MZ/ref=sr_1_1?keywords=Matte+Lip+Cream+-+Sugar&amp;qid=1695565879&amp;sr=8-1")</f>
        <v/>
      </c>
      <c r="F472" t="inlineStr">
        <is>
          <t>B07CXY54MZ</t>
        </is>
      </c>
      <c r="G472">
        <f>_xlfn.IMAGE("https://camerareadycosmetics.com/cdn/shop/files/belnd-bunny-sugar-grunge-lip-cream_1_50x.jpg?v=1688147770")</f>
        <v/>
      </c>
      <c r="H472">
        <f>_xlfn.IMAGE("https://m.media-amazon.com/images/I/41shg40TmyL._AC_UL320_.jpg")</f>
        <v/>
      </c>
      <c r="K472" t="inlineStr">
        <is>
          <t>12.0</t>
        </is>
      </c>
      <c r="L472" t="n">
        <v>9.949999999999999</v>
      </c>
      <c r="M472" s="1" t="inlineStr">
        <is>
          <t>-17.08%</t>
        </is>
      </c>
      <c r="N472" t="n">
        <v>4.3</v>
      </c>
      <c r="O472" t="n">
        <v>18</v>
      </c>
      <c r="Q472" t="inlineStr">
        <is>
          <t>InStock</t>
        </is>
      </c>
      <c r="R472" t="inlineStr">
        <is>
          <t>undefined</t>
        </is>
      </c>
      <c r="S472" t="inlineStr">
        <is>
          <t>7598507032761</t>
        </is>
      </c>
    </row>
    <row r="473" ht="75" customHeight="1">
      <c r="A473" s="2">
        <f>HYPERLINK("https://camerareadycosmetics.com/products/blend-bunny-cosmetics-sugar-and-grunge-matte-lip-cream", "https://camerareadycosmetics.com/products/blend-bunny-cosmetics-sugar-and-grunge-matte-lip-cream")</f>
        <v/>
      </c>
      <c r="B473" s="2">
        <f>HYPERLINK("https://camerareadycosmetics.com/products/blend-bunny-cosmetics-sugar-and-grunge-matte-lip-cream", "https://camerareadycosmetics.com/products/blend-bunny-cosmetics-sugar-and-grunge-matte-lip-cream")</f>
        <v/>
      </c>
      <c r="C473" t="inlineStr">
        <is>
          <t>Matte Lip Cream - Sugar &amp; Grunge</t>
        </is>
      </c>
      <c r="D473" t="inlineStr">
        <is>
          <t>wet n wild Liquid Lipstick Cloud Pout Marshmallow, Orange-Red Sugar-Holic | Matte Lip Cream Mousse | Argan Oil | Vitamin E</t>
        </is>
      </c>
      <c r="E473" s="2">
        <f>HYPERLINK("https://www.amazon.com/Wet-Wild-Lipstick-Sugar-Holic-Marshmallow/dp/B08RRPQJH3/ref=sr_1_3?keywords=Matte+Lip+Cream+-+Sugar&amp;qid=1695565879&amp;rdc=1&amp;sr=8-3", "https://www.amazon.com/Wet-Wild-Lipstick-Sugar-Holic-Marshmallow/dp/B08RRPQJH3/ref=sr_1_3?keywords=Matte+Lip+Cream+-+Sugar&amp;qid=1695565879&amp;rdc=1&amp;sr=8-3")</f>
        <v/>
      </c>
      <c r="F473" t="inlineStr">
        <is>
          <t>B08RRPQJH3</t>
        </is>
      </c>
      <c r="G473">
        <f>_xlfn.IMAGE("https://camerareadycosmetics.com/cdn/shop/files/belnd-bunny-sugar-grunge-lip-cream_1_50x.jpg?v=1688147770")</f>
        <v/>
      </c>
      <c r="H473">
        <f>_xlfn.IMAGE("https://m.media-amazon.com/images/I/71SyNsAgRIL._AC_UL320_.jpg")</f>
        <v/>
      </c>
      <c r="K473" t="inlineStr">
        <is>
          <t>12.0</t>
        </is>
      </c>
      <c r="L473" t="n">
        <v>4.99</v>
      </c>
      <c r="M473" s="1" t="inlineStr">
        <is>
          <t>-58.42%</t>
        </is>
      </c>
      <c r="N473" t="n">
        <v>4.2</v>
      </c>
      <c r="O473" t="n">
        <v>2416</v>
      </c>
      <c r="Q473" t="inlineStr">
        <is>
          <t>InStock</t>
        </is>
      </c>
      <c r="R473" t="inlineStr">
        <is>
          <t>undefined</t>
        </is>
      </c>
      <c r="S473" t="inlineStr">
        <is>
          <t>7598507032761</t>
        </is>
      </c>
    </row>
    <row r="474" ht="75" customHeight="1">
      <c r="A474" s="2">
        <f>HYPERLINK("https://camerareadycosmetics.com/products/blend-bunny-juicy-cheeks-face-palette", "https://camerareadycosmetics.com/products/blend-bunny-juicy-cheeks-face-palette")</f>
        <v/>
      </c>
      <c r="B474" s="2">
        <f>HYPERLINK("https://camerareadycosmetics.com/products/blend-bunny-juicy-cheeks-face-palette", "https://camerareadycosmetics.com/products/blend-bunny-juicy-cheeks-face-palette")</f>
        <v/>
      </c>
      <c r="C474" t="inlineStr">
        <is>
          <t>Juicy Cheeks Face Palette</t>
        </is>
      </c>
      <c r="D474" t="inlineStr">
        <is>
          <t>I'm Meme Palette - Afternoon Tea Blusher | Fruit Flavor for Cheek, Soft Pink, Peach, Lavender, 3 Shades Palette, Matte Powder Blush for Face &amp; Cheeks, For All Skin Tones, 0.4oz</t>
        </is>
      </c>
      <c r="E474" s="2">
        <f>HYPERLINK("https://www.amazon.com/Im-Meme-Palette-Afternoon-Coachella/dp/B084G19FRJ/ref=sr_1_10?keywords=Juicy+Cheeks+Face+Palette&amp;qid=1695565691&amp;sr=8-10", "https://www.amazon.com/Im-Meme-Palette-Afternoon-Coachella/dp/B084G19FRJ/ref=sr_1_10?keywords=Juicy+Cheeks+Face+Palette&amp;qid=1695565691&amp;sr=8-10")</f>
        <v/>
      </c>
      <c r="F474" t="inlineStr">
        <is>
          <t>B084G19FRJ</t>
        </is>
      </c>
      <c r="G474">
        <f>_xlfn.IMAGE("https://camerareadycosmetics.com/cdn/shop/products/blend-bunny-cosmetics-juicy-face-palette_50x.jpg?v=1681156451")</f>
        <v/>
      </c>
      <c r="H474">
        <f>_xlfn.IMAGE("https://m.media-amazon.com/images/I/61pGmmVQJEL._AC_UL320_.jpg")</f>
        <v/>
      </c>
      <c r="K474" t="inlineStr">
        <is>
          <t>32.0</t>
        </is>
      </c>
      <c r="L474" t="n">
        <v>22</v>
      </c>
      <c r="M474" s="1" t="inlineStr">
        <is>
          <t>-31.25%</t>
        </is>
      </c>
      <c r="N474" t="n">
        <v>4.5</v>
      </c>
      <c r="O474" t="n">
        <v>461</v>
      </c>
      <c r="Q474" t="inlineStr">
        <is>
          <t>InStock</t>
        </is>
      </c>
      <c r="R474" t="inlineStr">
        <is>
          <t>32.0</t>
        </is>
      </c>
      <c r="S474" t="inlineStr">
        <is>
          <t>7582385275065</t>
        </is>
      </c>
    </row>
    <row r="475" ht="75" customHeight="1">
      <c r="A475" s="2">
        <f>HYPERLINK("https://camerareadycosmetics.com/products/blend-bunny-juicy-cheeks-face-palette", "https://camerareadycosmetics.com/products/blend-bunny-juicy-cheeks-face-palette")</f>
        <v/>
      </c>
      <c r="B475" s="2">
        <f>HYPERLINK("https://camerareadycosmetics.com/products/blend-bunny-juicy-cheeks-face-palette", "https://camerareadycosmetics.com/products/blend-bunny-juicy-cheeks-face-palette")</f>
        <v/>
      </c>
      <c r="C475" t="inlineStr">
        <is>
          <t>Juicy Cheeks Face Palette</t>
        </is>
      </c>
      <c r="D475" t="inlineStr">
        <is>
          <t>DELISOUL 8 Colors Face Blush Palette,Matte Blush Powder,Pink Blush Makeup Palette,Blush and Bronzer Foundation Palette,Long-Lasting Pigment Neutral Colors,Cruelty Free Mineral Makeup for Cheeks</t>
        </is>
      </c>
      <c r="E475" s="2">
        <f>HYPERLINK("https://www.amazon.com/DELISOUL-Palette-Bronzer-Foundation-Long-Lasting/dp/B093GMS34K/ref=sr_1_1?keywords=Juicy+Cheeks+Face+Palette&amp;qid=1695565691&amp;sr=8-1", "https://www.amazon.com/DELISOUL-Palette-Bronzer-Foundation-Long-Lasting/dp/B093GMS34K/ref=sr_1_1?keywords=Juicy+Cheeks+Face+Palette&amp;qid=1695565691&amp;sr=8-1")</f>
        <v/>
      </c>
      <c r="F475" t="inlineStr">
        <is>
          <t>B093GMS34K</t>
        </is>
      </c>
      <c r="G475">
        <f>_xlfn.IMAGE("https://camerareadycosmetics.com/cdn/shop/products/blend-bunny-cosmetics-juicy-face-palette_50x.jpg?v=1681156451")</f>
        <v/>
      </c>
      <c r="H475">
        <f>_xlfn.IMAGE("https://m.media-amazon.com/images/I/71PRdZO65oL._AC_UL320_.jpg")</f>
        <v/>
      </c>
      <c r="K475" t="inlineStr">
        <is>
          <t>32.0</t>
        </is>
      </c>
      <c r="L475" t="n">
        <v>7.99</v>
      </c>
      <c r="M475" s="1" t="inlineStr">
        <is>
          <t>-75.03%</t>
        </is>
      </c>
      <c r="N475" t="n">
        <v>4.3</v>
      </c>
      <c r="O475" t="n">
        <v>138</v>
      </c>
      <c r="Q475" t="inlineStr">
        <is>
          <t>InStock</t>
        </is>
      </c>
      <c r="R475" t="inlineStr">
        <is>
          <t>32.0</t>
        </is>
      </c>
      <c r="S475" t="inlineStr">
        <is>
          <t>7582385275065</t>
        </is>
      </c>
    </row>
    <row r="476" ht="75" customHeight="1">
      <c r="A476" s="2">
        <f>HYPERLINK("https://camerareadycosmetics.com/products/blend-bunny-juicy-cheeks-face-palette", "https://camerareadycosmetics.com/products/blend-bunny-juicy-cheeks-face-palette")</f>
        <v/>
      </c>
      <c r="B476" s="2">
        <f>HYPERLINK("https://camerareadycosmetics.com/products/blend-bunny-juicy-cheeks-face-palette", "https://camerareadycosmetics.com/products/blend-bunny-juicy-cheeks-face-palette")</f>
        <v/>
      </c>
      <c r="C476" t="inlineStr">
        <is>
          <t>Juicy Cheeks Face Palette</t>
        </is>
      </c>
      <c r="D476" t="inlineStr">
        <is>
          <t>DELISOUL 8 Colors Face Blush Palette,Matte Blush Powder,Pink Blush Makeup Palette,Blush and Bronzer Foundation Palette,Long-Lasting Pigment Neutral Colors,Cruelty Free Mineral Makeup for Cheeks</t>
        </is>
      </c>
      <c r="E476" s="2">
        <f>HYPERLINK("https://www.amazon.com/DELISOUL-Palette-Bronzer-Foundation-Long-Lasting/dp/B093GMS34K/ref=sr_1_1?keywords=Juicy+Cheeks+Face+Palette&amp;qid=1695565691&amp;sr=8-1", "https://www.amazon.com/DELISOUL-Palette-Bronzer-Foundation-Long-Lasting/dp/B093GMS34K/ref=sr_1_1?keywords=Juicy+Cheeks+Face+Palette&amp;qid=1695565691&amp;sr=8-1")</f>
        <v/>
      </c>
      <c r="F476" t="inlineStr">
        <is>
          <t>B093GMS34K</t>
        </is>
      </c>
      <c r="G476">
        <f>_xlfn.IMAGE("https://camerareadycosmetics.com/cdn/shop/products/blend-bunny-cosmetics-juicy-face-palette_50x.jpg?v=1681156451")</f>
        <v/>
      </c>
      <c r="H476">
        <f>_xlfn.IMAGE("https://m.media-amazon.com/images/I/71PRdZO65oL._AC_UL320_.jpg")</f>
        <v/>
      </c>
      <c r="K476" t="inlineStr">
        <is>
          <t>32.0</t>
        </is>
      </c>
      <c r="L476" t="n">
        <v>7.99</v>
      </c>
      <c r="M476" s="1" t="inlineStr">
        <is>
          <t>-75.03%</t>
        </is>
      </c>
      <c r="N476" t="n">
        <v>4.3</v>
      </c>
      <c r="O476" t="n">
        <v>138</v>
      </c>
      <c r="Q476" t="inlineStr">
        <is>
          <t>InStock</t>
        </is>
      </c>
      <c r="R476" t="inlineStr">
        <is>
          <t>32.0</t>
        </is>
      </c>
      <c r="S476" t="inlineStr">
        <is>
          <t>7582385275065</t>
        </is>
      </c>
    </row>
    <row r="477" ht="75" customHeight="1">
      <c r="A477" s="2">
        <f>HYPERLINK("https://camerareadycosmetics.com/products/blend-bunny-trove-multichrome-quad-eyeshadow-palette", "https://camerareadycosmetics.com/products/blend-bunny-trove-multichrome-quad-eyeshadow-palette")</f>
        <v/>
      </c>
      <c r="B477" s="2">
        <f>HYPERLINK("https://camerareadycosmetics.com/products/blend-bunny-trove-multichrome-quad-eyeshadow-palette", "https://camerareadycosmetics.com/products/blend-bunny-trove-multichrome-quad-eyeshadow-palette")</f>
        <v/>
      </c>
      <c r="C477" t="inlineStr">
        <is>
          <t>Multichrome Eyeshadow</t>
        </is>
      </c>
      <c r="D477" t="inlineStr">
        <is>
          <t>Concrete Minerals MultiChrome Eyeshadow, Intense Color Shifting, Longer-Lasting With No Creasing, 100% Vegan and Cruelty Free, Handmade in USA, 2.4 Grams Loose Mineral Powder (Sample Bundle)</t>
        </is>
      </c>
      <c r="E477" s="2">
        <f>HYPERLINK("https://www.amazon.com/Concrete-Minerals-MultiChrome-Eyeshadow-Longer-Lasting/dp/B08ZGSXGKC/ref=sr_1_6?keywords=Multichrome+Eyeshadow&amp;qid=1695565773&amp;sr=8-6", "https://www.amazon.com/Concrete-Minerals-MultiChrome-Eyeshadow-Longer-Lasting/dp/B08ZGSXGKC/ref=sr_1_6?keywords=Multichrome+Eyeshadow&amp;qid=1695565773&amp;sr=8-6")</f>
        <v/>
      </c>
      <c r="F477" t="inlineStr">
        <is>
          <t>B08ZGSXGKC</t>
        </is>
      </c>
      <c r="G477">
        <f>_xlfn.IMAGE("https://camerareadycosmetics.com/cdn/shop/products/blend-bunny-multichrome-quad-open-2b_50x.jpg?v=1680127839")</f>
        <v/>
      </c>
      <c r="H477">
        <f>_xlfn.IMAGE("https://m.media-amazon.com/images/I/71cIT5mffbL._AC_UL320_.jpg")</f>
        <v/>
      </c>
      <c r="K477" t="inlineStr">
        <is>
          <t>68.0</t>
        </is>
      </c>
      <c r="L477" t="n">
        <v>46</v>
      </c>
      <c r="M477" s="1" t="inlineStr">
        <is>
          <t>-32.35%</t>
        </is>
      </c>
      <c r="N477" t="n">
        <v>4.2</v>
      </c>
      <c r="O477" t="n">
        <v>1317</v>
      </c>
      <c r="Q477" t="inlineStr">
        <is>
          <t>InStock</t>
        </is>
      </c>
      <c r="R477" t="inlineStr">
        <is>
          <t>undefined</t>
        </is>
      </c>
      <c r="S477" t="inlineStr">
        <is>
          <t>7580623896761</t>
        </is>
      </c>
    </row>
    <row r="478" ht="75" customHeight="1">
      <c r="A478" s="2">
        <f>HYPERLINK("https://camerareadycosmetics.com/products/blend-bunny-trove-multichrome-quad-eyeshadow-palette", "https://camerareadycosmetics.com/products/blend-bunny-trove-multichrome-quad-eyeshadow-palette")</f>
        <v/>
      </c>
      <c r="B478" s="2">
        <f>HYPERLINK("https://camerareadycosmetics.com/products/blend-bunny-trove-multichrome-quad-eyeshadow-palette", "https://camerareadycosmetics.com/products/blend-bunny-trove-multichrome-quad-eyeshadow-palette")</f>
        <v/>
      </c>
      <c r="C478" t="inlineStr">
        <is>
          <t>Multichrome Eyeshadow</t>
        </is>
      </c>
      <c r="D478" t="inlineStr">
        <is>
          <t>Glitter Multichrome Eyeshadow Palette, DE'LANCI 4 Color Duochrome Eyeshadow Pallets, Blue Pink Shimmer Eye Shadow for Women and Girls, Intense Color Shifting Purple Metallic Shade Eye Makeup,Talc Free</t>
        </is>
      </c>
      <c r="E478" s="2">
        <f>HYPERLINK("https://www.amazon.com/Multichrome-Eyeshadow-DELANCI-Duochrome-Shifting/dp/B0C1N7FD33/ref=sr_1_8?keywords=Multichrome+Eyeshadow&amp;qid=1695565773&amp;sr=8-8", "https://www.amazon.com/Multichrome-Eyeshadow-DELANCI-Duochrome-Shifting/dp/B0C1N7FD33/ref=sr_1_8?keywords=Multichrome+Eyeshadow&amp;qid=1695565773&amp;sr=8-8")</f>
        <v/>
      </c>
      <c r="F478" t="inlineStr">
        <is>
          <t>B0C1N7FD33</t>
        </is>
      </c>
      <c r="G478">
        <f>_xlfn.IMAGE("https://camerareadycosmetics.com/cdn/shop/products/blend-bunny-multichrome-quad-open-2b_50x.jpg?v=1680127839")</f>
        <v/>
      </c>
      <c r="H478">
        <f>_xlfn.IMAGE("https://m.media-amazon.com/images/I/71OR8XgK64L._AC_UL320_.jpg")</f>
        <v/>
      </c>
      <c r="K478" t="inlineStr">
        <is>
          <t>68.0</t>
        </is>
      </c>
      <c r="L478" t="n">
        <v>15.99</v>
      </c>
      <c r="M478" s="1" t="inlineStr">
        <is>
          <t>-76.49%</t>
        </is>
      </c>
      <c r="N478" t="n">
        <v>4.5</v>
      </c>
      <c r="O478" t="n">
        <v>2</v>
      </c>
      <c r="Q478" t="inlineStr">
        <is>
          <t>InStock</t>
        </is>
      </c>
      <c r="R478" t="inlineStr">
        <is>
          <t>undefined</t>
        </is>
      </c>
      <c r="S478" t="inlineStr">
        <is>
          <t>7580623896761</t>
        </is>
      </c>
    </row>
    <row r="479" ht="75" customHeight="1">
      <c r="A479" s="2">
        <f>HYPERLINK("https://camerareadycosmetics.com/products/blend-bunny-trove-multichrome-quad-eyeshadow-palette", "https://camerareadycosmetics.com/products/blend-bunny-trove-multichrome-quad-eyeshadow-palette")</f>
        <v/>
      </c>
      <c r="B479" s="2">
        <f>HYPERLINK("https://camerareadycosmetics.com/products/blend-bunny-trove-multichrome-quad-eyeshadow-palette", "https://camerareadycosmetics.com/products/blend-bunny-trove-multichrome-quad-eyeshadow-palette")</f>
        <v/>
      </c>
      <c r="C479" t="inlineStr">
        <is>
          <t>Multichrome Eyeshadow</t>
        </is>
      </c>
      <c r="D479" t="inlineStr">
        <is>
          <t>Multichrome Eyeshadow Liquid, Duochrome Metallic Glitter Shimmer Metal Colorful Bright Liquid Eye Shadow, Chameleon Sparkle Waterproof High Pigmented Longlasting Liquid Eyeshadows Color Shift Gold Green Violet, Holographic #9</t>
        </is>
      </c>
      <c r="E479" s="2">
        <f>HYPERLINK("https://www.amazon.com/Multichrome-Waterproof-Longlasting-Eyeshadows-Holographic/dp/B09TQYVYPM/ref=sr_1_4?keywords=Multichrome+Eyeshadow&amp;qid=1695565773&amp;sr=8-4", "https://www.amazon.com/Multichrome-Waterproof-Longlasting-Eyeshadows-Holographic/dp/B09TQYVYPM/ref=sr_1_4?keywords=Multichrome+Eyeshadow&amp;qid=1695565773&amp;sr=8-4")</f>
        <v/>
      </c>
      <c r="F479" t="inlineStr">
        <is>
          <t>B09TQYVYPM</t>
        </is>
      </c>
      <c r="G479">
        <f>_xlfn.IMAGE("https://camerareadycosmetics.com/cdn/shop/products/blend-bunny-multichrome-quad-open-2b_50x.jpg?v=1680127839")</f>
        <v/>
      </c>
      <c r="H479">
        <f>_xlfn.IMAGE("https://m.media-amazon.com/images/I/71B1KHHzUnL._AC_UL320_.jpg")</f>
        <v/>
      </c>
      <c r="K479" t="inlineStr">
        <is>
          <t>68.0</t>
        </is>
      </c>
      <c r="L479" t="n">
        <v>13.99</v>
      </c>
      <c r="M479" s="1" t="inlineStr">
        <is>
          <t>-79.43%</t>
        </is>
      </c>
      <c r="N479" t="n">
        <v>4.3</v>
      </c>
      <c r="O479" t="n">
        <v>103</v>
      </c>
      <c r="Q479" t="inlineStr">
        <is>
          <t>InStock</t>
        </is>
      </c>
      <c r="R479" t="inlineStr">
        <is>
          <t>undefined</t>
        </is>
      </c>
      <c r="S479" t="inlineStr">
        <is>
          <t>7580623896761</t>
        </is>
      </c>
    </row>
    <row r="480" ht="75" customHeight="1">
      <c r="A480" s="2">
        <f>HYPERLINK("https://camerareadycosmetics.com/products/blend-bunny-trove-multichrome-quad-eyeshadow-palette", "https://camerareadycosmetics.com/products/blend-bunny-trove-multichrome-quad-eyeshadow-palette")</f>
        <v/>
      </c>
      <c r="B480" s="2">
        <f>HYPERLINK("https://camerareadycosmetics.com/products/blend-bunny-trove-multichrome-quad-eyeshadow-palette", "https://camerareadycosmetics.com/products/blend-bunny-trove-multichrome-quad-eyeshadow-palette")</f>
        <v/>
      </c>
      <c r="C480" t="inlineStr">
        <is>
          <t>Multichrome Eyeshadow</t>
        </is>
      </c>
      <c r="D480" t="inlineStr">
        <is>
          <t>Jolilab Metallic Liquid Chameleon Eyeshadow, Multi-Dimensional Eye Looks, Long-lasting Holographic Glitter Multichrome Eyeshadows Makeup (#Peacock+Wonder+Ember)</t>
        </is>
      </c>
      <c r="E480" s="2">
        <f>HYPERLINK("https://www.amazon.com/Jolilab-Multi-Dimensional-Long-lasting-Holographic-Multichrome/dp/B09YLZ9JBF/ref=sr_1_1?keywords=Multichrome+Eyeshadow&amp;qid=1695565773&amp;sr=8-1", "https://www.amazon.com/Jolilab-Multi-Dimensional-Long-lasting-Holographic-Multichrome/dp/B09YLZ9JBF/ref=sr_1_1?keywords=Multichrome+Eyeshadow&amp;qid=1695565773&amp;sr=8-1")</f>
        <v/>
      </c>
      <c r="F480" t="inlineStr">
        <is>
          <t>B09YLZ9JBF</t>
        </is>
      </c>
      <c r="G480">
        <f>_xlfn.IMAGE("https://camerareadycosmetics.com/cdn/shop/products/blend-bunny-multichrome-quad-open-2b_50x.jpg?v=1680127839")</f>
        <v/>
      </c>
      <c r="H480">
        <f>_xlfn.IMAGE("https://m.media-amazon.com/images/I/816HFC0Tv5L._AC_UL320_.jpg")</f>
        <v/>
      </c>
      <c r="K480" t="inlineStr">
        <is>
          <t>68.0</t>
        </is>
      </c>
      <c r="L480" t="n">
        <v>13.99</v>
      </c>
      <c r="M480" s="1" t="inlineStr">
        <is>
          <t>-79.43%</t>
        </is>
      </c>
      <c r="N480" t="n">
        <v>4.4</v>
      </c>
      <c r="O480" t="n">
        <v>787</v>
      </c>
      <c r="Q480" t="inlineStr">
        <is>
          <t>InStock</t>
        </is>
      </c>
      <c r="R480" t="inlineStr">
        <is>
          <t>undefined</t>
        </is>
      </c>
      <c r="S480" t="inlineStr">
        <is>
          <t>7580623896761</t>
        </is>
      </c>
    </row>
    <row r="481" ht="75" customHeight="1">
      <c r="A481" s="2">
        <f>HYPERLINK("https://camerareadycosmetics.com/products/blend-bunny-trove-multichrome-quad-eyeshadow-palette", "https://camerareadycosmetics.com/products/blend-bunny-trove-multichrome-quad-eyeshadow-palette")</f>
        <v/>
      </c>
      <c r="B481" s="2">
        <f>HYPERLINK("https://camerareadycosmetics.com/products/blend-bunny-trove-multichrome-quad-eyeshadow-palette", "https://camerareadycosmetics.com/products/blend-bunny-trove-multichrome-quad-eyeshadow-palette")</f>
        <v/>
      </c>
      <c r="C481" t="inlineStr">
        <is>
          <t>Multichrome Eyeshadow</t>
        </is>
      </c>
      <c r="D481" t="inlineStr">
        <is>
          <t>8 Color Face Cheek Highlighter Makeup Palette Shimmer Glitter Iridescent Multichrome Holographic Eyeshadow Palette Purple Rainbow Glitter Highlighter Makeup Highlight and Contour Palette Eye Makeup</t>
        </is>
      </c>
      <c r="E481" s="2">
        <f>HYPERLINK("https://www.amazon.com/Highlighters-Highlight-Duochrome-Multichrome-Iridescent/dp/B0BRZVVX6G/ref=sr_1_9?keywords=Multichrome+Eyeshadow&amp;qid=1695565773&amp;sr=8-9", "https://www.amazon.com/Highlighters-Highlight-Duochrome-Multichrome-Iridescent/dp/B0BRZVVX6G/ref=sr_1_9?keywords=Multichrome+Eyeshadow&amp;qid=1695565773&amp;sr=8-9")</f>
        <v/>
      </c>
      <c r="F481" t="inlineStr">
        <is>
          <t>B0BRZVVX6G</t>
        </is>
      </c>
      <c r="G481">
        <f>_xlfn.IMAGE("https://camerareadycosmetics.com/cdn/shop/products/blend-bunny-multichrome-quad-open-2b_50x.jpg?v=1680127839")</f>
        <v/>
      </c>
      <c r="H481">
        <f>_xlfn.IMAGE("https://m.media-amazon.com/images/I/71NXiX0Hw+L._AC_UL320_.jpg")</f>
        <v/>
      </c>
      <c r="K481" t="inlineStr">
        <is>
          <t>68.0</t>
        </is>
      </c>
      <c r="L481" t="n">
        <v>12.99</v>
      </c>
      <c r="M481" s="1" t="inlineStr">
        <is>
          <t>-80.90%</t>
        </is>
      </c>
      <c r="N481" t="n">
        <v>4.1</v>
      </c>
      <c r="O481" t="n">
        <v>978</v>
      </c>
      <c r="Q481" t="inlineStr">
        <is>
          <t>InStock</t>
        </is>
      </c>
      <c r="R481" t="inlineStr">
        <is>
          <t>undefined</t>
        </is>
      </c>
      <c r="S481" t="inlineStr">
        <is>
          <t>7580623896761</t>
        </is>
      </c>
    </row>
    <row r="482" ht="75" customHeight="1">
      <c r="A482" s="2">
        <f>HYPERLINK("https://camerareadycosmetics.com/products/blend-bunny-trove-multichrome-quad-eyeshadow-palette", "https://camerareadycosmetics.com/products/blend-bunny-trove-multichrome-quad-eyeshadow-palette")</f>
        <v/>
      </c>
      <c r="B482" s="2">
        <f>HYPERLINK("https://camerareadycosmetics.com/products/blend-bunny-trove-multichrome-quad-eyeshadow-palette", "https://camerareadycosmetics.com/products/blend-bunny-trove-multichrome-quad-eyeshadow-palette")</f>
        <v/>
      </c>
      <c r="C482" t="inlineStr">
        <is>
          <t>Multichrome Eyeshadow</t>
        </is>
      </c>
      <c r="D482" t="inlineStr">
        <is>
          <t>CHARMACY 2 Colors Multichrome Liquid Glitter Eyeshadow, Metallic Liquid Eyeshadow, Pigmented, Long Lasting, Quick Drying, Easy to Apply, Loose Glitter Glue for Eye Crystals Makeup (08/17)</t>
        </is>
      </c>
      <c r="E482" s="2">
        <f>HYPERLINK("https://www.amazon.com/CHARMACY-Multichrome-Eyeshadow-Metallic-Pigmented/dp/B0CFY9M1C2/ref=sr_1_2?keywords=Multichrome+Eyeshadow&amp;qid=1695565773&amp;sr=8-2", "https://www.amazon.com/CHARMACY-Multichrome-Eyeshadow-Metallic-Pigmented/dp/B0CFY9M1C2/ref=sr_1_2?keywords=Multichrome+Eyeshadow&amp;qid=1695565773&amp;sr=8-2")</f>
        <v/>
      </c>
      <c r="F482" t="inlineStr">
        <is>
          <t>B0CFY9M1C2</t>
        </is>
      </c>
      <c r="G482">
        <f>_xlfn.IMAGE("https://camerareadycosmetics.com/cdn/shop/products/blend-bunny-multichrome-quad-open-2b_50x.jpg?v=1680127839")</f>
        <v/>
      </c>
      <c r="H482">
        <f>_xlfn.IMAGE("https://m.media-amazon.com/images/I/71WP3xXZL5L._AC_UL320_.jpg")</f>
        <v/>
      </c>
      <c r="K482" t="inlineStr">
        <is>
          <t>68.0</t>
        </is>
      </c>
      <c r="L482" t="n">
        <v>11.99</v>
      </c>
      <c r="M482" s="1" t="inlineStr">
        <is>
          <t>-82.37%</t>
        </is>
      </c>
      <c r="N482" t="n">
        <v>4.3</v>
      </c>
      <c r="O482" t="n">
        <v>22</v>
      </c>
      <c r="Q482" t="inlineStr">
        <is>
          <t>InStock</t>
        </is>
      </c>
      <c r="R482" t="inlineStr">
        <is>
          <t>undefined</t>
        </is>
      </c>
      <c r="S482" t="inlineStr">
        <is>
          <t>7580623896761</t>
        </is>
      </c>
    </row>
    <row r="483" ht="75" customHeight="1">
      <c r="A483" s="2">
        <f>HYPERLINK("https://camerareadycosmetics.com/products/blend-bunny-trove-multichrome-quad-eyeshadow-palette", "https://camerareadycosmetics.com/products/blend-bunny-trove-multichrome-quad-eyeshadow-palette")</f>
        <v/>
      </c>
      <c r="B483" s="2">
        <f>HYPERLINK("https://camerareadycosmetics.com/products/blend-bunny-trove-multichrome-quad-eyeshadow-palette", "https://camerareadycosmetics.com/products/blend-bunny-trove-multichrome-quad-eyeshadow-palette")</f>
        <v/>
      </c>
      <c r="C483" t="inlineStr">
        <is>
          <t>Multichrome Eyeshadow</t>
        </is>
      </c>
      <c r="D483" t="inlineStr">
        <is>
          <t>CHARMACY Liquid Chameleon Eyeshadow, Multi-Dimensional Eye Looks, Highly Pigment, Long-lasting With No Crease, Multichrome Eyeshadow Liquid Metallic Eye Makeup, 1.6g (#07)</t>
        </is>
      </c>
      <c r="E483" s="2">
        <f>HYPERLINK("https://www.amazon.com/CHARMACY-Chameleon-Multi-Dimensional-Long-lasting-Multichrome/dp/B09QQTM5LG/ref=sr_1_3?keywords=Multichrome+Eyeshadow&amp;qid=1695565773&amp;sr=8-3", "https://www.amazon.com/CHARMACY-Chameleon-Multi-Dimensional-Long-lasting-Multichrome/dp/B09QQTM5LG/ref=sr_1_3?keywords=Multichrome+Eyeshadow&amp;qid=1695565773&amp;sr=8-3")</f>
        <v/>
      </c>
      <c r="F483" t="inlineStr">
        <is>
          <t>B09QQTM5LG</t>
        </is>
      </c>
      <c r="G483">
        <f>_xlfn.IMAGE("https://camerareadycosmetics.com/cdn/shop/products/blend-bunny-multichrome-quad-open-2b_50x.jpg?v=1680127839")</f>
        <v/>
      </c>
      <c r="H483">
        <f>_xlfn.IMAGE("https://m.media-amazon.com/images/I/61sNt-MzSSL._AC_UL320_.jpg")</f>
        <v/>
      </c>
      <c r="K483" t="inlineStr">
        <is>
          <t>68.0</t>
        </is>
      </c>
      <c r="L483" t="n">
        <v>11.99</v>
      </c>
      <c r="M483" s="1" t="inlineStr">
        <is>
          <t>-82.37%</t>
        </is>
      </c>
      <c r="N483" t="n">
        <v>4.1</v>
      </c>
      <c r="O483" t="n">
        <v>256</v>
      </c>
      <c r="Q483" t="inlineStr">
        <is>
          <t>InStock</t>
        </is>
      </c>
      <c r="R483" t="inlineStr">
        <is>
          <t>undefined</t>
        </is>
      </c>
      <c r="S483" t="inlineStr">
        <is>
          <t>7580623896761</t>
        </is>
      </c>
    </row>
    <row r="484" ht="75" customHeight="1">
      <c r="A484" s="2">
        <f>HYPERLINK("https://camerareadycosmetics.com/products/blend-bunny-trove-multichrome-quad-eyeshadow-palette", "https://camerareadycosmetics.com/products/blend-bunny-trove-multichrome-quad-eyeshadow-palette")</f>
        <v/>
      </c>
      <c r="B484" s="2">
        <f>HYPERLINK("https://camerareadycosmetics.com/products/blend-bunny-trove-multichrome-quad-eyeshadow-palette", "https://camerareadycosmetics.com/products/blend-bunny-trove-multichrome-quad-eyeshadow-palette")</f>
        <v/>
      </c>
      <c r="C484" t="inlineStr">
        <is>
          <t>Multichrome Eyeshadow</t>
        </is>
      </c>
      <c r="D484" t="inlineStr">
        <is>
          <t>Multichrome Shimmer Liquid Eyeshadow White Pink Gold Colors, Sparkly Metallic Liquid Eyeshadow For Brown Eyes,Glitter Highlighter Makeup For Face /Body, Long Lasting Holographic Glitter Eyeshadows,#9</t>
        </is>
      </c>
      <c r="E484" s="2">
        <f>HYPERLINK("https://www.amazon.com/Multichrome-Eyeshadow-Highlighter-Holographic-Eyeshadows/dp/B0C3C5775N/ref=sr_1_10?keywords=Multichrome+Eyeshadow&amp;qid=1695565773&amp;sr=8-10", "https://www.amazon.com/Multichrome-Eyeshadow-Highlighter-Holographic-Eyeshadows/dp/B0C3C5775N/ref=sr_1_10?keywords=Multichrome+Eyeshadow&amp;qid=1695565773&amp;sr=8-10")</f>
        <v/>
      </c>
      <c r="F484" t="inlineStr">
        <is>
          <t>B0C3C5775N</t>
        </is>
      </c>
      <c r="G484">
        <f>_xlfn.IMAGE("https://camerareadycosmetics.com/cdn/shop/products/blend-bunny-multichrome-quad-open-2b_50x.jpg?v=1680127839")</f>
        <v/>
      </c>
      <c r="H484">
        <f>_xlfn.IMAGE("https://m.media-amazon.com/images/I/61i-GAlnkyL._AC_UL320_.jpg")</f>
        <v/>
      </c>
      <c r="K484" t="inlineStr">
        <is>
          <t>68.0</t>
        </is>
      </c>
      <c r="L484" t="n">
        <v>9.99</v>
      </c>
      <c r="M484" s="1" t="inlineStr">
        <is>
          <t>-85.31%</t>
        </is>
      </c>
      <c r="N484" t="n">
        <v>4</v>
      </c>
      <c r="O484" t="n">
        <v>4</v>
      </c>
      <c r="Q484" t="inlineStr">
        <is>
          <t>InStock</t>
        </is>
      </c>
      <c r="R484" t="inlineStr">
        <is>
          <t>undefined</t>
        </is>
      </c>
      <c r="S484" t="inlineStr">
        <is>
          <t>7580623896761</t>
        </is>
      </c>
    </row>
    <row r="485" ht="75" customHeight="1">
      <c r="A485" s="2">
        <f>HYPERLINK("https://camerareadycosmetics.com/products/blend-bunny-trove-multichrome-quad-eyeshadow-palette", "https://camerareadycosmetics.com/products/blend-bunny-trove-multichrome-quad-eyeshadow-palette")</f>
        <v/>
      </c>
      <c r="B485" s="2">
        <f>HYPERLINK("https://camerareadycosmetics.com/products/blend-bunny-trove-multichrome-quad-eyeshadow-palette", "https://camerareadycosmetics.com/products/blend-bunny-trove-multichrome-quad-eyeshadow-palette")</f>
        <v/>
      </c>
      <c r="C485" t="inlineStr">
        <is>
          <t>Multichrome Eyeshadow</t>
        </is>
      </c>
      <c r="D485" t="inlineStr">
        <is>
          <t>CHARMACY Multichrome 2 in 1 Cream Eyeshadow Stick, Waterproof Eye Brightener Highlighter Stick Makeup, High Pigmented, Smudge-Proof, Vegan &amp; Cruelty-Free (#901)</t>
        </is>
      </c>
      <c r="E485" s="2">
        <f>HYPERLINK("https://www.amazon.com/CHARMACY-Multichrome-Highlighter-Smudge-Proof-Cruelty-Free/dp/B0C4D9MW78/ref=sr_1_5?keywords=Multichrome+Eyeshadow&amp;qid=1695565773&amp;sr=8-5", "https://www.amazon.com/CHARMACY-Multichrome-Highlighter-Smudge-Proof-Cruelty-Free/dp/B0C4D9MW78/ref=sr_1_5?keywords=Multichrome+Eyeshadow&amp;qid=1695565773&amp;sr=8-5")</f>
        <v/>
      </c>
      <c r="F485" t="inlineStr">
        <is>
          <t>B0C4D9MW78</t>
        </is>
      </c>
      <c r="G485">
        <f>_xlfn.IMAGE("https://camerareadycosmetics.com/cdn/shop/products/blend-bunny-multichrome-quad-open-2b_50x.jpg?v=1680127839")</f>
        <v/>
      </c>
      <c r="H485">
        <f>_xlfn.IMAGE("https://m.media-amazon.com/images/I/71vgG5wA1IL._AC_UL320_.jpg")</f>
        <v/>
      </c>
      <c r="K485" t="inlineStr">
        <is>
          <t>68.0</t>
        </is>
      </c>
      <c r="L485" t="n">
        <v>9.59</v>
      </c>
      <c r="M485" s="1" t="inlineStr">
        <is>
          <t>-85.90%</t>
        </is>
      </c>
      <c r="N485" t="n">
        <v>3.9</v>
      </c>
      <c r="O485" t="n">
        <v>96</v>
      </c>
      <c r="Q485" t="inlineStr">
        <is>
          <t>InStock</t>
        </is>
      </c>
      <c r="R485" t="inlineStr">
        <is>
          <t>undefined</t>
        </is>
      </c>
      <c r="S485" t="inlineStr">
        <is>
          <t>7580623896761</t>
        </is>
      </c>
    </row>
    <row r="486" ht="75" customHeight="1">
      <c r="A486" s="2">
        <f>HYPERLINK("https://camerareadycosmetics.com/products/blend-bunny-trove-multichrome-quad-eyeshadow-palette", "https://camerareadycosmetics.com/products/blend-bunny-trove-multichrome-quad-eyeshadow-palette")</f>
        <v/>
      </c>
      <c r="B486" s="2">
        <f>HYPERLINK("https://camerareadycosmetics.com/products/blend-bunny-trove-multichrome-quad-eyeshadow-palette", "https://camerareadycosmetics.com/products/blend-bunny-trove-multichrome-quad-eyeshadow-palette")</f>
        <v/>
      </c>
      <c r="C486" t="inlineStr">
        <is>
          <t>Multichrome Eyeshadow</t>
        </is>
      </c>
      <c r="D486" t="inlineStr">
        <is>
          <t>DE'LANCI Duochrome Eyeshadow, Highly Pigmented Multichrome Eyeshadow Metallic Shade Eye Makeup,Long Last Sweat Proof Shimmer Eyeshadow Palette for Brown Eyes,Travel Size Minerals Eye Shadow Green Gold</t>
        </is>
      </c>
      <c r="E486" s="2">
        <f>HYPERLINK("https://www.amazon.com/DELANCI-Duochrome-Eyeshadow-Pigmented-Multichrome/dp/B0BXKRRSVV/ref=sr_1_7?keywords=Multichrome+Eyeshadow&amp;qid=1695565773&amp;sr=8-7", "https://www.amazon.com/DELANCI-Duochrome-Eyeshadow-Pigmented-Multichrome/dp/B0BXKRRSVV/ref=sr_1_7?keywords=Multichrome+Eyeshadow&amp;qid=1695565773&amp;sr=8-7")</f>
        <v/>
      </c>
      <c r="F486" t="inlineStr">
        <is>
          <t>B0BXKRRSVV</t>
        </is>
      </c>
      <c r="G486">
        <f>_xlfn.IMAGE("https://camerareadycosmetics.com/cdn/shop/products/blend-bunny-multichrome-quad-open-2b_50x.jpg?v=1680127839")</f>
        <v/>
      </c>
      <c r="H486">
        <f>_xlfn.IMAGE("https://m.media-amazon.com/images/I/815WQYuXCqL._AC_UL320_.jpg")</f>
        <v/>
      </c>
      <c r="K486" t="inlineStr">
        <is>
          <t>68.0</t>
        </is>
      </c>
      <c r="L486" t="n">
        <v>7.99</v>
      </c>
      <c r="M486" s="1" t="inlineStr">
        <is>
          <t>-88.25%</t>
        </is>
      </c>
      <c r="N486" t="n">
        <v>4.1</v>
      </c>
      <c r="O486" t="n">
        <v>62</v>
      </c>
      <c r="Q486" t="inlineStr">
        <is>
          <t>InStock</t>
        </is>
      </c>
      <c r="R486" t="inlineStr">
        <is>
          <t>undefined</t>
        </is>
      </c>
      <c r="S486" t="inlineStr">
        <is>
          <t>7580623896761</t>
        </is>
      </c>
    </row>
    <row r="487" ht="75" customHeight="1">
      <c r="A487" s="2">
        <f>HYPERLINK("https://camerareadycosmetics.com/products/blend-bunny-trove-multichrome-quad-eyeshadow-palette", "https://camerareadycosmetics.com/products/blend-bunny-trove-multichrome-quad-eyeshadow-palette")</f>
        <v/>
      </c>
      <c r="B487" s="2">
        <f>HYPERLINK("https://camerareadycosmetics.com/products/blend-bunny-trove-multichrome-quad-eyeshadow-palette", "https://camerareadycosmetics.com/products/blend-bunny-trove-multichrome-quad-eyeshadow-palette")</f>
        <v/>
      </c>
      <c r="C487" t="inlineStr">
        <is>
          <t>Multichrome Eyeshadow</t>
        </is>
      </c>
      <c r="D487" t="inlineStr">
        <is>
          <t>Glitter Multichrome Eyeshadow Palette, DE'LANCI 4 Color Duochrome Eyeshadow Pallets, Blue Pink Shimmer Eye Shadow for Women and Girls, Intense Color Shifting Purple Metallic Shade Eye Makeup,Talc Free</t>
        </is>
      </c>
      <c r="E487" s="2">
        <f>HYPERLINK("https://www.amazon.com/Multichrome-Eyeshadow-DELANCI-Duochrome-Shifting/dp/B0C1N7FD33/ref=sr_1_8?keywords=Multichrome+Eyeshadow&amp;qid=1695565773&amp;sr=8-8", "https://www.amazon.com/Multichrome-Eyeshadow-DELANCI-Duochrome-Shifting/dp/B0C1N7FD33/ref=sr_1_8?keywords=Multichrome+Eyeshadow&amp;qid=1695565773&amp;sr=8-8")</f>
        <v/>
      </c>
      <c r="F487" t="inlineStr">
        <is>
          <t>B0C1N7FD33</t>
        </is>
      </c>
      <c r="G487">
        <f>_xlfn.IMAGE("https://camerareadycosmetics.com/cdn/shop/products/blend-bunny-multichrome-quad-open-2b_50x.jpg?v=1680127839")</f>
        <v/>
      </c>
      <c r="H487">
        <f>_xlfn.IMAGE("https://m.media-amazon.com/images/I/71OR8XgK64L._AC_UL320_.jpg")</f>
        <v/>
      </c>
      <c r="K487" t="inlineStr">
        <is>
          <t>68.0</t>
        </is>
      </c>
      <c r="L487" t="n">
        <v>15.99</v>
      </c>
      <c r="M487" s="1" t="inlineStr">
        <is>
          <t>-76.49%</t>
        </is>
      </c>
      <c r="N487" t="n">
        <v>4.5</v>
      </c>
      <c r="O487" t="n">
        <v>2</v>
      </c>
      <c r="Q487" t="inlineStr">
        <is>
          <t>InStock</t>
        </is>
      </c>
      <c r="R487" t="inlineStr">
        <is>
          <t>undefined</t>
        </is>
      </c>
      <c r="S487" t="inlineStr">
        <is>
          <t>7580623896761</t>
        </is>
      </c>
    </row>
    <row r="488" ht="75" customHeight="1">
      <c r="A488" s="2">
        <f>HYPERLINK("https://camerareadycosmetics.com/products/blend-bunny-trove-multichrome-quad-eyeshadow-palette", "https://camerareadycosmetics.com/products/blend-bunny-trove-multichrome-quad-eyeshadow-palette")</f>
        <v/>
      </c>
      <c r="B488" s="2">
        <f>HYPERLINK("https://camerareadycosmetics.com/products/blend-bunny-trove-multichrome-quad-eyeshadow-palette", "https://camerareadycosmetics.com/products/blend-bunny-trove-multichrome-quad-eyeshadow-palette")</f>
        <v/>
      </c>
      <c r="C488" t="inlineStr">
        <is>
          <t>Multichrome Eyeshadow</t>
        </is>
      </c>
      <c r="D488" t="inlineStr">
        <is>
          <t>Multichrome Eyeshadow Liquid, Duochrome Metallic Glitter Shimmer Metal Colorful Bright Liquid Eye Shadow, Chameleon Sparkle Waterproof High Pigmented Longlasting Liquid Eyeshadows Color Shift Gold Green Violet, Holographic #9</t>
        </is>
      </c>
      <c r="E488" s="2">
        <f>HYPERLINK("https://www.amazon.com/Multichrome-Waterproof-Longlasting-Eyeshadows-Holographic/dp/B09TQYVYPM/ref=sr_1_4?keywords=Multichrome+Eyeshadow&amp;qid=1695565773&amp;sr=8-4", "https://www.amazon.com/Multichrome-Waterproof-Longlasting-Eyeshadows-Holographic/dp/B09TQYVYPM/ref=sr_1_4?keywords=Multichrome+Eyeshadow&amp;qid=1695565773&amp;sr=8-4")</f>
        <v/>
      </c>
      <c r="F488" t="inlineStr">
        <is>
          <t>B09TQYVYPM</t>
        </is>
      </c>
      <c r="G488">
        <f>_xlfn.IMAGE("https://camerareadycosmetics.com/cdn/shop/products/blend-bunny-multichrome-quad-open-2b_50x.jpg?v=1680127839")</f>
        <v/>
      </c>
      <c r="H488">
        <f>_xlfn.IMAGE("https://m.media-amazon.com/images/I/71B1KHHzUnL._AC_UL320_.jpg")</f>
        <v/>
      </c>
      <c r="K488" t="inlineStr">
        <is>
          <t>68.0</t>
        </is>
      </c>
      <c r="L488" t="n">
        <v>13.99</v>
      </c>
      <c r="M488" s="1" t="inlineStr">
        <is>
          <t>-79.43%</t>
        </is>
      </c>
      <c r="N488" t="n">
        <v>4.3</v>
      </c>
      <c r="O488" t="n">
        <v>103</v>
      </c>
      <c r="Q488" t="inlineStr">
        <is>
          <t>InStock</t>
        </is>
      </c>
      <c r="R488" t="inlineStr">
        <is>
          <t>undefined</t>
        </is>
      </c>
      <c r="S488" t="inlineStr">
        <is>
          <t>7580623896761</t>
        </is>
      </c>
    </row>
    <row r="489" ht="75" customHeight="1">
      <c r="A489" s="2">
        <f>HYPERLINK("https://camerareadycosmetics.com/products/blend-bunny-trove-multichrome-quad-eyeshadow-palette", "https://camerareadycosmetics.com/products/blend-bunny-trove-multichrome-quad-eyeshadow-palette")</f>
        <v/>
      </c>
      <c r="B489" s="2">
        <f>HYPERLINK("https://camerareadycosmetics.com/products/blend-bunny-trove-multichrome-quad-eyeshadow-palette", "https://camerareadycosmetics.com/products/blend-bunny-trove-multichrome-quad-eyeshadow-palette")</f>
        <v/>
      </c>
      <c r="C489" t="inlineStr">
        <is>
          <t>Multichrome Eyeshadow</t>
        </is>
      </c>
      <c r="D489" t="inlineStr">
        <is>
          <t>Jolilab Metallic Liquid Chameleon Eyeshadow, Multi-Dimensional Eye Looks, Long-lasting Holographic Glitter Multichrome Eyeshadows Makeup (#Peacock+Wonder+Ember)</t>
        </is>
      </c>
      <c r="E489" s="2">
        <f>HYPERLINK("https://www.amazon.com/Jolilab-Multi-Dimensional-Long-lasting-Holographic-Multichrome/dp/B09YLZ9JBF/ref=sr_1_1?keywords=Multichrome+Eyeshadow&amp;qid=1695565773&amp;sr=8-1", "https://www.amazon.com/Jolilab-Multi-Dimensional-Long-lasting-Holographic-Multichrome/dp/B09YLZ9JBF/ref=sr_1_1?keywords=Multichrome+Eyeshadow&amp;qid=1695565773&amp;sr=8-1")</f>
        <v/>
      </c>
      <c r="F489" t="inlineStr">
        <is>
          <t>B09YLZ9JBF</t>
        </is>
      </c>
      <c r="G489">
        <f>_xlfn.IMAGE("https://camerareadycosmetics.com/cdn/shop/products/blend-bunny-multichrome-quad-open-2b_50x.jpg?v=1680127839")</f>
        <v/>
      </c>
      <c r="H489">
        <f>_xlfn.IMAGE("https://m.media-amazon.com/images/I/816HFC0Tv5L._AC_UL320_.jpg")</f>
        <v/>
      </c>
      <c r="K489" t="inlineStr">
        <is>
          <t>68.0</t>
        </is>
      </c>
      <c r="L489" t="n">
        <v>13.99</v>
      </c>
      <c r="M489" s="1" t="inlineStr">
        <is>
          <t>-79.43%</t>
        </is>
      </c>
      <c r="N489" t="n">
        <v>4.4</v>
      </c>
      <c r="O489" t="n">
        <v>787</v>
      </c>
      <c r="Q489" t="inlineStr">
        <is>
          <t>InStock</t>
        </is>
      </c>
      <c r="R489" t="inlineStr">
        <is>
          <t>undefined</t>
        </is>
      </c>
      <c r="S489" t="inlineStr">
        <is>
          <t>7580623896761</t>
        </is>
      </c>
    </row>
    <row r="490" ht="75" customHeight="1">
      <c r="A490" s="2">
        <f>HYPERLINK("https://camerareadycosmetics.com/products/blend-bunny-trove-multichrome-quad-eyeshadow-palette", "https://camerareadycosmetics.com/products/blend-bunny-trove-multichrome-quad-eyeshadow-palette")</f>
        <v/>
      </c>
      <c r="B490" s="2">
        <f>HYPERLINK("https://camerareadycosmetics.com/products/blend-bunny-trove-multichrome-quad-eyeshadow-palette", "https://camerareadycosmetics.com/products/blend-bunny-trove-multichrome-quad-eyeshadow-palette")</f>
        <v/>
      </c>
      <c r="C490" t="inlineStr">
        <is>
          <t>Multichrome Eyeshadow</t>
        </is>
      </c>
      <c r="D490" t="inlineStr">
        <is>
          <t>8 Color Face Cheek Highlighter Makeup Palette Shimmer Glitter Iridescent Multichrome Holographic Eyeshadow Palette Purple Rainbow Glitter Highlighter Makeup Highlight and Contour Palette Eye Makeup</t>
        </is>
      </c>
      <c r="E490" s="2">
        <f>HYPERLINK("https://www.amazon.com/Highlighters-Highlight-Duochrome-Multichrome-Iridescent/dp/B0BRZVVX6G/ref=sr_1_9?keywords=Multichrome+Eyeshadow&amp;qid=1695565773&amp;sr=8-9", "https://www.amazon.com/Highlighters-Highlight-Duochrome-Multichrome-Iridescent/dp/B0BRZVVX6G/ref=sr_1_9?keywords=Multichrome+Eyeshadow&amp;qid=1695565773&amp;sr=8-9")</f>
        <v/>
      </c>
      <c r="F490" t="inlineStr">
        <is>
          <t>B0BRZVVX6G</t>
        </is>
      </c>
      <c r="G490">
        <f>_xlfn.IMAGE("https://camerareadycosmetics.com/cdn/shop/products/blend-bunny-multichrome-quad-open-2b_50x.jpg?v=1680127839")</f>
        <v/>
      </c>
      <c r="H490">
        <f>_xlfn.IMAGE("https://m.media-amazon.com/images/I/71NXiX0Hw+L._AC_UL320_.jpg")</f>
        <v/>
      </c>
      <c r="K490" t="inlineStr">
        <is>
          <t>68.0</t>
        </is>
      </c>
      <c r="L490" t="n">
        <v>12.99</v>
      </c>
      <c r="M490" s="1" t="inlineStr">
        <is>
          <t>-80.90%</t>
        </is>
      </c>
      <c r="N490" t="n">
        <v>4.1</v>
      </c>
      <c r="O490" t="n">
        <v>978</v>
      </c>
      <c r="Q490" t="inlineStr">
        <is>
          <t>InStock</t>
        </is>
      </c>
      <c r="R490" t="inlineStr">
        <is>
          <t>undefined</t>
        </is>
      </c>
      <c r="S490" t="inlineStr">
        <is>
          <t>7580623896761</t>
        </is>
      </c>
    </row>
    <row r="491" ht="75" customHeight="1">
      <c r="A491" s="2">
        <f>HYPERLINK("https://camerareadycosmetics.com/products/blend-bunny-trove-multichrome-quad-eyeshadow-palette", "https://camerareadycosmetics.com/products/blend-bunny-trove-multichrome-quad-eyeshadow-palette")</f>
        <v/>
      </c>
      <c r="B491" s="2">
        <f>HYPERLINK("https://camerareadycosmetics.com/products/blend-bunny-trove-multichrome-quad-eyeshadow-palette", "https://camerareadycosmetics.com/products/blend-bunny-trove-multichrome-quad-eyeshadow-palette")</f>
        <v/>
      </c>
      <c r="C491" t="inlineStr">
        <is>
          <t>Multichrome Eyeshadow</t>
        </is>
      </c>
      <c r="D491" t="inlineStr">
        <is>
          <t>CHARMACY 2 Colors Multichrome Liquid Glitter Eyeshadow, Metallic Liquid Eyeshadow, Pigmented, Long Lasting, Quick Drying, Easy to Apply, Loose Glitter Glue for Eye Crystals Makeup (08/17)</t>
        </is>
      </c>
      <c r="E491" s="2">
        <f>HYPERLINK("https://www.amazon.com/CHARMACY-Multichrome-Eyeshadow-Metallic-Pigmented/dp/B0CFY9M1C2/ref=sr_1_2?keywords=Multichrome+Eyeshadow&amp;qid=1695565773&amp;sr=8-2", "https://www.amazon.com/CHARMACY-Multichrome-Eyeshadow-Metallic-Pigmented/dp/B0CFY9M1C2/ref=sr_1_2?keywords=Multichrome+Eyeshadow&amp;qid=1695565773&amp;sr=8-2")</f>
        <v/>
      </c>
      <c r="F491" t="inlineStr">
        <is>
          <t>B0CFY9M1C2</t>
        </is>
      </c>
      <c r="G491">
        <f>_xlfn.IMAGE("https://camerareadycosmetics.com/cdn/shop/products/blend-bunny-multichrome-quad-open-2b_50x.jpg?v=1680127839")</f>
        <v/>
      </c>
      <c r="H491">
        <f>_xlfn.IMAGE("https://m.media-amazon.com/images/I/71WP3xXZL5L._AC_UL320_.jpg")</f>
        <v/>
      </c>
      <c r="K491" t="inlineStr">
        <is>
          <t>68.0</t>
        </is>
      </c>
      <c r="L491" t="n">
        <v>11.99</v>
      </c>
      <c r="M491" s="1" t="inlineStr">
        <is>
          <t>-82.37%</t>
        </is>
      </c>
      <c r="N491" t="n">
        <v>4.3</v>
      </c>
      <c r="O491" t="n">
        <v>22</v>
      </c>
      <c r="Q491" t="inlineStr">
        <is>
          <t>InStock</t>
        </is>
      </c>
      <c r="R491" t="inlineStr">
        <is>
          <t>undefined</t>
        </is>
      </c>
      <c r="S491" t="inlineStr">
        <is>
          <t>7580623896761</t>
        </is>
      </c>
    </row>
    <row r="492" ht="75" customHeight="1">
      <c r="A492" s="2">
        <f>HYPERLINK("https://camerareadycosmetics.com/products/blend-bunny-trove-multichrome-quad-eyeshadow-palette", "https://camerareadycosmetics.com/products/blend-bunny-trove-multichrome-quad-eyeshadow-palette")</f>
        <v/>
      </c>
      <c r="B492" s="2">
        <f>HYPERLINK("https://camerareadycosmetics.com/products/blend-bunny-trove-multichrome-quad-eyeshadow-palette", "https://camerareadycosmetics.com/products/blend-bunny-trove-multichrome-quad-eyeshadow-palette")</f>
        <v/>
      </c>
      <c r="C492" t="inlineStr">
        <is>
          <t>Multichrome Eyeshadow</t>
        </is>
      </c>
      <c r="D492" t="inlineStr">
        <is>
          <t>CHARMACY Liquid Chameleon Eyeshadow, Multi-Dimensional Eye Looks, Highly Pigment, Long-lasting With No Crease, Multichrome Eyeshadow Liquid Metallic Eye Makeup, 1.6g (#07)</t>
        </is>
      </c>
      <c r="E492" s="2">
        <f>HYPERLINK("https://www.amazon.com/CHARMACY-Chameleon-Multi-Dimensional-Long-lasting-Multichrome/dp/B09QQTM5LG/ref=sr_1_3?keywords=Multichrome+Eyeshadow&amp;qid=1695565773&amp;sr=8-3", "https://www.amazon.com/CHARMACY-Chameleon-Multi-Dimensional-Long-lasting-Multichrome/dp/B09QQTM5LG/ref=sr_1_3?keywords=Multichrome+Eyeshadow&amp;qid=1695565773&amp;sr=8-3")</f>
        <v/>
      </c>
      <c r="F492" t="inlineStr">
        <is>
          <t>B09QQTM5LG</t>
        </is>
      </c>
      <c r="G492">
        <f>_xlfn.IMAGE("https://camerareadycosmetics.com/cdn/shop/products/blend-bunny-multichrome-quad-open-2b_50x.jpg?v=1680127839")</f>
        <v/>
      </c>
      <c r="H492">
        <f>_xlfn.IMAGE("https://m.media-amazon.com/images/I/61sNt-MzSSL._AC_UL320_.jpg")</f>
        <v/>
      </c>
      <c r="K492" t="inlineStr">
        <is>
          <t>68.0</t>
        </is>
      </c>
      <c r="L492" t="n">
        <v>11.99</v>
      </c>
      <c r="M492" s="1" t="inlineStr">
        <is>
          <t>-82.37%</t>
        </is>
      </c>
      <c r="N492" t="n">
        <v>4.1</v>
      </c>
      <c r="O492" t="n">
        <v>256</v>
      </c>
      <c r="Q492" t="inlineStr">
        <is>
          <t>InStock</t>
        </is>
      </c>
      <c r="R492" t="inlineStr">
        <is>
          <t>undefined</t>
        </is>
      </c>
      <c r="S492" t="inlineStr">
        <is>
          <t>7580623896761</t>
        </is>
      </c>
    </row>
    <row r="493" ht="75" customHeight="1">
      <c r="A493" s="2">
        <f>HYPERLINK("https://camerareadycosmetics.com/products/blend-bunny-trove-multichrome-quad-eyeshadow-palette", "https://camerareadycosmetics.com/products/blend-bunny-trove-multichrome-quad-eyeshadow-palette")</f>
        <v/>
      </c>
      <c r="B493" s="2">
        <f>HYPERLINK("https://camerareadycosmetics.com/products/blend-bunny-trove-multichrome-quad-eyeshadow-palette", "https://camerareadycosmetics.com/products/blend-bunny-trove-multichrome-quad-eyeshadow-palette")</f>
        <v/>
      </c>
      <c r="C493" t="inlineStr">
        <is>
          <t>Multichrome Eyeshadow</t>
        </is>
      </c>
      <c r="D493" t="inlineStr">
        <is>
          <t>Multichrome Shimmer Liquid Eyeshadow White Pink Gold Colors, Sparkly Metallic Liquid Eyeshadow For Brown Eyes,Glitter Highlighter Makeup For Face /Body, Long Lasting Holographic Glitter Eyeshadows,#9</t>
        </is>
      </c>
      <c r="E493" s="2">
        <f>HYPERLINK("https://www.amazon.com/Multichrome-Eyeshadow-Highlighter-Holographic-Eyeshadows/dp/B0C3C5775N/ref=sr_1_10?keywords=Multichrome+Eyeshadow&amp;qid=1695565773&amp;sr=8-10", "https://www.amazon.com/Multichrome-Eyeshadow-Highlighter-Holographic-Eyeshadows/dp/B0C3C5775N/ref=sr_1_10?keywords=Multichrome+Eyeshadow&amp;qid=1695565773&amp;sr=8-10")</f>
        <v/>
      </c>
      <c r="F493" t="inlineStr">
        <is>
          <t>B0C3C5775N</t>
        </is>
      </c>
      <c r="G493">
        <f>_xlfn.IMAGE("https://camerareadycosmetics.com/cdn/shop/products/blend-bunny-multichrome-quad-open-2b_50x.jpg?v=1680127839")</f>
        <v/>
      </c>
      <c r="H493">
        <f>_xlfn.IMAGE("https://m.media-amazon.com/images/I/61i-GAlnkyL._AC_UL320_.jpg")</f>
        <v/>
      </c>
      <c r="K493" t="inlineStr">
        <is>
          <t>68.0</t>
        </is>
      </c>
      <c r="L493" t="n">
        <v>9.99</v>
      </c>
      <c r="M493" s="1" t="inlineStr">
        <is>
          <t>-85.31%</t>
        </is>
      </c>
      <c r="N493" t="n">
        <v>4</v>
      </c>
      <c r="O493" t="n">
        <v>4</v>
      </c>
      <c r="Q493" t="inlineStr">
        <is>
          <t>InStock</t>
        </is>
      </c>
      <c r="R493" t="inlineStr">
        <is>
          <t>undefined</t>
        </is>
      </c>
      <c r="S493" t="inlineStr">
        <is>
          <t>7580623896761</t>
        </is>
      </c>
    </row>
    <row r="494" ht="75" customHeight="1">
      <c r="A494" s="2">
        <f>HYPERLINK("https://camerareadycosmetics.com/products/blend-bunny-trove-multichrome-quad-eyeshadow-palette", "https://camerareadycosmetics.com/products/blend-bunny-trove-multichrome-quad-eyeshadow-palette")</f>
        <v/>
      </c>
      <c r="B494" s="2">
        <f>HYPERLINK("https://camerareadycosmetics.com/products/blend-bunny-trove-multichrome-quad-eyeshadow-palette", "https://camerareadycosmetics.com/products/blend-bunny-trove-multichrome-quad-eyeshadow-palette")</f>
        <v/>
      </c>
      <c r="C494" t="inlineStr">
        <is>
          <t>Multichrome Eyeshadow</t>
        </is>
      </c>
      <c r="D494" t="inlineStr">
        <is>
          <t>CHARMACY Multichrome 2 in 1 Cream Eyeshadow Stick, Waterproof Eye Brightener Highlighter Stick Makeup, High Pigmented, Smudge-Proof, Vegan &amp; Cruelty-Free (#901)</t>
        </is>
      </c>
      <c r="E494" s="2">
        <f>HYPERLINK("https://www.amazon.com/CHARMACY-Multichrome-Highlighter-Smudge-Proof-Cruelty-Free/dp/B0C4D9MW78/ref=sr_1_5?keywords=Multichrome+Eyeshadow&amp;qid=1695565773&amp;sr=8-5", "https://www.amazon.com/CHARMACY-Multichrome-Highlighter-Smudge-Proof-Cruelty-Free/dp/B0C4D9MW78/ref=sr_1_5?keywords=Multichrome+Eyeshadow&amp;qid=1695565773&amp;sr=8-5")</f>
        <v/>
      </c>
      <c r="F494" t="inlineStr">
        <is>
          <t>B0C4D9MW78</t>
        </is>
      </c>
      <c r="G494">
        <f>_xlfn.IMAGE("https://camerareadycosmetics.com/cdn/shop/products/blend-bunny-multichrome-quad-open-2b_50x.jpg?v=1680127839")</f>
        <v/>
      </c>
      <c r="H494">
        <f>_xlfn.IMAGE("https://m.media-amazon.com/images/I/71vgG5wA1IL._AC_UL320_.jpg")</f>
        <v/>
      </c>
      <c r="K494" t="inlineStr">
        <is>
          <t>68.0</t>
        </is>
      </c>
      <c r="L494" t="n">
        <v>9.59</v>
      </c>
      <c r="M494" s="1" t="inlineStr">
        <is>
          <t>-85.90%</t>
        </is>
      </c>
      <c r="N494" t="n">
        <v>3.9</v>
      </c>
      <c r="O494" t="n">
        <v>96</v>
      </c>
      <c r="Q494" t="inlineStr">
        <is>
          <t>InStock</t>
        </is>
      </c>
      <c r="R494" t="inlineStr">
        <is>
          <t>undefined</t>
        </is>
      </c>
      <c r="S494" t="inlineStr">
        <is>
          <t>7580623896761</t>
        </is>
      </c>
    </row>
    <row r="495" ht="75" customHeight="1">
      <c r="A495" s="2">
        <f>HYPERLINK("https://camerareadycosmetics.com/products/blend-bunny-trove-multichrome-quad-eyeshadow-palette", "https://camerareadycosmetics.com/products/blend-bunny-trove-multichrome-quad-eyeshadow-palette")</f>
        <v/>
      </c>
      <c r="B495" s="2">
        <f>HYPERLINK("https://camerareadycosmetics.com/products/blend-bunny-trove-multichrome-quad-eyeshadow-palette", "https://camerareadycosmetics.com/products/blend-bunny-trove-multichrome-quad-eyeshadow-palette")</f>
        <v/>
      </c>
      <c r="C495" t="inlineStr">
        <is>
          <t>Multichrome Eyeshadow</t>
        </is>
      </c>
      <c r="D495" t="inlineStr">
        <is>
          <t>DE'LANCI Duochrome Eyeshadow, Highly Pigmented Multichrome Eyeshadow Metallic Shade Eye Makeup,Long Last Sweat Proof Shimmer Eyeshadow Palette for Brown Eyes,Travel Size Minerals Eye Shadow Green Gold</t>
        </is>
      </c>
      <c r="E495" s="2">
        <f>HYPERLINK("https://www.amazon.com/DELANCI-Duochrome-Eyeshadow-Pigmented-Multichrome/dp/B0BXKRRSVV/ref=sr_1_7?keywords=Multichrome+Eyeshadow&amp;qid=1695565773&amp;sr=8-7", "https://www.amazon.com/DELANCI-Duochrome-Eyeshadow-Pigmented-Multichrome/dp/B0BXKRRSVV/ref=sr_1_7?keywords=Multichrome+Eyeshadow&amp;qid=1695565773&amp;sr=8-7")</f>
        <v/>
      </c>
      <c r="F495" t="inlineStr">
        <is>
          <t>B0BXKRRSVV</t>
        </is>
      </c>
      <c r="G495">
        <f>_xlfn.IMAGE("https://camerareadycosmetics.com/cdn/shop/products/blend-bunny-multichrome-quad-open-2b_50x.jpg?v=1680127839")</f>
        <v/>
      </c>
      <c r="H495">
        <f>_xlfn.IMAGE("https://m.media-amazon.com/images/I/815WQYuXCqL._AC_UL320_.jpg")</f>
        <v/>
      </c>
      <c r="K495" t="inlineStr">
        <is>
          <t>68.0</t>
        </is>
      </c>
      <c r="L495" t="n">
        <v>7.99</v>
      </c>
      <c r="M495" s="1" t="inlineStr">
        <is>
          <t>-88.25%</t>
        </is>
      </c>
      <c r="N495" t="n">
        <v>4.1</v>
      </c>
      <c r="O495" t="n">
        <v>62</v>
      </c>
      <c r="Q495" t="inlineStr">
        <is>
          <t>InStock</t>
        </is>
      </c>
      <c r="R495" t="inlineStr">
        <is>
          <t>undefined</t>
        </is>
      </c>
      <c r="S495" t="inlineStr">
        <is>
          <t>7580623896761</t>
        </is>
      </c>
    </row>
    <row r="496" ht="75" customHeight="1">
      <c r="A496" s="2">
        <f>HYPERLINK("https://camerareadycosmetics.com/products/brett-brow-arch-control-gel", "https://camerareadycosmetics.com/products/brett-brow-arch-control-gel")</f>
        <v/>
      </c>
      <c r="B496" s="2">
        <f>HYPERLINK("https://camerareadycosmetics.com/products/brett-brow-arch-control-gel", "https://camerareadycosmetics.com/products/brett-brow-arch-control-gel")</f>
        <v/>
      </c>
      <c r="C496" t="inlineStr">
        <is>
          <t>Brett Brow Arch Control Gel</t>
        </is>
      </c>
      <c r="D496" t="inlineStr">
        <is>
          <t>BRETT BROW Arch-Control Brow Gel</t>
        </is>
      </c>
      <c r="E496" s="2">
        <f>HYPERLINK("https://www.amazon.com/BRETT-BROW-Arch-Control-Brow-Gel/dp/B00KHHERFK/ref=sr_1_1?keywords=Brett+Brow+Arch+Control+Gel&amp;qid=1695565672&amp;sr=8-1", "https://www.amazon.com/BRETT-BROW-Arch-Control-Brow-Gel/dp/B00KHHERFK/ref=sr_1_1?keywords=Brett+Brow+Arch+Control+Gel&amp;qid=1695565672&amp;sr=8-1")</f>
        <v/>
      </c>
      <c r="F496" t="inlineStr">
        <is>
          <t>B00KHHERFK</t>
        </is>
      </c>
      <c r="G496">
        <f>_xlfn.IMAGE("https://camerareadycosmetics.com/cdn/shop/products/arch_control_gel__46333.1414160006.600.600_50x.jpeg?v=1689646005")</f>
        <v/>
      </c>
      <c r="H496">
        <f>_xlfn.IMAGE("https://m.media-amazon.com/images/I/317n3mU5VvL._AC_UL320_.jpg")</f>
        <v/>
      </c>
      <c r="K496" t="inlineStr">
        <is>
          <t>18.0</t>
        </is>
      </c>
      <c r="L496" t="n">
        <v>18</v>
      </c>
      <c r="M496" s="1" t="inlineStr">
        <is>
          <t>0.00%</t>
        </is>
      </c>
      <c r="N496" t="n">
        <v>4.5</v>
      </c>
      <c r="O496" t="n">
        <v>12</v>
      </c>
      <c r="Q496" t="inlineStr">
        <is>
          <t>InStock</t>
        </is>
      </c>
      <c r="R496" t="inlineStr">
        <is>
          <t>undefined</t>
        </is>
      </c>
      <c r="S496" t="inlineStr">
        <is>
          <t>7042361927</t>
        </is>
      </c>
    </row>
    <row r="497" ht="75" customHeight="1">
      <c r="A497" s="2">
        <f>HYPERLINK("https://camerareadycosmetics.com/products/brett-brow-duo-shade-brow-pencil", "https://camerareadycosmetics.com/products/brett-brow-duo-shade-brow-pencil")</f>
        <v/>
      </c>
      <c r="B497" s="2">
        <f>HYPERLINK("https://camerareadycosmetics.com/products/brett-brow-duo-shade-brow-pencil", "https://camerareadycosmetics.com/products/brett-brow-duo-shade-brow-pencil")</f>
        <v/>
      </c>
      <c r="C497" t="inlineStr">
        <is>
          <t>Brett Brow DuoShade Brow Pencil</t>
        </is>
      </c>
      <c r="D497" t="inlineStr">
        <is>
          <t>BRETT BROW Duo-Shade Pencil</t>
        </is>
      </c>
      <c r="E497" s="2">
        <f>HYPERLINK("https://www.amazon.com/Brett-Freedman-Beauty-BBPALBLNDPEN-Duo-Shade/dp/B00IYSDBQU/ref=sr_1_2?keywords=Brett+Brow+DuoShade+Brow+Pencil&amp;qid=1695565615&amp;sr=8-2", "https://www.amazon.com/Brett-Freedman-Beauty-BBPALBLNDPEN-Duo-Shade/dp/B00IYSDBQU/ref=sr_1_2?keywords=Brett+Brow+DuoShade+Brow+Pencil&amp;qid=1695565615&amp;sr=8-2")</f>
        <v/>
      </c>
      <c r="F497" t="inlineStr">
        <is>
          <t>B00IYSDBQU</t>
        </is>
      </c>
      <c r="G497">
        <f>_xlfn.IMAGE("https://camerareadycosmetics.com/cdn/shop/products/9125_zoom_1414092240_50x.jpg?v=1689645967")</f>
        <v/>
      </c>
      <c r="H497">
        <f>_xlfn.IMAGE("https://m.media-amazon.com/images/I/41n-QpcoFmL._AC_UL320_.jpg")</f>
        <v/>
      </c>
      <c r="K497" t="inlineStr">
        <is>
          <t>18.0</t>
        </is>
      </c>
      <c r="L497" t="n">
        <v>22.5</v>
      </c>
      <c r="M497" s="1" t="inlineStr">
        <is>
          <t>25.00%</t>
        </is>
      </c>
      <c r="N497" t="n">
        <v>4.5</v>
      </c>
      <c r="O497" t="n">
        <v>115</v>
      </c>
      <c r="Q497" t="inlineStr">
        <is>
          <t>InStock</t>
        </is>
      </c>
      <c r="R497" t="inlineStr">
        <is>
          <t>undefined</t>
        </is>
      </c>
      <c r="S497" t="inlineStr">
        <is>
          <t>7042337735</t>
        </is>
      </c>
    </row>
    <row r="498" ht="75" customHeight="1">
      <c r="A498" s="2">
        <f>HYPERLINK("https://camerareadycosmetics.com/products/brett-brow-duo-shade-brow-pencil", "https://camerareadycosmetics.com/products/brett-brow-duo-shade-brow-pencil")</f>
        <v/>
      </c>
      <c r="B498" s="2">
        <f>HYPERLINK("https://camerareadycosmetics.com/products/brett-brow-duo-shade-brow-pencil", "https://camerareadycosmetics.com/products/brett-brow-duo-shade-brow-pencil")</f>
        <v/>
      </c>
      <c r="C498" t="inlineStr">
        <is>
          <t>Brett Brow DuoShade Brow Pencil</t>
        </is>
      </c>
      <c r="D498" t="inlineStr">
        <is>
          <t>BRETT BROW Duo-Shade Pencil</t>
        </is>
      </c>
      <c r="E498" s="2">
        <f>HYPERLINK("https://www.amazon.com/Brett-Freedman-Beauty-Duo-Shade-Pencil/dp/B00F5BBNNM/ref=sr_1_1?keywords=Brett+Brow+DuoShade+Brow+Pencil&amp;qid=1695565615&amp;sr=8-1", "https://www.amazon.com/Brett-Freedman-Beauty-Duo-Shade-Pencil/dp/B00F5BBNNM/ref=sr_1_1?keywords=Brett+Brow+DuoShade+Brow+Pencil&amp;qid=1695565615&amp;sr=8-1")</f>
        <v/>
      </c>
      <c r="F498" t="inlineStr">
        <is>
          <t>B00F5BBNNM</t>
        </is>
      </c>
      <c r="G498">
        <f>_xlfn.IMAGE("https://camerareadycosmetics.com/cdn/shop/products/9125_zoom_1414092240_50x.jpg?v=1689645967")</f>
        <v/>
      </c>
      <c r="H498">
        <f>_xlfn.IMAGE("https://m.media-amazon.com/images/I/61qnJeiehEL._AC_UL320_.jpg")</f>
        <v/>
      </c>
      <c r="K498" t="inlineStr">
        <is>
          <t>18.0</t>
        </is>
      </c>
      <c r="L498" t="n">
        <v>11.99</v>
      </c>
      <c r="M498" s="1" t="inlineStr">
        <is>
          <t>-33.39%</t>
        </is>
      </c>
      <c r="N498" t="n">
        <v>4</v>
      </c>
      <c r="O498" t="n">
        <v>34</v>
      </c>
      <c r="Q498" t="inlineStr">
        <is>
          <t>InStock</t>
        </is>
      </c>
      <c r="R498" t="inlineStr">
        <is>
          <t>undefined</t>
        </is>
      </c>
      <c r="S498" t="inlineStr">
        <is>
          <t>7042337735</t>
        </is>
      </c>
    </row>
    <row r="499" ht="75" customHeight="1">
      <c r="A499" s="2">
        <f>HYPERLINK("https://camerareadycosmetics.com/products/brett-brow-duo-shade-brow-powders", "https://camerareadycosmetics.com/products/brett-brow-duo-shade-brow-powders")</f>
        <v/>
      </c>
      <c r="B499" s="2">
        <f>HYPERLINK("https://camerareadycosmetics.com/products/brett-brow-duo-shade-brow-powders", "https://camerareadycosmetics.com/products/brett-brow-duo-shade-brow-powders")</f>
        <v/>
      </c>
      <c r="C499" t="inlineStr">
        <is>
          <t>Brett Brow Duo Shade Brow Powders</t>
        </is>
      </c>
      <c r="D499" t="inlineStr">
        <is>
          <t>Brett Brow Duo-Shade Powder</t>
        </is>
      </c>
      <c r="E499" s="2">
        <f>HYPERLINK("https://www.amazon.com/Brett-Freedman-Beauty-BBPALBLNDPOW-Duo-Shade/dp/B00IX0X10U/ref=sr_1_1?keywords=Brett+Brow+Duo+Shade+Brow+Powders&amp;qid=1695565638&amp;sr=8-1", "https://www.amazon.com/Brett-Freedman-Beauty-BBPALBLNDPOW-Duo-Shade/dp/B00IX0X10U/ref=sr_1_1?keywords=Brett+Brow+Duo+Shade+Brow+Powders&amp;qid=1695565638&amp;sr=8-1")</f>
        <v/>
      </c>
      <c r="F499" t="inlineStr">
        <is>
          <t>B00IX0X10U</t>
        </is>
      </c>
      <c r="G499">
        <f>_xlfn.IMAGE("https://camerareadycosmetics.com/cdn/shop/products/171002000__34121.1430271212.600.600_50x.jpeg?v=1689645971")</f>
        <v/>
      </c>
      <c r="H499">
        <f>_xlfn.IMAGE("https://m.media-amazon.com/images/I/51wNoz-P0hS._AC_UL320_.jpg")</f>
        <v/>
      </c>
      <c r="K499" t="inlineStr">
        <is>
          <t>18.0</t>
        </is>
      </c>
      <c r="L499" t="n">
        <v>22.25</v>
      </c>
      <c r="M499" s="1" t="inlineStr">
        <is>
          <t>23.61%</t>
        </is>
      </c>
      <c r="N499" t="n">
        <v>4.6</v>
      </c>
      <c r="O499" t="n">
        <v>13</v>
      </c>
      <c r="Q499" t="inlineStr">
        <is>
          <t>InStock</t>
        </is>
      </c>
      <c r="R499" t="inlineStr">
        <is>
          <t>undefined</t>
        </is>
      </c>
      <c r="S499" t="inlineStr">
        <is>
          <t>7042347271</t>
        </is>
      </c>
    </row>
    <row r="500" ht="75" customHeight="1">
      <c r="A500" s="2">
        <f>HYPERLINK("https://camerareadycosmetics.com/products/brett-brow-duo-shade-brow-powders", "https://camerareadycosmetics.com/products/brett-brow-duo-shade-brow-powders")</f>
        <v/>
      </c>
      <c r="B500" s="2">
        <f>HYPERLINK("https://camerareadycosmetics.com/products/brett-brow-duo-shade-brow-powders", "https://camerareadycosmetics.com/products/brett-brow-duo-shade-brow-powders")</f>
        <v/>
      </c>
      <c r="C500" t="inlineStr">
        <is>
          <t>Brett Brow Duo Shade Brow Powders</t>
        </is>
      </c>
      <c r="D500" t="inlineStr">
        <is>
          <t>BRETT BROW Duo-Shade Pencil</t>
        </is>
      </c>
      <c r="E500" s="2">
        <f>HYPERLINK("https://www.amazon.com/Brett-Freedman-Beauty-BBREDHEADPEN-Duo-Shade/dp/B00J5P7EGO/ref=sr_1_3?keywords=Brett+Brow+Duo+Shade+Brow+Powders&amp;qid=1695565638&amp;sr=8-3", "https://www.amazon.com/Brett-Freedman-Beauty-BBREDHEADPEN-Duo-Shade/dp/B00J5P7EGO/ref=sr_1_3?keywords=Brett+Brow+Duo+Shade+Brow+Powders&amp;qid=1695565638&amp;sr=8-3")</f>
        <v/>
      </c>
      <c r="F500" t="inlineStr">
        <is>
          <t>B00J5P7EGO</t>
        </is>
      </c>
      <c r="G500">
        <f>_xlfn.IMAGE("https://camerareadycosmetics.com/cdn/shop/products/171002000__34121.1430271212.600.600_50x.jpeg?v=1689645971")</f>
        <v/>
      </c>
      <c r="H500">
        <f>_xlfn.IMAGE("https://m.media-amazon.com/images/I/41LUdEhcjoL._AC_UL320_.jpg")</f>
        <v/>
      </c>
      <c r="K500" t="inlineStr">
        <is>
          <t>18.0</t>
        </is>
      </c>
      <c r="L500" t="n">
        <v>18</v>
      </c>
      <c r="M500" s="1" t="inlineStr">
        <is>
          <t>0.00%</t>
        </is>
      </c>
      <c r="N500" t="n">
        <v>4.5</v>
      </c>
      <c r="O500" t="n">
        <v>115</v>
      </c>
      <c r="Q500" t="inlineStr">
        <is>
          <t>InStock</t>
        </is>
      </c>
      <c r="R500" t="inlineStr">
        <is>
          <t>undefined</t>
        </is>
      </c>
      <c r="S500" t="inlineStr">
        <is>
          <t>7042347271</t>
        </is>
      </c>
    </row>
    <row r="501" ht="75" customHeight="1">
      <c r="A501" s="2">
        <f>HYPERLINK("https://camerareadycosmetics.com/products/brett-brow-duo-shade-brow-powders", "https://camerareadycosmetics.com/products/brett-brow-duo-shade-brow-powders")</f>
        <v/>
      </c>
      <c r="B501" s="2">
        <f>HYPERLINK("https://camerareadycosmetics.com/products/brett-brow-duo-shade-brow-powders", "https://camerareadycosmetics.com/products/brett-brow-duo-shade-brow-powders")</f>
        <v/>
      </c>
      <c r="C501" t="inlineStr">
        <is>
          <t>Brett Brow Duo Shade Brow Powders</t>
        </is>
      </c>
      <c r="D501" t="inlineStr">
        <is>
          <t>BRETT BROW Duo-Shade Pencil</t>
        </is>
      </c>
      <c r="E501" s="2">
        <f>HYPERLINK("https://www.amazon.com/Brett-Freedman-Beauty-Duo-Shade-Pencil/dp/B00F5BBNNM/ref=sr_1_2?keywords=Brett+Brow+Duo+Shade+Brow+Powders&amp;qid=1695565638&amp;sr=8-2", "https://www.amazon.com/Brett-Freedman-Beauty-Duo-Shade-Pencil/dp/B00F5BBNNM/ref=sr_1_2?keywords=Brett+Brow+Duo+Shade+Brow+Powders&amp;qid=1695565638&amp;sr=8-2")</f>
        <v/>
      </c>
      <c r="F501" t="inlineStr">
        <is>
          <t>B00F5BBNNM</t>
        </is>
      </c>
      <c r="G501">
        <f>_xlfn.IMAGE("https://camerareadycosmetics.com/cdn/shop/products/171002000__34121.1430271212.600.600_50x.jpeg?v=1689645971")</f>
        <v/>
      </c>
      <c r="H501">
        <f>_xlfn.IMAGE("https://m.media-amazon.com/images/I/61qnJeiehEL._AC_UL320_.jpg")</f>
        <v/>
      </c>
      <c r="K501" t="inlineStr">
        <is>
          <t>18.0</t>
        </is>
      </c>
      <c r="L501" t="n">
        <v>11.99</v>
      </c>
      <c r="M501" s="1" t="inlineStr">
        <is>
          <t>-33.39%</t>
        </is>
      </c>
      <c r="N501" t="n">
        <v>4</v>
      </c>
      <c r="O501" t="n">
        <v>34</v>
      </c>
      <c r="Q501" t="inlineStr">
        <is>
          <t>InStock</t>
        </is>
      </c>
      <c r="R501" t="inlineStr">
        <is>
          <t>undefined</t>
        </is>
      </c>
      <c r="S501" t="inlineStr">
        <is>
          <t>7042347271</t>
        </is>
      </c>
    </row>
    <row r="502" ht="75" customHeight="1">
      <c r="A502" s="2">
        <f>HYPERLINK("https://camerareadycosmetics.com/products/brett-brow-laser-brow-pencil", "https://camerareadycosmetics.com/products/brett-brow-laser-brow-pencil")</f>
        <v/>
      </c>
      <c r="B502" s="2">
        <f>HYPERLINK("https://camerareadycosmetics.com/products/brett-brow-laser-brow-pencil", "https://camerareadycosmetics.com/products/brett-brow-laser-brow-pencil")</f>
        <v/>
      </c>
      <c r="C502" t="inlineStr">
        <is>
          <t>Brett Brow Laser Brow Pencil</t>
        </is>
      </c>
      <c r="D502" t="inlineStr">
        <is>
          <t>Laser Brow Pencil</t>
        </is>
      </c>
      <c r="E502" s="2">
        <f>HYPERLINK("https://www.amazon.com/Laser-Brow-Pencil/dp/B003VYQR1I/ref=sr_1_1?keywords=Brett+Brow+Laser+Brow+Pencil&amp;qid=1695565590&amp;sr=8-1", "https://www.amazon.com/Laser-Brow-Pencil/dp/B003VYQR1I/ref=sr_1_1?keywords=Brett+Brow+Laser+Brow+Pencil&amp;qid=1695565590&amp;sr=8-1")</f>
        <v/>
      </c>
      <c r="F502" t="inlineStr">
        <is>
          <t>B003VYQR1I</t>
        </is>
      </c>
      <c r="G502">
        <f>_xlfn.IMAGE("https://camerareadycosmetics.com/cdn/shop/products/brettbrow__53148.1464988603.600.600_50x.jpeg?v=1689660127")</f>
        <v/>
      </c>
      <c r="H502">
        <f>_xlfn.IMAGE("https://m.media-amazon.com/images/I/31klO8sKYBL._AC_UL320_.jpg")</f>
        <v/>
      </c>
      <c r="K502" t="inlineStr">
        <is>
          <t>20.0</t>
        </is>
      </c>
      <c r="L502" t="n">
        <v>24.25</v>
      </c>
      <c r="M502" s="1" t="inlineStr">
        <is>
          <t>21.25%</t>
        </is>
      </c>
      <c r="N502" t="n">
        <v>4.1</v>
      </c>
      <c r="O502" t="n">
        <v>22</v>
      </c>
      <c r="Q502" t="inlineStr">
        <is>
          <t>InStock</t>
        </is>
      </c>
      <c r="R502" t="inlineStr">
        <is>
          <t>undefined</t>
        </is>
      </c>
      <c r="S502" t="inlineStr">
        <is>
          <t>7051217863</t>
        </is>
      </c>
    </row>
    <row r="503" ht="75" customHeight="1">
      <c r="A503" s="2">
        <f>HYPERLINK("https://camerareadycosmetics.com/products/brett-brow-laser-brow-pencil", "https://camerareadycosmetics.com/products/brett-brow-laser-brow-pencil")</f>
        <v/>
      </c>
      <c r="B503" s="2">
        <f>HYPERLINK("https://camerareadycosmetics.com/products/brett-brow-laser-brow-pencil", "https://camerareadycosmetics.com/products/brett-brow-laser-brow-pencil")</f>
        <v/>
      </c>
      <c r="C503" t="inlineStr">
        <is>
          <t>Brett Brow Laser Brow Pencil</t>
        </is>
      </c>
      <c r="D503" t="inlineStr">
        <is>
          <t>BRETT BROW Duo-Shade Pencil</t>
        </is>
      </c>
      <c r="E503" s="2">
        <f>HYPERLINK("https://www.amazon.com/Brett-Freedman-Beauty-BBREDHEADPEN-Duo-Shade/dp/B00J5P7EGO/ref=sr_1_4?keywords=Brett+Brow+Laser+Brow+Pencil&amp;qid=1695565590&amp;sr=8-4", "https://www.amazon.com/Brett-Freedman-Beauty-BBREDHEADPEN-Duo-Shade/dp/B00J5P7EGO/ref=sr_1_4?keywords=Brett+Brow+Laser+Brow+Pencil&amp;qid=1695565590&amp;sr=8-4")</f>
        <v/>
      </c>
      <c r="F503" t="inlineStr">
        <is>
          <t>B00J5P7EGO</t>
        </is>
      </c>
      <c r="G503">
        <f>_xlfn.IMAGE("https://camerareadycosmetics.com/cdn/shop/products/brettbrow__53148.1464988603.600.600_50x.jpeg?v=1689660127")</f>
        <v/>
      </c>
      <c r="H503">
        <f>_xlfn.IMAGE("https://m.media-amazon.com/images/I/41LUdEhcjoL._AC_UL320_.jpg")</f>
        <v/>
      </c>
      <c r="K503" t="inlineStr">
        <is>
          <t>20.0</t>
        </is>
      </c>
      <c r="L503" t="n">
        <v>18</v>
      </c>
      <c r="M503" s="1" t="inlineStr">
        <is>
          <t>-10.00%</t>
        </is>
      </c>
      <c r="N503" t="n">
        <v>4.5</v>
      </c>
      <c r="O503" t="n">
        <v>115</v>
      </c>
      <c r="Q503" t="inlineStr">
        <is>
          <t>InStock</t>
        </is>
      </c>
      <c r="R503" t="inlineStr">
        <is>
          <t>undefined</t>
        </is>
      </c>
      <c r="S503" t="inlineStr">
        <is>
          <t>7051217863</t>
        </is>
      </c>
    </row>
    <row r="504" ht="75" customHeight="1">
      <c r="A504" s="2">
        <f>HYPERLINK("https://camerareadycosmetics.com/products/brett-brow-laser-brow-pencil", "https://camerareadycosmetics.com/products/brett-brow-laser-brow-pencil")</f>
        <v/>
      </c>
      <c r="B504" s="2">
        <f>HYPERLINK("https://camerareadycosmetics.com/products/brett-brow-laser-brow-pencil", "https://camerareadycosmetics.com/products/brett-brow-laser-brow-pencil")</f>
        <v/>
      </c>
      <c r="C504" t="inlineStr">
        <is>
          <t>Brett Brow Laser Brow Pencil</t>
        </is>
      </c>
      <c r="D504" t="inlineStr">
        <is>
          <t>BRETT BROW Duo-Shade Pencil</t>
        </is>
      </c>
      <c r="E504" s="2">
        <f>HYPERLINK("https://www.amazon.com/Brett-Freedman-Beauty-Duo-Shade-Pencil/dp/B00F5BBNNM/ref=sr_1_2?keywords=Brett+Brow+Laser+Brow+Pencil&amp;qid=1695565590&amp;sr=8-2", "https://www.amazon.com/Brett-Freedman-Beauty-Duo-Shade-Pencil/dp/B00F5BBNNM/ref=sr_1_2?keywords=Brett+Brow+Laser+Brow+Pencil&amp;qid=1695565590&amp;sr=8-2")</f>
        <v/>
      </c>
      <c r="F504" t="inlineStr">
        <is>
          <t>B00F5BBNNM</t>
        </is>
      </c>
      <c r="G504">
        <f>_xlfn.IMAGE("https://camerareadycosmetics.com/cdn/shop/products/brettbrow__53148.1464988603.600.600_50x.jpeg?v=1689660127")</f>
        <v/>
      </c>
      <c r="H504">
        <f>_xlfn.IMAGE("https://m.media-amazon.com/images/I/61qnJeiehEL._AC_UL320_.jpg")</f>
        <v/>
      </c>
      <c r="K504" t="inlineStr">
        <is>
          <t>20.0</t>
        </is>
      </c>
      <c r="L504" t="n">
        <v>11.99</v>
      </c>
      <c r="M504" s="1" t="inlineStr">
        <is>
          <t>-40.05%</t>
        </is>
      </c>
      <c r="N504" t="n">
        <v>4</v>
      </c>
      <c r="O504" t="n">
        <v>34</v>
      </c>
      <c r="Q504" t="inlineStr">
        <is>
          <t>InStock</t>
        </is>
      </c>
      <c r="R504" t="inlineStr">
        <is>
          <t>undefined</t>
        </is>
      </c>
      <c r="S504" t="inlineStr">
        <is>
          <t>7051217863</t>
        </is>
      </c>
    </row>
    <row r="505" ht="75" customHeight="1">
      <c r="A505" s="2">
        <f>HYPERLINK("https://camerareadycosmetics.com/products/brett-freedman-dr-kiss-lip-balm-oos-with-company", "https://camerareadycosmetics.com/products/brett-freedman-dr-kiss-lip-balm-oos-with-company")</f>
        <v/>
      </c>
      <c r="B505" s="2">
        <f>HYPERLINK("https://camerareadycosmetics.com/products/brett-freedman-dr-kiss-lip-balm-oos-with-company", "https://camerareadycosmetics.com/products/brett-freedman-dr-kiss-lip-balm-oos-with-company")</f>
        <v/>
      </c>
      <c r="C505" t="inlineStr">
        <is>
          <t>Dr. Kiss Lip Balm Vanilla Mint</t>
        </is>
      </c>
      <c r="D505" t="inlineStr">
        <is>
          <t>Dr. KISS Lip Balm (Vanilla)</t>
        </is>
      </c>
      <c r="E505" s="2">
        <f>HYPERLINK("https://www.amazon.com/Dr-KISS-Lip-Balm-Vanilla/dp/B00I14HJ42/ref=sr_1_3?keywords=Dr.+Kiss+Lip+Balm+Vanilla+Mint&amp;qid=1695565665&amp;sr=8-3", "https://www.amazon.com/Dr-KISS-Lip-Balm-Vanilla/dp/B00I14HJ42/ref=sr_1_3?keywords=Dr.+Kiss+Lip+Balm+Vanilla+Mint&amp;qid=1695565665&amp;sr=8-3")</f>
        <v/>
      </c>
      <c r="F505" t="inlineStr">
        <is>
          <t>B00I14HJ42</t>
        </is>
      </c>
      <c r="G505">
        <f>_xlfn.IMAGE("https://camerareadycosmetics.com/cdn/shop/products/dr.kiss_lip_balm__33817.1415908848.600.600_50x.jpeg?v=1689646258")</f>
        <v/>
      </c>
      <c r="H505">
        <f>_xlfn.IMAGE("https://m.media-amazon.com/images/I/41WBB56pipL._AC_UL320_.jpg")</f>
        <v/>
      </c>
      <c r="K505" t="inlineStr">
        <is>
          <t>14.0</t>
        </is>
      </c>
      <c r="L505" t="n">
        <v>15.08</v>
      </c>
      <c r="M505" s="1" t="inlineStr">
        <is>
          <t>7.71%</t>
        </is>
      </c>
      <c r="N505" t="n">
        <v>4.1</v>
      </c>
      <c r="O505" t="n">
        <v>78</v>
      </c>
      <c r="Q505" t="inlineStr">
        <is>
          <t>InStock</t>
        </is>
      </c>
      <c r="R505" t="inlineStr">
        <is>
          <t>undefined</t>
        </is>
      </c>
      <c r="S505" t="inlineStr">
        <is>
          <t>7042544711</t>
        </is>
      </c>
    </row>
    <row r="506" ht="75" customHeight="1">
      <c r="A506" s="2">
        <f>HYPERLINK("https://camerareadycosmetics.com/products/brett-freedman-dr-kiss-lip-balm-oos-with-company", "https://camerareadycosmetics.com/products/brett-freedman-dr-kiss-lip-balm-oos-with-company")</f>
        <v/>
      </c>
      <c r="B506" s="2">
        <f>HYPERLINK("https://camerareadycosmetics.com/products/brett-freedman-dr-kiss-lip-balm-oos-with-company", "https://camerareadycosmetics.com/products/brett-freedman-dr-kiss-lip-balm-oos-with-company")</f>
        <v/>
      </c>
      <c r="C506" t="inlineStr">
        <is>
          <t>Dr. Kiss Lip Balm Vanilla Mint</t>
        </is>
      </c>
      <c r="D506" t="inlineStr">
        <is>
          <t>Eco Lips Mongo Kiss Organic Lip Balm 4 Pack - 100 Percent USDA Organic - Soothe, Moisturize Dry, Cracked and Chapped Lips - Made in USA (Peppermint &amp; Vanilla Honey)</t>
        </is>
      </c>
      <c r="E506" s="2">
        <f>HYPERLINK("https://www.amazon.com/Eco-Lips-Mongo-Vanilla-Peppermint/dp/B017O1I8WO/ref=sr_1_4?keywords=Dr.+Kiss+Lip+Balm+Vanilla+Mint&amp;qid=1695565665&amp;sr=8-4", "https://www.amazon.com/Eco-Lips-Mongo-Vanilla-Peppermint/dp/B017O1I8WO/ref=sr_1_4?keywords=Dr.+Kiss+Lip+Balm+Vanilla+Mint&amp;qid=1695565665&amp;sr=8-4")</f>
        <v/>
      </c>
      <c r="F506" t="inlineStr">
        <is>
          <t>B017O1I8WO</t>
        </is>
      </c>
      <c r="G506">
        <f>_xlfn.IMAGE("https://camerareadycosmetics.com/cdn/shop/products/dr.kiss_lip_balm__33817.1415908848.600.600_50x.jpeg?v=1689646258")</f>
        <v/>
      </c>
      <c r="H506">
        <f>_xlfn.IMAGE("https://m.media-amazon.com/images/I/51bBZ7YtqaL._AC_UL320_.jpg")</f>
        <v/>
      </c>
      <c r="K506" t="inlineStr">
        <is>
          <t>14.0</t>
        </is>
      </c>
      <c r="L506" t="n">
        <v>13.19</v>
      </c>
      <c r="M506" s="1" t="inlineStr">
        <is>
          <t>-5.79%</t>
        </is>
      </c>
      <c r="N506" t="n">
        <v>4.8</v>
      </c>
      <c r="O506" t="n">
        <v>684</v>
      </c>
      <c r="Q506" t="inlineStr">
        <is>
          <t>InStock</t>
        </is>
      </c>
      <c r="R506" t="inlineStr">
        <is>
          <t>undefined</t>
        </is>
      </c>
      <c r="S506" t="inlineStr">
        <is>
          <t>7042544711</t>
        </is>
      </c>
    </row>
    <row r="507" ht="75" customHeight="1">
      <c r="A507" s="2">
        <f>HYPERLINK("https://camerareadycosmetics.com/products/brett-freedman-dr-kiss-lip-balm-oos-with-company", "https://camerareadycosmetics.com/products/brett-freedman-dr-kiss-lip-balm-oos-with-company")</f>
        <v/>
      </c>
      <c r="B507" s="2">
        <f>HYPERLINK("https://camerareadycosmetics.com/products/brett-freedman-dr-kiss-lip-balm-oos-with-company", "https://camerareadycosmetics.com/products/brett-freedman-dr-kiss-lip-balm-oos-with-company")</f>
        <v/>
      </c>
      <c r="C507" t="inlineStr">
        <is>
          <t>Dr. Kiss Lip Balm Vanilla Mint</t>
        </is>
      </c>
      <c r="D507" t="inlineStr">
        <is>
          <t>Delight Naturals Mint Kisses Lip Balm Gift Set - Vanilla Mint, Peppermint, and Spearmint</t>
        </is>
      </c>
      <c r="E507" s="2">
        <f>HYPERLINK("https://www.amazon.com/Delight-Naturals-Mint-Kisses-Balm/dp/B095NDD3LM/ref=sr_1_1?keywords=Dr.+Kiss+Lip+Balm+Vanilla+Mint&amp;qid=1695565665&amp;sr=8-1", "https://www.amazon.com/Delight-Naturals-Mint-Kisses-Balm/dp/B095NDD3LM/ref=sr_1_1?keywords=Dr.+Kiss+Lip+Balm+Vanilla+Mint&amp;qid=1695565665&amp;sr=8-1")</f>
        <v/>
      </c>
      <c r="F507" t="inlineStr">
        <is>
          <t>B095NDD3LM</t>
        </is>
      </c>
      <c r="G507">
        <f>_xlfn.IMAGE("https://camerareadycosmetics.com/cdn/shop/products/dr.kiss_lip_balm__33817.1415908848.600.600_50x.jpeg?v=1689646258")</f>
        <v/>
      </c>
      <c r="H507">
        <f>_xlfn.IMAGE("https://m.media-amazon.com/images/I/71HSy3FDXJS._AC_UL320_.jpg")</f>
        <v/>
      </c>
      <c r="K507" t="inlineStr">
        <is>
          <t>14.0</t>
        </is>
      </c>
      <c r="L507" t="n">
        <v>9.99</v>
      </c>
      <c r="M507" s="1" t="inlineStr">
        <is>
          <t>-28.64%</t>
        </is>
      </c>
      <c r="N507" t="n">
        <v>5</v>
      </c>
      <c r="O507" t="n">
        <v>2</v>
      </c>
      <c r="Q507" t="inlineStr">
        <is>
          <t>InStock</t>
        </is>
      </c>
      <c r="R507" t="inlineStr">
        <is>
          <t>undefined</t>
        </is>
      </c>
      <c r="S507" t="inlineStr">
        <is>
          <t>7042544711</t>
        </is>
      </c>
    </row>
    <row r="508" ht="75" customHeight="1">
      <c r="A508" s="2">
        <f>HYPERLINK("https://camerareadycosmetics.com/products/buxom-full-on-plumping-lip-cream-gloss", "https://camerareadycosmetics.com/products/buxom-full-on-plumping-lip-cream-gloss")</f>
        <v/>
      </c>
      <c r="B508" s="2">
        <f>HYPERLINK("https://camerareadycosmetics.com/products/buxom-full-on-plumping-lip-cream-gloss", "https://camerareadycosmetics.com/products/buxom-full-on-plumping-lip-cream-gloss")</f>
        <v/>
      </c>
      <c r="C508" t="inlineStr">
        <is>
          <t>Full-On Plumping Lip Cream Gloss</t>
        </is>
      </c>
      <c r="D508" t="inlineStr">
        <is>
          <t>Buxom Full-On Plumping Lip Polish Gloss, High Spirits Collection - Limited Edition in Shade Whitney</t>
        </is>
      </c>
      <c r="E508" s="2">
        <f>HYPERLINK("https://www.amazon.com/Buxom-Plumping-Polish-Spirits-Collection/dp/B0C2DFP54L/ref=sr_1_6?keywords=Full-On+Plumping+Lip+Cream+Gloss&amp;qid=1695565742&amp;sr=8-6", "https://www.amazon.com/Buxom-Plumping-Polish-Spirits-Collection/dp/B0C2DFP54L/ref=sr_1_6?keywords=Full-On+Plumping+Lip+Cream+Gloss&amp;qid=1695565742&amp;sr=8-6")</f>
        <v/>
      </c>
      <c r="F508" t="inlineStr">
        <is>
          <t>B0C2DFP54L</t>
        </is>
      </c>
      <c r="G508">
        <f>_xlfn.IMAGE("https://camerareadycosmetics.com/cdn/shop/products/hot-toddy-74774_50x.jpg?v=1669150128")</f>
        <v/>
      </c>
      <c r="H508">
        <f>_xlfn.IMAGE("https://m.media-amazon.com/images/I/71faZd4aI9L._AC_UL320_.jpg")</f>
        <v/>
      </c>
      <c r="K508" t="inlineStr">
        <is>
          <t>25.0</t>
        </is>
      </c>
      <c r="L508" t="n">
        <v>25</v>
      </c>
      <c r="M508" s="1" t="inlineStr">
        <is>
          <t>0.00%</t>
        </is>
      </c>
      <c r="N508" t="n">
        <v>5</v>
      </c>
      <c r="O508" t="n">
        <v>1</v>
      </c>
      <c r="Q508" t="inlineStr">
        <is>
          <t>InStock</t>
        </is>
      </c>
      <c r="R508" t="inlineStr">
        <is>
          <t>undefined</t>
        </is>
      </c>
      <c r="S508" t="inlineStr">
        <is>
          <t>7549425090745</t>
        </is>
      </c>
    </row>
    <row r="509" ht="75" customHeight="1">
      <c r="A509" s="2">
        <f>HYPERLINK("https://camerareadycosmetics.com/products/buxom-full-on-plumping-lip-cream-gloss", "https://camerareadycosmetics.com/products/buxom-full-on-plumping-lip-cream-gloss")</f>
        <v/>
      </c>
      <c r="B509" s="2">
        <f>HYPERLINK("https://camerareadycosmetics.com/products/buxom-full-on-plumping-lip-cream-gloss", "https://camerareadycosmetics.com/products/buxom-full-on-plumping-lip-cream-gloss")</f>
        <v/>
      </c>
      <c r="C509" t="inlineStr">
        <is>
          <t>Full-On Plumping Lip Cream Gloss</t>
        </is>
      </c>
      <c r="D509" t="inlineStr">
        <is>
          <t>Buxom Full-On Plumping Lip Cream - Lip Plumper Gloss - Enhancing Tinted Lip Plumper – Moisturizing Lip Gloss with Peptides and Vitamin E, Cruelty Free</t>
        </is>
      </c>
      <c r="E509" s="2">
        <f>HYPERLINK("https://www.amazon.com/Buxom-Full-Cream-Blushing-Margarita/dp/B071J13H7K/ref=sr_1_1?keywords=Full-On+Plumping+Lip+Cream+Gloss&amp;qid=1695565742&amp;sr=8-1", "https://www.amazon.com/Buxom-Full-Cream-Blushing-Margarita/dp/B071J13H7K/ref=sr_1_1?keywords=Full-On+Plumping+Lip+Cream+Gloss&amp;qid=1695565742&amp;sr=8-1")</f>
        <v/>
      </c>
      <c r="F509" t="inlineStr">
        <is>
          <t>B071J13H7K</t>
        </is>
      </c>
      <c r="G509">
        <f>_xlfn.IMAGE("https://camerareadycosmetics.com/cdn/shop/products/hot-toddy-74774_50x.jpg?v=1669150128")</f>
        <v/>
      </c>
      <c r="H509">
        <f>_xlfn.IMAGE("https://m.media-amazon.com/images/I/518LFafcrYL._AC_UL320_.jpg")</f>
        <v/>
      </c>
      <c r="K509" t="inlineStr">
        <is>
          <t>25.0</t>
        </is>
      </c>
      <c r="L509" t="n">
        <v>25</v>
      </c>
      <c r="M509" s="1" t="inlineStr">
        <is>
          <t>0.00%</t>
        </is>
      </c>
      <c r="N509" t="n">
        <v>4.5</v>
      </c>
      <c r="O509" t="n">
        <v>5436</v>
      </c>
      <c r="Q509" t="inlineStr">
        <is>
          <t>InStock</t>
        </is>
      </c>
      <c r="R509" t="inlineStr">
        <is>
          <t>undefined</t>
        </is>
      </c>
      <c r="S509" t="inlineStr">
        <is>
          <t>7549425090745</t>
        </is>
      </c>
    </row>
    <row r="510" ht="75" customHeight="1">
      <c r="A510" s="2">
        <f>HYPERLINK("https://camerareadycosmetics.com/products/buxom-full-on-plumping-lip-matte", "https://camerareadycosmetics.com/products/buxom-full-on-plumping-lip-matte")</f>
        <v/>
      </c>
      <c r="B510" s="2">
        <f>HYPERLINK("https://camerareadycosmetics.com/products/buxom-full-on-plumping-lip-matte", "https://camerareadycosmetics.com/products/buxom-full-on-plumping-lip-matte")</f>
        <v/>
      </c>
      <c r="C510" t="inlineStr">
        <is>
          <t>Full-On™ Plumping Lip Matte</t>
        </is>
      </c>
      <c r="D510" t="inlineStr">
        <is>
          <t>Buxom Full-On Plumping Lip Matte – Velvety Smooth, Matte Finish Lip Plumper – with Peptides and Vitamin E for Plump, Moisturized Lips, Cruelty Free</t>
        </is>
      </c>
      <c r="E510" s="2">
        <f>HYPERLINK("https://www.amazon.com/Buxom-Full-Plumping-Matte-Catching/dp/B09XJL5117/ref=sr_1_1?keywords=Full-On%E2%84%A2+Plumping+Lip+Matte&amp;qid=1695565803&amp;sr=8-1", "https://www.amazon.com/Buxom-Full-Plumping-Matte-Catching/dp/B09XJL5117/ref=sr_1_1?keywords=Full-On%E2%84%A2+Plumping+Lip+Matte&amp;qid=1695565803&amp;sr=8-1")</f>
        <v/>
      </c>
      <c r="F510" t="inlineStr">
        <is>
          <t>B09XJL5117</t>
        </is>
      </c>
      <c r="G510">
        <f>_xlfn.IMAGE("https://camerareadycosmetics.com/cdn/shop/products/gno-BuxomFull-On_PlumpingLipMatte_50x.jpg?v=1668633446")</f>
        <v/>
      </c>
      <c r="H510">
        <f>_xlfn.IMAGE("https://m.media-amazon.com/images/I/51YsnSmgxyL._AC_UL320_.jpg")</f>
        <v/>
      </c>
      <c r="K510" t="inlineStr">
        <is>
          <t>25.0</t>
        </is>
      </c>
      <c r="L510" t="n">
        <v>25</v>
      </c>
      <c r="M510" s="1" t="inlineStr">
        <is>
          <t>0.00%</t>
        </is>
      </c>
      <c r="N510" t="n">
        <v>4.4</v>
      </c>
      <c r="O510" t="n">
        <v>10</v>
      </c>
      <c r="Q510" t="inlineStr">
        <is>
          <t>InStock</t>
        </is>
      </c>
      <c r="R510" t="inlineStr">
        <is>
          <t>undefined</t>
        </is>
      </c>
      <c r="S510" t="inlineStr">
        <is>
          <t>7547589099705</t>
        </is>
      </c>
    </row>
    <row r="511" ht="75" customHeight="1">
      <c r="A511" s="2">
        <f>HYPERLINK("https://camerareadycosmetics.com/products/buxom-full-on-plumping-lip-polish-gloss", "https://camerareadycosmetics.com/products/buxom-full-on-plumping-lip-polish-gloss")</f>
        <v/>
      </c>
      <c r="B511" s="2">
        <f>HYPERLINK("https://camerareadycosmetics.com/products/buxom-full-on-plumping-lip-polish-gloss", "https://camerareadycosmetics.com/products/buxom-full-on-plumping-lip-polish-gloss")</f>
        <v/>
      </c>
      <c r="C511" t="inlineStr">
        <is>
          <t>Full-On Plumping Lip Polish Gloss</t>
        </is>
      </c>
      <c r="D511" t="inlineStr">
        <is>
          <t>Full-On Plumping Lip Polish</t>
        </is>
      </c>
      <c r="E511" s="2">
        <f>HYPERLINK("https://www.amazon.com/Main-Event-Plumping-Lip-Gloss/dp/B0B98TY2XC/ref=sr_1_8?keywords=Full-On+Plumping+Lip+Polish+Gloss&amp;qid=1695565683&amp;sr=8-8", "https://www.amazon.com/Main-Event-Plumping-Lip-Gloss/dp/B0B98TY2XC/ref=sr_1_8?keywords=Full-On+Plumping+Lip+Polish+Gloss&amp;qid=1695565683&amp;sr=8-8")</f>
        <v/>
      </c>
      <c r="F511" t="inlineStr">
        <is>
          <t>B0B98TY2XC</t>
        </is>
      </c>
      <c r="G511">
        <f>_xlfn.IMAGE("https://camerareadycosmetics.com/cdn/shop/products/sophia-69192_50x.jpg?v=1669135913")</f>
        <v/>
      </c>
      <c r="H511">
        <f>_xlfn.IMAGE("https://m.media-amazon.com/images/I/51Obj586cNL._AC_UL320_.jpg")</f>
        <v/>
      </c>
      <c r="K511" t="inlineStr">
        <is>
          <t>25.0</t>
        </is>
      </c>
      <c r="L511" t="n">
        <v>45</v>
      </c>
      <c r="M511" s="1" t="inlineStr">
        <is>
          <t>80.00%</t>
        </is>
      </c>
      <c r="N511" t="n">
        <v>4.6</v>
      </c>
      <c r="O511" t="n">
        <v>34</v>
      </c>
      <c r="Q511" t="inlineStr">
        <is>
          <t>InStock</t>
        </is>
      </c>
      <c r="R511" t="inlineStr">
        <is>
          <t>undefined</t>
        </is>
      </c>
      <c r="S511" t="inlineStr">
        <is>
          <t>7549220782265</t>
        </is>
      </c>
    </row>
    <row r="512" ht="75" customHeight="1">
      <c r="A512" s="2">
        <f>HYPERLINK("https://camerareadycosmetics.com/products/buxom-full-on-plumping-lip-polish-gloss", "https://camerareadycosmetics.com/products/buxom-full-on-plumping-lip-polish-gloss")</f>
        <v/>
      </c>
      <c r="B512" s="2">
        <f>HYPERLINK("https://camerareadycosmetics.com/products/buxom-full-on-plumping-lip-polish-gloss", "https://camerareadycosmetics.com/products/buxom-full-on-plumping-lip-polish-gloss")</f>
        <v/>
      </c>
      <c r="C512" t="inlineStr">
        <is>
          <t>Full-On Plumping Lip Polish Gloss</t>
        </is>
      </c>
      <c r="D512" t="inlineStr">
        <is>
          <t>Buxom Full-On Plumping Lip Cream - Lip Plumper Gloss - Enhancing Tinted Lip Plumper – Moisturizing Lip Gloss with Peptides and Vitamin E, Cruelty Free</t>
        </is>
      </c>
      <c r="E512" s="2">
        <f>HYPERLINK("https://www.amazon.com/Buxom-Full-Cream-Blushing-Margarita/dp/B071J13H7K/ref=sr_1_2?keywords=Full-On+Plumping+Lip+Polish+Gloss&amp;qid=1695565683&amp;sr=8-2", "https://www.amazon.com/Buxom-Full-Cream-Blushing-Margarita/dp/B071J13H7K/ref=sr_1_2?keywords=Full-On+Plumping+Lip+Polish+Gloss&amp;qid=1695565683&amp;sr=8-2")</f>
        <v/>
      </c>
      <c r="F512" t="inlineStr">
        <is>
          <t>B071J13H7K</t>
        </is>
      </c>
      <c r="G512">
        <f>_xlfn.IMAGE("https://camerareadycosmetics.com/cdn/shop/products/sophia-69192_50x.jpg?v=1669135913")</f>
        <v/>
      </c>
      <c r="H512">
        <f>_xlfn.IMAGE("https://m.media-amazon.com/images/I/518LFafcrYL._AC_UL320_.jpg")</f>
        <v/>
      </c>
      <c r="K512" t="inlineStr">
        <is>
          <t>25.0</t>
        </is>
      </c>
      <c r="L512" t="n">
        <v>25</v>
      </c>
      <c r="M512" s="1" t="inlineStr">
        <is>
          <t>0.00%</t>
        </is>
      </c>
      <c r="N512" t="n">
        <v>4.5</v>
      </c>
      <c r="O512" t="n">
        <v>5436</v>
      </c>
      <c r="Q512" t="inlineStr">
        <is>
          <t>InStock</t>
        </is>
      </c>
      <c r="R512" t="inlineStr">
        <is>
          <t>undefined</t>
        </is>
      </c>
      <c r="S512" t="inlineStr">
        <is>
          <t>7549220782265</t>
        </is>
      </c>
    </row>
    <row r="513" ht="75" customHeight="1">
      <c r="A513" s="2">
        <f>HYPERLINK("https://camerareadycosmetics.com/products/buxom-full-on-plumping-lip-polish-gloss", "https://camerareadycosmetics.com/products/buxom-full-on-plumping-lip-polish-gloss")</f>
        <v/>
      </c>
      <c r="B513" s="2">
        <f>HYPERLINK("https://camerareadycosmetics.com/products/buxom-full-on-plumping-lip-polish-gloss", "https://camerareadycosmetics.com/products/buxom-full-on-plumping-lip-polish-gloss")</f>
        <v/>
      </c>
      <c r="C513" t="inlineStr">
        <is>
          <t>Full-On Plumping Lip Polish Gloss</t>
        </is>
      </c>
      <c r="D513" t="inlineStr">
        <is>
          <t>Buxom Full-on Plumping Lip Polish, 0.15 Fl. Ounce</t>
        </is>
      </c>
      <c r="E513" s="2">
        <f>HYPERLINK("https://www.amazon.com/Buxom-Full-Lip-Polish-Dolly/dp/B00I6DV3UO/ref=sr_1_1?keywords=Full-On+Plumping+Lip+Polish+Gloss&amp;qid=1695565683&amp;sr=8-1", "https://www.amazon.com/Buxom-Full-Lip-Polish-Dolly/dp/B00I6DV3UO/ref=sr_1_1?keywords=Full-On+Plumping+Lip+Polish+Gloss&amp;qid=1695565683&amp;sr=8-1")</f>
        <v/>
      </c>
      <c r="F513" t="inlineStr">
        <is>
          <t>B00I6DV3UO</t>
        </is>
      </c>
      <c r="G513">
        <f>_xlfn.IMAGE("https://camerareadycosmetics.com/cdn/shop/products/sophia-69192_50x.jpg?v=1669135913")</f>
        <v/>
      </c>
      <c r="H513">
        <f>_xlfn.IMAGE("https://m.media-amazon.com/images/I/61T+DL82-0L._AC_UL320_.jpg")</f>
        <v/>
      </c>
      <c r="K513" t="inlineStr">
        <is>
          <t>25.0</t>
        </is>
      </c>
      <c r="L513" t="n">
        <v>25</v>
      </c>
      <c r="M513" s="1" t="inlineStr">
        <is>
          <t>0.00%</t>
        </is>
      </c>
      <c r="N513" t="n">
        <v>4.5</v>
      </c>
      <c r="O513" t="n">
        <v>11356</v>
      </c>
      <c r="Q513" t="inlineStr">
        <is>
          <t>InStock</t>
        </is>
      </c>
      <c r="R513" t="inlineStr">
        <is>
          <t>undefined</t>
        </is>
      </c>
      <c r="S513" t="inlineStr">
        <is>
          <t>7549220782265</t>
        </is>
      </c>
    </row>
    <row r="514" ht="75" customHeight="1">
      <c r="A514" s="2">
        <f>HYPERLINK("https://camerareadycosmetics.com/products/buxom-full-on-plumping-lip-polish-gloss", "https://camerareadycosmetics.com/products/buxom-full-on-plumping-lip-polish-gloss")</f>
        <v/>
      </c>
      <c r="B514" s="2">
        <f>HYPERLINK("https://camerareadycosmetics.com/products/buxom-full-on-plumping-lip-polish-gloss", "https://camerareadycosmetics.com/products/buxom-full-on-plumping-lip-polish-gloss")</f>
        <v/>
      </c>
      <c r="C514" t="inlineStr">
        <is>
          <t>Full-On Plumping Lip Polish Gloss</t>
        </is>
      </c>
      <c r="D514" t="inlineStr">
        <is>
          <t>Buxom Full-On Plumping Lip Polish Gloss, High Spirits Collection - Limited Edition in Shade Whitney</t>
        </is>
      </c>
      <c r="E514" s="2">
        <f>HYPERLINK("https://www.amazon.com/Buxom-Plumping-Polish-Spirits-Collection/dp/B0C2DFP54L/ref=sr_1_3?keywords=Full-On+Plumping+Lip+Polish+Gloss&amp;qid=1695565683&amp;sr=8-3", "https://www.amazon.com/Buxom-Plumping-Polish-Spirits-Collection/dp/B0C2DFP54L/ref=sr_1_3?keywords=Full-On+Plumping+Lip+Polish+Gloss&amp;qid=1695565683&amp;sr=8-3")</f>
        <v/>
      </c>
      <c r="F514" t="inlineStr">
        <is>
          <t>B0C2DFP54L</t>
        </is>
      </c>
      <c r="G514">
        <f>_xlfn.IMAGE("https://camerareadycosmetics.com/cdn/shop/products/sophia-69192_50x.jpg?v=1669135913")</f>
        <v/>
      </c>
      <c r="H514">
        <f>_xlfn.IMAGE("https://m.media-amazon.com/images/I/71faZd4aI9L._AC_UL320_.jpg")</f>
        <v/>
      </c>
      <c r="K514" t="inlineStr">
        <is>
          <t>25.0</t>
        </is>
      </c>
      <c r="L514" t="n">
        <v>25</v>
      </c>
      <c r="M514" s="1" t="inlineStr">
        <is>
          <t>0.00%</t>
        </is>
      </c>
      <c r="N514" t="n">
        <v>5</v>
      </c>
      <c r="O514" t="n">
        <v>1</v>
      </c>
      <c r="Q514" t="inlineStr">
        <is>
          <t>InStock</t>
        </is>
      </c>
      <c r="R514" t="inlineStr">
        <is>
          <t>undefined</t>
        </is>
      </c>
      <c r="S514" t="inlineStr">
        <is>
          <t>7549220782265</t>
        </is>
      </c>
    </row>
    <row r="515" ht="75" customHeight="1">
      <c r="A515" s="2">
        <f>HYPERLINK("https://camerareadycosmetics.com/products/buxom-full-on-plumping-lip-polish-gloss", "https://camerareadycosmetics.com/products/buxom-full-on-plumping-lip-polish-gloss")</f>
        <v/>
      </c>
      <c r="B515" s="2">
        <f>HYPERLINK("https://camerareadycosmetics.com/products/buxom-full-on-plumping-lip-polish-gloss", "https://camerareadycosmetics.com/products/buxom-full-on-plumping-lip-polish-gloss")</f>
        <v/>
      </c>
      <c r="C515" t="inlineStr">
        <is>
          <t>Full-On Plumping Lip Polish Gloss</t>
        </is>
      </c>
      <c r="D515" t="inlineStr">
        <is>
          <t>Buxom Full-On Plumping Lip Polish, Dolly Glitz,0.15 Fl Oz (Pack of 1)</t>
        </is>
      </c>
      <c r="E515" s="2">
        <f>HYPERLINK("https://www.amazon.com/Buxom-Full-OnTM-Plumping-Polish-Dolly/dp/B09KWWZHMD/ref=sr_1_4?keywords=Full-On+Plumping+Lip+Polish+Gloss&amp;qid=1695565683&amp;sr=8-4", "https://www.amazon.com/Buxom-Full-OnTM-Plumping-Polish-Dolly/dp/B09KWWZHMD/ref=sr_1_4?keywords=Full-On+Plumping+Lip+Polish+Gloss&amp;qid=1695565683&amp;sr=8-4")</f>
        <v/>
      </c>
      <c r="F515" t="inlineStr">
        <is>
          <t>B09KWWZHMD</t>
        </is>
      </c>
      <c r="G515">
        <f>_xlfn.IMAGE("https://camerareadycosmetics.com/cdn/shop/products/sophia-69192_50x.jpg?v=1669135913")</f>
        <v/>
      </c>
      <c r="H515">
        <f>_xlfn.IMAGE("https://m.media-amazon.com/images/I/418PoAmFaWL._AC_UL320_.jpg")</f>
        <v/>
      </c>
      <c r="K515" t="inlineStr">
        <is>
          <t>25.0</t>
        </is>
      </c>
      <c r="L515" t="n">
        <v>21</v>
      </c>
      <c r="M515" s="1" t="inlineStr">
        <is>
          <t>-16.00%</t>
        </is>
      </c>
      <c r="N515" t="n">
        <v>4.5</v>
      </c>
      <c r="O515" t="n">
        <v>134</v>
      </c>
      <c r="Q515" t="inlineStr">
        <is>
          <t>InStock</t>
        </is>
      </c>
      <c r="R515" t="inlineStr">
        <is>
          <t>undefined</t>
        </is>
      </c>
      <c r="S515" t="inlineStr">
        <is>
          <t>7549220782265</t>
        </is>
      </c>
    </row>
    <row r="516" ht="75" customHeight="1">
      <c r="A516" s="2">
        <f>HYPERLINK("https://camerareadycosmetics.com/products/buxom-full-on-plumping-lip-polish-gloss", "https://camerareadycosmetics.com/products/buxom-full-on-plumping-lip-polish-gloss")</f>
        <v/>
      </c>
      <c r="B516" s="2">
        <f>HYPERLINK("https://camerareadycosmetics.com/products/buxom-full-on-plumping-lip-polish-gloss", "https://camerareadycosmetics.com/products/buxom-full-on-plumping-lip-polish-gloss")</f>
        <v/>
      </c>
      <c r="C516" t="inlineStr">
        <is>
          <t>Full-On Plumping Lip Polish Gloss</t>
        </is>
      </c>
      <c r="D516" t="inlineStr">
        <is>
          <t>NYX PROFESSIONAL MAKEUP Filler Instinct Plumping Lip Polish, Lip Plumper Gloss - Let's Glaze (Clear)</t>
        </is>
      </c>
      <c r="E516" s="2">
        <f>HYPERLINK("https://www.amazon.com/NYX-PROFESSIONAL-MAKEUP-Instinct-Plumping/dp/B07SGSXF7T/ref=sr_1_5?keywords=Full-On+Plumping+Lip+Polish+Gloss&amp;qid=1695565683&amp;sr=8-5", "https://www.amazon.com/NYX-PROFESSIONAL-MAKEUP-Instinct-Plumping/dp/B07SGSXF7T/ref=sr_1_5?keywords=Full-On+Plumping+Lip+Polish+Gloss&amp;qid=1695565683&amp;sr=8-5")</f>
        <v/>
      </c>
      <c r="F516" t="inlineStr">
        <is>
          <t>B07SGSXF7T</t>
        </is>
      </c>
      <c r="G516">
        <f>_xlfn.IMAGE("https://camerareadycosmetics.com/cdn/shop/products/sophia-69192_50x.jpg?v=1669135913")</f>
        <v/>
      </c>
      <c r="H516">
        <f>_xlfn.IMAGE("https://m.media-amazon.com/images/I/61OYifCVDfS._AC_UL320_.jpg")</f>
        <v/>
      </c>
      <c r="K516" t="inlineStr">
        <is>
          <t>25.0</t>
        </is>
      </c>
      <c r="L516" t="n">
        <v>6.97</v>
      </c>
      <c r="M516" s="1" t="inlineStr">
        <is>
          <t>-72.12%</t>
        </is>
      </c>
      <c r="N516" t="n">
        <v>4</v>
      </c>
      <c r="O516" t="n">
        <v>14334</v>
      </c>
      <c r="Q516" t="inlineStr">
        <is>
          <t>InStock</t>
        </is>
      </c>
      <c r="R516" t="inlineStr">
        <is>
          <t>undefined</t>
        </is>
      </c>
      <c r="S516" t="inlineStr">
        <is>
          <t>7549220782265</t>
        </is>
      </c>
    </row>
    <row r="517" ht="75" customHeight="1">
      <c r="A517" s="2">
        <f>HYPERLINK("https://camerareadycosmetics.com/products/buxom-full-on-plumping-lip-polish-gloss", "https://camerareadycosmetics.com/products/buxom-full-on-plumping-lip-polish-gloss")</f>
        <v/>
      </c>
      <c r="B517" s="2">
        <f>HYPERLINK("https://camerareadycosmetics.com/products/buxom-full-on-plumping-lip-polish-gloss", "https://camerareadycosmetics.com/products/buxom-full-on-plumping-lip-polish-gloss")</f>
        <v/>
      </c>
      <c r="C517" t="inlineStr">
        <is>
          <t>Full-On Plumping Lip Polish Gloss</t>
        </is>
      </c>
      <c r="D517" t="inlineStr">
        <is>
          <t>NYX PROFESSIONAL MAKEUP Filler Instinct Plumping Lip Polish, Lip Plumper Gloss - Let's Glaze (Clear)</t>
        </is>
      </c>
      <c r="E517" s="2">
        <f>HYPERLINK("https://www.amazon.com/NYX-PROFESSIONAL-MAKEUP-Instinct-Plumping/dp/B07SGSXF7T/ref=sr_1_5?keywords=Full-On+Plumping+Lip+Polish+Gloss&amp;qid=1695565683&amp;sr=8-5", "https://www.amazon.com/NYX-PROFESSIONAL-MAKEUP-Instinct-Plumping/dp/B07SGSXF7T/ref=sr_1_5?keywords=Full-On+Plumping+Lip+Polish+Gloss&amp;qid=1695565683&amp;sr=8-5")</f>
        <v/>
      </c>
      <c r="F517" t="inlineStr">
        <is>
          <t>B07SGSXF7T</t>
        </is>
      </c>
      <c r="G517">
        <f>_xlfn.IMAGE("https://camerareadycosmetics.com/cdn/shop/products/sophia-69192_50x.jpg?v=1669135913")</f>
        <v/>
      </c>
      <c r="H517">
        <f>_xlfn.IMAGE("https://m.media-amazon.com/images/I/61OYifCVDfS._AC_UL320_.jpg")</f>
        <v/>
      </c>
      <c r="K517" t="inlineStr">
        <is>
          <t>25.0</t>
        </is>
      </c>
      <c r="L517" t="n">
        <v>6.97</v>
      </c>
      <c r="M517" s="1" t="inlineStr">
        <is>
          <t>-72.12%</t>
        </is>
      </c>
      <c r="N517" t="n">
        <v>4</v>
      </c>
      <c r="O517" t="n">
        <v>14334</v>
      </c>
      <c r="Q517" t="inlineStr">
        <is>
          <t>InStock</t>
        </is>
      </c>
      <c r="R517" t="inlineStr">
        <is>
          <t>undefined</t>
        </is>
      </c>
      <c r="S517" t="inlineStr">
        <is>
          <t>7549220782265</t>
        </is>
      </c>
    </row>
    <row r="518" ht="75" customHeight="1">
      <c r="A518" s="2">
        <f>HYPERLINK("https://camerareadycosmetics.com/products/buxom-high-spirits-full-on-plumping-lip-polish-whitney", "https://camerareadycosmetics.com/products/buxom-high-spirits-full-on-plumping-lip-polish-whitney")</f>
        <v/>
      </c>
      <c r="B518" s="2">
        <f>HYPERLINK("https://camerareadycosmetics.com/products/buxom-high-spirits-full-on-plumping-lip-polish-whitney", "https://camerareadycosmetics.com/products/buxom-high-spirits-full-on-plumping-lip-polish-whitney")</f>
        <v/>
      </c>
      <c r="C518" t="inlineStr">
        <is>
          <t>High Spirits Full-On™ Plumping Lip Polish Whitney</t>
        </is>
      </c>
      <c r="D518" t="inlineStr">
        <is>
          <t>Buxom Full-On Plumping Lip Polish Gloss, High Spirits Collection - Limited Edition in Shade Whitney</t>
        </is>
      </c>
      <c r="E518" s="2">
        <f>HYPERLINK("https://www.amazon.com/Buxom-Plumping-Polish-Spirits-Collection/dp/B0C2DFP54L/ref=sr_1_1?keywords=High+Spirits+Full-On%E2%84%A2+Plumping+Lip+Polish+Whitney&amp;qid=1695565890&amp;sr=8-1", "https://www.amazon.com/Buxom-Plumping-Polish-Spirits-Collection/dp/B0C2DFP54L/ref=sr_1_1?keywords=High+Spirits+Full-On%E2%84%A2+Plumping+Lip+Polish+Whitney&amp;qid=1695565890&amp;sr=8-1")</f>
        <v/>
      </c>
      <c r="F518" t="inlineStr">
        <is>
          <t>B0C2DFP54L</t>
        </is>
      </c>
      <c r="G518">
        <f>_xlfn.IMAGE("https://camerareadycosmetics.com/cdn/shop/files/BuxomHighSpiritsFull-On_PlumpingLipPolishWhitney-41802639101_50x.jpg?v=1687204505")</f>
        <v/>
      </c>
      <c r="H518">
        <f>_xlfn.IMAGE("https://m.media-amazon.com/images/I/71faZd4aI9L._AC_UL320_.jpg")</f>
        <v/>
      </c>
      <c r="K518" t="inlineStr">
        <is>
          <t>25.0</t>
        </is>
      </c>
      <c r="L518" t="n">
        <v>25</v>
      </c>
      <c r="M518" s="1" t="inlineStr">
        <is>
          <t>0.00%</t>
        </is>
      </c>
      <c r="N518" t="n">
        <v>5</v>
      </c>
      <c r="O518" t="n">
        <v>1</v>
      </c>
      <c r="Q518" t="inlineStr">
        <is>
          <t>InStock</t>
        </is>
      </c>
      <c r="R518" t="inlineStr">
        <is>
          <t>undefined</t>
        </is>
      </c>
      <c r="S518" t="inlineStr">
        <is>
          <t>7562278600889</t>
        </is>
      </c>
    </row>
    <row r="519" ht="75" customHeight="1">
      <c r="A519" s="2">
        <f>HYPERLINK("https://camerareadycosmetics.com/products/buxom-lash-volumizing-mascara", "https://camerareadycosmetics.com/products/buxom-lash-volumizing-mascara")</f>
        <v/>
      </c>
      <c r="B519" s="2">
        <f>HYPERLINK("https://camerareadycosmetics.com/products/buxom-lash-volumizing-mascara", "https://camerareadycosmetics.com/products/buxom-lash-volumizing-mascara")</f>
        <v/>
      </c>
      <c r="C519" t="inlineStr">
        <is>
          <t>Lash Volumizing Mascara</t>
        </is>
      </c>
      <c r="D519" t="inlineStr">
        <is>
          <t>IT Cosmetics Superhero Mascara - Super Black Elastic Stretch Volumizing &amp; Lengthening Mascara - Lifts, Separates &amp; Conditions Lashes - With Collagen, Biotin &amp; Peptides</t>
        </is>
      </c>
      <c r="E519" s="2">
        <f>HYPERLINK("https://www.amazon.com/Cosmetics-Superhero-Elastic-Stretch-Volumizing/dp/B01AKTZFZU/ref=sr_1_3?keywords=Lash+Volumizing+Mascara&amp;qid=1695565892&amp;sr=8-3", "https://www.amazon.com/Cosmetics-Superhero-Elastic-Stretch-Volumizing/dp/B01AKTZFZU/ref=sr_1_3?keywords=Lash+Volumizing+Mascara&amp;qid=1695565892&amp;sr=8-3")</f>
        <v/>
      </c>
      <c r="F519" t="inlineStr">
        <is>
          <t>B01AKTZFZU</t>
        </is>
      </c>
      <c r="G519">
        <f>_xlfn.IMAGE("https://camerareadycosmetics.com/cdn/shop/files/60833-3_50x.jpg?v=1687204329")</f>
        <v/>
      </c>
      <c r="H519">
        <f>_xlfn.IMAGE("https://m.media-amazon.com/images/I/71q1UK9G12L._AC_UL320_.jpg")</f>
        <v/>
      </c>
      <c r="K519" t="inlineStr">
        <is>
          <t>23.0</t>
        </is>
      </c>
      <c r="L519" t="n">
        <v>23.8</v>
      </c>
      <c r="M519" s="1" t="inlineStr">
        <is>
          <t>3.48%</t>
        </is>
      </c>
      <c r="N519" t="n">
        <v>4.5</v>
      </c>
      <c r="O519" t="n">
        <v>9843</v>
      </c>
      <c r="Q519" t="inlineStr">
        <is>
          <t>OutOfStock</t>
        </is>
      </c>
      <c r="R519" t="inlineStr">
        <is>
          <t>undefined</t>
        </is>
      </c>
      <c r="S519" t="inlineStr">
        <is>
          <t>7548658188473</t>
        </is>
      </c>
    </row>
    <row r="520" ht="75" customHeight="1">
      <c r="A520" s="2">
        <f>HYPERLINK("https://camerareadycosmetics.com/products/buxom-lash-volumizing-mascara", "https://camerareadycosmetics.com/products/buxom-lash-volumizing-mascara")</f>
        <v/>
      </c>
      <c r="B520" s="2">
        <f>HYPERLINK("https://camerareadycosmetics.com/products/buxom-lash-volumizing-mascara", "https://camerareadycosmetics.com/products/buxom-lash-volumizing-mascara")</f>
        <v/>
      </c>
      <c r="C520" t="inlineStr">
        <is>
          <t>Lash Volumizing Mascara</t>
        </is>
      </c>
      <c r="D520" t="inlineStr">
        <is>
          <t>Honest Beauty 2-in-1 Extreme Length Clean Mascara + Lash Primer | Lengthening + Volumizing | EWG Verified, Vegan + Cruelty Free | Black, .27 fl oz</t>
        </is>
      </c>
      <c r="E520" s="2" t="n"/>
      <c r="F520" t="inlineStr">
        <is>
          <t>B07F462B2D</t>
        </is>
      </c>
      <c r="G520">
        <f>_xlfn.IMAGE("https://camerareadycosmetics.com/cdn/shop/files/60833-3_50x.jpg?v=1687204329")</f>
        <v/>
      </c>
      <c r="H520">
        <f>_xlfn.IMAGE("https://m.media-amazon.com/images/I/51Mfuw9z-qL._AC_UL320_.jpg")</f>
        <v/>
      </c>
      <c r="K520" t="inlineStr">
        <is>
          <t>23.0</t>
        </is>
      </c>
      <c r="L520" t="n">
        <v>14</v>
      </c>
      <c r="M520" s="1" t="inlineStr">
        <is>
          <t>-39.13%</t>
        </is>
      </c>
      <c r="N520" t="n">
        <v>4.2</v>
      </c>
      <c r="O520" t="n">
        <v>17680</v>
      </c>
      <c r="Q520" t="inlineStr">
        <is>
          <t>OutOfStock</t>
        </is>
      </c>
      <c r="R520" t="inlineStr">
        <is>
          <t>undefined</t>
        </is>
      </c>
      <c r="S520" t="inlineStr">
        <is>
          <t>7548658188473</t>
        </is>
      </c>
    </row>
    <row r="521" ht="75" customHeight="1">
      <c r="A521" s="2">
        <f>HYPERLINK("https://camerareadycosmetics.com/products/buxom-lash-volumizing-mascara", "https://camerareadycosmetics.com/products/buxom-lash-volumizing-mascara")</f>
        <v/>
      </c>
      <c r="B521" s="2">
        <f>HYPERLINK("https://camerareadycosmetics.com/products/buxom-lash-volumizing-mascara", "https://camerareadycosmetics.com/products/buxom-lash-volumizing-mascara")</f>
        <v/>
      </c>
      <c r="C521" t="inlineStr">
        <is>
          <t>Lash Volumizing Mascara</t>
        </is>
      </c>
      <c r="D521" t="inlineStr">
        <is>
          <t>Honest Beauty 2-in-1 Extreme Length Clean Mascara + Lash Primer | Lengthening + Volumizing | EWG Verified, Vegan + Cruelty Free | Black, .27 fl oz</t>
        </is>
      </c>
      <c r="E521" s="2">
        <f>HYPERLINK("https://www.amazon.com/Honest-Beauty-Extreme-Length-Mascara/dp/B07F462B2D/ref=sr_1_1?keywords=Lash+Volumizing+Mascara&amp;qid=1695565892&amp;rdc=1&amp;sr=8-1", "https://www.amazon.com/Honest-Beauty-Extreme-Length-Mascara/dp/B07F462B2D/ref=sr_1_1?keywords=Lash+Volumizing+Mascara&amp;qid=1695565892&amp;rdc=1&amp;sr=8-1")</f>
        <v/>
      </c>
      <c r="F521" t="inlineStr">
        <is>
          <t>B07F462B2D</t>
        </is>
      </c>
      <c r="G521">
        <f>_xlfn.IMAGE("https://camerareadycosmetics.com/cdn/shop/files/60833-3_50x.jpg?v=1687204329")</f>
        <v/>
      </c>
      <c r="H521">
        <f>_xlfn.IMAGE("https://m.media-amazon.com/images/I/51Mfuw9z-qL._AC_UL320_.jpg")</f>
        <v/>
      </c>
      <c r="K521" t="inlineStr">
        <is>
          <t>23.0</t>
        </is>
      </c>
      <c r="L521" t="n">
        <v>14</v>
      </c>
      <c r="M521" s="1" t="inlineStr">
        <is>
          <t>-39.13%</t>
        </is>
      </c>
      <c r="N521" t="n">
        <v>4.2</v>
      </c>
      <c r="O521" t="n">
        <v>17680</v>
      </c>
      <c r="Q521" t="inlineStr">
        <is>
          <t>OutOfStock</t>
        </is>
      </c>
      <c r="R521" t="inlineStr">
        <is>
          <t>undefined</t>
        </is>
      </c>
      <c r="S521" t="inlineStr">
        <is>
          <t>7548658188473</t>
        </is>
      </c>
    </row>
    <row r="522" ht="75" customHeight="1">
      <c r="A522" s="2">
        <f>HYPERLINK("https://camerareadycosmetics.com/products/buxom-lash-volumizing-mascara", "https://camerareadycosmetics.com/products/buxom-lash-volumizing-mascara")</f>
        <v/>
      </c>
      <c r="B522" s="2">
        <f>HYPERLINK("https://camerareadycosmetics.com/products/buxom-lash-volumizing-mascara", "https://camerareadycosmetics.com/products/buxom-lash-volumizing-mascara")</f>
        <v/>
      </c>
      <c r="C522" t="inlineStr">
        <is>
          <t>Lash Volumizing Mascara</t>
        </is>
      </c>
      <c r="D522" t="inlineStr">
        <is>
          <t>JOAH Lash UPrising Mascara, Washable, Volumizing &amp; Lengthening, Cruelty-Free K-Beauty Makeup, Blackest Black</t>
        </is>
      </c>
      <c r="E522" s="2" t="n"/>
      <c r="F522" t="inlineStr">
        <is>
          <t>B08F7YBYSR</t>
        </is>
      </c>
      <c r="G522">
        <f>_xlfn.IMAGE("https://camerareadycosmetics.com/cdn/shop/files/60833-3_50x.jpg?v=1687204329")</f>
        <v/>
      </c>
      <c r="H522">
        <f>_xlfn.IMAGE("https://m.media-amazon.com/images/I/514sgYsgeVL._AC_UL320_.jpg")</f>
        <v/>
      </c>
      <c r="K522" t="inlineStr">
        <is>
          <t>23.0</t>
        </is>
      </c>
      <c r="L522" t="n">
        <v>9.99</v>
      </c>
      <c r="M522" s="1" t="inlineStr">
        <is>
          <t>-56.57%</t>
        </is>
      </c>
      <c r="N522" t="n">
        <v>4.1</v>
      </c>
      <c r="O522" t="n">
        <v>500</v>
      </c>
      <c r="Q522" t="inlineStr">
        <is>
          <t>OutOfStock</t>
        </is>
      </c>
      <c r="R522" t="inlineStr">
        <is>
          <t>undefined</t>
        </is>
      </c>
      <c r="S522" t="inlineStr">
        <is>
          <t>7548658188473</t>
        </is>
      </c>
    </row>
    <row r="523" ht="75" customHeight="1">
      <c r="A523" s="2">
        <f>HYPERLINK("https://camerareadycosmetics.com/products/buxom-lash-volumizing-mascara", "https://camerareadycosmetics.com/products/buxom-lash-volumizing-mascara")</f>
        <v/>
      </c>
      <c r="B523" s="2">
        <f>HYPERLINK("https://camerareadycosmetics.com/products/buxom-lash-volumizing-mascara", "https://camerareadycosmetics.com/products/buxom-lash-volumizing-mascara")</f>
        <v/>
      </c>
      <c r="C523" t="inlineStr">
        <is>
          <t>Lash Volumizing Mascara</t>
        </is>
      </c>
      <c r="D523" t="inlineStr">
        <is>
          <t>Maybelline Lash Sensational Sky High Washable Mascara Makeup, Volumizing, Lengthening, Defining, Curling, Multiplying, Buildable Formula, Blackest Black, 1 Count</t>
        </is>
      </c>
      <c r="E523" s="2">
        <f>HYPERLINK("https://www.amazon.com/Maybelline-Volumizing-Buildable-Lengthening-Multiplying/dp/B08H3JPH74/ref=sr_1_4?keywords=Lash+Volumizing+Mascara&amp;qid=1695565892&amp;sr=8-4", "https://www.amazon.com/Maybelline-Volumizing-Buildable-Lengthening-Multiplying/dp/B08H3JPH74/ref=sr_1_4?keywords=Lash+Volumizing+Mascara&amp;qid=1695565892&amp;sr=8-4")</f>
        <v/>
      </c>
      <c r="F523" t="inlineStr">
        <is>
          <t>B08H3JPH74</t>
        </is>
      </c>
      <c r="G523">
        <f>_xlfn.IMAGE("https://camerareadycosmetics.com/cdn/shop/files/60833-3_50x.jpg?v=1687204329")</f>
        <v/>
      </c>
      <c r="H523">
        <f>_xlfn.IMAGE("https://m.media-amazon.com/images/I/71e5-Rxbp7L._AC_UL320_.jpg")</f>
        <v/>
      </c>
      <c r="K523" t="inlineStr">
        <is>
          <t>23.0</t>
        </is>
      </c>
      <c r="L523" t="n">
        <v>9.98</v>
      </c>
      <c r="M523" s="1" t="inlineStr">
        <is>
          <t>-56.61%</t>
        </is>
      </c>
      <c r="N523" t="n">
        <v>4.5</v>
      </c>
      <c r="O523" t="n">
        <v>124941</v>
      </c>
      <c r="Q523" t="inlineStr">
        <is>
          <t>OutOfStock</t>
        </is>
      </c>
      <c r="R523" t="inlineStr">
        <is>
          <t>undefined</t>
        </is>
      </c>
      <c r="S523" t="inlineStr">
        <is>
          <t>7548658188473</t>
        </is>
      </c>
    </row>
    <row r="524" ht="75" customHeight="1">
      <c r="A524" s="2">
        <f>HYPERLINK("https://camerareadycosmetics.com/products/buxom-lash-volumizing-mascara", "https://camerareadycosmetics.com/products/buxom-lash-volumizing-mascara")</f>
        <v/>
      </c>
      <c r="B524" s="2">
        <f>HYPERLINK("https://camerareadycosmetics.com/products/buxom-lash-volumizing-mascara", "https://camerareadycosmetics.com/products/buxom-lash-volumizing-mascara")</f>
        <v/>
      </c>
      <c r="C524" t="inlineStr">
        <is>
          <t>Lash Volumizing Mascara</t>
        </is>
      </c>
      <c r="D524" t="inlineStr">
        <is>
          <t>Revlon Mascara, So Fierce Big Bad Lash Eye Makeup, Volumizing, Lasts up to 24 Hours, No Clump, Smudge Proof, Flake Proof, Blackest Black (760), 0.34 Fl Oz</t>
        </is>
      </c>
      <c r="E524" s="2">
        <f>HYPERLINK("https://www.amazon.com/REVLON-Fierce-Mascara-fluid_ounces-Blackest/dp/B08NSVTL6C/ref=sr_1_5?keywords=Lash+Volumizing+Mascara&amp;qid=1695565892&amp;sr=8-5", "https://www.amazon.com/REVLON-Fierce-Mascara-fluid_ounces-Blackest/dp/B08NSVTL6C/ref=sr_1_5?keywords=Lash+Volumizing+Mascara&amp;qid=1695565892&amp;sr=8-5")</f>
        <v/>
      </c>
      <c r="F524" t="inlineStr">
        <is>
          <t>B08NSVTL6C</t>
        </is>
      </c>
      <c r="G524">
        <f>_xlfn.IMAGE("https://camerareadycosmetics.com/cdn/shop/files/60833-3_50x.jpg?v=1687204329")</f>
        <v/>
      </c>
      <c r="H524">
        <f>_xlfn.IMAGE("https://m.media-amazon.com/images/I/712mtzjH2vL._AC_UL320_.jpg")</f>
        <v/>
      </c>
      <c r="K524" t="inlineStr">
        <is>
          <t>23.0</t>
        </is>
      </c>
      <c r="L524" t="n">
        <v>8.17</v>
      </c>
      <c r="M524" s="1" t="inlineStr">
        <is>
          <t>-64.48%</t>
        </is>
      </c>
      <c r="N524" t="n">
        <v>4.2</v>
      </c>
      <c r="O524" t="n">
        <v>4994</v>
      </c>
      <c r="Q524" t="inlineStr">
        <is>
          <t>OutOfStock</t>
        </is>
      </c>
      <c r="R524" t="inlineStr">
        <is>
          <t>undefined</t>
        </is>
      </c>
      <c r="S524" t="inlineStr">
        <is>
          <t>7548658188473</t>
        </is>
      </c>
    </row>
    <row r="525" ht="75" customHeight="1">
      <c r="A525" s="2">
        <f>HYPERLINK("https://camerareadycosmetics.com/products/buxom-lash-volumizing-waterproof-mascara", "https://camerareadycosmetics.com/products/buxom-lash-volumizing-waterproof-mascara")</f>
        <v/>
      </c>
      <c r="B525" s="2">
        <f>HYPERLINK("https://camerareadycosmetics.com/products/buxom-lash-volumizing-waterproof-mascara", "https://camerareadycosmetics.com/products/buxom-lash-volumizing-waterproof-mascara")</f>
        <v/>
      </c>
      <c r="C525" t="inlineStr">
        <is>
          <t>Lash Volumizing Waterproof Mascara</t>
        </is>
      </c>
      <c r="D525" t="inlineStr">
        <is>
          <t>Lancôme Monsieur Big Waterproof Mascara - Volumizing Mascara For Up To 12x More Volume &amp; 24H Wear - False Lash Effect - Black</t>
        </is>
      </c>
      <c r="E525" s="2">
        <f>HYPERLINK("https://www.amazon.com/Lancome-Monsieur-Mascara-Waterproof-Black/dp/B07BL11G19/ref=sr_1_8?keywords=Lash+Volumizing+Waterproof+Mascara&amp;qid=1695565817&amp;sr=8-8", "https://www.amazon.com/Lancome-Monsieur-Mascara-Waterproof-Black/dp/B07BL11G19/ref=sr_1_8?keywords=Lash+Volumizing+Waterproof+Mascara&amp;qid=1695565817&amp;sr=8-8")</f>
        <v/>
      </c>
      <c r="F525" t="inlineStr">
        <is>
          <t>B07BL11G19</t>
        </is>
      </c>
      <c r="G525">
        <f>_xlfn.IMAGE("https://camerareadycosmetics.com/cdn/shop/files/67862_50x.jpg?v=1687204311")</f>
        <v/>
      </c>
      <c r="H525">
        <f>_xlfn.IMAGE("https://m.media-amazon.com/images/I/61FnR0D7UHL._AC_UL320_.jpg")</f>
        <v/>
      </c>
      <c r="K525" t="inlineStr">
        <is>
          <t>25.0</t>
        </is>
      </c>
      <c r="L525" t="n">
        <v>30</v>
      </c>
      <c r="M525" s="1" t="inlineStr">
        <is>
          <t>20.00%</t>
        </is>
      </c>
      <c r="N525" t="n">
        <v>4.4</v>
      </c>
      <c r="O525" t="n">
        <v>1404</v>
      </c>
      <c r="Q525" t="inlineStr">
        <is>
          <t>OutOfStock</t>
        </is>
      </c>
      <c r="R525" t="inlineStr">
        <is>
          <t>undefined</t>
        </is>
      </c>
      <c r="S525" t="inlineStr">
        <is>
          <t>7548559720633</t>
        </is>
      </c>
    </row>
    <row r="526" ht="75" customHeight="1">
      <c r="A526" s="2">
        <f>HYPERLINK("https://camerareadycosmetics.com/products/buxom-lash-volumizing-waterproof-mascara", "https://camerareadycosmetics.com/products/buxom-lash-volumizing-waterproof-mascara")</f>
        <v/>
      </c>
      <c r="B526" s="2">
        <f>HYPERLINK("https://camerareadycosmetics.com/products/buxom-lash-volumizing-waterproof-mascara", "https://camerareadycosmetics.com/products/buxom-lash-volumizing-waterproof-mascara")</f>
        <v/>
      </c>
      <c r="C526" t="inlineStr">
        <is>
          <t>Lash Volumizing Waterproof Mascara</t>
        </is>
      </c>
      <c r="D526" t="inlineStr">
        <is>
          <t>BUXOM Lash Volumizing Mascara for up to 3X More Volume, Voluminous &amp; Lengthening Mascara for Lash Lift, Cruelty-Free, Black</t>
        </is>
      </c>
      <c r="E526" s="2">
        <f>HYPERLINK("https://www.amazon.com/Buxom-Waterproof-Volumizing-Mascara-Blackest/dp/B07PSR8WMW/ref=sr_1_7?keywords=Lash+Volumizing+Waterproof+Mascara&amp;qid=1695565817&amp;sr=8-7", "https://www.amazon.com/Buxom-Waterproof-Volumizing-Mascara-Blackest/dp/B07PSR8WMW/ref=sr_1_7?keywords=Lash+Volumizing+Waterproof+Mascara&amp;qid=1695565817&amp;sr=8-7")</f>
        <v/>
      </c>
      <c r="F526" t="inlineStr">
        <is>
          <t>B07PSR8WMW</t>
        </is>
      </c>
      <c r="G526">
        <f>_xlfn.IMAGE("https://camerareadycosmetics.com/cdn/shop/files/67862_50x.jpg?v=1687204311")</f>
        <v/>
      </c>
      <c r="H526">
        <f>_xlfn.IMAGE("https://m.media-amazon.com/images/I/61zS0XeyFSL._AC_UL320_.jpg")</f>
        <v/>
      </c>
      <c r="K526" t="inlineStr">
        <is>
          <t>25.0</t>
        </is>
      </c>
      <c r="L526" t="n">
        <v>25</v>
      </c>
      <c r="M526" s="1" t="inlineStr">
        <is>
          <t>0.00%</t>
        </is>
      </c>
      <c r="N526" t="n">
        <v>4.4</v>
      </c>
      <c r="O526" t="n">
        <v>1295</v>
      </c>
      <c r="Q526" t="inlineStr">
        <is>
          <t>OutOfStock</t>
        </is>
      </c>
      <c r="R526" t="inlineStr">
        <is>
          <t>undefined</t>
        </is>
      </c>
      <c r="S526" t="inlineStr">
        <is>
          <t>7548559720633</t>
        </is>
      </c>
    </row>
    <row r="527" ht="75" customHeight="1">
      <c r="A527" s="2">
        <f>HYPERLINK("https://camerareadycosmetics.com/products/buxom-lash-volumizing-waterproof-mascara", "https://camerareadycosmetics.com/products/buxom-lash-volumizing-waterproof-mascara")</f>
        <v/>
      </c>
      <c r="B527" s="2">
        <f>HYPERLINK("https://camerareadycosmetics.com/products/buxom-lash-volumizing-waterproof-mascara", "https://camerareadycosmetics.com/products/buxom-lash-volumizing-waterproof-mascara")</f>
        <v/>
      </c>
      <c r="C527" t="inlineStr">
        <is>
          <t>Lash Volumizing Waterproof Mascara</t>
        </is>
      </c>
      <c r="D527" t="inlineStr">
        <is>
          <t>Neutrogena Healthy Volume Lash-Plumping Waterproof Mascara Volumizing And Conditioning Mascara With Olive Oil To Build Fuller Lashes Clump Smudge &amp; Flake-Free Carbon Black 06 0.21 oz</t>
        </is>
      </c>
      <c r="E527" s="2">
        <f>HYPERLINK("https://www.amazon.com/Neutrogena-Healthy-Waterproof-Mascara-Carbon/dp/B001MS7H50/ref=sr_1_5?keywords=Lash+Volumizing+Waterproof+Mascara&amp;qid=1695565817&amp;sr=8-5", "https://www.amazon.com/Neutrogena-Healthy-Waterproof-Mascara-Carbon/dp/B001MS7H50/ref=sr_1_5?keywords=Lash+Volumizing+Waterproof+Mascara&amp;qid=1695565817&amp;sr=8-5")</f>
        <v/>
      </c>
      <c r="F527" t="inlineStr">
        <is>
          <t>B001MS7H50</t>
        </is>
      </c>
      <c r="G527">
        <f>_xlfn.IMAGE("https://camerareadycosmetics.com/cdn/shop/files/67862_50x.jpg?v=1687204311")</f>
        <v/>
      </c>
      <c r="H527">
        <f>_xlfn.IMAGE("https://m.media-amazon.com/images/I/713tcOyKFFL._AC_UL320_.jpg")</f>
        <v/>
      </c>
      <c r="K527" t="inlineStr">
        <is>
          <t>25.0</t>
        </is>
      </c>
      <c r="L527" t="n">
        <v>9.99</v>
      </c>
      <c r="M527" s="1" t="inlineStr">
        <is>
          <t>-60.04%</t>
        </is>
      </c>
      <c r="N527" t="n">
        <v>4.1</v>
      </c>
      <c r="O527" t="n">
        <v>2771</v>
      </c>
      <c r="Q527" t="inlineStr">
        <is>
          <t>OutOfStock</t>
        </is>
      </c>
      <c r="R527" t="inlineStr">
        <is>
          <t>undefined</t>
        </is>
      </c>
      <c r="S527" t="inlineStr">
        <is>
          <t>7548559720633</t>
        </is>
      </c>
    </row>
    <row r="528" ht="75" customHeight="1">
      <c r="A528" s="2">
        <f>HYPERLINK("https://camerareadycosmetics.com/products/buxom-lash-volumizing-waterproof-mascara", "https://camerareadycosmetics.com/products/buxom-lash-volumizing-waterproof-mascara")</f>
        <v/>
      </c>
      <c r="B528" s="2">
        <f>HYPERLINK("https://camerareadycosmetics.com/products/buxom-lash-volumizing-waterproof-mascara", "https://camerareadycosmetics.com/products/buxom-lash-volumizing-waterproof-mascara")</f>
        <v/>
      </c>
      <c r="C528" t="inlineStr">
        <is>
          <t>Lash Volumizing Waterproof Mascara</t>
        </is>
      </c>
      <c r="D528" t="inlineStr">
        <is>
          <t>Maybelline New York Lash Sensational Sky High Waterproof Mascara Makeup, Volumizing, Lengthening, Defining, Curling, Multiplying, Buildable Formula, Very Black, 1 Count</t>
        </is>
      </c>
      <c r="E528" s="2">
        <f>HYPERLINK("https://www.amazon.com/Maybelline-New-York-Lengthening-Multiplying/dp/B08H46YXYH/ref=sr_1_4?keywords=Lash+Volumizing+Waterproof+Mascara&amp;qid=1695565817&amp;sr=8-4", "https://www.amazon.com/Maybelline-New-York-Lengthening-Multiplying/dp/B08H46YXYH/ref=sr_1_4?keywords=Lash+Volumizing+Waterproof+Mascara&amp;qid=1695565817&amp;sr=8-4")</f>
        <v/>
      </c>
      <c r="F528" t="inlineStr">
        <is>
          <t>B08H46YXYH</t>
        </is>
      </c>
      <c r="G528">
        <f>_xlfn.IMAGE("https://camerareadycosmetics.com/cdn/shop/files/67862_50x.jpg?v=1687204311")</f>
        <v/>
      </c>
      <c r="H528">
        <f>_xlfn.IMAGE("https://m.media-amazon.com/images/I/7147+dK7J5L._AC_UL320_.jpg")</f>
        <v/>
      </c>
      <c r="K528" t="inlineStr">
        <is>
          <t>25.0</t>
        </is>
      </c>
      <c r="L528" t="n">
        <v>9.98</v>
      </c>
      <c r="M528" s="1" t="inlineStr">
        <is>
          <t>-60.08%</t>
        </is>
      </c>
      <c r="N528" t="n">
        <v>4.5</v>
      </c>
      <c r="O528" t="n">
        <v>124941</v>
      </c>
      <c r="Q528" t="inlineStr">
        <is>
          <t>OutOfStock</t>
        </is>
      </c>
      <c r="R528" t="inlineStr">
        <is>
          <t>undefined</t>
        </is>
      </c>
      <c r="S528" t="inlineStr">
        <is>
          <t>7548559720633</t>
        </is>
      </c>
    </row>
    <row r="529" ht="75" customHeight="1">
      <c r="A529" s="2">
        <f>HYPERLINK("https://camerareadycosmetics.com/products/buxom-lash-volumizing-waterproof-mascara", "https://camerareadycosmetics.com/products/buxom-lash-volumizing-waterproof-mascara")</f>
        <v/>
      </c>
      <c r="B529" s="2">
        <f>HYPERLINK("https://camerareadycosmetics.com/products/buxom-lash-volumizing-waterproof-mascara", "https://camerareadycosmetics.com/products/buxom-lash-volumizing-waterproof-mascara")</f>
        <v/>
      </c>
      <c r="C529" t="inlineStr">
        <is>
          <t>Lash Volumizing Waterproof Mascara</t>
        </is>
      </c>
      <c r="D529" t="inlineStr">
        <is>
          <t>Maybelline New York The Falsies Lash Lift Waterproof Mascara Volumizing, Lengthening, Lifting, Curling, Multiplying, Eye Makeup, Very Black, 1 Count</t>
        </is>
      </c>
      <c r="E529" s="2">
        <f>HYPERLINK("https://www.amazon.com/Maybelline-New-York-Lengthening-Multiplying/dp/B07W8JK62Q/ref=sr_1_1?keywords=Lash+Volumizing+Waterproof+Mascara&amp;qid=1695565817&amp;sr=8-1", "https://www.amazon.com/Maybelline-New-York-Lengthening-Multiplying/dp/B07W8JK62Q/ref=sr_1_1?keywords=Lash+Volumizing+Waterproof+Mascara&amp;qid=1695565817&amp;sr=8-1")</f>
        <v/>
      </c>
      <c r="F529" t="inlineStr">
        <is>
          <t>B07W8JK62Q</t>
        </is>
      </c>
      <c r="G529">
        <f>_xlfn.IMAGE("https://camerareadycosmetics.com/cdn/shop/files/67862_50x.jpg?v=1687204311")</f>
        <v/>
      </c>
      <c r="H529">
        <f>_xlfn.IMAGE("https://m.media-amazon.com/images/I/61aECaieyGL._AC_UL320_.jpg")</f>
        <v/>
      </c>
      <c r="K529" t="inlineStr">
        <is>
          <t>25.0</t>
        </is>
      </c>
      <c r="L529" t="n">
        <v>9</v>
      </c>
      <c r="M529" s="1" t="inlineStr">
        <is>
          <t>-64.00%</t>
        </is>
      </c>
      <c r="N529" t="n">
        <v>4.4</v>
      </c>
      <c r="O529" t="n">
        <v>35029</v>
      </c>
      <c r="Q529" t="inlineStr">
        <is>
          <t>OutOfStock</t>
        </is>
      </c>
      <c r="R529" t="inlineStr">
        <is>
          <t>undefined</t>
        </is>
      </c>
      <c r="S529" t="inlineStr">
        <is>
          <t>7548559720633</t>
        </is>
      </c>
    </row>
    <row r="530" ht="75" customHeight="1">
      <c r="A530" s="2">
        <f>HYPERLINK("https://camerareadycosmetics.com/products/buxom-lash-volumizing-waterproof-mascara", "https://camerareadycosmetics.com/products/buxom-lash-volumizing-waterproof-mascara")</f>
        <v/>
      </c>
      <c r="B530" s="2">
        <f>HYPERLINK("https://camerareadycosmetics.com/products/buxom-lash-volumizing-waterproof-mascara", "https://camerareadycosmetics.com/products/buxom-lash-volumizing-waterproof-mascara")</f>
        <v/>
      </c>
      <c r="C530" t="inlineStr">
        <is>
          <t>Lash Volumizing Waterproof Mascara</t>
        </is>
      </c>
      <c r="D530" t="inlineStr">
        <is>
          <t>L'Oreal Paris Makeup Lash Paradise Waterproof Mascara, Voluptuous Volume, Intense Length, Feathery Soft Full Lashes, No Smudging, No Clumping, Black, 0.25 Fl Oz (Pack of 1) Packaging May Vary</t>
        </is>
      </c>
      <c r="E530" s="2">
        <f>HYPERLINK("https://www.amazon.com/LOreal-Paris-Paradise-Waterproof-Voluptuous/dp/B06XF385WF/ref=sr_1_9?keywords=Lash+Volumizing+Waterproof+Mascara&amp;qid=1695565817&amp;sr=8-9", "https://www.amazon.com/LOreal-Paris-Paradise-Waterproof-Voluptuous/dp/B06XF385WF/ref=sr_1_9?keywords=Lash+Volumizing+Waterproof+Mascara&amp;qid=1695565817&amp;sr=8-9")</f>
        <v/>
      </c>
      <c r="F530" t="inlineStr">
        <is>
          <t>B06XF385WF</t>
        </is>
      </c>
      <c r="G530">
        <f>_xlfn.IMAGE("https://camerareadycosmetics.com/cdn/shop/files/67862_50x.jpg?v=1687204311")</f>
        <v/>
      </c>
      <c r="H530">
        <f>_xlfn.IMAGE("https://m.media-amazon.com/images/I/61rTVsQUQ3L._AC_UL320_.jpg")</f>
        <v/>
      </c>
      <c r="K530" t="inlineStr">
        <is>
          <t>25.0</t>
        </is>
      </c>
      <c r="L530" t="n">
        <v>8.5</v>
      </c>
      <c r="M530" s="1" t="inlineStr">
        <is>
          <t>-66.00%</t>
        </is>
      </c>
      <c r="N530" t="n">
        <v>4.3</v>
      </c>
      <c r="O530" t="n">
        <v>11008</v>
      </c>
      <c r="Q530" t="inlineStr">
        <is>
          <t>OutOfStock</t>
        </is>
      </c>
      <c r="R530" t="inlineStr">
        <is>
          <t>undefined</t>
        </is>
      </c>
      <c r="S530" t="inlineStr">
        <is>
          <t>7548559720633</t>
        </is>
      </c>
    </row>
    <row r="531" ht="75" customHeight="1">
      <c r="A531" s="2">
        <f>HYPERLINK("https://camerareadycosmetics.com/products/buxom-lash-volumizing-waterproof-mascara", "https://camerareadycosmetics.com/products/buxom-lash-volumizing-waterproof-mascara")</f>
        <v/>
      </c>
      <c r="B531" s="2">
        <f>HYPERLINK("https://camerareadycosmetics.com/products/buxom-lash-volumizing-waterproof-mascara", "https://camerareadycosmetics.com/products/buxom-lash-volumizing-waterproof-mascara")</f>
        <v/>
      </c>
      <c r="C531" t="inlineStr">
        <is>
          <t>Lash Volumizing Waterproof Mascara</t>
        </is>
      </c>
      <c r="D531" t="inlineStr">
        <is>
          <t>Mascara Black Volumizing and Lengthening, 2-1 Waterproof &amp; Long-Lasting Mascara for Natural Length and Volume, Curling Eyelashes, No Flaking and No Clumping, Cruelty Free and Vegan, Black (Pack of 1)</t>
        </is>
      </c>
      <c r="E531" s="2">
        <f>HYPERLINK("https://www.amazon.com/Volumizing-Lengthening-Waterproof-Long-Lasting-Eyelashes/dp/B0CC8Y9TYT/ref=sr_1_10?keywords=Lash+Volumizing+Waterproof+Mascara&amp;qid=1695565817&amp;sr=8-10", "https://www.amazon.com/Volumizing-Lengthening-Waterproof-Long-Lasting-Eyelashes/dp/B0CC8Y9TYT/ref=sr_1_10?keywords=Lash+Volumizing+Waterproof+Mascara&amp;qid=1695565817&amp;sr=8-10")</f>
        <v/>
      </c>
      <c r="F531" t="inlineStr">
        <is>
          <t>B0CC8Y9TYT</t>
        </is>
      </c>
      <c r="G531">
        <f>_xlfn.IMAGE("https://camerareadycosmetics.com/cdn/shop/files/67862_50x.jpg?v=1687204311")</f>
        <v/>
      </c>
      <c r="H531">
        <f>_xlfn.IMAGE("https://m.media-amazon.com/images/I/71ZNsKEERrL._AC_UL320_.jpg")</f>
        <v/>
      </c>
      <c r="K531" t="inlineStr">
        <is>
          <t>25.0</t>
        </is>
      </c>
      <c r="L531" t="n">
        <v>8.09</v>
      </c>
      <c r="M531" s="1" t="inlineStr">
        <is>
          <t>-67.64%</t>
        </is>
      </c>
      <c r="N531" t="n">
        <v>5</v>
      </c>
      <c r="O531" t="n">
        <v>7</v>
      </c>
      <c r="Q531" t="inlineStr">
        <is>
          <t>OutOfStock</t>
        </is>
      </c>
      <c r="R531" t="inlineStr">
        <is>
          <t>undefined</t>
        </is>
      </c>
      <c r="S531" t="inlineStr">
        <is>
          <t>7548559720633</t>
        </is>
      </c>
    </row>
    <row r="532" ht="75" customHeight="1">
      <c r="A532" s="2">
        <f>HYPERLINK("https://camerareadycosmetics.com/products/buxom-lash-volumizing-waterproof-mascara", "https://camerareadycosmetics.com/products/buxom-lash-volumizing-waterproof-mascara")</f>
        <v/>
      </c>
      <c r="B532" s="2">
        <f>HYPERLINK("https://camerareadycosmetics.com/products/buxom-lash-volumizing-waterproof-mascara", "https://camerareadycosmetics.com/products/buxom-lash-volumizing-waterproof-mascara")</f>
        <v/>
      </c>
      <c r="C532" t="inlineStr">
        <is>
          <t>Lash Volumizing Waterproof Mascara</t>
        </is>
      </c>
      <c r="D532" t="inlineStr">
        <is>
          <t>L'Oreal Paris Voluminous Lash Paradise Waterproof Mascara, Blackest Black, 0.25 Fl Oz (Pack of 1) Packaging May Vary</t>
        </is>
      </c>
      <c r="E532" s="2">
        <f>HYPERLINK("https://www.amazon.com/LOreal-Paris-Paradise-Waterproof-Voluptuous/dp/B06XDQ84NF/ref=sr_1_3?keywords=Lash+Volumizing+Waterproof+Mascara&amp;qid=1695565817&amp;sr=8-3", "https://www.amazon.com/LOreal-Paris-Paradise-Waterproof-Voluptuous/dp/B06XDQ84NF/ref=sr_1_3?keywords=Lash+Volumizing+Waterproof+Mascara&amp;qid=1695565817&amp;sr=8-3")</f>
        <v/>
      </c>
      <c r="F532" t="inlineStr">
        <is>
          <t>B06XDQ84NF</t>
        </is>
      </c>
      <c r="G532">
        <f>_xlfn.IMAGE("https://camerareadycosmetics.com/cdn/shop/files/67862_50x.jpg?v=1687204311")</f>
        <v/>
      </c>
      <c r="H532">
        <f>_xlfn.IMAGE("https://m.media-amazon.com/images/I/6136I8sBanL._AC_UL320_.jpg")</f>
        <v/>
      </c>
      <c r="K532" t="inlineStr">
        <is>
          <t>25.0</t>
        </is>
      </c>
      <c r="L532" t="n">
        <v>7.33</v>
      </c>
      <c r="M532" s="1" t="inlineStr">
        <is>
          <t>-70.68%</t>
        </is>
      </c>
      <c r="N532" t="n">
        <v>4.3</v>
      </c>
      <c r="O532" t="n">
        <v>18600</v>
      </c>
      <c r="Q532" t="inlineStr">
        <is>
          <t>OutOfStock</t>
        </is>
      </c>
      <c r="R532" t="inlineStr">
        <is>
          <t>undefined</t>
        </is>
      </c>
      <c r="S532" t="inlineStr">
        <is>
          <t>7548559720633</t>
        </is>
      </c>
    </row>
    <row r="533" ht="75" customHeight="1">
      <c r="A533" s="2">
        <f>HYPERLINK("https://camerareadycosmetics.com/products/buxom-lash-volumizing-waterproof-mascara", "https://camerareadycosmetics.com/products/buxom-lash-volumizing-waterproof-mascara")</f>
        <v/>
      </c>
      <c r="B533" s="2">
        <f>HYPERLINK("https://camerareadycosmetics.com/products/buxom-lash-volumizing-waterproof-mascara", "https://camerareadycosmetics.com/products/buxom-lash-volumizing-waterproof-mascara")</f>
        <v/>
      </c>
      <c r="C533" t="inlineStr">
        <is>
          <t>Lash Volumizing Waterproof Mascara</t>
        </is>
      </c>
      <c r="D533" t="inlineStr">
        <is>
          <t>Maybelline New York Lash Sensational Waterproof Mascara, Lengthening and Volumizing for a Full Fan Effect,Very Black, 1 Count</t>
        </is>
      </c>
      <c r="E533" s="2">
        <f>HYPERLINK("https://www.amazon.com/Maybelline-Sensational-Waterproof-Mascara-Black/dp/B00PFCT036/ref=sr_1_2?keywords=Lash+Volumizing+Waterproof+Mascara&amp;qid=1695565817&amp;sr=8-2", "https://www.amazon.com/Maybelline-Sensational-Waterproof-Mascara-Black/dp/B00PFCT036/ref=sr_1_2?keywords=Lash+Volumizing+Waterproof+Mascara&amp;qid=1695565817&amp;sr=8-2")</f>
        <v/>
      </c>
      <c r="F533" t="inlineStr">
        <is>
          <t>B00PFCT036</t>
        </is>
      </c>
      <c r="G533">
        <f>_xlfn.IMAGE("https://camerareadycosmetics.com/cdn/shop/files/67862_50x.jpg?v=1687204311")</f>
        <v/>
      </c>
      <c r="H533">
        <f>_xlfn.IMAGE("https://m.media-amazon.com/images/I/71DTwHnZ6HL._AC_UL320_.jpg")</f>
        <v/>
      </c>
      <c r="K533" t="inlineStr">
        <is>
          <t>25.0</t>
        </is>
      </c>
      <c r="L533" t="n">
        <v>6.5</v>
      </c>
      <c r="M533" s="1" t="inlineStr">
        <is>
          <t>-74.00%</t>
        </is>
      </c>
      <c r="N533" t="n">
        <v>4.5</v>
      </c>
      <c r="O533" t="n">
        <v>119937</v>
      </c>
      <c r="Q533" t="inlineStr">
        <is>
          <t>OutOfStock</t>
        </is>
      </c>
      <c r="R533" t="inlineStr">
        <is>
          <t>undefined</t>
        </is>
      </c>
      <c r="S533" t="inlineStr">
        <is>
          <t>7548559720633</t>
        </is>
      </c>
    </row>
    <row r="534" ht="75" customHeight="1">
      <c r="A534" s="2">
        <f>HYPERLINK("https://camerareadycosmetics.com/products/buxom-lash-volumizing-waterproof-mascara", "https://camerareadycosmetics.com/products/buxom-lash-volumizing-waterproof-mascara")</f>
        <v/>
      </c>
      <c r="B534" s="2">
        <f>HYPERLINK("https://camerareadycosmetics.com/products/buxom-lash-volumizing-waterproof-mascara", "https://camerareadycosmetics.com/products/buxom-lash-volumizing-waterproof-mascara")</f>
        <v/>
      </c>
      <c r="C534" t="inlineStr">
        <is>
          <t>Lash Volumizing Waterproof Mascara</t>
        </is>
      </c>
      <c r="D534" t="inlineStr">
        <is>
          <t>Neutrogena Healthy Volume Lash-Plumping Waterproof Mascara Volumizing And Conditioning Mascara With Olive Oil To Build Fuller Lashes Clump Smudge &amp; Flake-Free Carbon Black 06 0.21 oz</t>
        </is>
      </c>
      <c r="E534" s="2">
        <f>HYPERLINK("https://www.amazon.com/Neutrogena-Healthy-Waterproof-Mascara-Carbon/dp/B001MS7H50/ref=sr_1_5?keywords=Lash+Volumizing+Waterproof+Mascara&amp;qid=1695565817&amp;sr=8-5", "https://www.amazon.com/Neutrogena-Healthy-Waterproof-Mascara-Carbon/dp/B001MS7H50/ref=sr_1_5?keywords=Lash+Volumizing+Waterproof+Mascara&amp;qid=1695565817&amp;sr=8-5")</f>
        <v/>
      </c>
      <c r="F534" t="inlineStr">
        <is>
          <t>B001MS7H50</t>
        </is>
      </c>
      <c r="G534">
        <f>_xlfn.IMAGE("https://camerareadycosmetics.com/cdn/shop/files/67862_50x.jpg?v=1687204311")</f>
        <v/>
      </c>
      <c r="H534">
        <f>_xlfn.IMAGE("https://m.media-amazon.com/images/I/713tcOyKFFL._AC_UL320_.jpg")</f>
        <v/>
      </c>
      <c r="K534" t="inlineStr">
        <is>
          <t>25.0</t>
        </is>
      </c>
      <c r="L534" t="n">
        <v>9.99</v>
      </c>
      <c r="M534" s="1" t="inlineStr">
        <is>
          <t>-60.04%</t>
        </is>
      </c>
      <c r="N534" t="n">
        <v>4.1</v>
      </c>
      <c r="O534" t="n">
        <v>2771</v>
      </c>
      <c r="Q534" t="inlineStr">
        <is>
          <t>OutOfStock</t>
        </is>
      </c>
      <c r="R534" t="inlineStr">
        <is>
          <t>undefined</t>
        </is>
      </c>
      <c r="S534" t="inlineStr">
        <is>
          <t>7548559720633</t>
        </is>
      </c>
    </row>
    <row r="535" ht="75" customHeight="1">
      <c r="A535" s="2">
        <f>HYPERLINK("https://camerareadycosmetics.com/products/buxom-lash-volumizing-waterproof-mascara", "https://camerareadycosmetics.com/products/buxom-lash-volumizing-waterproof-mascara")</f>
        <v/>
      </c>
      <c r="B535" s="2">
        <f>HYPERLINK("https://camerareadycosmetics.com/products/buxom-lash-volumizing-waterproof-mascara", "https://camerareadycosmetics.com/products/buxom-lash-volumizing-waterproof-mascara")</f>
        <v/>
      </c>
      <c r="C535" t="inlineStr">
        <is>
          <t>Lash Volumizing Waterproof Mascara</t>
        </is>
      </c>
      <c r="D535" t="inlineStr">
        <is>
          <t>Maybelline New York Lash Sensational Sky High Waterproof Mascara Makeup, Volumizing, Lengthening, Defining, Curling, Multiplying, Buildable Formula, Very Black, 1 Count</t>
        </is>
      </c>
      <c r="E535" s="2">
        <f>HYPERLINK("https://www.amazon.com/Maybelline-New-York-Lengthening-Multiplying/dp/B08H46YXYH/ref=sr_1_4?keywords=Lash+Volumizing+Waterproof+Mascara&amp;qid=1695565817&amp;sr=8-4", "https://www.amazon.com/Maybelline-New-York-Lengthening-Multiplying/dp/B08H46YXYH/ref=sr_1_4?keywords=Lash+Volumizing+Waterproof+Mascara&amp;qid=1695565817&amp;sr=8-4")</f>
        <v/>
      </c>
      <c r="F535" t="inlineStr">
        <is>
          <t>B08H46YXYH</t>
        </is>
      </c>
      <c r="G535">
        <f>_xlfn.IMAGE("https://camerareadycosmetics.com/cdn/shop/files/67862_50x.jpg?v=1687204311")</f>
        <v/>
      </c>
      <c r="H535">
        <f>_xlfn.IMAGE("https://m.media-amazon.com/images/I/7147+dK7J5L._AC_UL320_.jpg")</f>
        <v/>
      </c>
      <c r="K535" t="inlineStr">
        <is>
          <t>25.0</t>
        </is>
      </c>
      <c r="L535" t="n">
        <v>9.98</v>
      </c>
      <c r="M535" s="1" t="inlineStr">
        <is>
          <t>-60.08%</t>
        </is>
      </c>
      <c r="N535" t="n">
        <v>4.5</v>
      </c>
      <c r="O535" t="n">
        <v>124941</v>
      </c>
      <c r="Q535" t="inlineStr">
        <is>
          <t>OutOfStock</t>
        </is>
      </c>
      <c r="R535" t="inlineStr">
        <is>
          <t>undefined</t>
        </is>
      </c>
      <c r="S535" t="inlineStr">
        <is>
          <t>7548559720633</t>
        </is>
      </c>
    </row>
    <row r="536" ht="75" customHeight="1">
      <c r="A536" s="2">
        <f>HYPERLINK("https://camerareadycosmetics.com/products/buxom-lash-volumizing-waterproof-mascara", "https://camerareadycosmetics.com/products/buxom-lash-volumizing-waterproof-mascara")</f>
        <v/>
      </c>
      <c r="B536" s="2">
        <f>HYPERLINK("https://camerareadycosmetics.com/products/buxom-lash-volumizing-waterproof-mascara", "https://camerareadycosmetics.com/products/buxom-lash-volumizing-waterproof-mascara")</f>
        <v/>
      </c>
      <c r="C536" t="inlineStr">
        <is>
          <t>Lash Volumizing Waterproof Mascara</t>
        </is>
      </c>
      <c r="D536" t="inlineStr">
        <is>
          <t>Maybelline New York The Falsies Lash Lift Waterproof Mascara Volumizing, Lengthening, Lifting, Curling, Multiplying, Eye Makeup, Very Black, 1 Count</t>
        </is>
      </c>
      <c r="E536" s="2">
        <f>HYPERLINK("https://www.amazon.com/Maybelline-New-York-Lengthening-Multiplying/dp/B07W8JK62Q/ref=sr_1_1?keywords=Lash+Volumizing+Waterproof+Mascara&amp;qid=1695565817&amp;sr=8-1", "https://www.amazon.com/Maybelline-New-York-Lengthening-Multiplying/dp/B07W8JK62Q/ref=sr_1_1?keywords=Lash+Volumizing+Waterproof+Mascara&amp;qid=1695565817&amp;sr=8-1")</f>
        <v/>
      </c>
      <c r="F536" t="inlineStr">
        <is>
          <t>B07W8JK62Q</t>
        </is>
      </c>
      <c r="G536">
        <f>_xlfn.IMAGE("https://camerareadycosmetics.com/cdn/shop/files/67862_50x.jpg?v=1687204311")</f>
        <v/>
      </c>
      <c r="H536">
        <f>_xlfn.IMAGE("https://m.media-amazon.com/images/I/61aECaieyGL._AC_UL320_.jpg")</f>
        <v/>
      </c>
      <c r="K536" t="inlineStr">
        <is>
          <t>25.0</t>
        </is>
      </c>
      <c r="L536" t="n">
        <v>9</v>
      </c>
      <c r="M536" s="1" t="inlineStr">
        <is>
          <t>-64.00%</t>
        </is>
      </c>
      <c r="N536" t="n">
        <v>4.4</v>
      </c>
      <c r="O536" t="n">
        <v>35029</v>
      </c>
      <c r="Q536" t="inlineStr">
        <is>
          <t>OutOfStock</t>
        </is>
      </c>
      <c r="R536" t="inlineStr">
        <is>
          <t>undefined</t>
        </is>
      </c>
      <c r="S536" t="inlineStr">
        <is>
          <t>7548559720633</t>
        </is>
      </c>
    </row>
    <row r="537" ht="75" customHeight="1">
      <c r="A537" s="2">
        <f>HYPERLINK("https://camerareadycosmetics.com/products/buxom-lash-volumizing-waterproof-mascara", "https://camerareadycosmetics.com/products/buxom-lash-volumizing-waterproof-mascara")</f>
        <v/>
      </c>
      <c r="B537" s="2">
        <f>HYPERLINK("https://camerareadycosmetics.com/products/buxom-lash-volumizing-waterproof-mascara", "https://camerareadycosmetics.com/products/buxom-lash-volumizing-waterproof-mascara")</f>
        <v/>
      </c>
      <c r="C537" t="inlineStr">
        <is>
          <t>Lash Volumizing Waterproof Mascara</t>
        </is>
      </c>
      <c r="D537" t="inlineStr">
        <is>
          <t>L'Oreal Paris Makeup Lash Paradise Waterproof Mascara, Voluptuous Volume, Intense Length, Feathery Soft Full Lashes, No Smudging, No Clumping, Black, 0.25 Fl Oz (Pack of 1) Packaging May Vary</t>
        </is>
      </c>
      <c r="E537" s="2">
        <f>HYPERLINK("https://www.amazon.com/LOreal-Paris-Paradise-Waterproof-Voluptuous/dp/B06XF385WF/ref=sr_1_9?keywords=Lash+Volumizing+Waterproof+Mascara&amp;qid=1695565817&amp;sr=8-9", "https://www.amazon.com/LOreal-Paris-Paradise-Waterproof-Voluptuous/dp/B06XF385WF/ref=sr_1_9?keywords=Lash+Volumizing+Waterproof+Mascara&amp;qid=1695565817&amp;sr=8-9")</f>
        <v/>
      </c>
      <c r="F537" t="inlineStr">
        <is>
          <t>B06XF385WF</t>
        </is>
      </c>
      <c r="G537">
        <f>_xlfn.IMAGE("https://camerareadycosmetics.com/cdn/shop/files/67862_50x.jpg?v=1687204311")</f>
        <v/>
      </c>
      <c r="H537">
        <f>_xlfn.IMAGE("https://m.media-amazon.com/images/I/61rTVsQUQ3L._AC_UL320_.jpg")</f>
        <v/>
      </c>
      <c r="K537" t="inlineStr">
        <is>
          <t>25.0</t>
        </is>
      </c>
      <c r="L537" t="n">
        <v>8.5</v>
      </c>
      <c r="M537" s="1" t="inlineStr">
        <is>
          <t>-66.00%</t>
        </is>
      </c>
      <c r="N537" t="n">
        <v>4.3</v>
      </c>
      <c r="O537" t="n">
        <v>11008</v>
      </c>
      <c r="Q537" t="inlineStr">
        <is>
          <t>OutOfStock</t>
        </is>
      </c>
      <c r="R537" t="inlineStr">
        <is>
          <t>undefined</t>
        </is>
      </c>
      <c r="S537" t="inlineStr">
        <is>
          <t>7548559720633</t>
        </is>
      </c>
    </row>
    <row r="538" ht="75" customHeight="1">
      <c r="A538" s="2">
        <f>HYPERLINK("https://camerareadycosmetics.com/products/buxom-lash-volumizing-waterproof-mascara", "https://camerareadycosmetics.com/products/buxom-lash-volumizing-waterproof-mascara")</f>
        <v/>
      </c>
      <c r="B538" s="2">
        <f>HYPERLINK("https://camerareadycosmetics.com/products/buxom-lash-volumizing-waterproof-mascara", "https://camerareadycosmetics.com/products/buxom-lash-volumizing-waterproof-mascara")</f>
        <v/>
      </c>
      <c r="C538" t="inlineStr">
        <is>
          <t>Lash Volumizing Waterproof Mascara</t>
        </is>
      </c>
      <c r="D538" t="inlineStr">
        <is>
          <t>Mascara Black Volumizing and Lengthening, 2-1 Waterproof &amp; Long-Lasting Mascara for Natural Length and Volume, Curling Eyelashes, No Flaking and No Clumping, Cruelty Free and Vegan, Black (Pack of 1)</t>
        </is>
      </c>
      <c r="E538" s="2">
        <f>HYPERLINK("https://www.amazon.com/Volumizing-Lengthening-Waterproof-Long-Lasting-Eyelashes/dp/B0CC8Y9TYT/ref=sr_1_10?keywords=Lash+Volumizing+Waterproof+Mascara&amp;qid=1695565817&amp;sr=8-10", "https://www.amazon.com/Volumizing-Lengthening-Waterproof-Long-Lasting-Eyelashes/dp/B0CC8Y9TYT/ref=sr_1_10?keywords=Lash+Volumizing+Waterproof+Mascara&amp;qid=1695565817&amp;sr=8-10")</f>
        <v/>
      </c>
      <c r="F538" t="inlineStr">
        <is>
          <t>B0CC8Y9TYT</t>
        </is>
      </c>
      <c r="G538">
        <f>_xlfn.IMAGE("https://camerareadycosmetics.com/cdn/shop/files/67862_50x.jpg?v=1687204311")</f>
        <v/>
      </c>
      <c r="H538">
        <f>_xlfn.IMAGE("https://m.media-amazon.com/images/I/71ZNsKEERrL._AC_UL320_.jpg")</f>
        <v/>
      </c>
      <c r="K538" t="inlineStr">
        <is>
          <t>25.0</t>
        </is>
      </c>
      <c r="L538" t="n">
        <v>8.09</v>
      </c>
      <c r="M538" s="1" t="inlineStr">
        <is>
          <t>-67.64%</t>
        </is>
      </c>
      <c r="N538" t="n">
        <v>5</v>
      </c>
      <c r="O538" t="n">
        <v>7</v>
      </c>
      <c r="Q538" t="inlineStr">
        <is>
          <t>OutOfStock</t>
        </is>
      </c>
      <c r="R538" t="inlineStr">
        <is>
          <t>undefined</t>
        </is>
      </c>
      <c r="S538" t="inlineStr">
        <is>
          <t>7548559720633</t>
        </is>
      </c>
    </row>
    <row r="539" ht="75" customHeight="1">
      <c r="A539" s="2">
        <f>HYPERLINK("https://camerareadycosmetics.com/products/buxom-lash-volumizing-waterproof-mascara", "https://camerareadycosmetics.com/products/buxom-lash-volumizing-waterproof-mascara")</f>
        <v/>
      </c>
      <c r="B539" s="2">
        <f>HYPERLINK("https://camerareadycosmetics.com/products/buxom-lash-volumizing-waterproof-mascara", "https://camerareadycosmetics.com/products/buxom-lash-volumizing-waterproof-mascara")</f>
        <v/>
      </c>
      <c r="C539" t="inlineStr">
        <is>
          <t>Lash Volumizing Waterproof Mascara</t>
        </is>
      </c>
      <c r="D539" t="inlineStr">
        <is>
          <t>L'Oreal Paris Voluminous Lash Paradise Waterproof Mascara, Blackest Black, 0.25 Fl Oz (Pack of 1) Packaging May Vary</t>
        </is>
      </c>
      <c r="E539" s="2">
        <f>HYPERLINK("https://www.amazon.com/LOreal-Paris-Paradise-Waterproof-Voluptuous/dp/B06XDQ84NF/ref=sr_1_3?keywords=Lash+Volumizing+Waterproof+Mascara&amp;qid=1695565817&amp;sr=8-3", "https://www.amazon.com/LOreal-Paris-Paradise-Waterproof-Voluptuous/dp/B06XDQ84NF/ref=sr_1_3?keywords=Lash+Volumizing+Waterproof+Mascara&amp;qid=1695565817&amp;sr=8-3")</f>
        <v/>
      </c>
      <c r="F539" t="inlineStr">
        <is>
          <t>B06XDQ84NF</t>
        </is>
      </c>
      <c r="G539">
        <f>_xlfn.IMAGE("https://camerareadycosmetics.com/cdn/shop/files/67862_50x.jpg?v=1687204311")</f>
        <v/>
      </c>
      <c r="H539">
        <f>_xlfn.IMAGE("https://m.media-amazon.com/images/I/6136I8sBanL._AC_UL320_.jpg")</f>
        <v/>
      </c>
      <c r="K539" t="inlineStr">
        <is>
          <t>25.0</t>
        </is>
      </c>
      <c r="L539" t="n">
        <v>7.33</v>
      </c>
      <c r="M539" s="1" t="inlineStr">
        <is>
          <t>-70.68%</t>
        </is>
      </c>
      <c r="N539" t="n">
        <v>4.3</v>
      </c>
      <c r="O539" t="n">
        <v>18600</v>
      </c>
      <c r="Q539" t="inlineStr">
        <is>
          <t>OutOfStock</t>
        </is>
      </c>
      <c r="R539" t="inlineStr">
        <is>
          <t>undefined</t>
        </is>
      </c>
      <c r="S539" t="inlineStr">
        <is>
          <t>7548559720633</t>
        </is>
      </c>
    </row>
    <row r="540" ht="75" customHeight="1">
      <c r="A540" s="2">
        <f>HYPERLINK("https://camerareadycosmetics.com/products/buxom-lash-volumizing-waterproof-mascara", "https://camerareadycosmetics.com/products/buxom-lash-volumizing-waterproof-mascara")</f>
        <v/>
      </c>
      <c r="B540" s="2">
        <f>HYPERLINK("https://camerareadycosmetics.com/products/buxom-lash-volumizing-waterproof-mascara", "https://camerareadycosmetics.com/products/buxom-lash-volumizing-waterproof-mascara")</f>
        <v/>
      </c>
      <c r="C540" t="inlineStr">
        <is>
          <t>Lash Volumizing Waterproof Mascara</t>
        </is>
      </c>
      <c r="D540" t="inlineStr">
        <is>
          <t>Maybelline New York Lash Sensational Waterproof Mascara, Lengthening and Volumizing for a Full Fan Effect,Very Black, 1 Count</t>
        </is>
      </c>
      <c r="E540" s="2">
        <f>HYPERLINK("https://www.amazon.com/Maybelline-Sensational-Waterproof-Mascara-Black/dp/B00PFCT036/ref=sr_1_2?keywords=Lash+Volumizing+Waterproof+Mascara&amp;qid=1695565817&amp;sr=8-2", "https://www.amazon.com/Maybelline-Sensational-Waterproof-Mascara-Black/dp/B00PFCT036/ref=sr_1_2?keywords=Lash+Volumizing+Waterproof+Mascara&amp;qid=1695565817&amp;sr=8-2")</f>
        <v/>
      </c>
      <c r="F540" t="inlineStr">
        <is>
          <t>B00PFCT036</t>
        </is>
      </c>
      <c r="G540">
        <f>_xlfn.IMAGE("https://camerareadycosmetics.com/cdn/shop/files/67862_50x.jpg?v=1687204311")</f>
        <v/>
      </c>
      <c r="H540">
        <f>_xlfn.IMAGE("https://m.media-amazon.com/images/I/71DTwHnZ6HL._AC_UL320_.jpg")</f>
        <v/>
      </c>
      <c r="K540" t="inlineStr">
        <is>
          <t>25.0</t>
        </is>
      </c>
      <c r="L540" t="n">
        <v>6.5</v>
      </c>
      <c r="M540" s="1" t="inlineStr">
        <is>
          <t>-74.00%</t>
        </is>
      </c>
      <c r="N540" t="n">
        <v>4.5</v>
      </c>
      <c r="O540" t="n">
        <v>119937</v>
      </c>
      <c r="Q540" t="inlineStr">
        <is>
          <t>OutOfStock</t>
        </is>
      </c>
      <c r="R540" t="inlineStr">
        <is>
          <t>undefined</t>
        </is>
      </c>
      <c r="S540" t="inlineStr">
        <is>
          <t>7548559720633</t>
        </is>
      </c>
    </row>
    <row r="541" ht="75" customHeight="1">
      <c r="A541" s="2">
        <f>HYPERLINK("https://camerareadycosmetics.com/products/buxom-plump-shot-collagen-infused-lip-serum", "https://camerareadycosmetics.com/products/buxom-plump-shot-collagen-infused-lip-serum")</f>
        <v/>
      </c>
      <c r="B541" s="2">
        <f>HYPERLINK("https://camerareadycosmetics.com/products/buxom-plump-shot-collagen-infused-lip-serum", "https://camerareadycosmetics.com/products/buxom-plump-shot-collagen-infused-lip-serum")</f>
        <v/>
      </c>
      <c r="C541" t="inlineStr">
        <is>
          <t>Plump Shot™ Collagen-Infused Lip Serum</t>
        </is>
      </c>
      <c r="D541" t="inlineStr">
        <is>
          <t>BUXOM Plump Shot Collagen-Infused Lip Serum, Plumping Tinted Lip Gloss, Lip Care Formulated with Collagen, Peptides, Hyaluronic Acid, Avocado &amp; Jojoba Oil</t>
        </is>
      </c>
      <c r="E541" s="2">
        <f>HYPERLINK("https://www.amazon.com/Buxom-Cosmetics-Plump-Collagen-Infused-Serum/dp/B08XKWGB4P/ref=sr_1_1?keywords=Plump+Shot%E2%84%A2+Collagen-Infused+Lip+Serum&amp;qid=1695565822&amp;sr=8-1", "https://www.amazon.com/Buxom-Cosmetics-Plump-Collagen-Infused-Serum/dp/B08XKWGB4P/ref=sr_1_1?keywords=Plump+Shot%E2%84%A2+Collagen-Infused+Lip+Serum&amp;qid=1695565822&amp;sr=8-1")</f>
        <v/>
      </c>
      <c r="F541" t="inlineStr">
        <is>
          <t>B08XKWGB4P</t>
        </is>
      </c>
      <c r="G541">
        <f>_xlfn.IMAGE("https://camerareadycosmetics.com/cdn/shop/files/41802371101_50x.jpg?v=1695314948")</f>
        <v/>
      </c>
      <c r="H541">
        <f>_xlfn.IMAGE("https://m.media-amazon.com/images/I/51ikur-pMNL._AC_UL320_.jpg")</f>
        <v/>
      </c>
      <c r="K541" t="inlineStr">
        <is>
          <t>28.0</t>
        </is>
      </c>
      <c r="L541" t="n">
        <v>28</v>
      </c>
      <c r="M541" s="1" t="inlineStr">
        <is>
          <t>0.00%</t>
        </is>
      </c>
      <c r="N541" t="n">
        <v>4.1</v>
      </c>
      <c r="O541" t="n">
        <v>643</v>
      </c>
      <c r="Q541" t="inlineStr">
        <is>
          <t>InStock</t>
        </is>
      </c>
      <c r="R541" t="inlineStr">
        <is>
          <t>undefined</t>
        </is>
      </c>
      <c r="S541" t="inlineStr">
        <is>
          <t>7548670083257</t>
        </is>
      </c>
    </row>
    <row r="542" ht="75" customHeight="1">
      <c r="A542" s="2">
        <f>HYPERLINK("https://camerareadycosmetics.com/products/buxom-plump-shot-collagen-infused-lip-serum", "https://camerareadycosmetics.com/products/buxom-plump-shot-collagen-infused-lip-serum")</f>
        <v/>
      </c>
      <c r="B542" s="2">
        <f>HYPERLINK("https://camerareadycosmetics.com/products/buxom-plump-shot-collagen-infused-lip-serum", "https://camerareadycosmetics.com/products/buxom-plump-shot-collagen-infused-lip-serum")</f>
        <v/>
      </c>
      <c r="C542" t="inlineStr">
        <is>
          <t>Plump Shot™ Collagen-Infused Lip Serum</t>
        </is>
      </c>
      <c r="D542" t="inlineStr">
        <is>
          <t>Buxom Plump Shot Collagen-Infused Lip Serum - Plumping Tinted Lip Gloss - Lip Care Formulated with Collagen, Peptides, Hyaluronic Acid, Avocado &amp; Jojoba Oil</t>
        </is>
      </c>
      <c r="E542" s="2">
        <f>HYPERLINK("https://www.amazon.com/Plump-ShotTM-Collagen-Infused-Lip-Serum/dp/B0B69MFZYC/ref=sr_1_2?keywords=Plump+Shot%E2%84%A2+Collagen-Infused+Lip+Serum&amp;qid=1695565822&amp;sr=8-2", "https://www.amazon.com/Plump-ShotTM-Collagen-Infused-Lip-Serum/dp/B0B69MFZYC/ref=sr_1_2?keywords=Plump+Shot%E2%84%A2+Collagen-Infused+Lip+Serum&amp;qid=1695565822&amp;sr=8-2")</f>
        <v/>
      </c>
      <c r="F542" t="inlineStr">
        <is>
          <t>B0B69MFZYC</t>
        </is>
      </c>
      <c r="G542">
        <f>_xlfn.IMAGE("https://camerareadycosmetics.com/cdn/shop/files/41802371101_50x.jpg?v=1695314948")</f>
        <v/>
      </c>
      <c r="H542">
        <f>_xlfn.IMAGE("https://m.media-amazon.com/images/I/51nr+h7QVuL._AC_UL320_.jpg")</f>
        <v/>
      </c>
      <c r="K542" t="inlineStr">
        <is>
          <t>28.0</t>
        </is>
      </c>
      <c r="L542" t="n">
        <v>28</v>
      </c>
      <c r="M542" s="1" t="inlineStr">
        <is>
          <t>0.00%</t>
        </is>
      </c>
      <c r="N542" t="n">
        <v>4</v>
      </c>
      <c r="O542" t="n">
        <v>173</v>
      </c>
      <c r="Q542" t="inlineStr">
        <is>
          <t>InStock</t>
        </is>
      </c>
      <c r="R542" t="inlineStr">
        <is>
          <t>undefined</t>
        </is>
      </c>
      <c r="S542" t="inlineStr">
        <is>
          <t>7548670083257</t>
        </is>
      </c>
    </row>
    <row r="543" ht="75" customHeight="1">
      <c r="A543" s="2">
        <f>HYPERLINK("https://camerareadycosmetics.com/products/buxom-power-full-lip-scrub", "https://camerareadycosmetics.com/products/buxom-power-full-lip-scrub")</f>
        <v/>
      </c>
      <c r="B543" s="2">
        <f>HYPERLINK("https://camerareadycosmetics.com/products/buxom-power-full-lip-scrub", "https://camerareadycosmetics.com/products/buxom-power-full-lip-scrub")</f>
        <v/>
      </c>
      <c r="C543" t="inlineStr">
        <is>
          <t>Power-Full Lip Scrub</t>
        </is>
      </c>
      <c r="D543" t="inlineStr">
        <is>
          <t>BUXOM Power-Full Lip Scrub, Gentle Sugar Exfoliator, Hydrating Scrub Stick for Lip Prep, Moisturizing Lip Care with Papaya Seed Oil, Cruelty Free</t>
        </is>
      </c>
      <c r="E543" s="2">
        <f>HYPERLINK("https://www.amazon.com/Power-Full-Exfoliator-Hydrating-Moisturizing-Cruelty/dp/B08RLRW297/ref=sr_1_1?keywords=Power-Full+Lip+Scrub&amp;qid=1695565850&amp;sr=8-1", "https://www.amazon.com/Power-Full-Exfoliator-Hydrating-Moisturizing-Cruelty/dp/B08RLRW297/ref=sr_1_1?keywords=Power-Full+Lip+Scrub&amp;qid=1695565850&amp;sr=8-1")</f>
        <v/>
      </c>
      <c r="F543" t="inlineStr">
        <is>
          <t>B08RLRW297</t>
        </is>
      </c>
      <c r="G543">
        <f>_xlfn.IMAGE("https://camerareadycosmetics.com/cdn/shop/files/41800230101_50x.jpg?v=1687204349")</f>
        <v/>
      </c>
      <c r="H543">
        <f>_xlfn.IMAGE("https://m.media-amazon.com/images/I/516glsHQ6rL._AC_UL320_.jpg")</f>
        <v/>
      </c>
      <c r="K543" t="inlineStr">
        <is>
          <t>19.0</t>
        </is>
      </c>
      <c r="L543" t="n">
        <v>19</v>
      </c>
      <c r="M543" s="1" t="inlineStr">
        <is>
          <t>0.00%</t>
        </is>
      </c>
      <c r="N543" t="n">
        <v>4.3</v>
      </c>
      <c r="O543" t="n">
        <v>184</v>
      </c>
      <c r="Q543" t="inlineStr">
        <is>
          <t>InStock</t>
        </is>
      </c>
      <c r="R543" t="inlineStr">
        <is>
          <t>undefined</t>
        </is>
      </c>
      <c r="S543" t="inlineStr">
        <is>
          <t>7548660449465</t>
        </is>
      </c>
    </row>
    <row r="544" ht="75" customHeight="1">
      <c r="A544" s="2">
        <f>HYPERLINK("https://camerareadycosmetics.com/products/buxom-power-full-lip-scrub", "https://camerareadycosmetics.com/products/buxom-power-full-lip-scrub")</f>
        <v/>
      </c>
      <c r="B544" s="2">
        <f>HYPERLINK("https://camerareadycosmetics.com/products/buxom-power-full-lip-scrub", "https://camerareadycosmetics.com/products/buxom-power-full-lip-scrub")</f>
        <v/>
      </c>
      <c r="C544" t="inlineStr">
        <is>
          <t>Power-Full Lip Scrub</t>
        </is>
      </c>
      <c r="D544" t="inlineStr">
        <is>
          <t>Buxom Power-Full Plumping Lip Balm - Tinted Lip Balm Plumper - Enhancing &amp; Hydrating Lip Moisturizer Formulated with Peptides</t>
        </is>
      </c>
      <c r="E544" s="2">
        <f>HYPERLINK("https://www.amazon.com/Buxom-Womens-Power-full-Plump-Balm/dp/B074DK734G/ref=sr_1_5?keywords=Power-Full+Lip+Scrub&amp;qid=1695565850&amp;sr=8-5", "https://www.amazon.com/Buxom-Womens-Power-full-Plump-Balm/dp/B074DK734G/ref=sr_1_5?keywords=Power-Full+Lip+Scrub&amp;qid=1695565850&amp;sr=8-5")</f>
        <v/>
      </c>
      <c r="F544" t="inlineStr">
        <is>
          <t>B074DK734G</t>
        </is>
      </c>
      <c r="G544">
        <f>_xlfn.IMAGE("https://camerareadycosmetics.com/cdn/shop/files/41800230101_50x.jpg?v=1687204349")</f>
        <v/>
      </c>
      <c r="H544">
        <f>_xlfn.IMAGE("https://m.media-amazon.com/images/I/51UnqgXCPJL._AC_UL320_.jpg")</f>
        <v/>
      </c>
      <c r="K544" t="inlineStr">
        <is>
          <t>19.0</t>
        </is>
      </c>
      <c r="L544" t="n">
        <v>19</v>
      </c>
      <c r="M544" s="1" t="inlineStr">
        <is>
          <t>0.00%</t>
        </is>
      </c>
      <c r="N544" t="n">
        <v>4</v>
      </c>
      <c r="O544" t="n">
        <v>9475</v>
      </c>
      <c r="Q544" t="inlineStr">
        <is>
          <t>InStock</t>
        </is>
      </c>
      <c r="R544" t="inlineStr">
        <is>
          <t>undefined</t>
        </is>
      </c>
      <c r="S544" t="inlineStr">
        <is>
          <t>7548660449465</t>
        </is>
      </c>
    </row>
    <row r="545" ht="75" customHeight="1">
      <c r="A545" s="2">
        <f>HYPERLINK("https://camerareadycosmetics.com/products/buxom-power-full-plump-lip-balm-first-crush", "https://camerareadycosmetics.com/products/buxom-power-full-plump-lip-balm-first-crush")</f>
        <v/>
      </c>
      <c r="B545" s="2">
        <f>HYPERLINK("https://camerareadycosmetics.com/products/buxom-power-full-plump-lip-balm-first-crush", "https://camerareadycosmetics.com/products/buxom-power-full-plump-lip-balm-first-crush")</f>
        <v/>
      </c>
      <c r="C545" t="inlineStr">
        <is>
          <t>Power-Full Plump Lip Balm</t>
        </is>
      </c>
      <c r="D545" t="inlineStr">
        <is>
          <t>Buxom Power-Full Plumping Lip Balm - Tinted Lip Balm Plumper - Enhancing &amp; Hydrating Lip Moisturizer Formulated with Peptides</t>
        </is>
      </c>
      <c r="E545" s="2">
        <f>HYPERLINK("https://www.amazon.com/Buxom-Womens-Power-full-Plump-Balm/dp/B074DK734G/ref=sr_1_1?keywords=Power-Full+Plump+Lip+Balm&amp;qid=1695565814&amp;sr=8-1", "https://www.amazon.com/Buxom-Womens-Power-full-Plump-Balm/dp/B074DK734G/ref=sr_1_1?keywords=Power-Full+Plump+Lip+Balm&amp;qid=1695565814&amp;sr=8-1")</f>
        <v/>
      </c>
      <c r="F545" t="inlineStr">
        <is>
          <t>B074DK734G</t>
        </is>
      </c>
      <c r="G545">
        <f>_xlfn.IMAGE("https://camerareadycosmetics.com/cdn/shop/files/41800229101-swatch_50x.jpg?v=1687204374")</f>
        <v/>
      </c>
      <c r="H545">
        <f>_xlfn.IMAGE("https://m.media-amazon.com/images/I/51UnqgXCPJL._AC_UL320_.jpg")</f>
        <v/>
      </c>
      <c r="K545" t="inlineStr">
        <is>
          <t>19.0</t>
        </is>
      </c>
      <c r="L545" t="n">
        <v>19</v>
      </c>
      <c r="M545" s="1" t="inlineStr">
        <is>
          <t>0.00%</t>
        </is>
      </c>
      <c r="N545" t="n">
        <v>4</v>
      </c>
      <c r="O545" t="n">
        <v>9475</v>
      </c>
      <c r="Q545" t="inlineStr">
        <is>
          <t>InStock</t>
        </is>
      </c>
      <c r="R545" t="inlineStr">
        <is>
          <t>undefined</t>
        </is>
      </c>
      <c r="S545" t="inlineStr">
        <is>
          <t>7548669296825</t>
        </is>
      </c>
    </row>
    <row r="546" ht="75" customHeight="1">
      <c r="A546" s="2">
        <f>HYPERLINK("https://camerareadycosmetics.com/products/buxom-power-full-plump-lip-balm-first-crush", "https://camerareadycosmetics.com/products/buxom-power-full-plump-lip-balm-first-crush")</f>
        <v/>
      </c>
      <c r="B546" s="2">
        <f>HYPERLINK("https://camerareadycosmetics.com/products/buxom-power-full-plump-lip-balm-first-crush", "https://camerareadycosmetics.com/products/buxom-power-full-plump-lip-balm-first-crush")</f>
        <v/>
      </c>
      <c r="C546" t="inlineStr">
        <is>
          <t>Power-Full Plump Lip Balm</t>
        </is>
      </c>
      <c r="D546" t="inlineStr">
        <is>
          <t>NewBang Lip Plumper Gloss 3 Colors Set,Natural Lip Plumping Oil and Lip Care Serum Enhancer for Fuller Booster Balm Moisturizing Hydrating&amp;Reduce Fine Lines Nourishing Non-sticky Lips Mask Makeup</t>
        </is>
      </c>
      <c r="E546" s="2">
        <f>HYPERLINK("https://www.amazon.com/NewBang-Moisturizing-Hydrating-Nourishing-Non-sticky/dp/B0C5M7HYYH/ref=sr_1_5?keywords=Power-Full+Plump+Lip+Balm&amp;qid=1695565814&amp;sr=8-5", "https://www.amazon.com/NewBang-Moisturizing-Hydrating-Nourishing-Non-sticky/dp/B0C5M7HYYH/ref=sr_1_5?keywords=Power-Full+Plump+Lip+Balm&amp;qid=1695565814&amp;sr=8-5")</f>
        <v/>
      </c>
      <c r="F546" t="inlineStr">
        <is>
          <t>B0C5M7HYYH</t>
        </is>
      </c>
      <c r="G546">
        <f>_xlfn.IMAGE("https://camerareadycosmetics.com/cdn/shop/files/41800229101-swatch_50x.jpg?v=1687204374")</f>
        <v/>
      </c>
      <c r="H546">
        <f>_xlfn.IMAGE("https://m.media-amazon.com/images/I/61ejbFtqU1L._AC_UL320_.jpg")</f>
        <v/>
      </c>
      <c r="K546" t="inlineStr">
        <is>
          <t>19.0</t>
        </is>
      </c>
      <c r="L546" t="n">
        <v>9.99</v>
      </c>
      <c r="M546" s="1" t="inlineStr">
        <is>
          <t>-47.42%</t>
        </is>
      </c>
      <c r="N546" t="n">
        <v>4.6</v>
      </c>
      <c r="O546" t="n">
        <v>3</v>
      </c>
      <c r="Q546" t="inlineStr">
        <is>
          <t>InStock</t>
        </is>
      </c>
      <c r="R546" t="inlineStr">
        <is>
          <t>undefined</t>
        </is>
      </c>
      <c r="S546" t="inlineStr">
        <is>
          <t>7548669296825</t>
        </is>
      </c>
    </row>
    <row r="547" ht="75" customHeight="1">
      <c r="A547" s="2">
        <f>HYPERLINK("https://camerareadycosmetics.com/products/buxom-power-full-plump-lip-balm-first-crush", "https://camerareadycosmetics.com/products/buxom-power-full-plump-lip-balm-first-crush")</f>
        <v/>
      </c>
      <c r="B547" s="2">
        <f>HYPERLINK("https://camerareadycosmetics.com/products/buxom-power-full-plump-lip-balm-first-crush", "https://camerareadycosmetics.com/products/buxom-power-full-plump-lip-balm-first-crush")</f>
        <v/>
      </c>
      <c r="C547" t="inlineStr">
        <is>
          <t>Power-Full Plump Lip Balm</t>
        </is>
      </c>
      <c r="D547" t="inlineStr">
        <is>
          <t>NewBang Lip Plumper Gloss 3 Colors Set,Natural Lip Plumping Oil and Lip Care Serum Enhancer for Fuller Booster Balm Moisturizing Hydrating&amp;Reduce Fine Lines Nourishing Non-sticky Lips Mask Makeup</t>
        </is>
      </c>
      <c r="E547" s="2">
        <f>HYPERLINK("https://www.amazon.com/NewBang-Moisturizing-Hydrating-Nourishing-Non-sticky/dp/B0C5M7HYYH/ref=sr_1_5?keywords=Power-Full+Plump+Lip+Balm&amp;qid=1695565814&amp;sr=8-5", "https://www.amazon.com/NewBang-Moisturizing-Hydrating-Nourishing-Non-sticky/dp/B0C5M7HYYH/ref=sr_1_5?keywords=Power-Full+Plump+Lip+Balm&amp;qid=1695565814&amp;sr=8-5")</f>
        <v/>
      </c>
      <c r="F547" t="inlineStr">
        <is>
          <t>B0C5M7HYYH</t>
        </is>
      </c>
      <c r="G547">
        <f>_xlfn.IMAGE("https://camerareadycosmetics.com/cdn/shop/files/41800229101-swatch_50x.jpg?v=1687204374")</f>
        <v/>
      </c>
      <c r="H547">
        <f>_xlfn.IMAGE("https://m.media-amazon.com/images/I/61ejbFtqU1L._AC_UL320_.jpg")</f>
        <v/>
      </c>
      <c r="K547" t="inlineStr">
        <is>
          <t>19.0</t>
        </is>
      </c>
      <c r="L547" t="n">
        <v>9.99</v>
      </c>
      <c r="M547" s="1" t="inlineStr">
        <is>
          <t>-47.42%</t>
        </is>
      </c>
      <c r="N547" t="n">
        <v>4.6</v>
      </c>
      <c r="O547" t="n">
        <v>3</v>
      </c>
      <c r="Q547" t="inlineStr">
        <is>
          <t>InStock</t>
        </is>
      </c>
      <c r="R547" t="inlineStr">
        <is>
          <t>undefined</t>
        </is>
      </c>
      <c r="S547" t="inlineStr">
        <is>
          <t>7548669296825</t>
        </is>
      </c>
    </row>
    <row r="548" ht="75" customHeight="1">
      <c r="A548" s="2">
        <f>HYPERLINK("https://camerareadycosmetics.com/products/buxom-wanderlust-primer-infused-blush", "https://camerareadycosmetics.com/products/buxom-wanderlust-primer-infused-blush")</f>
        <v/>
      </c>
      <c r="B548" s="2">
        <f>HYPERLINK("https://camerareadycosmetics.com/products/buxom-wanderlust-primer-infused-blush", "https://camerareadycosmetics.com/products/buxom-wanderlust-primer-infused-blush")</f>
        <v/>
      </c>
      <c r="C548" t="inlineStr">
        <is>
          <t>Wanderlust™ Primer-Infused Blush</t>
        </is>
      </c>
      <c r="D548" t="inlineStr">
        <is>
          <t>Buxom Wanderlust Primer Infused Blush - Powder Blush Face Makeup - Highly Pigmented - Hydrating Hyaluronic Acid Formula</t>
        </is>
      </c>
      <c r="E548" s="2" t="n"/>
      <c r="F548" t="inlineStr">
        <is>
          <t>B07PQK9CKL</t>
        </is>
      </c>
      <c r="G548">
        <f>_xlfn.IMAGE("https://camerareadycosmetics.com/cdn/shop/files/92549_50x.jpg?v=1687204445")</f>
        <v/>
      </c>
      <c r="H548">
        <f>_xlfn.IMAGE("https://m.media-amazon.com/images/I/81xQteKP-hL._AC_UL320_.jpg")</f>
        <v/>
      </c>
      <c r="K548" t="inlineStr">
        <is>
          <t>23.0</t>
        </is>
      </c>
      <c r="L548" t="n">
        <v>23</v>
      </c>
      <c r="M548" s="1" t="inlineStr">
        <is>
          <t>0.00%</t>
        </is>
      </c>
      <c r="N548" t="n">
        <v>4.5</v>
      </c>
      <c r="O548" t="n">
        <v>438</v>
      </c>
      <c r="Q548" t="inlineStr">
        <is>
          <t>InStock</t>
        </is>
      </c>
      <c r="R548" t="inlineStr">
        <is>
          <t>undefined</t>
        </is>
      </c>
      <c r="S548" t="inlineStr">
        <is>
          <t>7548673982649</t>
        </is>
      </c>
    </row>
    <row r="549" ht="75" customHeight="1">
      <c r="A549" s="2">
        <f>HYPERLINK("https://camerareadycosmetics.com/products/buxom-wanderlust-primer-infused-blush", "https://camerareadycosmetics.com/products/buxom-wanderlust-primer-infused-blush")</f>
        <v/>
      </c>
      <c r="B549" s="2">
        <f>HYPERLINK("https://camerareadycosmetics.com/products/buxom-wanderlust-primer-infused-blush", "https://camerareadycosmetics.com/products/buxom-wanderlust-primer-infused-blush")</f>
        <v/>
      </c>
      <c r="C549" t="inlineStr">
        <is>
          <t>Wanderlust™ Primer-Infused Blush</t>
        </is>
      </c>
      <c r="D549" t="inlineStr">
        <is>
          <t>Buxom Wanderlust Primer Infused Blush - Powder Blush Face Makeup - Highly Pigmented - Hydrating Hyaluronic Acid Formula</t>
        </is>
      </c>
      <c r="E549" s="2">
        <f>HYPERLINK("https://www.amazon.com/Buxom-Wanderlust-Primer-Infused-Mykonos/dp/B07PNJM9M4/ref=sr_1_1?keywords=Wanderlust%E2%84%A2+Primer-Infused+Blush&amp;qid=1695565865&amp;sr=8-1", "https://www.amazon.com/Buxom-Wanderlust-Primer-Infused-Mykonos/dp/B07PNJM9M4/ref=sr_1_1?keywords=Wanderlust%E2%84%A2+Primer-Infused+Blush&amp;qid=1695565865&amp;sr=8-1")</f>
        <v/>
      </c>
      <c r="F549" t="inlineStr">
        <is>
          <t>B07PNJM9M4</t>
        </is>
      </c>
      <c r="G549">
        <f>_xlfn.IMAGE("https://camerareadycosmetics.com/cdn/shop/files/92549_50x.jpg?v=1687204445")</f>
        <v/>
      </c>
      <c r="H549">
        <f>_xlfn.IMAGE("https://m.media-amazon.com/images/I/81UWnYkizzL._AC_UL320_.jpg")</f>
        <v/>
      </c>
      <c r="K549" t="inlineStr">
        <is>
          <t>23.0</t>
        </is>
      </c>
      <c r="L549" t="n">
        <v>23</v>
      </c>
      <c r="M549" s="1" t="inlineStr">
        <is>
          <t>0.00%</t>
        </is>
      </c>
      <c r="N549" t="n">
        <v>4.5</v>
      </c>
      <c r="O549" t="n">
        <v>438</v>
      </c>
      <c r="Q549" t="inlineStr">
        <is>
          <t>InStock</t>
        </is>
      </c>
      <c r="R549" t="inlineStr">
        <is>
          <t>undefined</t>
        </is>
      </c>
      <c r="S549" t="inlineStr">
        <is>
          <t>7548673982649</t>
        </is>
      </c>
    </row>
    <row r="550" ht="75" customHeight="1">
      <c r="A550" s="2">
        <f>HYPERLINK("https://camerareadycosmetics.com/products/buxom-wanderlust-primer-infused-blush", "https://camerareadycosmetics.com/products/buxom-wanderlust-primer-infused-blush")</f>
        <v/>
      </c>
      <c r="B550" s="2">
        <f>HYPERLINK("https://camerareadycosmetics.com/products/buxom-wanderlust-primer-infused-blush", "https://camerareadycosmetics.com/products/buxom-wanderlust-primer-infused-blush")</f>
        <v/>
      </c>
      <c r="C550" t="inlineStr">
        <is>
          <t>Wanderlust™ Primer-Infused Blush</t>
        </is>
      </c>
      <c r="D550" t="inlineStr">
        <is>
          <t>e.l.f., Primer-Infused Blush, Long-Wear, Matte, Bold, Lightweight, Blends Easily, Contours Cheeks, Always Rosy, All-Day Wear, 0.35 Oz</t>
        </is>
      </c>
      <c r="E550" s="2">
        <f>HYPERLINK("https://www.amazon.com/Primer-Infused-Long-Wear-Lightweight-Contours-All-Day/dp/B07P8HYGZV/ref=sr_1_2?keywords=Wanderlust%E2%84%A2+Primer-Infused+Blush&amp;qid=1695565865&amp;sr=8-2", "https://www.amazon.com/Primer-Infused-Long-Wear-Lightweight-Contours-All-Day/dp/B07P8HYGZV/ref=sr_1_2?keywords=Wanderlust%E2%84%A2+Primer-Infused+Blush&amp;qid=1695565865&amp;sr=8-2")</f>
        <v/>
      </c>
      <c r="F550" t="inlineStr">
        <is>
          <t>B07P8HYGZV</t>
        </is>
      </c>
      <c r="G550">
        <f>_xlfn.IMAGE("https://camerareadycosmetics.com/cdn/shop/files/92549_50x.jpg?v=1687204445")</f>
        <v/>
      </c>
      <c r="H550">
        <f>_xlfn.IMAGE("https://m.media-amazon.com/images/I/81Tm3k3XvkL._AC_UL320_.jpg")</f>
        <v/>
      </c>
      <c r="K550" t="inlineStr">
        <is>
          <t>23.0</t>
        </is>
      </c>
      <c r="L550" t="n">
        <v>7</v>
      </c>
      <c r="M550" s="1" t="inlineStr">
        <is>
          <t>-69.57%</t>
        </is>
      </c>
      <c r="N550" t="n">
        <v>4.5</v>
      </c>
      <c r="O550" t="n">
        <v>6481</v>
      </c>
      <c r="Q550" t="inlineStr">
        <is>
          <t>InStock</t>
        </is>
      </c>
      <c r="R550" t="inlineStr">
        <is>
          <t>undefined</t>
        </is>
      </c>
      <c r="S550" t="inlineStr">
        <is>
          <t>7548673982649</t>
        </is>
      </c>
    </row>
    <row r="551" ht="75" customHeight="1">
      <c r="A551" s="2">
        <f>HYPERLINK("https://camerareadycosmetics.com/products/buxom-wanderlust-primer-infused-blush", "https://camerareadycosmetics.com/products/buxom-wanderlust-primer-infused-blush")</f>
        <v/>
      </c>
      <c r="B551" s="2">
        <f>HYPERLINK("https://camerareadycosmetics.com/products/buxom-wanderlust-primer-infused-blush", "https://camerareadycosmetics.com/products/buxom-wanderlust-primer-infused-blush")</f>
        <v/>
      </c>
      <c r="C551" t="inlineStr">
        <is>
          <t>Wanderlust™ Primer-Infused Blush</t>
        </is>
      </c>
      <c r="D551" t="inlineStr">
        <is>
          <t>e.l.f., Primer-Infused Blush, Long-Wear, Matte, Bold, Lightweight, Blends Easily, Contours Cheeks, Always Cheeky, All-Day Wear, 0.35 Oz</t>
        </is>
      </c>
      <c r="E551" s="2">
        <f>HYPERLINK("https://www.amazon.com/Primer-Infused-Long-Wear-Lightweight-Contours-All-Day/dp/B07P9MFNLV/ref=sr_1_3?keywords=Wanderlust%E2%84%A2+Primer-Infused+Blush&amp;qid=1695565865&amp;sr=8-3", "https://www.amazon.com/Primer-Infused-Long-Wear-Lightweight-Contours-All-Day/dp/B07P9MFNLV/ref=sr_1_3?keywords=Wanderlust%E2%84%A2+Primer-Infused+Blush&amp;qid=1695565865&amp;sr=8-3")</f>
        <v/>
      </c>
      <c r="F551" t="inlineStr">
        <is>
          <t>B07P9MFNLV</t>
        </is>
      </c>
      <c r="G551">
        <f>_xlfn.IMAGE("https://camerareadycosmetics.com/cdn/shop/files/92549_50x.jpg?v=1687204445")</f>
        <v/>
      </c>
      <c r="H551">
        <f>_xlfn.IMAGE("https://m.media-amazon.com/images/I/718W4l1wLZL._AC_UL320_.jpg")</f>
        <v/>
      </c>
      <c r="K551" t="inlineStr">
        <is>
          <t>23.0</t>
        </is>
      </c>
      <c r="L551" t="n">
        <v>7</v>
      </c>
      <c r="M551" s="1" t="inlineStr">
        <is>
          <t>-69.57%</t>
        </is>
      </c>
      <c r="N551" t="n">
        <v>4.5</v>
      </c>
      <c r="O551" t="n">
        <v>520</v>
      </c>
      <c r="Q551" t="inlineStr">
        <is>
          <t>InStock</t>
        </is>
      </c>
      <c r="R551" t="inlineStr">
        <is>
          <t>undefined</t>
        </is>
      </c>
      <c r="S551" t="inlineStr">
        <is>
          <t>7548673982649</t>
        </is>
      </c>
    </row>
    <row r="552" ht="75" customHeight="1">
      <c r="A552" s="2">
        <f>HYPERLINK("https://camerareadycosmetics.com/products/buxom-wanderlust-primer-infused-blush", "https://camerareadycosmetics.com/products/buxom-wanderlust-primer-infused-blush")</f>
        <v/>
      </c>
      <c r="B552" s="2">
        <f>HYPERLINK("https://camerareadycosmetics.com/products/buxom-wanderlust-primer-infused-blush", "https://camerareadycosmetics.com/products/buxom-wanderlust-primer-infused-blush")</f>
        <v/>
      </c>
      <c r="C552" t="inlineStr">
        <is>
          <t>Wanderlust™ Primer-Infused Blush</t>
        </is>
      </c>
      <c r="D552" t="inlineStr">
        <is>
          <t>e.l.f., Primer-Infused Blush, Long-Wear, Matte, Bold, Lightweight, Blends Easily, Contours Cheeks, Always Rosy, All-Day Wear, 0.35 Oz</t>
        </is>
      </c>
      <c r="E552" s="2">
        <f>HYPERLINK("https://www.amazon.com/Primer-Infused-Long-Wear-Lightweight-Contours-All-Day/dp/B07P8HYGZV/ref=sr_1_2?keywords=Wanderlust%E2%84%A2+Primer-Infused+Blush&amp;qid=1695565865&amp;sr=8-2", "https://www.amazon.com/Primer-Infused-Long-Wear-Lightweight-Contours-All-Day/dp/B07P8HYGZV/ref=sr_1_2?keywords=Wanderlust%E2%84%A2+Primer-Infused+Blush&amp;qid=1695565865&amp;sr=8-2")</f>
        <v/>
      </c>
      <c r="F552" t="inlineStr">
        <is>
          <t>B07P8HYGZV</t>
        </is>
      </c>
      <c r="G552">
        <f>_xlfn.IMAGE("https://camerareadycosmetics.com/cdn/shop/files/92549_50x.jpg?v=1687204445")</f>
        <v/>
      </c>
      <c r="H552">
        <f>_xlfn.IMAGE("https://m.media-amazon.com/images/I/81Tm3k3XvkL._AC_UL320_.jpg")</f>
        <v/>
      </c>
      <c r="K552" t="inlineStr">
        <is>
          <t>23.0</t>
        </is>
      </c>
      <c r="L552" t="n">
        <v>7</v>
      </c>
      <c r="M552" s="1" t="inlineStr">
        <is>
          <t>-69.57%</t>
        </is>
      </c>
      <c r="N552" t="n">
        <v>4.5</v>
      </c>
      <c r="O552" t="n">
        <v>6481</v>
      </c>
      <c r="Q552" t="inlineStr">
        <is>
          <t>InStock</t>
        </is>
      </c>
      <c r="R552" t="inlineStr">
        <is>
          <t>undefined</t>
        </is>
      </c>
      <c r="S552" t="inlineStr">
        <is>
          <t>7548673982649</t>
        </is>
      </c>
    </row>
    <row r="553" ht="75" customHeight="1">
      <c r="A553" s="2">
        <f>HYPERLINK("https://camerareadycosmetics.com/products/buxom-wanderlust-primer-infused-blush", "https://camerareadycosmetics.com/products/buxom-wanderlust-primer-infused-blush")</f>
        <v/>
      </c>
      <c r="B553" s="2">
        <f>HYPERLINK("https://camerareadycosmetics.com/products/buxom-wanderlust-primer-infused-blush", "https://camerareadycosmetics.com/products/buxom-wanderlust-primer-infused-blush")</f>
        <v/>
      </c>
      <c r="C553" t="inlineStr">
        <is>
          <t>Wanderlust™ Primer-Infused Blush</t>
        </is>
      </c>
      <c r="D553" t="inlineStr">
        <is>
          <t>e.l.f., Primer-Infused Blush, Long-Wear, Matte, Bold, Lightweight, Blends Easily, Contours Cheeks, Always Cheeky, All-Day Wear, 0.35 Oz</t>
        </is>
      </c>
      <c r="E553" s="2">
        <f>HYPERLINK("https://www.amazon.com/Primer-Infused-Long-Wear-Lightweight-Contours-All-Day/dp/B07P9MFNLV/ref=sr_1_3?keywords=Wanderlust%E2%84%A2+Primer-Infused+Blush&amp;qid=1695565865&amp;sr=8-3", "https://www.amazon.com/Primer-Infused-Long-Wear-Lightweight-Contours-All-Day/dp/B07P9MFNLV/ref=sr_1_3?keywords=Wanderlust%E2%84%A2+Primer-Infused+Blush&amp;qid=1695565865&amp;sr=8-3")</f>
        <v/>
      </c>
      <c r="F553" t="inlineStr">
        <is>
          <t>B07P9MFNLV</t>
        </is>
      </c>
      <c r="G553">
        <f>_xlfn.IMAGE("https://camerareadycosmetics.com/cdn/shop/files/92549_50x.jpg?v=1687204445")</f>
        <v/>
      </c>
      <c r="H553">
        <f>_xlfn.IMAGE("https://m.media-amazon.com/images/I/718W4l1wLZL._AC_UL320_.jpg")</f>
        <v/>
      </c>
      <c r="K553" t="inlineStr">
        <is>
          <t>23.0</t>
        </is>
      </c>
      <c r="L553" t="n">
        <v>7</v>
      </c>
      <c r="M553" s="1" t="inlineStr">
        <is>
          <t>-69.57%</t>
        </is>
      </c>
      <c r="N553" t="n">
        <v>4.5</v>
      </c>
      <c r="O553" t="n">
        <v>520</v>
      </c>
      <c r="Q553" t="inlineStr">
        <is>
          <t>InStock</t>
        </is>
      </c>
      <c r="R553" t="inlineStr">
        <is>
          <t>undefined</t>
        </is>
      </c>
      <c r="S553" t="inlineStr">
        <is>
          <t>7548673982649</t>
        </is>
      </c>
    </row>
    <row r="554" ht="75" customHeight="1">
      <c r="A554" s="2">
        <f>HYPERLINK("https://camerareadycosmetics.com/products/by-terry-baume-de-rose", "https://camerareadycosmetics.com/products/by-terry-baume-de-rose")</f>
        <v/>
      </c>
      <c r="B554" s="2">
        <f>HYPERLINK("https://camerareadycosmetics.com/products/by-terry-baume-de-rose", "https://camerareadycosmetics.com/products/by-terry-baume-de-rose")</f>
        <v/>
      </c>
      <c r="C554" t="inlineStr">
        <is>
          <t>Baume de Rose Lip Care</t>
        </is>
      </c>
      <c r="D554" t="inlineStr">
        <is>
          <t>By Terry Baume de Rose Lip Balm | Nourishing and Hydrating Lip Plumping Balm | For Fuller Lips | 10g (0.35 oz)</t>
        </is>
      </c>
      <c r="E554" s="2">
        <f>HYPERLINK("https://www.amazon.com/Terry-Nourishing-Hydrating-Plumping-Fuller/dp/B07VS2GQQR/ref=sr_1_1?keywords=Baume+de+Rose+Lip+Care&amp;qid=1695565715&amp;sr=8-1", "https://www.amazon.com/Terry-Nourishing-Hydrating-Plumping-Fuller/dp/B07VS2GQQR/ref=sr_1_1?keywords=Baume+de+Rose+Lip+Care&amp;qid=1695565715&amp;sr=8-1")</f>
        <v/>
      </c>
      <c r="F554" t="inlineStr">
        <is>
          <t>B07VS2GQQR</t>
        </is>
      </c>
      <c r="G554">
        <f>_xlfn.IMAGE("https://camerareadycosmetics.com/cdn/shop/products/by-terry-BaumeROSE-lip-care_50x.jpg?v=1596373372")</f>
        <v/>
      </c>
      <c r="H554">
        <f>_xlfn.IMAGE("https://m.media-amazon.com/images/I/518wdtk8X7L._AC_UL320_.jpg")</f>
        <v/>
      </c>
      <c r="K554" t="inlineStr">
        <is>
          <t>60.0</t>
        </is>
      </c>
      <c r="L554" t="n">
        <v>59.99</v>
      </c>
      <c r="M554" s="1" t="inlineStr">
        <is>
          <t>-0.02%</t>
        </is>
      </c>
      <c r="N554" t="n">
        <v>4.3</v>
      </c>
      <c r="O554" t="n">
        <v>152</v>
      </c>
      <c r="Q554" t="inlineStr">
        <is>
          <t>InStock</t>
        </is>
      </c>
      <c r="R554" t="inlineStr">
        <is>
          <t>undefined</t>
        </is>
      </c>
      <c r="S554" t="inlineStr">
        <is>
          <t>11989489482</t>
        </is>
      </c>
    </row>
    <row r="555" ht="75" customHeight="1">
      <c r="A555" s="2">
        <f>HYPERLINK("https://camerareadycosmetics.com/products/by-terry-baume-de-rose", "https://camerareadycosmetics.com/products/by-terry-baume-de-rose")</f>
        <v/>
      </c>
      <c r="B555" s="2">
        <f>HYPERLINK("https://camerareadycosmetics.com/products/by-terry-baume-de-rose", "https://camerareadycosmetics.com/products/by-terry-baume-de-rose")</f>
        <v/>
      </c>
      <c r="C555" t="inlineStr">
        <is>
          <t>Baume de Rose Lip Care</t>
        </is>
      </c>
      <c r="D555" t="inlineStr">
        <is>
          <t>By Terry Baume de Rose Liquid Lip Balm | Full &amp; Plump Lips</t>
        </is>
      </c>
      <c r="E555" s="2">
        <f>HYPERLINK("https://www.amazon.com/Terry-Baume-Flaconnette-Liquid-fl-oz/dp/B086W1JD3Y/ref=sr_1_2?keywords=Baume+de+Rose+Lip+Care&amp;qid=1695565715&amp;sr=8-2", "https://www.amazon.com/Terry-Baume-Flaconnette-Liquid-fl-oz/dp/B086W1JD3Y/ref=sr_1_2?keywords=Baume+de+Rose+Lip+Care&amp;qid=1695565715&amp;sr=8-2")</f>
        <v/>
      </c>
      <c r="F555" t="inlineStr">
        <is>
          <t>B086W1JD3Y</t>
        </is>
      </c>
      <c r="G555">
        <f>_xlfn.IMAGE("https://camerareadycosmetics.com/cdn/shop/products/by-terry-BaumeROSE-lip-care_50x.jpg?v=1596373372")</f>
        <v/>
      </c>
      <c r="H555">
        <f>_xlfn.IMAGE("https://m.media-amazon.com/images/I/51mZ4PhtLYL._AC_UL320_.jpg")</f>
        <v/>
      </c>
      <c r="K555" t="inlineStr">
        <is>
          <t>60.0</t>
        </is>
      </c>
      <c r="L555" t="n">
        <v>48</v>
      </c>
      <c r="M555" s="1" t="inlineStr">
        <is>
          <t>-20.00%</t>
        </is>
      </c>
      <c r="N555" t="n">
        <v>4.2</v>
      </c>
      <c r="O555" t="n">
        <v>116</v>
      </c>
      <c r="Q555" t="inlineStr">
        <is>
          <t>InStock</t>
        </is>
      </c>
      <c r="R555" t="inlineStr">
        <is>
          <t>undefined</t>
        </is>
      </c>
      <c r="S555" t="inlineStr">
        <is>
          <t>11989489482</t>
        </is>
      </c>
    </row>
    <row r="556" ht="75" customHeight="1">
      <c r="A556" s="2">
        <f>HYPERLINK("https://camerareadycosmetics.com/products/by-terry-baume-de-rose", "https://camerareadycosmetics.com/products/by-terry-baume-de-rose")</f>
        <v/>
      </c>
      <c r="B556" s="2">
        <f>HYPERLINK("https://camerareadycosmetics.com/products/by-terry-baume-de-rose", "https://camerareadycosmetics.com/products/by-terry-baume-de-rose")</f>
        <v/>
      </c>
      <c r="C556" t="inlineStr">
        <is>
          <t>Baume de Rose Lip Care</t>
        </is>
      </c>
      <c r="D556" t="inlineStr">
        <is>
          <t>Karité Baume à Lèvres Nourishing Lip Balm - Intense Lip Moisturizer for Dry Lips | Shea Butter, Organic Jojoba &amp; Rosehip Oil Blend | Dermatologist-Formulated &amp; Approved | Cruelty-Free &amp; Hypoallergenic</t>
        </is>
      </c>
      <c r="E556" s="2">
        <f>HYPERLINK("https://www.amazon.com/Karit%C3%A9-Baume-L%C3%A8vres-Nourishing-Dermatologist-Formulated/dp/B0C9W1C6RD/ref=sr_1_7?keywords=Baume+de+Rose+Lip+Care&amp;qid=1695565715&amp;sr=8-7", "https://www.amazon.com/Karit%C3%A9-Baume-L%C3%A8vres-Nourishing-Dermatologist-Formulated/dp/B0C9W1C6RD/ref=sr_1_7?keywords=Baume+de+Rose+Lip+Care&amp;qid=1695565715&amp;sr=8-7")</f>
        <v/>
      </c>
      <c r="F556" t="inlineStr">
        <is>
          <t>B0C9W1C6RD</t>
        </is>
      </c>
      <c r="G556">
        <f>_xlfn.IMAGE("https://camerareadycosmetics.com/cdn/shop/products/by-terry-BaumeROSE-lip-care_50x.jpg?v=1596373372")</f>
        <v/>
      </c>
      <c r="H556">
        <f>_xlfn.IMAGE("https://m.media-amazon.com/images/I/A1clRuS5EcL._AC_UL320_.jpg")</f>
        <v/>
      </c>
      <c r="K556" t="inlineStr">
        <is>
          <t>60.0</t>
        </is>
      </c>
      <c r="L556" t="n">
        <v>24.99</v>
      </c>
      <c r="M556" s="1" t="inlineStr">
        <is>
          <t>-58.35%</t>
        </is>
      </c>
      <c r="N556" t="n">
        <v>4.6</v>
      </c>
      <c r="O556" t="n">
        <v>3</v>
      </c>
      <c r="Q556" t="inlineStr">
        <is>
          <t>InStock</t>
        </is>
      </c>
      <c r="R556" t="inlineStr">
        <is>
          <t>undefined</t>
        </is>
      </c>
      <c r="S556" t="inlineStr">
        <is>
          <t>11989489482</t>
        </is>
      </c>
    </row>
    <row r="557" ht="75" customHeight="1">
      <c r="A557" s="2">
        <f>HYPERLINK("https://camerareadycosmetics.com/products/by-terry-baume-de-rose", "https://camerareadycosmetics.com/products/by-terry-baume-de-rose")</f>
        <v/>
      </c>
      <c r="B557" s="2">
        <f>HYPERLINK("https://camerareadycosmetics.com/products/by-terry-baume-de-rose", "https://camerareadycosmetics.com/products/by-terry-baume-de-rose")</f>
        <v/>
      </c>
      <c r="C557" t="inlineStr">
        <is>
          <t>Baume de Rose Lip Care</t>
        </is>
      </c>
      <c r="D557" t="inlineStr">
        <is>
          <t>Vegan Lip Butter #05 Dewy Rose(Tinted) (+11 more colors), Bee Free, Petrolatum Free, Deep Nourishing Plant-Based Vegan Chapstick, Vegan Lip Balm for Dry, Cracked and Chapped Lips, Moisturizing Lip Care Gift</t>
        </is>
      </c>
      <c r="E557" s="2">
        <f>HYPERLINK("https://www.amazon.com/MELIXIR-Petrolatum-Nourishing-Plant-Based-Chapstick/dp/B08SBG5Q4N/ref=sr_1_9?keywords=Baume+de+Rose+Lip+Care&amp;qid=1695565715&amp;sr=8-9", "https://www.amazon.com/MELIXIR-Petrolatum-Nourishing-Plant-Based-Chapstick/dp/B08SBG5Q4N/ref=sr_1_9?keywords=Baume+de+Rose+Lip+Care&amp;qid=1695565715&amp;sr=8-9")</f>
        <v/>
      </c>
      <c r="F557" t="inlineStr">
        <is>
          <t>B08SBG5Q4N</t>
        </is>
      </c>
      <c r="G557">
        <f>_xlfn.IMAGE("https://camerareadycosmetics.com/cdn/shop/products/by-terry-BaumeROSE-lip-care_50x.jpg?v=1596373372")</f>
        <v/>
      </c>
      <c r="H557">
        <f>_xlfn.IMAGE("https://m.media-amazon.com/images/I/61jFQbprlLL._AC_UL320_.jpg")</f>
        <v/>
      </c>
      <c r="K557" t="inlineStr">
        <is>
          <t>60.0</t>
        </is>
      </c>
      <c r="L557" t="n">
        <v>15</v>
      </c>
      <c r="M557" s="1" t="inlineStr">
        <is>
          <t>-75.00%</t>
        </is>
      </c>
      <c r="N557" t="n">
        <v>4.4</v>
      </c>
      <c r="O557" t="n">
        <v>8521</v>
      </c>
      <c r="Q557" t="inlineStr">
        <is>
          <t>InStock</t>
        </is>
      </c>
      <c r="R557" t="inlineStr">
        <is>
          <t>undefined</t>
        </is>
      </c>
      <c r="S557" t="inlineStr">
        <is>
          <t>11989489482</t>
        </is>
      </c>
    </row>
    <row r="558" ht="75" customHeight="1">
      <c r="A558" s="2">
        <f>HYPERLINK("https://camerareadycosmetics.com/products/by-terry-baume-de-rose", "https://camerareadycosmetics.com/products/by-terry-baume-de-rose")</f>
        <v/>
      </c>
      <c r="B558" s="2">
        <f>HYPERLINK("https://camerareadycosmetics.com/products/by-terry-baume-de-rose", "https://camerareadycosmetics.com/products/by-terry-baume-de-rose")</f>
        <v/>
      </c>
      <c r="C558" t="inlineStr">
        <is>
          <t>Baume de Rose Lip Care</t>
        </is>
      </c>
      <c r="D558" t="inlineStr">
        <is>
          <t>LANBENA Rose Lip Balm Natural Extract Fade Lip Lines Nourishing Lip Skin Repair Relieve Dryness Long-Lasting Daily Use Lip Care（Packaging Upgrade)</t>
        </is>
      </c>
      <c r="E558" s="2">
        <f>HYPERLINK("https://www.amazon.com/LANBENA-Natural-Extract-Nourishing-Long-Lasting/dp/B07TKRQM7R/ref=sr_1_4?keywords=Baume+de+Rose+Lip+Care&amp;qid=1695565715&amp;sr=8-4", "https://www.amazon.com/LANBENA-Natural-Extract-Nourishing-Long-Lasting/dp/B07TKRQM7R/ref=sr_1_4?keywords=Baume+de+Rose+Lip+Care&amp;qid=1695565715&amp;sr=8-4")</f>
        <v/>
      </c>
      <c r="F558" t="inlineStr">
        <is>
          <t>B07TKRQM7R</t>
        </is>
      </c>
      <c r="G558">
        <f>_xlfn.IMAGE("https://camerareadycosmetics.com/cdn/shop/products/by-terry-BaumeROSE-lip-care_50x.jpg?v=1596373372")</f>
        <v/>
      </c>
      <c r="H558">
        <f>_xlfn.IMAGE("https://m.media-amazon.com/images/I/51xId6j7GYL._AC_UL320_.jpg")</f>
        <v/>
      </c>
      <c r="K558" t="inlineStr">
        <is>
          <t>60.0</t>
        </is>
      </c>
      <c r="L558" t="n">
        <v>6.99</v>
      </c>
      <c r="M558" s="1" t="inlineStr">
        <is>
          <t>-88.35%</t>
        </is>
      </c>
      <c r="N558" t="n">
        <v>3.9</v>
      </c>
      <c r="O558" t="n">
        <v>4411</v>
      </c>
      <c r="Q558" t="inlineStr">
        <is>
          <t>InStock</t>
        </is>
      </c>
      <c r="R558" t="inlineStr">
        <is>
          <t>undefined</t>
        </is>
      </c>
      <c r="S558" t="inlineStr">
        <is>
          <t>11989489482</t>
        </is>
      </c>
    </row>
    <row r="559" ht="75" customHeight="1">
      <c r="A559" s="2">
        <f>HYPERLINK("https://camerareadycosmetics.com/products/by-terry-baume-de-rose", "https://camerareadycosmetics.com/products/by-terry-baume-de-rose")</f>
        <v/>
      </c>
      <c r="B559" s="2">
        <f>HYPERLINK("https://camerareadycosmetics.com/products/by-terry-baume-de-rose", "https://camerareadycosmetics.com/products/by-terry-baume-de-rose")</f>
        <v/>
      </c>
      <c r="C559" t="inlineStr">
        <is>
          <t>Baume de Rose Lip Care</t>
        </is>
      </c>
      <c r="D559" t="inlineStr">
        <is>
          <t>Karité Baume à Lèvres Nourishing Lip Balm - Intense Lip Moisturizer for Dry Lips | Shea Butter, Organic Jojoba &amp; Rosehip Oil Blend | Dermatologist-Formulated &amp; Approved | Cruelty-Free &amp; Hypoallergenic</t>
        </is>
      </c>
      <c r="E559" s="2">
        <f>HYPERLINK("https://www.amazon.com/Karit%C3%A9-Baume-L%C3%A8vres-Nourishing-Dermatologist-Formulated/dp/B0C9W1C6RD/ref=sr_1_7?keywords=Baume+de+Rose+Lip+Care&amp;qid=1695565715&amp;sr=8-7", "https://www.amazon.com/Karit%C3%A9-Baume-L%C3%A8vres-Nourishing-Dermatologist-Formulated/dp/B0C9W1C6RD/ref=sr_1_7?keywords=Baume+de+Rose+Lip+Care&amp;qid=1695565715&amp;sr=8-7")</f>
        <v/>
      </c>
      <c r="F559" t="inlineStr">
        <is>
          <t>B0C9W1C6RD</t>
        </is>
      </c>
      <c r="G559">
        <f>_xlfn.IMAGE("https://camerareadycosmetics.com/cdn/shop/products/by-terry-BaumeROSE-lip-care_50x.jpg?v=1596373372")</f>
        <v/>
      </c>
      <c r="H559">
        <f>_xlfn.IMAGE("https://m.media-amazon.com/images/I/A1clRuS5EcL._AC_UL320_.jpg")</f>
        <v/>
      </c>
      <c r="K559" t="inlineStr">
        <is>
          <t>60.0</t>
        </is>
      </c>
      <c r="L559" t="n">
        <v>24.99</v>
      </c>
      <c r="M559" s="1" t="inlineStr">
        <is>
          <t>-58.35%</t>
        </is>
      </c>
      <c r="N559" t="n">
        <v>4.6</v>
      </c>
      <c r="O559" t="n">
        <v>3</v>
      </c>
      <c r="Q559" t="inlineStr">
        <is>
          <t>InStock</t>
        </is>
      </c>
      <c r="R559" t="inlineStr">
        <is>
          <t>undefined</t>
        </is>
      </c>
      <c r="S559" t="inlineStr">
        <is>
          <t>11989489482</t>
        </is>
      </c>
    </row>
    <row r="560" ht="75" customHeight="1">
      <c r="A560" s="2">
        <f>HYPERLINK("https://camerareadycosmetics.com/products/by-terry-baume-de-rose", "https://camerareadycosmetics.com/products/by-terry-baume-de-rose")</f>
        <v/>
      </c>
      <c r="B560" s="2">
        <f>HYPERLINK("https://camerareadycosmetics.com/products/by-terry-baume-de-rose", "https://camerareadycosmetics.com/products/by-terry-baume-de-rose")</f>
        <v/>
      </c>
      <c r="C560" t="inlineStr">
        <is>
          <t>Baume de Rose Lip Care</t>
        </is>
      </c>
      <c r="D560" t="inlineStr">
        <is>
          <t>Vegan Lip Butter #05 Dewy Rose(Tinted) (+11 more colors), Bee Free, Petrolatum Free, Deep Nourishing Plant-Based Vegan Chapstick, Vegan Lip Balm for Dry, Cracked and Chapped Lips, Moisturizing Lip Care Gift</t>
        </is>
      </c>
      <c r="E560" s="2">
        <f>HYPERLINK("https://www.amazon.com/MELIXIR-Petrolatum-Nourishing-Plant-Based-Chapstick/dp/B08SBG5Q4N/ref=sr_1_9?keywords=Baume+de+Rose+Lip+Care&amp;qid=1695565715&amp;sr=8-9", "https://www.amazon.com/MELIXIR-Petrolatum-Nourishing-Plant-Based-Chapstick/dp/B08SBG5Q4N/ref=sr_1_9?keywords=Baume+de+Rose+Lip+Care&amp;qid=1695565715&amp;sr=8-9")</f>
        <v/>
      </c>
      <c r="F560" t="inlineStr">
        <is>
          <t>B08SBG5Q4N</t>
        </is>
      </c>
      <c r="G560">
        <f>_xlfn.IMAGE("https://camerareadycosmetics.com/cdn/shop/products/by-terry-BaumeROSE-lip-care_50x.jpg?v=1596373372")</f>
        <v/>
      </c>
      <c r="H560">
        <f>_xlfn.IMAGE("https://m.media-amazon.com/images/I/61jFQbprlLL._AC_UL320_.jpg")</f>
        <v/>
      </c>
      <c r="K560" t="inlineStr">
        <is>
          <t>60.0</t>
        </is>
      </c>
      <c r="L560" t="n">
        <v>15</v>
      </c>
      <c r="M560" s="1" t="inlineStr">
        <is>
          <t>-75.00%</t>
        </is>
      </c>
      <c r="N560" t="n">
        <v>4.4</v>
      </c>
      <c r="O560" t="n">
        <v>8521</v>
      </c>
      <c r="Q560" t="inlineStr">
        <is>
          <t>InStock</t>
        </is>
      </c>
      <c r="R560" t="inlineStr">
        <is>
          <t>undefined</t>
        </is>
      </c>
      <c r="S560" t="inlineStr">
        <is>
          <t>11989489482</t>
        </is>
      </c>
    </row>
    <row r="561" ht="75" customHeight="1">
      <c r="A561" s="2">
        <f>HYPERLINK("https://camerareadycosmetics.com/products/by-terry-baume-de-rose", "https://camerareadycosmetics.com/products/by-terry-baume-de-rose")</f>
        <v/>
      </c>
      <c r="B561" s="2">
        <f>HYPERLINK("https://camerareadycosmetics.com/products/by-terry-baume-de-rose", "https://camerareadycosmetics.com/products/by-terry-baume-de-rose")</f>
        <v/>
      </c>
      <c r="C561" t="inlineStr">
        <is>
          <t>Baume de Rose Lip Care</t>
        </is>
      </c>
      <c r="D561" t="inlineStr">
        <is>
          <t>LANBENA Rose Lip Balm Natural Extract Fade Lip Lines Nourishing Lip Skin Repair Relieve Dryness Long-Lasting Daily Use Lip Care（Packaging Upgrade)</t>
        </is>
      </c>
      <c r="E561" s="2">
        <f>HYPERLINK("https://www.amazon.com/LANBENA-Natural-Extract-Nourishing-Long-Lasting/dp/B07TKRQM7R/ref=sr_1_4?keywords=Baume+de+Rose+Lip+Care&amp;qid=1695565715&amp;sr=8-4", "https://www.amazon.com/LANBENA-Natural-Extract-Nourishing-Long-Lasting/dp/B07TKRQM7R/ref=sr_1_4?keywords=Baume+de+Rose+Lip+Care&amp;qid=1695565715&amp;sr=8-4")</f>
        <v/>
      </c>
      <c r="F561" t="inlineStr">
        <is>
          <t>B07TKRQM7R</t>
        </is>
      </c>
      <c r="G561">
        <f>_xlfn.IMAGE("https://camerareadycosmetics.com/cdn/shop/products/by-terry-BaumeROSE-lip-care_50x.jpg?v=1596373372")</f>
        <v/>
      </c>
      <c r="H561">
        <f>_xlfn.IMAGE("https://m.media-amazon.com/images/I/51xId6j7GYL._AC_UL320_.jpg")</f>
        <v/>
      </c>
      <c r="K561" t="inlineStr">
        <is>
          <t>60.0</t>
        </is>
      </c>
      <c r="L561" t="n">
        <v>6.99</v>
      </c>
      <c r="M561" s="1" t="inlineStr">
        <is>
          <t>-88.35%</t>
        </is>
      </c>
      <c r="N561" t="n">
        <v>3.9</v>
      </c>
      <c r="O561" t="n">
        <v>4411</v>
      </c>
      <c r="Q561" t="inlineStr">
        <is>
          <t>InStock</t>
        </is>
      </c>
      <c r="R561" t="inlineStr">
        <is>
          <t>undefined</t>
        </is>
      </c>
      <c r="S561" t="inlineStr">
        <is>
          <t>11989489482</t>
        </is>
      </c>
    </row>
    <row r="562" ht="75" customHeight="1">
      <c r="A562" s="2">
        <f>HYPERLINK("https://camerareadycosmetics.com/products/by-terry-brightening-cc-liquid-blush", "https://camerareadycosmetics.com/products/by-terry-brightening-cc-liquid-blush")</f>
        <v/>
      </c>
      <c r="B562" s="2">
        <f>HYPERLINK("https://camerareadycosmetics.com/products/by-terry-brightening-cc-liquid-blush", "https://camerareadycosmetics.com/products/by-terry-brightening-cc-liquid-blush")</f>
        <v/>
      </c>
      <c r="C562" t="inlineStr">
        <is>
          <t>Brightening CC Liquid Blush</t>
        </is>
      </c>
      <c r="D562" t="inlineStr">
        <is>
          <t>By Terry Brightening CC Liquid Blush | Radiance Boosting Blush Makeup | Blended with Rosehip Oil | 13g (0.4 oz)</t>
        </is>
      </c>
      <c r="E562" s="2">
        <f>HYPERLINK("https://www.amazon.com/Terry-Brightening-Radiance-Boosting-Blended/dp/B09R46LJYG/ref=sr_1_1?keywords=Brightening+CC+Liquid+Blush&amp;qid=1695565879&amp;sr=8-1", "https://www.amazon.com/Terry-Brightening-Radiance-Boosting-Blended/dp/B09R46LJYG/ref=sr_1_1?keywords=Brightening+CC+Liquid+Blush&amp;qid=1695565879&amp;sr=8-1")</f>
        <v/>
      </c>
      <c r="F562" t="inlineStr">
        <is>
          <t>B09R46LJYG</t>
        </is>
      </c>
      <c r="G562">
        <f>_xlfn.IMAGE("https://camerareadycosmetics.com/cdn/shop/products/CC_BLUSH_INFOGRAPHIC_THG_50x.jpg?v=1688678103")</f>
        <v/>
      </c>
      <c r="H562">
        <f>_xlfn.IMAGE("https://m.media-amazon.com/images/I/61IBKnBrndL._AC_UL320_.jpg")</f>
        <v/>
      </c>
      <c r="K562" t="inlineStr">
        <is>
          <t>39.0</t>
        </is>
      </c>
      <c r="L562" t="n">
        <v>38</v>
      </c>
      <c r="M562" s="1" t="inlineStr">
        <is>
          <t>-2.56%</t>
        </is>
      </c>
      <c r="N562" t="n">
        <v>4.1</v>
      </c>
      <c r="O562" t="n">
        <v>29</v>
      </c>
      <c r="Q562" t="inlineStr">
        <is>
          <t>InStock</t>
        </is>
      </c>
      <c r="R562" t="inlineStr">
        <is>
          <t>undefined</t>
        </is>
      </c>
      <c r="S562" t="inlineStr">
        <is>
          <t>7575682515129</t>
        </is>
      </c>
    </row>
    <row r="563" ht="75" customHeight="1">
      <c r="A563" s="2">
        <f>HYPERLINK("https://camerareadycosmetics.com/products/by-terry-hyaluronic-hydra-balm", "https://camerareadycosmetics.com/products/by-terry-hyaluronic-hydra-balm")</f>
        <v/>
      </c>
      <c r="B563" s="2">
        <f>HYPERLINK("https://camerareadycosmetics.com/products/by-terry-hyaluronic-hydra-balm", "https://camerareadycosmetics.com/products/by-terry-hyaluronic-hydra-balm")</f>
        <v/>
      </c>
      <c r="C563" t="inlineStr">
        <is>
          <t>Hyaluronic Hydra-Balm</t>
        </is>
      </c>
      <c r="D563" t="inlineStr">
        <is>
          <t>Lumene Nordic Hydra Hydration Rescue 24H Replenishing Balm - Lightweight Face Cream + Dry Skin Hydrating Moisturizer - Organic Nordic Birch Sap, Arctic Spring Water &amp; Plumping Hyaluronic Acid (1.7oz)</t>
        </is>
      </c>
      <c r="E563" s="2">
        <f>HYPERLINK("https://www.amazon.com/Lumene-Nordic-Hydration-Rescue-Replenishing/dp/B0B6GKJQ7H/ref=sr_1_6?keywords=Hyaluronic+Hydra-Balm&amp;qid=1695565887&amp;sr=8-6", "https://www.amazon.com/Lumene-Nordic-Hydration-Rescue-Replenishing/dp/B0B6GKJQ7H/ref=sr_1_6?keywords=Hyaluronic+Hydra-Balm&amp;qid=1695565887&amp;sr=8-6")</f>
        <v/>
      </c>
      <c r="F563" t="inlineStr">
        <is>
          <t>B0B6GKJQ7H</t>
        </is>
      </c>
      <c r="G563">
        <f>_xlfn.IMAGE("https://camerareadycosmetics.com/cdn/shop/products/secret-kiss_50x.jpg?v=1652719420")</f>
        <v/>
      </c>
      <c r="H563">
        <f>_xlfn.IMAGE("https://m.media-amazon.com/images/I/613V0zKT5iL._AC_UL320_.jpg")</f>
        <v/>
      </c>
      <c r="K563" t="inlineStr">
        <is>
          <t>39.0</t>
        </is>
      </c>
      <c r="L563" t="n">
        <v>26.99</v>
      </c>
      <c r="M563" s="1" t="inlineStr">
        <is>
          <t>-30.79%</t>
        </is>
      </c>
      <c r="N563" t="n">
        <v>3.6</v>
      </c>
      <c r="O563" t="n">
        <v>2</v>
      </c>
      <c r="Q563" t="inlineStr">
        <is>
          <t>InStock</t>
        </is>
      </c>
      <c r="R563" t="inlineStr">
        <is>
          <t>undefined</t>
        </is>
      </c>
      <c r="S563" t="inlineStr">
        <is>
          <t>7293957275833</t>
        </is>
      </c>
    </row>
    <row r="564" ht="75" customHeight="1">
      <c r="A564" s="2">
        <f>HYPERLINK("https://camerareadycosmetics.com/products/by-terry-hyaluronic-hydra-balm", "https://camerareadycosmetics.com/products/by-terry-hyaluronic-hydra-balm")</f>
        <v/>
      </c>
      <c r="B564" s="2">
        <f>HYPERLINK("https://camerareadycosmetics.com/products/by-terry-hyaluronic-hydra-balm", "https://camerareadycosmetics.com/products/by-terry-hyaluronic-hydra-balm")</f>
        <v/>
      </c>
      <c r="C564" t="inlineStr">
        <is>
          <t>Hyaluronic Hydra-Balm</t>
        </is>
      </c>
      <c r="D564" t="inlineStr">
        <is>
          <t>9 wishes Hydra Ampule Blemish Balm 1.69 Fl.Oz - Moisturizing BB Cream with Hyaluronic Acid, Coconut Water - Korean Makeup</t>
        </is>
      </c>
      <c r="E564" s="2">
        <f>HYPERLINK("https://www.amazon.com/wishes-Hydra-Ampule-Blemish-Fl-Oz/dp/B0BMKX5JLD/ref=sr_1_1?keywords=Hyaluronic+Hydra-Balm&amp;qid=1695565887&amp;sr=8-1", "https://www.amazon.com/wishes-Hydra-Ampule-Blemish-Fl-Oz/dp/B0BMKX5JLD/ref=sr_1_1?keywords=Hyaluronic+Hydra-Balm&amp;qid=1695565887&amp;sr=8-1")</f>
        <v/>
      </c>
      <c r="F564" t="inlineStr">
        <is>
          <t>B0BMKX5JLD</t>
        </is>
      </c>
      <c r="G564">
        <f>_xlfn.IMAGE("https://camerareadycosmetics.com/cdn/shop/products/secret-kiss_50x.jpg?v=1652719420")</f>
        <v/>
      </c>
      <c r="H564">
        <f>_xlfn.IMAGE("https://m.media-amazon.com/images/I/511hMnyEXXL._AC_UL320_.jpg")</f>
        <v/>
      </c>
      <c r="K564" t="inlineStr">
        <is>
          <t>39.0</t>
        </is>
      </c>
      <c r="L564" t="n">
        <v>26.99</v>
      </c>
      <c r="M564" s="1" t="inlineStr">
        <is>
          <t>-30.79%</t>
        </is>
      </c>
      <c r="N564" t="n">
        <v>5</v>
      </c>
      <c r="O564" t="n">
        <v>4</v>
      </c>
      <c r="Q564" t="inlineStr">
        <is>
          <t>InStock</t>
        </is>
      </c>
      <c r="R564" t="inlineStr">
        <is>
          <t>undefined</t>
        </is>
      </c>
      <c r="S564" t="inlineStr">
        <is>
          <t>7293957275833</t>
        </is>
      </c>
    </row>
    <row r="565" ht="75" customHeight="1">
      <c r="A565" s="2">
        <f>HYPERLINK("https://camerareadycosmetics.com/products/by-terry-hyaluronic-hydra-balm", "https://camerareadycosmetics.com/products/by-terry-hyaluronic-hydra-balm")</f>
        <v/>
      </c>
      <c r="B565" s="2">
        <f>HYPERLINK("https://camerareadycosmetics.com/products/by-terry-hyaluronic-hydra-balm", "https://camerareadycosmetics.com/products/by-terry-hyaluronic-hydra-balm")</f>
        <v/>
      </c>
      <c r="C565" t="inlineStr">
        <is>
          <t>Hyaluronic Hydra-Balm</t>
        </is>
      </c>
      <c r="D565" t="inlineStr">
        <is>
          <t>Hyalogic HA Lip Balm Stick w/ Hyaluronic Acid (Pack of 4) | Episilk's Hydrating Moisturizing Balm Tube for Plump, Healthy Lips - No Parabens, Fragrance Free, Unflavored 0.15oz / 4.25 g</t>
        </is>
      </c>
      <c r="E565" s="2">
        <f>HYPERLINK("https://www.amazon.com/Hyalogic-Hyaluronic-Episilks-Hydrating-Moisturizing/dp/B08G8835QK/ref=sr_1_5?keywords=Hyaluronic+Hydra-Balm&amp;qid=1695565887&amp;sr=8-5", "https://www.amazon.com/Hyalogic-Hyaluronic-Episilks-Hydrating-Moisturizing/dp/B08G8835QK/ref=sr_1_5?keywords=Hyaluronic+Hydra-Balm&amp;qid=1695565887&amp;sr=8-5")</f>
        <v/>
      </c>
      <c r="F565" t="inlineStr">
        <is>
          <t>B08G8835QK</t>
        </is>
      </c>
      <c r="G565">
        <f>_xlfn.IMAGE("https://camerareadycosmetics.com/cdn/shop/products/secret-kiss_50x.jpg?v=1652719420")</f>
        <v/>
      </c>
      <c r="H565">
        <f>_xlfn.IMAGE("https://m.media-amazon.com/images/I/61HrTTN53OL._AC_UL320_.jpg")</f>
        <v/>
      </c>
      <c r="K565" t="inlineStr">
        <is>
          <t>39.0</t>
        </is>
      </c>
      <c r="L565" t="n">
        <v>19.58</v>
      </c>
      <c r="M565" s="1" t="inlineStr">
        <is>
          <t>-49.79%</t>
        </is>
      </c>
      <c r="N565" t="n">
        <v>4.6</v>
      </c>
      <c r="O565" t="n">
        <v>143</v>
      </c>
      <c r="Q565" t="inlineStr">
        <is>
          <t>InStock</t>
        </is>
      </c>
      <c r="R565" t="inlineStr">
        <is>
          <t>undefined</t>
        </is>
      </c>
      <c r="S565" t="inlineStr">
        <is>
          <t>7293957275833</t>
        </is>
      </c>
    </row>
    <row r="566" ht="75" customHeight="1">
      <c r="A566" s="2">
        <f>HYPERLINK("https://camerareadycosmetics.com/products/by-terry-hyaluronic-hydra-balm", "https://camerareadycosmetics.com/products/by-terry-hyaluronic-hydra-balm")</f>
        <v/>
      </c>
      <c r="B566" s="2">
        <f>HYPERLINK("https://camerareadycosmetics.com/products/by-terry-hyaluronic-hydra-balm", "https://camerareadycosmetics.com/products/by-terry-hyaluronic-hydra-balm")</f>
        <v/>
      </c>
      <c r="C566" t="inlineStr">
        <is>
          <t>Hyaluronic Hydra-Balm</t>
        </is>
      </c>
      <c r="D566" t="inlineStr">
        <is>
          <t>Biossance Squalane + Rose Vegan Lip Balm. Made with Hyaluronic Acid and Ceramides to Plump and Hydrate Dry Lips. Long-Lasting and Petroleum-Free (0.52 ounces)</t>
        </is>
      </c>
      <c r="E566" s="2">
        <f>HYPERLINK("https://www.amazon.com/Balm-Made-Hyaluronic-Long-Lasting-Petroleum-Free-0-52-ounces/dp/B08YKH741F/ref=sr_1_7?keywords=Hyaluronic+Hydra-Balm&amp;qid=1695565887&amp;sr=8-7", "https://www.amazon.com/Balm-Made-Hyaluronic-Long-Lasting-Petroleum-Free-0-52-ounces/dp/B08YKH741F/ref=sr_1_7?keywords=Hyaluronic+Hydra-Balm&amp;qid=1695565887&amp;sr=8-7")</f>
        <v/>
      </c>
      <c r="F566" t="inlineStr">
        <is>
          <t>B08YKH741F</t>
        </is>
      </c>
      <c r="G566">
        <f>_xlfn.IMAGE("https://camerareadycosmetics.com/cdn/shop/products/secret-kiss_50x.jpg?v=1652719420")</f>
        <v/>
      </c>
      <c r="H566">
        <f>_xlfn.IMAGE("https://m.media-amazon.com/images/I/51r0hwSzelL._AC_UL320_.jpg")</f>
        <v/>
      </c>
      <c r="K566" t="inlineStr">
        <is>
          <t>39.0</t>
        </is>
      </c>
      <c r="L566" t="n">
        <v>16</v>
      </c>
      <c r="M566" s="1" t="inlineStr">
        <is>
          <t>-58.97%</t>
        </is>
      </c>
      <c r="N566" t="n">
        <v>4.3</v>
      </c>
      <c r="O566" t="n">
        <v>843</v>
      </c>
      <c r="Q566" t="inlineStr">
        <is>
          <t>InStock</t>
        </is>
      </c>
      <c r="R566" t="inlineStr">
        <is>
          <t>undefined</t>
        </is>
      </c>
      <c r="S566" t="inlineStr">
        <is>
          <t>7293957275833</t>
        </is>
      </c>
    </row>
    <row r="567" ht="75" customHeight="1">
      <c r="A567" s="2">
        <f>HYPERLINK("https://camerareadycosmetics.com/products/by-terry-hyaluronic-hydra-balm", "https://camerareadycosmetics.com/products/by-terry-hyaluronic-hydra-balm")</f>
        <v/>
      </c>
      <c r="B567" s="2">
        <f>HYPERLINK("https://camerareadycosmetics.com/products/by-terry-hyaluronic-hydra-balm", "https://camerareadycosmetics.com/products/by-terry-hyaluronic-hydra-balm")</f>
        <v/>
      </c>
      <c r="C567" t="inlineStr">
        <is>
          <t>Hyaluronic Hydra-Balm</t>
        </is>
      </c>
      <c r="D567" t="inlineStr">
        <is>
          <t>Hyalogic Episilk Hydrating Lip Balm w/Hyaluronic Acid | Dry Lips | Natural Moisturizing Lip Balm | Gluten &amp; Fragrance Free, Unflavored (0.5 oz)</t>
        </is>
      </c>
      <c r="E567" s="2">
        <f>HYPERLINK("https://www.amazon.com/Hyalogic-Episilk-Premium-Balm-Hyaluronic/dp/B000SSWKAM/ref=sr_1_9?keywords=Hyaluronic+Hydra-Balm&amp;qid=1695565887&amp;sr=8-9", "https://www.amazon.com/Hyalogic-Episilk-Premium-Balm-Hyaluronic/dp/B000SSWKAM/ref=sr_1_9?keywords=Hyaluronic+Hydra-Balm&amp;qid=1695565887&amp;sr=8-9")</f>
        <v/>
      </c>
      <c r="F567" t="inlineStr">
        <is>
          <t>B000SSWKAM</t>
        </is>
      </c>
      <c r="G567">
        <f>_xlfn.IMAGE("https://camerareadycosmetics.com/cdn/shop/products/secret-kiss_50x.jpg?v=1652719420")</f>
        <v/>
      </c>
      <c r="H567">
        <f>_xlfn.IMAGE("https://m.media-amazon.com/images/I/71GVqlh2LfL._AC_UL320_.jpg")</f>
        <v/>
      </c>
      <c r="K567" t="inlineStr">
        <is>
          <t>39.0</t>
        </is>
      </c>
      <c r="L567" t="n">
        <v>9.99</v>
      </c>
      <c r="M567" s="1" t="inlineStr">
        <is>
          <t>-74.38%</t>
        </is>
      </c>
      <c r="N567" t="n">
        <v>4</v>
      </c>
      <c r="O567" t="n">
        <v>40</v>
      </c>
      <c r="Q567" t="inlineStr">
        <is>
          <t>InStock</t>
        </is>
      </c>
      <c r="R567" t="inlineStr">
        <is>
          <t>undefined</t>
        </is>
      </c>
      <c r="S567" t="inlineStr">
        <is>
          <t>7293957275833</t>
        </is>
      </c>
    </row>
    <row r="568" ht="75" customHeight="1">
      <c r="A568" s="2">
        <f>HYPERLINK("https://camerareadycosmetics.com/products/by-terry-hyaluronic-hydra-powder-palette", "https://camerareadycosmetics.com/products/by-terry-hyaluronic-hydra-powder-palette")</f>
        <v/>
      </c>
      <c r="B568" s="2">
        <f>HYPERLINK("https://camerareadycosmetics.com/products/by-terry-hyaluronic-hydra-powder-palette", "https://camerareadycosmetics.com/products/by-terry-hyaluronic-hydra-powder-palette")</f>
        <v/>
      </c>
      <c r="C568" t="inlineStr">
        <is>
          <t>Hyaluronic Hydra Powder Palette</t>
        </is>
      </c>
      <c r="D568" t="inlineStr">
        <is>
          <t>By Terry Hyaluronic Tinted Hydra-Powder, Non-Drying Loose Face Setting Powder, Blur Imperfections &amp; Mattify, Fair, 0.35 oz</t>
        </is>
      </c>
      <c r="E568" s="2">
        <f>HYPERLINK("https://www.amazon.com/Terry-Hyaluronic-Tinted-Hydra-Powder-100/dp/B07WFWCTLQ/ref=sr_1_1?keywords=Hyaluronic+Hydra+Powder+Palette&amp;qid=1695565604&amp;sr=8-1", "https://www.amazon.com/Terry-Hyaluronic-Tinted-Hydra-Powder-100/dp/B07WFWCTLQ/ref=sr_1_1?keywords=Hyaluronic+Hydra+Powder+Palette&amp;qid=1695565604&amp;sr=8-1")</f>
        <v/>
      </c>
      <c r="F568" t="inlineStr">
        <is>
          <t>B07WFWCTLQ</t>
        </is>
      </c>
      <c r="G568">
        <f>_xlfn.IMAGE("https://camerareadycosmetics.com/cdn/shop/products/HHP-Palette_2021_Packshot_Open_Light-Medium_WhiteBackground_1000x1000_5bf7da5b-c270-4c2e-90b8-153d0e92f1ae_50x.jpg?v=1632950044")</f>
        <v/>
      </c>
      <c r="H568">
        <f>_xlfn.IMAGE("https://m.media-amazon.com/images/I/71WX3vI5jGL._AC_UL320_.jpg")</f>
        <v/>
      </c>
      <c r="K568" t="inlineStr">
        <is>
          <t>62.0</t>
        </is>
      </c>
      <c r="L568" t="n">
        <v>54</v>
      </c>
      <c r="M568" s="1" t="inlineStr">
        <is>
          <t>-12.90%</t>
        </is>
      </c>
      <c r="N568" t="n">
        <v>4.2</v>
      </c>
      <c r="O568" t="n">
        <v>105</v>
      </c>
      <c r="Q568" t="inlineStr">
        <is>
          <t>InStock</t>
        </is>
      </c>
      <c r="R568" t="inlineStr">
        <is>
          <t>undefined</t>
        </is>
      </c>
      <c r="S568" t="inlineStr">
        <is>
          <t>7012244095161</t>
        </is>
      </c>
    </row>
    <row r="569" ht="75" customHeight="1">
      <c r="A569" s="2">
        <f>HYPERLINK("https://camerareadycosmetics.com/products/by-terry-hyaluronic-hydra-primer-colorless-hydra-filler", "https://camerareadycosmetics.com/products/by-terry-hyaluronic-hydra-primer-colorless-hydra-filler")</f>
        <v/>
      </c>
      <c r="B569" s="2">
        <f>HYPERLINK("https://camerareadycosmetics.com/products/by-terry-hyaluronic-hydra-primer-colorless-hydra-filler", "https://camerareadycosmetics.com/products/by-terry-hyaluronic-hydra-primer-colorless-hydra-filler")</f>
        <v/>
      </c>
      <c r="C569" t="inlineStr">
        <is>
          <t>Hyaluronic Hydra Primer - Colorless Hydra-Filler</t>
        </is>
      </c>
      <c r="D569" t="inlineStr">
        <is>
          <t>Neutrogena Hydro Boost Glow Booster Primer &amp; Serum, Hydrating &amp; Moisturizing Face Serum-to-Primer Hybrid, Infused with Purified Hyaluronic Acid &amp; Designed to Instantly Hydrate, 1.0 fl. oz</t>
        </is>
      </c>
      <c r="E569" s="2">
        <f>HYPERLINK("https://www.amazon.com/Neutrogena-Hydrating-Moisturizing-Hyaluronic-Instantly/dp/B0814SFKG9/ref=sr_1_1?keywords=Hyaluronic+Hydra+Primer+-+Colorless+Hydra-Filler&amp;qid=1695565727&amp;sr=8-1", "https://www.amazon.com/Neutrogena-Hydrating-Moisturizing-Hyaluronic-Instantly/dp/B0814SFKG9/ref=sr_1_1?keywords=Hyaluronic+Hydra+Primer+-+Colorless+Hydra-Filler&amp;qid=1695565727&amp;sr=8-1")</f>
        <v/>
      </c>
      <c r="F569" t="inlineStr">
        <is>
          <t>B0814SFKG9</t>
        </is>
      </c>
      <c r="G569">
        <f>_xlfn.IMAGE("https://camerareadycosmetics.com/cdn/shop/files/hyaluronic_hydra_primer_2015-_360x450_3f0eb51f-81d4-47ab-a924-fee203ff597a_50x.jpg?v=1687200648")</f>
        <v/>
      </c>
      <c r="H569">
        <f>_xlfn.IMAGE("https://m.media-amazon.com/images/I/61nW0U3ed0L._AC_UL320_.jpg")</f>
        <v/>
      </c>
      <c r="K569" t="inlineStr">
        <is>
          <t>54.0</t>
        </is>
      </c>
      <c r="L569" t="n">
        <v>15.39</v>
      </c>
      <c r="M569" s="1" t="inlineStr">
        <is>
          <t>-71.50%</t>
        </is>
      </c>
      <c r="N569" t="n">
        <v>4.5</v>
      </c>
      <c r="O569" t="n">
        <v>2161</v>
      </c>
      <c r="Q569" t="inlineStr">
        <is>
          <t>InStock</t>
        </is>
      </c>
      <c r="R569" t="inlineStr">
        <is>
          <t>undefined</t>
        </is>
      </c>
      <c r="S569" t="inlineStr">
        <is>
          <t>11836613962</t>
        </is>
      </c>
    </row>
    <row r="570" ht="75" customHeight="1">
      <c r="A570" s="2">
        <f>HYPERLINK("https://camerareadycosmetics.com/products/by-terry-hyaluronic-hydra-primer-colorless-hydra-filler", "https://camerareadycosmetics.com/products/by-terry-hyaluronic-hydra-primer-colorless-hydra-filler")</f>
        <v/>
      </c>
      <c r="B570" s="2">
        <f>HYPERLINK("https://camerareadycosmetics.com/products/by-terry-hyaluronic-hydra-primer-colorless-hydra-filler", "https://camerareadycosmetics.com/products/by-terry-hyaluronic-hydra-primer-colorless-hydra-filler")</f>
        <v/>
      </c>
      <c r="C570" t="inlineStr">
        <is>
          <t>Hyaluronic Hydra Primer - Colorless Hydra-Filler</t>
        </is>
      </c>
      <c r="D570" t="inlineStr">
        <is>
          <t>Neutrogena Hydro Boost Glow Booster Primer &amp; Serum, Hydrating &amp; Moisturizing Face Serum-to-Primer Hybrid, Infused with Purified Hyaluronic Acid &amp; Designed to Instantly Hydrate, 1.0 fl. oz</t>
        </is>
      </c>
      <c r="E570" s="2">
        <f>HYPERLINK("https://www.amazon.com/Neutrogena-Hydrating-Moisturizing-Hyaluronic-Instantly/dp/B0814SFKG9/ref=sr_1_1?keywords=Hyaluronic+Hydra+Primer+-+Colorless+Hydra-Filler&amp;qid=1695565727&amp;sr=8-1", "https://www.amazon.com/Neutrogena-Hydrating-Moisturizing-Hyaluronic-Instantly/dp/B0814SFKG9/ref=sr_1_1?keywords=Hyaluronic+Hydra+Primer+-+Colorless+Hydra-Filler&amp;qid=1695565727&amp;sr=8-1")</f>
        <v/>
      </c>
      <c r="F570" t="inlineStr">
        <is>
          <t>B0814SFKG9</t>
        </is>
      </c>
      <c r="G570">
        <f>_xlfn.IMAGE("https://camerareadycosmetics.com/cdn/shop/files/hyaluronic_hydra_primer_2015-_360x450_3f0eb51f-81d4-47ab-a924-fee203ff597a_50x.jpg?v=1687200648")</f>
        <v/>
      </c>
      <c r="H570">
        <f>_xlfn.IMAGE("https://m.media-amazon.com/images/I/61nW0U3ed0L._AC_UL320_.jpg")</f>
        <v/>
      </c>
      <c r="K570" t="inlineStr">
        <is>
          <t>54.0</t>
        </is>
      </c>
      <c r="L570" t="n">
        <v>15.39</v>
      </c>
      <c r="M570" s="1" t="inlineStr">
        <is>
          <t>-71.50%</t>
        </is>
      </c>
      <c r="N570" t="n">
        <v>4.5</v>
      </c>
      <c r="O570" t="n">
        <v>2161</v>
      </c>
      <c r="Q570" t="inlineStr">
        <is>
          <t>InStock</t>
        </is>
      </c>
      <c r="R570" t="inlineStr">
        <is>
          <t>undefined</t>
        </is>
      </c>
      <c r="S570" t="inlineStr">
        <is>
          <t>11836613962</t>
        </is>
      </c>
    </row>
    <row r="571" ht="75" customHeight="1">
      <c r="A571" s="2">
        <f>HYPERLINK("https://camerareadycosmetics.com/products/by-terry-hyaluronic-lip-liner", "https://camerareadycosmetics.com/products/by-terry-hyaluronic-lip-liner")</f>
        <v/>
      </c>
      <c r="B571" s="2">
        <f>HYPERLINK("https://camerareadycosmetics.com/products/by-terry-hyaluronic-lip-liner", "https://camerareadycosmetics.com/products/by-terry-hyaluronic-lip-liner")</f>
        <v/>
      </c>
      <c r="C571" t="inlineStr">
        <is>
          <t>Hyaluronic Lip Liner</t>
        </is>
      </c>
      <c r="D571" t="inlineStr">
        <is>
          <t>Sacheu Lip Liner Stay-N - Peel Off Lip Liner Tattoo, Peel Off Lip Stain Peel Off, Long Lasting, Infused with Hyaluronic Acid &amp; Vitamin E, For All Skin Types - Bundle Pack of 3</t>
        </is>
      </c>
      <c r="E571" s="2">
        <f>HYPERLINK("https://www.amazon.com/Sacheu-Lip-Liner-Stay-N-Hyaluronic/dp/B0BVPKXBVB/ref=sr_1_1?keywords=Hyaluronic+Lip+Liner&amp;qid=1695565840&amp;sr=8-1", "https://www.amazon.com/Sacheu-Lip-Liner-Stay-N-Hyaluronic/dp/B0BVPKXBVB/ref=sr_1_1?keywords=Hyaluronic+Lip+Liner&amp;qid=1695565840&amp;sr=8-1")</f>
        <v/>
      </c>
      <c r="F571" t="inlineStr">
        <is>
          <t>B0BVPKXBVB</t>
        </is>
      </c>
      <c r="G571">
        <f>_xlfn.IMAGE("https://camerareadycosmetics.com/cdn/shop/products/14242451-8685037893650209_50x.jpg?v=1681403090")</f>
        <v/>
      </c>
      <c r="H571">
        <f>_xlfn.IMAGE("https://m.media-amazon.com/images/I/61p--UjSbjL._AC_UL320_.jpg")</f>
        <v/>
      </c>
      <c r="K571" t="inlineStr">
        <is>
          <t>28.0</t>
        </is>
      </c>
      <c r="L571" t="n">
        <v>30</v>
      </c>
      <c r="M571" s="1" t="inlineStr">
        <is>
          <t>7.14%</t>
        </is>
      </c>
      <c r="N571" t="n">
        <v>3.5</v>
      </c>
      <c r="O571" t="n">
        <v>616</v>
      </c>
      <c r="Q571" t="inlineStr">
        <is>
          <t>InStock</t>
        </is>
      </c>
      <c r="R571" t="inlineStr">
        <is>
          <t>undefined</t>
        </is>
      </c>
      <c r="S571" t="inlineStr">
        <is>
          <t>7582929256633</t>
        </is>
      </c>
    </row>
    <row r="572" ht="75" customHeight="1">
      <c r="A572" s="2">
        <f>HYPERLINK("https://camerareadycosmetics.com/products/by-terry-hyaluronic-pressed-hydra-powder-translucent", "https://camerareadycosmetics.com/products/by-terry-hyaluronic-pressed-hydra-powder-translucent")</f>
        <v/>
      </c>
      <c r="B572" s="2">
        <f>HYPERLINK("https://camerareadycosmetics.com/products/by-terry-hyaluronic-pressed-hydra-powder-translucent", "https://camerareadycosmetics.com/products/by-terry-hyaluronic-pressed-hydra-powder-translucent")</f>
        <v/>
      </c>
      <c r="C572" t="inlineStr">
        <is>
          <t>Hyaluronic Pressed Hydra-Powder Translucent</t>
        </is>
      </c>
      <c r="D572" t="inlineStr">
        <is>
          <t>Jouer Soft Focus Hydrate &amp; Setting Powder - Translucent Face Powder Pressed Powder - Blurs Fine Lines and Pores - Set Face Makeup Foundation or Concealer - For All Skin Tones, Translucent</t>
        </is>
      </c>
      <c r="E572" s="2">
        <f>HYPERLINK("https://www.amazon.com/Jouer-Soft-Hydrate-Demi-Matte-Setting-Translucent/dp/B09YSQY6TH/ref=sr_1_7?keywords=Hyaluronic+Pressed+Hydra-Powder+Translucent&amp;qid=1695565663&amp;sr=8-7", "https://www.amazon.com/Jouer-Soft-Hydrate-Demi-Matte-Setting-Translucent/dp/B09YSQY6TH/ref=sr_1_7?keywords=Hyaluronic+Pressed+Hydra-Powder+Translucent&amp;qid=1695565663&amp;sr=8-7")</f>
        <v/>
      </c>
      <c r="F572" t="inlineStr">
        <is>
          <t>B09YSQY6TH</t>
        </is>
      </c>
      <c r="G572">
        <f>_xlfn.IMAGE("https://camerareadycosmetics.com/cdn/shop/products/ByTerry-02-HHPRESSED_Open-With_Puff-USE_50x.jpg?v=1618898389")</f>
        <v/>
      </c>
      <c r="H572">
        <f>_xlfn.IMAGE("https://m.media-amazon.com/images/I/51+rgQosPqL._AC_UL320_.jpg")</f>
        <v/>
      </c>
      <c r="K572" t="inlineStr">
        <is>
          <t>52.0</t>
        </is>
      </c>
      <c r="L572" t="n">
        <v>32</v>
      </c>
      <c r="M572" s="1" t="inlineStr">
        <is>
          <t>-38.46%</t>
        </is>
      </c>
      <c r="N572" t="n">
        <v>3.9</v>
      </c>
      <c r="O572" t="n">
        <v>539</v>
      </c>
      <c r="Q572" t="inlineStr">
        <is>
          <t>InStock</t>
        </is>
      </c>
      <c r="R572" t="inlineStr">
        <is>
          <t>52.0</t>
        </is>
      </c>
      <c r="S572" t="inlineStr">
        <is>
          <t>6659175809209</t>
        </is>
      </c>
    </row>
    <row r="573" ht="75" customHeight="1">
      <c r="A573" s="2">
        <f>HYPERLINK("https://camerareadycosmetics.com/products/by-terry-hyaluronic-tinted-hydra-powder", "https://camerareadycosmetics.com/products/by-terry-hyaluronic-tinted-hydra-powder")</f>
        <v/>
      </c>
      <c r="B573" s="2">
        <f>HYPERLINK("https://camerareadycosmetics.com/products/by-terry-hyaluronic-tinted-hydra-powder", "https://camerareadycosmetics.com/products/by-terry-hyaluronic-tinted-hydra-powder")</f>
        <v/>
      </c>
      <c r="C573" t="inlineStr">
        <is>
          <t>Hyaluronic Tinted Hydra Powder</t>
        </is>
      </c>
      <c r="D573" t="inlineStr">
        <is>
          <t>By Terry Hyaluronic Tinted Hydra-Powder | Loose Face Setting Powder | Blur Imperfections | Natural | 10g (0.35 Oz)</t>
        </is>
      </c>
      <c r="E573" s="2">
        <f>HYPERLINK("https://www.amazon.com/Terry-Hyaluronic-Tinted-Hydra-Powder-200/dp/B07WHZRZ9Z/ref=sr_1_1?keywords=Hyaluronic+Tinted+Hydra+Powder&amp;qid=1695565616&amp;sr=8-1", "https://www.amazon.com/Terry-Hyaluronic-Tinted-Hydra-Powder-200/dp/B07WHZRZ9Z/ref=sr_1_1?keywords=Hyaluronic+Tinted+Hydra+Powder&amp;qid=1695565616&amp;sr=8-1")</f>
        <v/>
      </c>
      <c r="F573" t="inlineStr">
        <is>
          <t>B07WHZRZ9Z</t>
        </is>
      </c>
      <c r="G573">
        <f>_xlfn.IMAGE("https://camerareadycosmetics.com/cdn/shop/products/N1-1_By_Terry_Hyaluronic_Tinted_Hydra_Powder_50x.jpg?v=1568838337")</f>
        <v/>
      </c>
      <c r="H573">
        <f>_xlfn.IMAGE("https://m.media-amazon.com/images/I/71QJKiSeGLL._AC_UL320_.jpg")</f>
        <v/>
      </c>
      <c r="K573" t="inlineStr">
        <is>
          <t>54.0</t>
        </is>
      </c>
      <c r="L573" t="n">
        <v>54</v>
      </c>
      <c r="M573" s="1" t="inlineStr">
        <is>
          <t>0.00%</t>
        </is>
      </c>
      <c r="N573" t="n">
        <v>4.2</v>
      </c>
      <c r="O573" t="n">
        <v>105</v>
      </c>
      <c r="Q573" t="inlineStr">
        <is>
          <t>InStock</t>
        </is>
      </c>
      <c r="R573" t="inlineStr">
        <is>
          <t>undefined</t>
        </is>
      </c>
      <c r="S573" t="inlineStr">
        <is>
          <t>4094486806639</t>
        </is>
      </c>
    </row>
    <row r="574" ht="75" customHeight="1">
      <c r="A574" s="2">
        <f>HYPERLINK("https://camerareadycosmetics.com/products/by-terry-hyaluronic-tinted-hydra-powder", "https://camerareadycosmetics.com/products/by-terry-hyaluronic-tinted-hydra-powder")</f>
        <v/>
      </c>
      <c r="B574" s="2">
        <f>HYPERLINK("https://camerareadycosmetics.com/products/by-terry-hyaluronic-tinted-hydra-powder", "https://camerareadycosmetics.com/products/by-terry-hyaluronic-tinted-hydra-powder")</f>
        <v/>
      </c>
      <c r="C574" t="inlineStr">
        <is>
          <t>Hyaluronic Tinted Hydra Powder</t>
        </is>
      </c>
      <c r="D574" t="inlineStr">
        <is>
          <t>Wet n Wild Bare Focus Tinted Hydrator Matte Finish, Porecelain, Oil-Free, Moisturizing Makeup | Hyaluronic Acid | Sheer To Medium Coverage</t>
        </is>
      </c>
      <c r="E574" s="2">
        <f>HYPERLINK("https://www.amazon.com/Hydrator-Oil-Free-Moisturizer-Hyaluronic-Porcelain/dp/B08RRFNLDJ/ref=sr_1_3?keywords=Hyaluronic+Tinted+Hydra+Powder&amp;qid=1695565616&amp;rdc=1&amp;sr=8-3", "https://www.amazon.com/Hydrator-Oil-Free-Moisturizer-Hyaluronic-Porcelain/dp/B08RRFNLDJ/ref=sr_1_3?keywords=Hyaluronic+Tinted+Hydra+Powder&amp;qid=1695565616&amp;rdc=1&amp;sr=8-3")</f>
        <v/>
      </c>
      <c r="F574" t="inlineStr">
        <is>
          <t>B08RRFNLDJ</t>
        </is>
      </c>
      <c r="G574">
        <f>_xlfn.IMAGE("https://camerareadycosmetics.com/cdn/shop/products/N1-1_By_Terry_Hyaluronic_Tinted_Hydra_Powder_50x.jpg?v=1568838337")</f>
        <v/>
      </c>
      <c r="H574">
        <f>_xlfn.IMAGE("https://m.media-amazon.com/images/I/71Ll72oEWoL._AC_UL320_.jpg")</f>
        <v/>
      </c>
      <c r="K574" t="inlineStr">
        <is>
          <t>54.0</t>
        </is>
      </c>
      <c r="L574" t="n">
        <v>4.89</v>
      </c>
      <c r="M574" s="1" t="inlineStr">
        <is>
          <t>-90.94%</t>
        </is>
      </c>
      <c r="N574" t="n">
        <v>4.3</v>
      </c>
      <c r="O574" t="n">
        <v>16654</v>
      </c>
      <c r="Q574" t="inlineStr">
        <is>
          <t>InStock</t>
        </is>
      </c>
      <c r="R574" t="inlineStr">
        <is>
          <t>undefined</t>
        </is>
      </c>
      <c r="S574" t="inlineStr">
        <is>
          <t>4094486806639</t>
        </is>
      </c>
    </row>
    <row r="575" ht="75" customHeight="1">
      <c r="A575" s="2">
        <f>HYPERLINK("https://camerareadycosmetics.com/products/by-terry-hyaluronic-tinted-hydra-powder", "https://camerareadycosmetics.com/products/by-terry-hyaluronic-tinted-hydra-powder")</f>
        <v/>
      </c>
      <c r="B575" s="2">
        <f>HYPERLINK("https://camerareadycosmetics.com/products/by-terry-hyaluronic-tinted-hydra-powder", "https://camerareadycosmetics.com/products/by-terry-hyaluronic-tinted-hydra-powder")</f>
        <v/>
      </c>
      <c r="C575" t="inlineStr">
        <is>
          <t>Hyaluronic Tinted Hydra Powder</t>
        </is>
      </c>
      <c r="D575" t="inlineStr">
        <is>
          <t>Wet n Wild Bare Focus Tinted Hydrator Matte Finish, Porecelain, Oil-Free, Moisturizing Makeup | Hyaluronic Acid | Sheer To Medium Coverage</t>
        </is>
      </c>
      <c r="E575" s="2">
        <f>HYPERLINK("https://www.amazon.com/Hydrator-Oil-Free-Moisturizer-Hyaluronic-Porcelain/dp/B08RRFNLDJ/ref=sr_1_3?keywords=Hyaluronic+Tinted+Hydra+Powder&amp;qid=1695565616&amp;rdc=1&amp;sr=8-3", "https://www.amazon.com/Hydrator-Oil-Free-Moisturizer-Hyaluronic-Porcelain/dp/B08RRFNLDJ/ref=sr_1_3?keywords=Hyaluronic+Tinted+Hydra+Powder&amp;qid=1695565616&amp;rdc=1&amp;sr=8-3")</f>
        <v/>
      </c>
      <c r="F575" t="inlineStr">
        <is>
          <t>B08RRFNLDJ</t>
        </is>
      </c>
      <c r="G575">
        <f>_xlfn.IMAGE("https://camerareadycosmetics.com/cdn/shop/products/N1-1_By_Terry_Hyaluronic_Tinted_Hydra_Powder_50x.jpg?v=1568838337")</f>
        <v/>
      </c>
      <c r="H575">
        <f>_xlfn.IMAGE("https://m.media-amazon.com/images/I/71Ll72oEWoL._AC_UL320_.jpg")</f>
        <v/>
      </c>
      <c r="K575" t="inlineStr">
        <is>
          <t>54.0</t>
        </is>
      </c>
      <c r="L575" t="n">
        <v>4.89</v>
      </c>
      <c r="M575" s="1" t="inlineStr">
        <is>
          <t>-90.94%</t>
        </is>
      </c>
      <c r="N575" t="n">
        <v>4.3</v>
      </c>
      <c r="O575" t="n">
        <v>16654</v>
      </c>
      <c r="Q575" t="inlineStr">
        <is>
          <t>InStock</t>
        </is>
      </c>
      <c r="R575" t="inlineStr">
        <is>
          <t>undefined</t>
        </is>
      </c>
      <c r="S575" t="inlineStr">
        <is>
          <t>4094486806639</t>
        </is>
      </c>
    </row>
    <row r="576" ht="75" customHeight="1">
      <c r="A576" s="2">
        <f>HYPERLINK("https://camerareadycosmetics.com/products/cat-complexion-atelier-magic-primer-all-in-one", "https://camerareadycosmetics.com/products/cat-complexion-atelier-magic-primer-all-in-one")</f>
        <v/>
      </c>
      <c r="B576" s="2">
        <f>HYPERLINK("https://camerareadycosmetics.com/products/cat-complexion-atelier-magic-primer-all-in-one", "https://camerareadycosmetics.com/products/cat-complexion-atelier-magic-primer-all-in-one")</f>
        <v/>
      </c>
      <c r="C576" t="inlineStr">
        <is>
          <t>Magic Primer All In One</t>
        </is>
      </c>
      <c r="D576" t="inlineStr">
        <is>
          <t>Revlon Face Primer, PhotoReady Prime Plus Face Makeup for All Skin Types, Blurs &amp; Fills in Fine Lines, Infused with Vitamin C and Lactic Acid, Brightening &amp; Skin Tone Evening, 1 Oz</t>
        </is>
      </c>
      <c r="E576" s="2">
        <f>HYPERLINK("https://www.amazon.com/Brightening-Skin-Tone-Evening-Skincare-Revitalizing/dp/B07YPKMC5W/ref=sr_1_10?keywords=Magic+Primer+All+In+One&amp;qid=1695565460&amp;sr=8-10", "https://www.amazon.com/Brightening-Skin-Tone-Evening-Skincare-Revitalizing/dp/B07YPKMC5W/ref=sr_1_10?keywords=Magic+Primer+All+In+One&amp;qid=1695565460&amp;sr=8-10")</f>
        <v/>
      </c>
      <c r="F576" t="inlineStr">
        <is>
          <t>B07YPKMC5W</t>
        </is>
      </c>
      <c r="G576">
        <f>_xlfn.IMAGE("https://camerareadycosmetics.com/cdn/shop/products/makeup-atelier-magic-primer_50x.jpg?v=1622259342")</f>
        <v/>
      </c>
      <c r="H576">
        <f>_xlfn.IMAGE("https://m.media-amazon.com/images/I/71e6xFMTXPL._AC_UL320_.jpg")</f>
        <v/>
      </c>
      <c r="K576" t="inlineStr">
        <is>
          <t>24.0</t>
        </is>
      </c>
      <c r="L576" t="n">
        <v>12.23</v>
      </c>
      <c r="M576" s="1" t="inlineStr">
        <is>
          <t>-49.04%</t>
        </is>
      </c>
      <c r="N576" t="n">
        <v>4.3</v>
      </c>
      <c r="O576" t="n">
        <v>1288</v>
      </c>
      <c r="Q576" t="inlineStr">
        <is>
          <t>OutOfStock</t>
        </is>
      </c>
      <c r="R576" t="inlineStr">
        <is>
          <t>undefined</t>
        </is>
      </c>
      <c r="S576" t="inlineStr">
        <is>
          <t>2016086458479</t>
        </is>
      </c>
    </row>
    <row r="577" ht="75" customHeight="1">
      <c r="A577" s="2">
        <f>HYPERLINK("https://camerareadycosmetics.com/products/cat-complexion-atelier-magic-primer-all-in-one", "https://camerareadycosmetics.com/products/cat-complexion-atelier-magic-primer-all-in-one")</f>
        <v/>
      </c>
      <c r="B577" s="2">
        <f>HYPERLINK("https://camerareadycosmetics.com/products/cat-complexion-atelier-magic-primer-all-in-one", "https://camerareadycosmetics.com/products/cat-complexion-atelier-magic-primer-all-in-one")</f>
        <v/>
      </c>
      <c r="C577" t="inlineStr">
        <is>
          <t>Magic Primer All In One</t>
        </is>
      </c>
      <c r="D577" t="inlineStr">
        <is>
          <t>Revlon Face Primer, PhotoReady Prime Plus Face Makeup for All Skin Types, Blurs &amp; Fills in Fine Lines, Infused with Vitamin C and Lactic Acid, Brightening &amp; Skin Tone Evening, 1 Oz</t>
        </is>
      </c>
      <c r="E577" s="2">
        <f>HYPERLINK("https://www.amazon.com/Brightening-Skin-Tone-Evening-Skincare-Revitalizing/dp/B07YPKMC5W/ref=sr_1_10?keywords=Magic+Primer+All+In+One&amp;qid=1695565460&amp;sr=8-10", "https://www.amazon.com/Brightening-Skin-Tone-Evening-Skincare-Revitalizing/dp/B07YPKMC5W/ref=sr_1_10?keywords=Magic+Primer+All+In+One&amp;qid=1695565460&amp;sr=8-10")</f>
        <v/>
      </c>
      <c r="F577" t="inlineStr">
        <is>
          <t>B07YPKMC5W</t>
        </is>
      </c>
      <c r="G577">
        <f>_xlfn.IMAGE("https://camerareadycosmetics.com/cdn/shop/products/makeup-atelier-magic-primer_50x.jpg?v=1622259342")</f>
        <v/>
      </c>
      <c r="H577">
        <f>_xlfn.IMAGE("https://m.media-amazon.com/images/I/71e6xFMTXPL._AC_UL320_.jpg")</f>
        <v/>
      </c>
      <c r="K577" t="inlineStr">
        <is>
          <t>24.0</t>
        </is>
      </c>
      <c r="L577" t="n">
        <v>12.23</v>
      </c>
      <c r="M577" s="1" t="inlineStr">
        <is>
          <t>-49.04%</t>
        </is>
      </c>
      <c r="N577" t="n">
        <v>4.3</v>
      </c>
      <c r="O577" t="n">
        <v>1288</v>
      </c>
      <c r="Q577" t="inlineStr">
        <is>
          <t>OutOfStock</t>
        </is>
      </c>
      <c r="R577" t="inlineStr">
        <is>
          <t>undefined</t>
        </is>
      </c>
      <c r="S577" t="inlineStr">
        <is>
          <t>2016086458479</t>
        </is>
      </c>
    </row>
    <row r="578" ht="75" customHeight="1">
      <c r="A578" s="2">
        <f>HYPERLINK("https://camerareadycosmetics.com/products/celebre-pro-hd-pressed-powder-contour-highlight-palette-12-shades", "https://camerareadycosmetics.com/products/celebre-pro-hd-pressed-powder-contour-highlight-palette-12-shades")</f>
        <v/>
      </c>
      <c r="B578" s="2">
        <f>HYPERLINK("https://camerareadycosmetics.com/products/celebre-pro-hd-pressed-powder-contour-highlight-palette-12-shades", "https://camerareadycosmetics.com/products/celebre-pro-hd-pressed-powder-contour-highlight-palette-12-shades")</f>
        <v/>
      </c>
      <c r="C578" t="inlineStr">
        <is>
          <t>Celebre Pro-HD Pressed Palette Highlight &amp; Contour</t>
        </is>
      </c>
      <c r="D578" t="inlineStr">
        <is>
          <t>Mehron Makeup Foundation - Celebre Pro-HD Pressed Powder, Contour &amp; Highlight Palette - 12 Shades</t>
        </is>
      </c>
      <c r="E578" s="2">
        <f>HYPERLINK("https://www.amazon.com/Mehron-Foundation-Celebre-Pressed-Highlight/dp/B01KYA62FW/ref=sr_1_1?keywords=Celebre+Pro-HD+Pressed+Palette+Highlight+%26+Contour&amp;qid=1695565559&amp;sr=8-1", "https://www.amazon.com/Mehron-Foundation-Celebre-Pressed-Highlight/dp/B01KYA62FW/ref=sr_1_1?keywords=Celebre+Pro-HD+Pressed+Palette+Highlight+%26+Contour&amp;qid=1695565559&amp;sr=8-1")</f>
        <v/>
      </c>
      <c r="F578" t="inlineStr">
        <is>
          <t>B01KYA62FW</t>
        </is>
      </c>
      <c r="G578">
        <f>_xlfn.IMAGE("https://camerareadycosmetics.com/cdn/shop/products/Celebre_Pro-HD_Pressed_Powder_-_Contour_Highlight_Palette_-_12_Shades__78258.1465241784.600.600_50x.jpeg?v=1689660148")</f>
        <v/>
      </c>
      <c r="H578">
        <f>_xlfn.IMAGE("https://m.media-amazon.com/images/I/61DE0U+dMDL._AC_UL320_.jpg")</f>
        <v/>
      </c>
      <c r="K578" t="inlineStr">
        <is>
          <t>59.95</t>
        </is>
      </c>
      <c r="L578" t="n">
        <v>58.95</v>
      </c>
      <c r="M578" s="1" t="inlineStr">
        <is>
          <t>-1.67%</t>
        </is>
      </c>
      <c r="N578" t="n">
        <v>4.2</v>
      </c>
      <c r="O578" t="n">
        <v>29</v>
      </c>
      <c r="Q578" t="inlineStr">
        <is>
          <t>InStock</t>
        </is>
      </c>
      <c r="R578" t="inlineStr">
        <is>
          <t>undefined</t>
        </is>
      </c>
      <c r="S578" t="inlineStr">
        <is>
          <t>7051227271</t>
        </is>
      </c>
    </row>
    <row r="579" ht="75" customHeight="1">
      <c r="A579" s="2">
        <f>HYPERLINK("https://camerareadycosmetics.com/products/cinema-secrets-super-sealer-mattifying-setting-spray", "https://camerareadycosmetics.com/products/cinema-secrets-super-sealer-mattifying-setting-spray")</f>
        <v/>
      </c>
      <c r="B579" s="2">
        <f>HYPERLINK("https://camerareadycosmetics.com/products/cinema-secrets-super-sealer-mattifying-setting-spray", "https://camerareadycosmetics.com/products/cinema-secrets-super-sealer-mattifying-setting-spray")</f>
        <v/>
      </c>
      <c r="C579" t="inlineStr">
        <is>
          <t>Super Sealer Mattifying Setting Spray</t>
        </is>
      </c>
      <c r="D579" t="inlineStr">
        <is>
          <t>Cinema Secrets Super Sealer Mattifying Setting Spray, 3.4 Fl Oz</t>
        </is>
      </c>
      <c r="E579" s="2">
        <f>HYPERLINK("https://www.amazon.com/Cinema-Secrets-Sealer-Mattifying-Setting/dp/B01BT3R80G/ref=sr_1_1?keywords=Super+Sealer+Mattifying+Setting+Spray&amp;qid=1695565474&amp;sr=8-1", "https://www.amazon.com/Cinema-Secrets-Sealer-Mattifying-Setting/dp/B01BT3R80G/ref=sr_1_1?keywords=Super+Sealer+Mattifying+Setting+Spray&amp;qid=1695565474&amp;sr=8-1")</f>
        <v/>
      </c>
      <c r="F579" t="inlineStr">
        <is>
          <t>B01BT3R80G</t>
        </is>
      </c>
      <c r="G579">
        <f>_xlfn.IMAGE("https://camerareadycosmetics.com/cdn/shop/products/SuperSealer__22595.1456769193.600.600_50x.jpeg?v=1689657635")</f>
        <v/>
      </c>
      <c r="H579">
        <f>_xlfn.IMAGE("https://m.media-amazon.com/images/I/61PGzH2MK7L._AC_UL320_.jpg")</f>
        <v/>
      </c>
      <c r="K579" t="inlineStr">
        <is>
          <t>24.0</t>
        </is>
      </c>
      <c r="L579" t="n">
        <v>24</v>
      </c>
      <c r="M579" s="1" t="inlineStr">
        <is>
          <t>0.00%</t>
        </is>
      </c>
      <c r="N579" t="n">
        <v>4.3</v>
      </c>
      <c r="O579" t="n">
        <v>110</v>
      </c>
      <c r="Q579" t="inlineStr">
        <is>
          <t>InStock</t>
        </is>
      </c>
      <c r="R579" t="inlineStr">
        <is>
          <t>undefined</t>
        </is>
      </c>
      <c r="S579" t="inlineStr">
        <is>
          <t>7050004103</t>
        </is>
      </c>
    </row>
    <row r="580" ht="75" customHeight="1">
      <c r="A580" s="2">
        <f>HYPERLINK("https://camerareadycosmetics.com/products/cinema-secrets-ultimate-corrector-5-in-1-pro-palette", "https://camerareadycosmetics.com/products/cinema-secrets-ultimate-corrector-5-in-1-pro-palette")</f>
        <v/>
      </c>
      <c r="B580" s="2">
        <f>HYPERLINK("https://camerareadycosmetics.com/products/cinema-secrets-ultimate-corrector-5-in-1-pro-palette", "https://camerareadycosmetics.com/products/cinema-secrets-ultimate-corrector-5-in-1-pro-palette")</f>
        <v/>
      </c>
      <c r="C580" t="inlineStr">
        <is>
          <t>Ultimate Corrector 5-IN-1 PRO Palette</t>
        </is>
      </c>
      <c r="D580" t="inlineStr">
        <is>
          <t>CINEMA SECRETS Pro Cosmetics Ultimate Corrector 5-In-1 Pro Palette</t>
        </is>
      </c>
      <c r="E580" s="2">
        <f>HYPERLINK("https://www.amazon.com/Ultimate-Corrector-Palette-MEDIUM-CORRECTORS/dp/B003EH5MLS/ref=sr_1_1?keywords=Ultimate+Corrector+5-IN-1+PRO+Palette&amp;qid=1695565456&amp;sr=8-1", "https://www.amazon.com/Ultimate-Corrector-Palette-MEDIUM-CORRECTORS/dp/B003EH5MLS/ref=sr_1_1?keywords=Ultimate+Corrector+5-IN-1+PRO+Palette&amp;qid=1695565456&amp;sr=8-1")</f>
        <v/>
      </c>
      <c r="F580" t="inlineStr">
        <is>
          <t>B003EH5MLS</t>
        </is>
      </c>
      <c r="G580">
        <f>_xlfn.IMAGE("https://camerareadycosmetics.com/cdn/shop/products/CS_Main__34996.1442433421.600.600_50x.jpeg?v=1689655388")</f>
        <v/>
      </c>
      <c r="H580">
        <f>_xlfn.IMAGE("https://m.media-amazon.com/images/I/51s3vWb9DzL._AC_UL320_.jpg")</f>
        <v/>
      </c>
      <c r="K580" t="inlineStr">
        <is>
          <t>36.0</t>
        </is>
      </c>
      <c r="L580" t="n">
        <v>36</v>
      </c>
      <c r="M580" s="1" t="inlineStr">
        <is>
          <t>0.00%</t>
        </is>
      </c>
      <c r="N580" t="n">
        <v>3.9</v>
      </c>
      <c r="O580" t="n">
        <v>163</v>
      </c>
      <c r="Q580" t="inlineStr">
        <is>
          <t>InStock</t>
        </is>
      </c>
      <c r="R580" t="inlineStr">
        <is>
          <t>undefined</t>
        </is>
      </c>
      <c r="S580" t="inlineStr">
        <is>
          <t>7049022087</t>
        </is>
      </c>
    </row>
    <row r="581" ht="75" customHeight="1">
      <c r="A581" s="2">
        <f>HYPERLINK("https://camerareadycosmetics.com/products/cinema-secrets-ultimate-corrector-5-in-1-pro-palette", "https://camerareadycosmetics.com/products/cinema-secrets-ultimate-corrector-5-in-1-pro-palette")</f>
        <v/>
      </c>
      <c r="B581" s="2">
        <f>HYPERLINK("https://camerareadycosmetics.com/products/cinema-secrets-ultimate-corrector-5-in-1-pro-palette", "https://camerareadycosmetics.com/products/cinema-secrets-ultimate-corrector-5-in-1-pro-palette")</f>
        <v/>
      </c>
      <c r="C581" t="inlineStr">
        <is>
          <t>Ultimate Corrector 5-IN-1 PRO Palette</t>
        </is>
      </c>
      <c r="D581" t="inlineStr">
        <is>
          <t>CINEMA SECRETS Pro Cosmetics Ultimate Foundation 5-In-1 Pro Palette</t>
        </is>
      </c>
      <c r="E581" s="2">
        <f>HYPERLINK("https://www.amazon.com/Ultimate-Foundation-Palette-BEIGE-PINK-UNDERTONES/dp/B015JUD1R4/ref=sr_1_2?keywords=Ultimate+Corrector+5-IN-1+PRO+Palette&amp;qid=1695565456&amp;sr=8-2", "https://www.amazon.com/Ultimate-Foundation-Palette-BEIGE-PINK-UNDERTONES/dp/B015JUD1R4/ref=sr_1_2?keywords=Ultimate+Corrector+5-IN-1+PRO+Palette&amp;qid=1695565456&amp;sr=8-2")</f>
        <v/>
      </c>
      <c r="F581" t="inlineStr">
        <is>
          <t>B015JUD1R4</t>
        </is>
      </c>
      <c r="G581">
        <f>_xlfn.IMAGE("https://camerareadycosmetics.com/cdn/shop/products/CS_Main__34996.1442433421.600.600_50x.jpeg?v=1689655388")</f>
        <v/>
      </c>
      <c r="H581">
        <f>_xlfn.IMAGE("https://m.media-amazon.com/images/I/81vt-LRSWjL._AC_UL320_.jpg")</f>
        <v/>
      </c>
      <c r="K581" t="inlineStr">
        <is>
          <t>36.0</t>
        </is>
      </c>
      <c r="L581" t="n">
        <v>36</v>
      </c>
      <c r="M581" s="1" t="inlineStr">
        <is>
          <t>0.00%</t>
        </is>
      </c>
      <c r="N581" t="n">
        <v>4.1</v>
      </c>
      <c r="O581" t="n">
        <v>165</v>
      </c>
      <c r="Q581" t="inlineStr">
        <is>
          <t>InStock</t>
        </is>
      </c>
      <c r="R581" t="inlineStr">
        <is>
          <t>undefined</t>
        </is>
      </c>
      <c r="S581" t="inlineStr">
        <is>
          <t>7049022087</t>
        </is>
      </c>
    </row>
    <row r="582" ht="75" customHeight="1">
      <c r="A582" s="2">
        <f>HYPERLINK("https://camerareadycosmetics.com/products/cinema-secrets-ultimate-corrector-5-in-1-pro-palette", "https://camerareadycosmetics.com/products/cinema-secrets-ultimate-corrector-5-in-1-pro-palette")</f>
        <v/>
      </c>
      <c r="B582" s="2">
        <f>HYPERLINK("https://camerareadycosmetics.com/products/cinema-secrets-ultimate-corrector-5-in-1-pro-palette", "https://camerareadycosmetics.com/products/cinema-secrets-ultimate-corrector-5-in-1-pro-palette")</f>
        <v/>
      </c>
      <c r="C582" t="inlineStr">
        <is>
          <t>Ultimate Corrector 5-IN-1 PRO Palette</t>
        </is>
      </c>
      <c r="D582" t="inlineStr">
        <is>
          <t>FantasyDay Pro 132 Colors All In One Ultimate Color Makeup Kit Carry All Trunk Cosmetic Contouring Palette (Concealer, Face Powder, Lipgloss, Blusher, Contour Shade, Eye Liner and Eyebrow powder) #1</t>
        </is>
      </c>
      <c r="E582" s="2">
        <f>HYPERLINK("https://www.amazon.com/FantasyDay-Ultimate-Cosmetic-Contouring-Concealer/dp/B077BVDMQZ/ref=sr_1_5?keywords=Ultimate+Corrector+5-IN-1+PRO+Palette&amp;qid=1695565456&amp;sr=8-5", "https://www.amazon.com/FantasyDay-Ultimate-Cosmetic-Contouring-Concealer/dp/B077BVDMQZ/ref=sr_1_5?keywords=Ultimate+Corrector+5-IN-1+PRO+Palette&amp;qid=1695565456&amp;sr=8-5")</f>
        <v/>
      </c>
      <c r="F582" t="inlineStr">
        <is>
          <t>B077BVDMQZ</t>
        </is>
      </c>
      <c r="G582">
        <f>_xlfn.IMAGE("https://camerareadycosmetics.com/cdn/shop/products/CS_Main__34996.1442433421.600.600_50x.jpeg?v=1689655388")</f>
        <v/>
      </c>
      <c r="H582">
        <f>_xlfn.IMAGE("https://m.media-amazon.com/images/I/71AC8JLM01L._AC_UL320_.jpg")</f>
        <v/>
      </c>
      <c r="K582" t="inlineStr">
        <is>
          <t>36.0</t>
        </is>
      </c>
      <c r="L582" t="n">
        <v>20.99</v>
      </c>
      <c r="M582" s="1" t="inlineStr">
        <is>
          <t>-41.69%</t>
        </is>
      </c>
      <c r="N582" t="n">
        <v>3.8</v>
      </c>
      <c r="O582" t="n">
        <v>53</v>
      </c>
      <c r="Q582" t="inlineStr">
        <is>
          <t>InStock</t>
        </is>
      </c>
      <c r="R582" t="inlineStr">
        <is>
          <t>undefined</t>
        </is>
      </c>
      <c r="S582" t="inlineStr">
        <is>
          <t>7049022087</t>
        </is>
      </c>
    </row>
    <row r="583" ht="75" customHeight="1">
      <c r="A583" s="2">
        <f>HYPERLINK("https://camerareadycosmetics.com/products/cinema-secrets-ultimate-corrector-5-in-1-pro-palette", "https://camerareadycosmetics.com/products/cinema-secrets-ultimate-corrector-5-in-1-pro-palette")</f>
        <v/>
      </c>
      <c r="B583" s="2">
        <f>HYPERLINK("https://camerareadycosmetics.com/products/cinema-secrets-ultimate-corrector-5-in-1-pro-palette", "https://camerareadycosmetics.com/products/cinema-secrets-ultimate-corrector-5-in-1-pro-palette")</f>
        <v/>
      </c>
      <c r="C583" t="inlineStr">
        <is>
          <t>Ultimate Corrector 5-IN-1 PRO Palette</t>
        </is>
      </c>
      <c r="D583" t="inlineStr">
        <is>
          <t>5 Colors Correcting Concealer Palette with Makeup Brush,5 In 1 Concealer Makeup Palette,Full Coverage and Long Lasting Neutralizing Cream Color Corrector,Face Camouflage Contour Palette,Conceals Blemishes,Redness and Dark Circles.#1</t>
        </is>
      </c>
      <c r="E583" s="2">
        <f>HYPERLINK("https://www.amazon.com/FALOCUTUS-Correcting-Concealer-Neutralizing-Camouflage/dp/B0B7VGXRWG/ref=sr_1_4?keywords=Ultimate+Corrector+5-IN-1+PRO+Palette&amp;qid=1695565456&amp;sr=8-4", "https://www.amazon.com/FALOCUTUS-Correcting-Concealer-Neutralizing-Camouflage/dp/B0B7VGXRWG/ref=sr_1_4?keywords=Ultimate+Corrector+5-IN-1+PRO+Palette&amp;qid=1695565456&amp;sr=8-4")</f>
        <v/>
      </c>
      <c r="F583" t="inlineStr">
        <is>
          <t>B0B7VGXRWG</t>
        </is>
      </c>
      <c r="G583">
        <f>_xlfn.IMAGE("https://camerareadycosmetics.com/cdn/shop/products/CS_Main__34996.1442433421.600.600_50x.jpeg?v=1689655388")</f>
        <v/>
      </c>
      <c r="H583">
        <f>_xlfn.IMAGE("https://m.media-amazon.com/images/I/61mt-Hn8pSL._AC_UL320_.jpg")</f>
        <v/>
      </c>
      <c r="K583" t="inlineStr">
        <is>
          <t>36.0</t>
        </is>
      </c>
      <c r="L583" t="n">
        <v>9.949999999999999</v>
      </c>
      <c r="M583" s="1" t="inlineStr">
        <is>
          <t>-72.36%</t>
        </is>
      </c>
      <c r="N583" t="n">
        <v>4.4</v>
      </c>
      <c r="O583" t="n">
        <v>49</v>
      </c>
      <c r="Q583" t="inlineStr">
        <is>
          <t>InStock</t>
        </is>
      </c>
      <c r="R583" t="inlineStr">
        <is>
          <t>undefined</t>
        </is>
      </c>
      <c r="S583" t="inlineStr">
        <is>
          <t>7049022087</t>
        </is>
      </c>
    </row>
    <row r="584" ht="75" customHeight="1">
      <c r="A584" s="2">
        <f>HYPERLINK("https://camerareadycosmetics.com/products/cinema-secrets-ultimate-corrector-5-in-1-pro-palette", "https://camerareadycosmetics.com/products/cinema-secrets-ultimate-corrector-5-in-1-pro-palette")</f>
        <v/>
      </c>
      <c r="B584" s="2">
        <f>HYPERLINK("https://camerareadycosmetics.com/products/cinema-secrets-ultimate-corrector-5-in-1-pro-palette", "https://camerareadycosmetics.com/products/cinema-secrets-ultimate-corrector-5-in-1-pro-palette")</f>
        <v/>
      </c>
      <c r="C584" t="inlineStr">
        <is>
          <t>Ultimate Corrector 5-IN-1 PRO Palette</t>
        </is>
      </c>
      <c r="D584" t="inlineStr">
        <is>
          <t>5 Colors Correcting Concealer Palette with Makeup Brush,5 In 1 Concealer Makeup Palette,Full Coverage and Long Lasting Neutralizing Cream Color Corrector,Face Camouflage Contour Palette,Conceals Blemishes,Redness and Dark Circles.#1</t>
        </is>
      </c>
      <c r="E584" s="2">
        <f>HYPERLINK("https://www.amazon.com/FALOCUTUS-Correcting-Concealer-Neutralizing-Camouflage/dp/B0B7VGXRWG/ref=sr_1_4?keywords=Ultimate+Corrector+5-IN-1+PRO+Palette&amp;qid=1695565456&amp;sr=8-4", "https://www.amazon.com/FALOCUTUS-Correcting-Concealer-Neutralizing-Camouflage/dp/B0B7VGXRWG/ref=sr_1_4?keywords=Ultimate+Corrector+5-IN-1+PRO+Palette&amp;qid=1695565456&amp;sr=8-4")</f>
        <v/>
      </c>
      <c r="F584" t="inlineStr">
        <is>
          <t>B0B7VGXRWG</t>
        </is>
      </c>
      <c r="G584">
        <f>_xlfn.IMAGE("https://camerareadycosmetics.com/cdn/shop/products/CS_Main__34996.1442433421.600.600_50x.jpeg?v=1689655388")</f>
        <v/>
      </c>
      <c r="H584">
        <f>_xlfn.IMAGE("https://m.media-amazon.com/images/I/61mt-Hn8pSL._AC_UL320_.jpg")</f>
        <v/>
      </c>
      <c r="K584" t="inlineStr">
        <is>
          <t>36.0</t>
        </is>
      </c>
      <c r="L584" t="n">
        <v>9.949999999999999</v>
      </c>
      <c r="M584" s="1" t="inlineStr">
        <is>
          <t>-72.36%</t>
        </is>
      </c>
      <c r="N584" t="n">
        <v>4.4</v>
      </c>
      <c r="O584" t="n">
        <v>49</v>
      </c>
      <c r="Q584" t="inlineStr">
        <is>
          <t>InStock</t>
        </is>
      </c>
      <c r="R584" t="inlineStr">
        <is>
          <t>undefined</t>
        </is>
      </c>
      <c r="S584" t="inlineStr">
        <is>
          <t>7049022087</t>
        </is>
      </c>
    </row>
    <row r="585" ht="75" customHeight="1">
      <c r="A585" s="2">
        <f>HYPERLINK("https://camerareadycosmetics.com/products/cinema-secrets-ultimate-foundation-5-in-1-pro-palettes", "https://camerareadycosmetics.com/products/cinema-secrets-ultimate-foundation-5-in-1-pro-palettes")</f>
        <v/>
      </c>
      <c r="B585" s="2">
        <f>HYPERLINK("https://camerareadycosmetics.com/products/cinema-secrets-ultimate-foundation-5-in-1-pro-palettes", "https://camerareadycosmetics.com/products/cinema-secrets-ultimate-foundation-5-in-1-pro-palettes")</f>
        <v/>
      </c>
      <c r="C585" t="inlineStr">
        <is>
          <t>Ultimate Foundation 5-IN-1 PRO Palettes</t>
        </is>
      </c>
      <c r="D585" t="inlineStr">
        <is>
          <t>CINEMA SECRETS Pro Cosmetics Ultimate Corrector 5-In-1 Pro Palette</t>
        </is>
      </c>
      <c r="E585" s="2">
        <f>HYPERLINK("https://www.amazon.com/Cinema-Secrets-Ultimate-Corrector-Palette/dp/B003H7DR8A/ref=sr_1_2?keywords=Ultimate+Foundation+5-IN-1+PRO+Palettes&amp;qid=1695565427&amp;sr=8-2", "https://www.amazon.com/Cinema-Secrets-Ultimate-Corrector-Palette/dp/B003H7DR8A/ref=sr_1_2?keywords=Ultimate+Foundation+5-IN-1+PRO+Palettes&amp;qid=1695565427&amp;sr=8-2")</f>
        <v/>
      </c>
      <c r="F585" t="inlineStr">
        <is>
          <t>B003H7DR8A</t>
        </is>
      </c>
      <c r="G585">
        <f>_xlfn.IMAGE("https://camerareadycosmetics.com/cdn/shop/products/Foundation_Main__79904.1442434856.600_1_50x.jpg?v=1689655407")</f>
        <v/>
      </c>
      <c r="H585">
        <f>_xlfn.IMAGE("https://m.media-amazon.com/images/I/51Ii4YLuKyL._AC_UL320_.jpg")</f>
        <v/>
      </c>
      <c r="K585" t="inlineStr">
        <is>
          <t>36.0</t>
        </is>
      </c>
      <c r="L585" t="n">
        <v>37.8</v>
      </c>
      <c r="M585" s="1" t="inlineStr">
        <is>
          <t>5.00%</t>
        </is>
      </c>
      <c r="N585" t="n">
        <v>3.9</v>
      </c>
      <c r="O585" t="n">
        <v>163</v>
      </c>
      <c r="Q585" t="inlineStr">
        <is>
          <t>InStock</t>
        </is>
      </c>
      <c r="R585" t="inlineStr">
        <is>
          <t>undefined</t>
        </is>
      </c>
      <c r="S585" t="inlineStr">
        <is>
          <t>7049024327</t>
        </is>
      </c>
    </row>
    <row r="586" ht="75" customHeight="1">
      <c r="A586" s="2">
        <f>HYPERLINK("https://camerareadycosmetics.com/products/cinema-secrets-ultimate-foundation-5-in-1-pro-palettes", "https://camerareadycosmetics.com/products/cinema-secrets-ultimate-foundation-5-in-1-pro-palettes")</f>
        <v/>
      </c>
      <c r="B586" s="2">
        <f>HYPERLINK("https://camerareadycosmetics.com/products/cinema-secrets-ultimate-foundation-5-in-1-pro-palettes", "https://camerareadycosmetics.com/products/cinema-secrets-ultimate-foundation-5-in-1-pro-palettes")</f>
        <v/>
      </c>
      <c r="C586" t="inlineStr">
        <is>
          <t>Ultimate Foundation 5-IN-1 PRO Palettes</t>
        </is>
      </c>
      <c r="D586" t="inlineStr">
        <is>
          <t>CINEMA SECRETS Pro Cosmetics Ultimate Foundation 5-In-1 Pro Palette</t>
        </is>
      </c>
      <c r="E586" s="2">
        <f>HYPERLINK("https://www.amazon.com/Ultimate-Foundation-Palette-BEIGE-PINK-UNDERTONES/dp/B015JUD1NS/ref=sr_1_1?keywords=Ultimate+Foundation+5-IN-1+PRO+Palettes&amp;qid=1695565427&amp;sr=8-1", "https://www.amazon.com/Ultimate-Foundation-Palette-BEIGE-PINK-UNDERTONES/dp/B015JUD1NS/ref=sr_1_1?keywords=Ultimate+Foundation+5-IN-1+PRO+Palettes&amp;qid=1695565427&amp;sr=8-1")</f>
        <v/>
      </c>
      <c r="F586" t="inlineStr">
        <is>
          <t>B015JUD1NS</t>
        </is>
      </c>
      <c r="G586">
        <f>_xlfn.IMAGE("https://camerareadycosmetics.com/cdn/shop/products/Foundation_Main__79904.1442434856.600_1_50x.jpg?v=1689655407")</f>
        <v/>
      </c>
      <c r="H586">
        <f>_xlfn.IMAGE("https://m.media-amazon.com/images/I/51vDK1IGIeL._AC_UL320_.jpg")</f>
        <v/>
      </c>
      <c r="K586" t="inlineStr">
        <is>
          <t>36.0</t>
        </is>
      </c>
      <c r="L586" t="n">
        <v>36</v>
      </c>
      <c r="M586" s="1" t="inlineStr">
        <is>
          <t>0.00%</t>
        </is>
      </c>
      <c r="N586" t="n">
        <v>4.1</v>
      </c>
      <c r="O586" t="n">
        <v>165</v>
      </c>
      <c r="Q586" t="inlineStr">
        <is>
          <t>InStock</t>
        </is>
      </c>
      <c r="R586" t="inlineStr">
        <is>
          <t>undefined</t>
        </is>
      </c>
      <c r="S586" t="inlineStr">
        <is>
          <t>7049024327</t>
        </is>
      </c>
    </row>
    <row r="587" ht="75" customHeight="1">
      <c r="A587" s="2">
        <f>HYPERLINK("https://camerareadycosmetics.com/products/cinema-secrets-ultimate-foundation-primer", "https://camerareadycosmetics.com/products/cinema-secrets-ultimate-foundation-primer")</f>
        <v/>
      </c>
      <c r="B587" s="2">
        <f>HYPERLINK("https://camerareadycosmetics.com/products/cinema-secrets-ultimate-foundation-primer", "https://camerareadycosmetics.com/products/cinema-secrets-ultimate-foundation-primer")</f>
        <v/>
      </c>
      <c r="C587" t="inlineStr">
        <is>
          <t>Ultimate Foundation Primer</t>
        </is>
      </c>
      <c r="D587" t="inlineStr">
        <is>
          <t>Ultimate Beauty Package - Makeup Kit with Matte Primer, Color Changing Foundation, &amp; Lash Enhancer Serum (Light)</t>
        </is>
      </c>
      <c r="E587" s="2">
        <f>HYPERLINK("https://www.amazon.com/Ultimate-Beauty-Foundation-Enhancer-Instantly/dp/B08MBDFYMK/ref=sr_1_4?keywords=Ultimate+Foundation+Primer&amp;qid=1695565483&amp;sr=8-4", "https://www.amazon.com/Ultimate-Beauty-Foundation-Enhancer-Instantly/dp/B08MBDFYMK/ref=sr_1_4?keywords=Ultimate+Foundation+Primer&amp;qid=1695565483&amp;sr=8-4")</f>
        <v/>
      </c>
      <c r="F587" t="inlineStr">
        <is>
          <t>B08MBDFYMK</t>
        </is>
      </c>
      <c r="G587">
        <f>_xlfn.IMAGE("https://camerareadycosmetics.com/cdn/shop/products/cinema-secrets-ultimate-foundation-primer_50x.jpg?v=1689623391")</f>
        <v/>
      </c>
      <c r="H587">
        <f>_xlfn.IMAGE("https://m.media-amazon.com/images/I/61ZuxRX9dPL._AC_UL320_.jpg")</f>
        <v/>
      </c>
      <c r="K587" t="inlineStr">
        <is>
          <t>28.0</t>
        </is>
      </c>
      <c r="L587" t="n">
        <v>69.95</v>
      </c>
      <c r="M587" s="1" t="inlineStr">
        <is>
          <t>149.82%</t>
        </is>
      </c>
      <c r="N587" t="n">
        <v>4</v>
      </c>
      <c r="O587" t="n">
        <v>237</v>
      </c>
      <c r="Q587" t="inlineStr">
        <is>
          <t>InStock</t>
        </is>
      </c>
      <c r="R587" t="inlineStr">
        <is>
          <t>undefined</t>
        </is>
      </c>
      <c r="S587" t="inlineStr">
        <is>
          <t>7034125703</t>
        </is>
      </c>
    </row>
    <row r="588" ht="75" customHeight="1">
      <c r="A588" s="2">
        <f>HYPERLINK("https://camerareadycosmetics.com/products/cinema-secrets-ultimate-foundation-primer", "https://camerareadycosmetics.com/products/cinema-secrets-ultimate-foundation-primer")</f>
        <v/>
      </c>
      <c r="B588" s="2">
        <f>HYPERLINK("https://camerareadycosmetics.com/products/cinema-secrets-ultimate-foundation-primer", "https://camerareadycosmetics.com/products/cinema-secrets-ultimate-foundation-primer")</f>
        <v/>
      </c>
      <c r="C588" t="inlineStr">
        <is>
          <t>Ultimate Foundation Primer</t>
        </is>
      </c>
      <c r="D588" t="inlineStr">
        <is>
          <t>CINEMA SECRETS Pro Cosmetics Ultimate Foundation Primer, 1 Fl Oz</t>
        </is>
      </c>
      <c r="E588" s="2">
        <f>HYPERLINK("https://www.amazon.com/Cinema-Secrets-Ultimate-Foundation-Primer/dp/B003NUGWL0/ref=sr_1_1?keywords=Ultimate+Foundation+Primer&amp;qid=1695565483&amp;sr=8-1", "https://www.amazon.com/Cinema-Secrets-Ultimate-Foundation-Primer/dp/B003NUGWL0/ref=sr_1_1?keywords=Ultimate+Foundation+Primer&amp;qid=1695565483&amp;sr=8-1")</f>
        <v/>
      </c>
      <c r="F588" t="inlineStr">
        <is>
          <t>B003NUGWL0</t>
        </is>
      </c>
      <c r="G588">
        <f>_xlfn.IMAGE("https://camerareadycosmetics.com/cdn/shop/products/cinema-secrets-ultimate-foundation-primer_50x.jpg?v=1689623391")</f>
        <v/>
      </c>
      <c r="H588">
        <f>_xlfn.IMAGE("https://m.media-amazon.com/images/I/510EPfg-2PL._AC_UL320_.jpg")</f>
        <v/>
      </c>
      <c r="K588" t="inlineStr">
        <is>
          <t>28.0</t>
        </is>
      </c>
      <c r="L588" t="n">
        <v>28</v>
      </c>
      <c r="M588" s="1" t="inlineStr">
        <is>
          <t>0.00%</t>
        </is>
      </c>
      <c r="N588" t="n">
        <v>4.3</v>
      </c>
      <c r="O588" t="n">
        <v>103</v>
      </c>
      <c r="Q588" t="inlineStr">
        <is>
          <t>InStock</t>
        </is>
      </c>
      <c r="R588" t="inlineStr">
        <is>
          <t>undefined</t>
        </is>
      </c>
      <c r="S588" t="inlineStr">
        <is>
          <t>7034125703</t>
        </is>
      </c>
    </row>
    <row r="589" ht="75" customHeight="1">
      <c r="A589" s="2">
        <f>HYPERLINK("https://camerareadycosmetics.com/products/cinema-secrets-ultimate-foundation-primer", "https://camerareadycosmetics.com/products/cinema-secrets-ultimate-foundation-primer")</f>
        <v/>
      </c>
      <c r="B589" s="2">
        <f>HYPERLINK("https://camerareadycosmetics.com/products/cinema-secrets-ultimate-foundation-primer", "https://camerareadycosmetics.com/products/cinema-secrets-ultimate-foundation-primer")</f>
        <v/>
      </c>
      <c r="C589" t="inlineStr">
        <is>
          <t>Ultimate Foundation Primer</t>
        </is>
      </c>
      <c r="D589" t="inlineStr">
        <is>
          <t>M. Asam Magic Finish Perfect Me Primer - Make-up Primer for a flawless teint and ultimate glow, Foundation ideal for touch ups, 1.01 Fl Oz</t>
        </is>
      </c>
      <c r="E589" s="2">
        <f>HYPERLINK("https://www.amazon.com/M-Asam-Finish-Perfect-Primer/dp/B09JHKYQDR/ref=sr_1_2?keywords=Ultimate+Foundation+Primer&amp;qid=1695565483&amp;sr=8-2", "https://www.amazon.com/M-Asam-Finish-Perfect-Primer/dp/B09JHKYQDR/ref=sr_1_2?keywords=Ultimate+Foundation+Primer&amp;qid=1695565483&amp;sr=8-2")</f>
        <v/>
      </c>
      <c r="F589" t="inlineStr">
        <is>
          <t>B09JHKYQDR</t>
        </is>
      </c>
      <c r="G589">
        <f>_xlfn.IMAGE("https://camerareadycosmetics.com/cdn/shop/products/cinema-secrets-ultimate-foundation-primer_50x.jpg?v=1689623391")</f>
        <v/>
      </c>
      <c r="H589">
        <f>_xlfn.IMAGE("https://m.media-amazon.com/images/I/71WC3Ql0fZL._AC_UL320_.jpg")</f>
        <v/>
      </c>
      <c r="K589" t="inlineStr">
        <is>
          <t>28.0</t>
        </is>
      </c>
      <c r="L589" t="n">
        <v>26.99</v>
      </c>
      <c r="M589" s="1" t="inlineStr">
        <is>
          <t>-3.61%</t>
        </is>
      </c>
      <c r="N589" t="n">
        <v>4.1</v>
      </c>
      <c r="O589" t="n">
        <v>13790</v>
      </c>
      <c r="Q589" t="inlineStr">
        <is>
          <t>InStock</t>
        </is>
      </c>
      <c r="R589" t="inlineStr">
        <is>
          <t>undefined</t>
        </is>
      </c>
      <c r="S589" t="inlineStr">
        <is>
          <t>7034125703</t>
        </is>
      </c>
    </row>
    <row r="590" ht="75" customHeight="1">
      <c r="A590" s="2">
        <f>HYPERLINK("https://camerareadycosmetics.com/products/cinema-secrets-ultralucent-mineral-powder", "https://camerareadycosmetics.com/products/cinema-secrets-ultralucent-mineral-powder")</f>
        <v/>
      </c>
      <c r="B590" s="2">
        <f>HYPERLINK("https://camerareadycosmetics.com/products/cinema-secrets-ultralucent-mineral-powder", "https://camerareadycosmetics.com/products/cinema-secrets-ultralucent-mineral-powder")</f>
        <v/>
      </c>
      <c r="C590" t="inlineStr">
        <is>
          <t>Ultralucent Mineral Setting Powder</t>
        </is>
      </c>
      <c r="D590" t="inlineStr">
        <is>
          <t>Glo Skin Beauty Perfecting Powder | Translucent Mineral Setting Powder To Eliminate Shine and Maintain a Matte Finish</t>
        </is>
      </c>
      <c r="E590" s="2">
        <f>HYPERLINK("https://www.amazon.com/Glo-Skin-Beauty-Perfecting-Powder/dp/B000CR0GQO/ref=sr_1_10?keywords=Ultralucent+Mineral+Setting+Powder&amp;qid=1695565536&amp;sr=8-10", "https://www.amazon.com/Glo-Skin-Beauty-Perfecting-Powder/dp/B000CR0GQO/ref=sr_1_10?keywords=Ultralucent+Mineral+Setting+Powder&amp;qid=1695565536&amp;sr=8-10")</f>
        <v/>
      </c>
      <c r="F590" t="inlineStr">
        <is>
          <t>B000CR0GQO</t>
        </is>
      </c>
      <c r="G590">
        <f>_xlfn.IMAGE("https://camerareadycosmetics.com/cdn/shop/products/Beige-USP-Product-image_50x.jpg?v=1689623417")</f>
        <v/>
      </c>
      <c r="H590">
        <f>_xlfn.IMAGE("https://m.media-amazon.com/images/I/61gNUus6XsL._AC_UL320_.jpg")</f>
        <v/>
      </c>
      <c r="K590" t="inlineStr">
        <is>
          <t>22.0</t>
        </is>
      </c>
      <c r="L590" t="n">
        <v>39.86</v>
      </c>
      <c r="M590" s="1" t="inlineStr">
        <is>
          <t>81.18%</t>
        </is>
      </c>
      <c r="N590" t="n">
        <v>4.6</v>
      </c>
      <c r="O590" t="n">
        <v>176</v>
      </c>
      <c r="Q590" t="inlineStr">
        <is>
          <t>InStock</t>
        </is>
      </c>
      <c r="R590" t="inlineStr">
        <is>
          <t>undefined</t>
        </is>
      </c>
      <c r="S590" t="inlineStr">
        <is>
          <t>7034129479</t>
        </is>
      </c>
    </row>
    <row r="591" ht="75" customHeight="1">
      <c r="A591" s="2">
        <f>HYPERLINK("https://camerareadycosmetics.com/products/cinema-secrets-ultralucent-mineral-powder", "https://camerareadycosmetics.com/products/cinema-secrets-ultralucent-mineral-powder")</f>
        <v/>
      </c>
      <c r="B591" s="2">
        <f>HYPERLINK("https://camerareadycosmetics.com/products/cinema-secrets-ultralucent-mineral-powder", "https://camerareadycosmetics.com/products/cinema-secrets-ultralucent-mineral-powder")</f>
        <v/>
      </c>
      <c r="C591" t="inlineStr">
        <is>
          <t>Ultralucent Mineral Setting Powder</t>
        </is>
      </c>
      <c r="D591" t="inlineStr">
        <is>
          <t>Supergoop! (Re) setting 100% Mineral Powder, Medium - 0.15 oz - Makeup Setting Powder + Broad Spectrum SPF 35 PA+++ Sunscreen - With Ceramides, Olive Glycerides &amp; Coated Silica Spheres</t>
        </is>
      </c>
      <c r="E591" s="2">
        <f>HYPERLINK("https://www.amazon.com/Supergoop-setting-Mineral-Powder-Medium/dp/B08SJ9DG8G/ref=sr_1_8?keywords=Ultralucent+Mineral+Setting+Powder&amp;qid=1695565536&amp;sr=8-8", "https://www.amazon.com/Supergoop-setting-Mineral-Powder-Medium/dp/B08SJ9DG8G/ref=sr_1_8?keywords=Ultralucent+Mineral+Setting+Powder&amp;qid=1695565536&amp;sr=8-8")</f>
        <v/>
      </c>
      <c r="F591" t="inlineStr">
        <is>
          <t>B08SJ9DG8G</t>
        </is>
      </c>
      <c r="G591">
        <f>_xlfn.IMAGE("https://camerareadycosmetics.com/cdn/shop/products/Beige-USP-Product-image_50x.jpg?v=1689623417")</f>
        <v/>
      </c>
      <c r="H591">
        <f>_xlfn.IMAGE("https://m.media-amazon.com/images/I/61AyOeDKrOL._AC_UL320_.jpg")</f>
        <v/>
      </c>
      <c r="K591" t="inlineStr">
        <is>
          <t>22.0</t>
        </is>
      </c>
      <c r="L591" t="n">
        <v>35</v>
      </c>
      <c r="M591" s="1" t="inlineStr">
        <is>
          <t>59.09%</t>
        </is>
      </c>
      <c r="N591" t="n">
        <v>4.4</v>
      </c>
      <c r="O591" t="n">
        <v>384</v>
      </c>
      <c r="Q591" t="inlineStr">
        <is>
          <t>InStock</t>
        </is>
      </c>
      <c r="R591" t="inlineStr">
        <is>
          <t>undefined</t>
        </is>
      </c>
      <c r="S591" t="inlineStr">
        <is>
          <t>7034129479</t>
        </is>
      </c>
    </row>
    <row r="592" ht="75" customHeight="1">
      <c r="A592" s="2">
        <f>HYPERLINK("https://camerareadycosmetics.com/products/cinema-secrets-ultralucent-mineral-powder", "https://camerareadycosmetics.com/products/cinema-secrets-ultralucent-mineral-powder")</f>
        <v/>
      </c>
      <c r="B592" s="2">
        <f>HYPERLINK("https://camerareadycosmetics.com/products/cinema-secrets-ultralucent-mineral-powder", "https://camerareadycosmetics.com/products/cinema-secrets-ultralucent-mineral-powder")</f>
        <v/>
      </c>
      <c r="C592" t="inlineStr">
        <is>
          <t>Ultralucent Mineral Setting Powder</t>
        </is>
      </c>
      <c r="D592" t="inlineStr">
        <is>
          <t>Supergoop! (Re)setting 100% Mineral Powder, Translucent - 0.15 oz - Makeup Setting Powder + Broad Spectrum SPF 35 PA+++ Sunscreen - With Ceramides, Olive Glycerides &amp; Coated Silica Spheres</t>
        </is>
      </c>
      <c r="E592" s="2">
        <f>HYPERLINK("https://www.amazon.com/Supergoop-setting-Mineral-Powder-Translucent/dp/B08SHKG4JT/ref=sr_1_5?keywords=Ultralucent+Mineral+Setting+Powder&amp;qid=1695565536&amp;sr=8-5", "https://www.amazon.com/Supergoop-setting-Mineral-Powder-Translucent/dp/B08SHKG4JT/ref=sr_1_5?keywords=Ultralucent+Mineral+Setting+Powder&amp;qid=1695565536&amp;sr=8-5")</f>
        <v/>
      </c>
      <c r="F592" t="inlineStr">
        <is>
          <t>B08SHKG4JT</t>
        </is>
      </c>
      <c r="G592">
        <f>_xlfn.IMAGE("https://camerareadycosmetics.com/cdn/shop/products/Beige-USP-Product-image_50x.jpg?v=1689623417")</f>
        <v/>
      </c>
      <c r="H592">
        <f>_xlfn.IMAGE("https://m.media-amazon.com/images/I/61iCtcpa-ZL._AC_UL320_.jpg")</f>
        <v/>
      </c>
      <c r="K592" t="inlineStr">
        <is>
          <t>22.0</t>
        </is>
      </c>
      <c r="L592" t="n">
        <v>35</v>
      </c>
      <c r="M592" s="1" t="inlineStr">
        <is>
          <t>59.09%</t>
        </is>
      </c>
      <c r="N592" t="n">
        <v>4.4</v>
      </c>
      <c r="O592" t="n">
        <v>989</v>
      </c>
      <c r="Q592" t="inlineStr">
        <is>
          <t>InStock</t>
        </is>
      </c>
      <c r="R592" t="inlineStr">
        <is>
          <t>undefined</t>
        </is>
      </c>
      <c r="S592" t="inlineStr">
        <is>
          <t>7034129479</t>
        </is>
      </c>
    </row>
    <row r="593" ht="75" customHeight="1">
      <c r="A593" s="2">
        <f>HYPERLINK("https://camerareadycosmetics.com/products/cinema-secrets-ultralucent-mineral-powder", "https://camerareadycosmetics.com/products/cinema-secrets-ultralucent-mineral-powder")</f>
        <v/>
      </c>
      <c r="B593" s="2">
        <f>HYPERLINK("https://camerareadycosmetics.com/products/cinema-secrets-ultralucent-mineral-powder", "https://camerareadycosmetics.com/products/cinema-secrets-ultralucent-mineral-powder")</f>
        <v/>
      </c>
      <c r="C593" t="inlineStr">
        <is>
          <t>Ultralucent Mineral Setting Powder</t>
        </is>
      </c>
      <c r="D593" t="inlineStr">
        <is>
          <t>Supergoop! (Re) setting 100% Mineral Powder, Light - 0.15 oz - Makeup Setting Powder + Broad Spectrum SPF 35 PA+++ Sunscreen - With Ceramides, Olive Glycerides &amp; Coated Silica Spheres</t>
        </is>
      </c>
      <c r="E593" s="2">
        <f>HYPERLINK("https://www.amazon.com/Supergoop-setting-Mineral-Powder-Light/dp/B08SJCK2PM/ref=sr_1_7?keywords=Ultralucent+Mineral+Setting+Powder&amp;qid=1695565536&amp;sr=8-7", "https://www.amazon.com/Supergoop-setting-Mineral-Powder-Light/dp/B08SJCK2PM/ref=sr_1_7?keywords=Ultralucent+Mineral+Setting+Powder&amp;qid=1695565536&amp;sr=8-7")</f>
        <v/>
      </c>
      <c r="F593" t="inlineStr">
        <is>
          <t>B08SJCK2PM</t>
        </is>
      </c>
      <c r="G593">
        <f>_xlfn.IMAGE("https://camerareadycosmetics.com/cdn/shop/products/Beige-USP-Product-image_50x.jpg?v=1689623417")</f>
        <v/>
      </c>
      <c r="H593">
        <f>_xlfn.IMAGE("https://m.media-amazon.com/images/I/61U4sJSeU1L._AC_UL320_.jpg")</f>
        <v/>
      </c>
      <c r="K593" t="inlineStr">
        <is>
          <t>22.0</t>
        </is>
      </c>
      <c r="L593" t="n">
        <v>35</v>
      </c>
      <c r="M593" s="1" t="inlineStr">
        <is>
          <t>59.09%</t>
        </is>
      </c>
      <c r="N593" t="n">
        <v>4.4</v>
      </c>
      <c r="O593" t="n">
        <v>286</v>
      </c>
      <c r="Q593" t="inlineStr">
        <is>
          <t>InStock</t>
        </is>
      </c>
      <c r="R593" t="inlineStr">
        <is>
          <t>undefined</t>
        </is>
      </c>
      <c r="S593" t="inlineStr">
        <is>
          <t>7034129479</t>
        </is>
      </c>
    </row>
    <row r="594" ht="75" customHeight="1">
      <c r="A594" s="2">
        <f>HYPERLINK("https://camerareadycosmetics.com/products/cinema-secrets-ultralucent-mineral-powder", "https://camerareadycosmetics.com/products/cinema-secrets-ultralucent-mineral-powder")</f>
        <v/>
      </c>
      <c r="B594" s="2">
        <f>HYPERLINK("https://camerareadycosmetics.com/products/cinema-secrets-ultralucent-mineral-powder", "https://camerareadycosmetics.com/products/cinema-secrets-ultralucent-mineral-powder")</f>
        <v/>
      </c>
      <c r="C594" t="inlineStr">
        <is>
          <t>Ultralucent Mineral Setting Powder</t>
        </is>
      </c>
      <c r="D594" t="inlineStr">
        <is>
          <t>bareMinerals Original Pressed Mineral Veil Setting Powder with Puff Applicator, Matte Weightless Talc-Free Finishing Powder Makeup, Extends Makeup Wear, Vegan</t>
        </is>
      </c>
      <c r="E594" s="2">
        <f>HYPERLINK("https://www.amazon.com/bareMinerals-Applicator-Weightless-Talc-Free-Finishing/dp/B09D8XKZC7/ref=sr_1_3?keywords=Ultralucent+Mineral+Setting+Powder&amp;qid=1695565536&amp;sr=8-3", "https://www.amazon.com/bareMinerals-Applicator-Weightless-Talc-Free-Finishing/dp/B09D8XKZC7/ref=sr_1_3?keywords=Ultralucent+Mineral+Setting+Powder&amp;qid=1695565536&amp;sr=8-3")</f>
        <v/>
      </c>
      <c r="F594" t="inlineStr">
        <is>
          <t>B09D8XKZC7</t>
        </is>
      </c>
      <c r="G594">
        <f>_xlfn.IMAGE("https://camerareadycosmetics.com/cdn/shop/products/Beige-USP-Product-image_50x.jpg?v=1689623417")</f>
        <v/>
      </c>
      <c r="H594">
        <f>_xlfn.IMAGE("https://m.media-amazon.com/images/I/61sl71bVvBL._AC_UL320_.jpg")</f>
        <v/>
      </c>
      <c r="K594" t="inlineStr">
        <is>
          <t>22.0</t>
        </is>
      </c>
      <c r="L594" t="n">
        <v>33</v>
      </c>
      <c r="M594" s="1" t="inlineStr">
        <is>
          <t>50.00%</t>
        </is>
      </c>
      <c r="N594" t="n">
        <v>4.5</v>
      </c>
      <c r="O594" t="n">
        <v>254</v>
      </c>
      <c r="Q594" t="inlineStr">
        <is>
          <t>InStock</t>
        </is>
      </c>
      <c r="R594" t="inlineStr">
        <is>
          <t>undefined</t>
        </is>
      </c>
      <c r="S594" t="inlineStr">
        <is>
          <t>7034129479</t>
        </is>
      </c>
    </row>
    <row r="595" ht="75" customHeight="1">
      <c r="A595" s="2">
        <f>HYPERLINK("https://camerareadycosmetics.com/products/cinema-secrets-ultralucent-mineral-powder", "https://camerareadycosmetics.com/products/cinema-secrets-ultralucent-mineral-powder")</f>
        <v/>
      </c>
      <c r="B595" s="2">
        <f>HYPERLINK("https://camerareadycosmetics.com/products/cinema-secrets-ultralucent-mineral-powder", "https://camerareadycosmetics.com/products/cinema-secrets-ultralucent-mineral-powder")</f>
        <v/>
      </c>
      <c r="C595" t="inlineStr">
        <is>
          <t>Ultralucent Mineral Setting Powder</t>
        </is>
      </c>
      <c r="D595" t="inlineStr">
        <is>
          <t>bareMinerals Mineral Veil Setting Powder, Weightless Talc-Free Finishing Powder Makeup, Extends Makeup Wear, Vegan</t>
        </is>
      </c>
      <c r="E595" s="2">
        <f>HYPERLINK("https://www.amazon.com/bareMinerals-Mineral-Weightless-Talc-Free-Finishing/dp/B008HCWX30/ref=sr_1_2?keywords=Ultralucent+Mineral+Setting+Powder&amp;qid=1695565536&amp;sr=8-2", "https://www.amazon.com/bareMinerals-Mineral-Weightless-Talc-Free-Finishing/dp/B008HCWX30/ref=sr_1_2?keywords=Ultralucent+Mineral+Setting+Powder&amp;qid=1695565536&amp;sr=8-2")</f>
        <v/>
      </c>
      <c r="F595" t="inlineStr">
        <is>
          <t>B008HCWX30</t>
        </is>
      </c>
      <c r="G595">
        <f>_xlfn.IMAGE("https://camerareadycosmetics.com/cdn/shop/products/Beige-USP-Product-image_50x.jpg?v=1689623417")</f>
        <v/>
      </c>
      <c r="H595">
        <f>_xlfn.IMAGE("https://m.media-amazon.com/images/I/61h58fsk0DL._AC_UL320_.jpg")</f>
        <v/>
      </c>
      <c r="K595" t="inlineStr">
        <is>
          <t>22.0</t>
        </is>
      </c>
      <c r="L595" t="n">
        <v>33</v>
      </c>
      <c r="M595" s="1" t="inlineStr">
        <is>
          <t>50.00%</t>
        </is>
      </c>
      <c r="N595" t="n">
        <v>4.7</v>
      </c>
      <c r="O595" t="n">
        <v>7204</v>
      </c>
      <c r="Q595" t="inlineStr">
        <is>
          <t>InStock</t>
        </is>
      </c>
      <c r="R595" t="inlineStr">
        <is>
          <t>undefined</t>
        </is>
      </c>
      <c r="S595" t="inlineStr">
        <is>
          <t>7034129479</t>
        </is>
      </c>
    </row>
    <row r="596" ht="75" customHeight="1">
      <c r="A596" s="2">
        <f>HYPERLINK("https://camerareadycosmetics.com/products/cinema-secrets-ultralucent-mineral-powder", "https://camerareadycosmetics.com/products/cinema-secrets-ultralucent-mineral-powder")</f>
        <v/>
      </c>
      <c r="B596" s="2">
        <f>HYPERLINK("https://camerareadycosmetics.com/products/cinema-secrets-ultralucent-mineral-powder", "https://camerareadycosmetics.com/products/cinema-secrets-ultralucent-mineral-powder")</f>
        <v/>
      </c>
      <c r="C596" t="inlineStr">
        <is>
          <t>Ultralucent Mineral Setting Powder</t>
        </is>
      </c>
      <c r="D596" t="inlineStr">
        <is>
          <t>CINEMA SECRETS Pro Cosmetics Ultralucent Loose Setting Powder, Soft Custard</t>
        </is>
      </c>
      <c r="E596" s="2">
        <f>HYPERLINK("https://www.amazon.com/Cinema-Secrets-Custard-Ultralucent-Powder/dp/B003NXAGQ4/ref=sr_1_9?keywords=Ultralucent+Mineral+Setting+Powder&amp;qid=1695565536&amp;sr=8-9", "https://www.amazon.com/Cinema-Secrets-Custard-Ultralucent-Powder/dp/B003NXAGQ4/ref=sr_1_9?keywords=Ultralucent+Mineral+Setting+Powder&amp;qid=1695565536&amp;sr=8-9")</f>
        <v/>
      </c>
      <c r="F596" t="inlineStr">
        <is>
          <t>B003NXAGQ4</t>
        </is>
      </c>
      <c r="G596">
        <f>_xlfn.IMAGE("https://camerareadycosmetics.com/cdn/shop/products/Beige-USP-Product-image_50x.jpg?v=1689623417")</f>
        <v/>
      </c>
      <c r="H596">
        <f>_xlfn.IMAGE("https://m.media-amazon.com/images/I/81UD7EbJJ9L._AC_UL320_.jpg")</f>
        <v/>
      </c>
      <c r="K596" t="inlineStr">
        <is>
          <t>22.0</t>
        </is>
      </c>
      <c r="L596" t="n">
        <v>22</v>
      </c>
      <c r="M596" s="1" t="inlineStr">
        <is>
          <t>0.00%</t>
        </is>
      </c>
      <c r="N596" t="n">
        <v>4.1</v>
      </c>
      <c r="O596" t="n">
        <v>46</v>
      </c>
      <c r="Q596" t="inlineStr">
        <is>
          <t>InStock</t>
        </is>
      </c>
      <c r="R596" t="inlineStr">
        <is>
          <t>undefined</t>
        </is>
      </c>
      <c r="S596" t="inlineStr">
        <is>
          <t>7034129479</t>
        </is>
      </c>
    </row>
    <row r="597" ht="75" customHeight="1">
      <c r="A597" s="2">
        <f>HYPERLINK("https://camerareadycosmetics.com/products/cinema-secrets-ultralucent-mineral-powder", "https://camerareadycosmetics.com/products/cinema-secrets-ultralucent-mineral-powder")</f>
        <v/>
      </c>
      <c r="B597" s="2">
        <f>HYPERLINK("https://camerareadycosmetics.com/products/cinema-secrets-ultralucent-mineral-powder", "https://camerareadycosmetics.com/products/cinema-secrets-ultralucent-mineral-powder")</f>
        <v/>
      </c>
      <c r="C597" t="inlineStr">
        <is>
          <t>Ultralucent Mineral Setting Powder</t>
        </is>
      </c>
      <c r="D597" t="inlineStr">
        <is>
          <t>Ulta Beauty Mineral Setting Powder Size 0.26 oz</t>
        </is>
      </c>
      <c r="E597" s="2">
        <f>HYPERLINK("https://www.amazon.com/Ulta-Beauty-Mineral-Setting-Powder/dp/B08W4RY5HQ/ref=sr_1_1?keywords=Ultralucent+Mineral+Setting+Powder&amp;qid=1695565536&amp;sr=8-1", "https://www.amazon.com/Ulta-Beauty-Mineral-Setting-Powder/dp/B08W4RY5HQ/ref=sr_1_1?keywords=Ultralucent+Mineral+Setting+Powder&amp;qid=1695565536&amp;sr=8-1")</f>
        <v/>
      </c>
      <c r="F597" t="inlineStr">
        <is>
          <t>B08W4RY5HQ</t>
        </is>
      </c>
      <c r="G597">
        <f>_xlfn.IMAGE("https://camerareadycosmetics.com/cdn/shop/products/Beige-USP-Product-image_50x.jpg?v=1689623417")</f>
        <v/>
      </c>
      <c r="H597">
        <f>_xlfn.IMAGE("https://m.media-amazon.com/images/I/21c-8ajkVyL._AC_UL320_.jpg")</f>
        <v/>
      </c>
      <c r="K597" t="inlineStr">
        <is>
          <t>22.0</t>
        </is>
      </c>
      <c r="L597" t="n">
        <v>19.39</v>
      </c>
      <c r="M597" s="1" t="inlineStr">
        <is>
          <t>-11.86%</t>
        </is>
      </c>
      <c r="N597" t="n">
        <v>5</v>
      </c>
      <c r="O597" t="n">
        <v>4</v>
      </c>
      <c r="Q597" t="inlineStr">
        <is>
          <t>InStock</t>
        </is>
      </c>
      <c r="R597" t="inlineStr">
        <is>
          <t>undefined</t>
        </is>
      </c>
      <c r="S597" t="inlineStr">
        <is>
          <t>7034129479</t>
        </is>
      </c>
    </row>
    <row r="598" ht="75" customHeight="1">
      <c r="A598" s="2">
        <f>HYPERLINK("https://camerareadycosmetics.com/products/cozzette-crystal-cream-eye-shadow-compact", "https://camerareadycosmetics.com/products/cozzette-crystal-cream-eye-shadow-compact")</f>
        <v/>
      </c>
      <c r="B598" s="2">
        <f>HYPERLINK("https://camerareadycosmetics.com/products/cozzette-crystal-cream-eye-shadow-compact", "https://camerareadycosmetics.com/products/cozzette-crystal-cream-eye-shadow-compact")</f>
        <v/>
      </c>
      <c r="C598" t="inlineStr">
        <is>
          <t>Crystal Cream Eye Shadow Compact</t>
        </is>
      </c>
      <c r="D598" t="inlineStr">
        <is>
          <t>Pupa Milano Vamp! Eyeshadow Compact Duo 008 Cream Taupe - Light, Smooth, Blendable, Cream Compact Shadow - Stunning, Colorful, Pigmented Shade - Paraben-Free Formula - 0.078 oz</t>
        </is>
      </c>
      <c r="E598" s="2">
        <f>HYPERLINK("https://www.amazon.com/PUPA-Compact-Eyeshadow-CREAM-TAUPE/dp/B01CJT2VUQ/ref=sr_1_4?keywords=Crystal+Cream+Eye+Shadow+Compact&amp;qid=1695565542&amp;sr=8-4", "https://www.amazon.com/PUPA-Compact-Eyeshadow-CREAM-TAUPE/dp/B01CJT2VUQ/ref=sr_1_4?keywords=Crystal+Cream+Eye+Shadow+Compact&amp;qid=1695565542&amp;sr=8-4")</f>
        <v/>
      </c>
      <c r="F598" t="inlineStr">
        <is>
          <t>B01CJT2VUQ</t>
        </is>
      </c>
      <c r="G598">
        <f>_xlfn.IMAGE("https://camerareadycosmetics.com/cdn/shop/products/LACEDCOMPACT_50x.jpg?v=1609947780")</f>
        <v/>
      </c>
      <c r="H598">
        <f>_xlfn.IMAGE("https://m.media-amazon.com/images/I/71yOKk2I8mS._AC_UL320_.jpg")</f>
        <v/>
      </c>
      <c r="K598" t="inlineStr">
        <is>
          <t>18.0</t>
        </is>
      </c>
      <c r="L598" t="n">
        <v>12.59</v>
      </c>
      <c r="M598" s="1" t="inlineStr">
        <is>
          <t>-30.06%</t>
        </is>
      </c>
      <c r="N598" t="n">
        <v>4.2</v>
      </c>
      <c r="O598" t="n">
        <v>23</v>
      </c>
      <c r="Q598" t="inlineStr">
        <is>
          <t>InStock</t>
        </is>
      </c>
      <c r="R598" t="inlineStr">
        <is>
          <t>undefined</t>
        </is>
      </c>
      <c r="S598" t="inlineStr">
        <is>
          <t>6191558492345</t>
        </is>
      </c>
    </row>
    <row r="599" ht="75" customHeight="1">
      <c r="A599" s="2">
        <f>HYPERLINK("https://camerareadycosmetics.com/products/cozzette-essential-finish-loose-powder-invisible", "https://camerareadycosmetics.com/products/cozzette-essential-finish-loose-powder-invisible")</f>
        <v/>
      </c>
      <c r="B599" s="2">
        <f>HYPERLINK("https://camerareadycosmetics.com/products/cozzette-essential-finish-loose-powder-invisible", "https://camerareadycosmetics.com/products/cozzette-essential-finish-loose-powder-invisible")</f>
        <v/>
      </c>
      <c r="C599" t="inlineStr">
        <is>
          <t>Essential Finish Loose Powder - Invisible</t>
        </is>
      </c>
      <c r="D599" t="inlineStr">
        <is>
          <t>INVISIBLE FINISH LOOSE SETTING POWDER- Madison 03-04</t>
        </is>
      </c>
      <c r="E599" s="2">
        <f>HYPERLINK("https://www.amazon.com/INVISIBLE-FINISH-SETTING-POWDER-Madison/dp/B07G4K7XSC/ref=sr_1_5?keywords=Essential+Finish+Loose+Powder+-+Invisible&amp;qid=1695565883&amp;sr=8-5", "https://www.amazon.com/INVISIBLE-FINISH-SETTING-POWDER-Madison/dp/B07G4K7XSC/ref=sr_1_5?keywords=Essential+Finish+Loose+Powder+-+Invisible&amp;qid=1695565883&amp;sr=8-5")</f>
        <v/>
      </c>
      <c r="F599" t="inlineStr">
        <is>
          <t>B07G4K7XSC</t>
        </is>
      </c>
      <c r="G599">
        <f>_xlfn.IMAGE("https://camerareadycosmetics.com/cdn/shop/products/cozzetteEFinvisableloose_50x.jpg?v=1521243532")</f>
        <v/>
      </c>
      <c r="H599">
        <f>_xlfn.IMAGE("https://m.media-amazon.com/images/I/31cuuZObdeL._AC_UL320_.jpg")</f>
        <v/>
      </c>
      <c r="K599" t="inlineStr">
        <is>
          <t>25.0</t>
        </is>
      </c>
      <c r="L599" t="n">
        <v>17.99</v>
      </c>
      <c r="M599" s="1" t="inlineStr">
        <is>
          <t>-28.04%</t>
        </is>
      </c>
      <c r="N599" t="n">
        <v>4.3</v>
      </c>
      <c r="O599" t="n">
        <v>2</v>
      </c>
      <c r="Q599" t="inlineStr">
        <is>
          <t>InStock</t>
        </is>
      </c>
      <c r="R599" t="inlineStr">
        <is>
          <t>undefined</t>
        </is>
      </c>
      <c r="S599" t="inlineStr">
        <is>
          <t>531437977610</t>
        </is>
      </c>
    </row>
    <row r="600" ht="75" customHeight="1">
      <c r="A600" s="2">
        <f>HYPERLINK("https://camerareadycosmetics.com/products/cozzette-essential-finish-loose-powder-invisible", "https://camerareadycosmetics.com/products/cozzette-essential-finish-loose-powder-invisible")</f>
        <v/>
      </c>
      <c r="B600" s="2">
        <f>HYPERLINK("https://camerareadycosmetics.com/products/cozzette-essential-finish-loose-powder-invisible", "https://camerareadycosmetics.com/products/cozzette-essential-finish-loose-powder-invisible")</f>
        <v/>
      </c>
      <c r="C600" t="inlineStr">
        <is>
          <t>Essential Finish Loose Powder - Invisible</t>
        </is>
      </c>
      <c r="D600" t="inlineStr">
        <is>
          <t>Honest Beauty Talc-Free Translucent Loose Setting Powder | Invisible, Matte Finish | EWG Verified, Vegan + Cruelty Free | .56 oz</t>
        </is>
      </c>
      <c r="E600" s="2">
        <f>HYPERLINK("https://www.amazon.com/Honest-Beauty-Invisible-Blurring-Powder/dp/B07F458BR8/ref=sr_1_10?keywords=Essential+Finish+Loose+Powder+-+Invisible&amp;qid=1695565883&amp;rdc=1&amp;sr=8-10", "https://www.amazon.com/Honest-Beauty-Invisible-Blurring-Powder/dp/B07F458BR8/ref=sr_1_10?keywords=Essential+Finish+Loose+Powder+-+Invisible&amp;qid=1695565883&amp;rdc=1&amp;sr=8-10")</f>
        <v/>
      </c>
      <c r="F600" t="inlineStr">
        <is>
          <t>B07F458BR8</t>
        </is>
      </c>
      <c r="G600">
        <f>_xlfn.IMAGE("https://camerareadycosmetics.com/cdn/shop/products/cozzetteEFinvisableloose_50x.jpg?v=1521243532")</f>
        <v/>
      </c>
      <c r="H600">
        <f>_xlfn.IMAGE("https://m.media-amazon.com/images/I/81oJhw3uZVL._AC_UL320_.jpg")</f>
        <v/>
      </c>
      <c r="K600" t="inlineStr">
        <is>
          <t>25.0</t>
        </is>
      </c>
      <c r="L600" t="n">
        <v>17.5</v>
      </c>
      <c r="M600" s="1" t="inlineStr">
        <is>
          <t>-30.00%</t>
        </is>
      </c>
      <c r="N600" t="n">
        <v>4.3</v>
      </c>
      <c r="O600" t="n">
        <v>1769</v>
      </c>
      <c r="Q600" t="inlineStr">
        <is>
          <t>InStock</t>
        </is>
      </c>
      <c r="R600" t="inlineStr">
        <is>
          <t>undefined</t>
        </is>
      </c>
      <c r="S600" t="inlineStr">
        <is>
          <t>531437977610</t>
        </is>
      </c>
    </row>
    <row r="601" ht="75" customHeight="1">
      <c r="A601" s="2">
        <f>HYPERLINK("https://camerareadycosmetics.com/products/cozzette-essential-finish-pressed-powder", "https://camerareadycosmetics.com/products/cozzette-essential-finish-pressed-powder")</f>
        <v/>
      </c>
      <c r="B601" s="2">
        <f>HYPERLINK("https://camerareadycosmetics.com/products/cozzette-essential-finish-pressed-powder", "https://camerareadycosmetics.com/products/cozzette-essential-finish-pressed-powder")</f>
        <v/>
      </c>
      <c r="C601" t="inlineStr">
        <is>
          <t>Essential Finish Pressed Powder</t>
        </is>
      </c>
      <c r="D601" t="inlineStr">
        <is>
          <t>bareMinerals Original Pressed Mineral Veil Setting Powder with Puff Applicator, Matte Weightless Talc-Free Finishing Powder Makeup, Extends Makeup Wear, Vegan</t>
        </is>
      </c>
      <c r="E601" s="2">
        <f>HYPERLINK("https://www.amazon.com/bareMinerals-Applicator-Weightless-Talc-Free-Finishing/dp/B09DTDPH19/ref=sr_1_8?keywords=Essential+Finish+Pressed+Powder&amp;qid=1695565620&amp;sr=8-8", "https://www.amazon.com/bareMinerals-Applicator-Weightless-Talc-Free-Finishing/dp/B09DTDPH19/ref=sr_1_8?keywords=Essential+Finish+Pressed+Powder&amp;qid=1695565620&amp;sr=8-8")</f>
        <v/>
      </c>
      <c r="F601" t="inlineStr">
        <is>
          <t>B09DTDPH19</t>
        </is>
      </c>
      <c r="G601">
        <f>_xlfn.IMAGE("https://camerareadycosmetics.com/cdn/shop/products/Essential-powderG5-500x500_50x.jpg?v=1524753179")</f>
        <v/>
      </c>
      <c r="H601">
        <f>_xlfn.IMAGE("https://m.media-amazon.com/images/I/61RD9bUhA1L._AC_UL320_.jpg")</f>
        <v/>
      </c>
      <c r="K601" t="inlineStr">
        <is>
          <t>25.0</t>
        </is>
      </c>
      <c r="L601" t="n">
        <v>33</v>
      </c>
      <c r="M601" s="1" t="inlineStr">
        <is>
          <t>32.00%</t>
        </is>
      </c>
      <c r="N601" t="n">
        <v>4.6</v>
      </c>
      <c r="O601" t="n">
        <v>229</v>
      </c>
      <c r="Q601" t="inlineStr">
        <is>
          <t>InStock</t>
        </is>
      </c>
      <c r="R601" t="inlineStr">
        <is>
          <t>undefined</t>
        </is>
      </c>
      <c r="S601" t="inlineStr">
        <is>
          <t>562534088714</t>
        </is>
      </c>
    </row>
    <row r="602" ht="75" customHeight="1">
      <c r="A602" s="2">
        <f>HYPERLINK("https://camerareadycosmetics.com/products/cozzette-essential-finish-pressed-powder", "https://camerareadycosmetics.com/products/cozzette-essential-finish-pressed-powder")</f>
        <v/>
      </c>
      <c r="B602" s="2">
        <f>HYPERLINK("https://camerareadycosmetics.com/products/cozzette-essential-finish-pressed-powder", "https://camerareadycosmetics.com/products/cozzette-essential-finish-pressed-powder")</f>
        <v/>
      </c>
      <c r="C602" t="inlineStr">
        <is>
          <t>Essential Finish Pressed Powder</t>
        </is>
      </c>
      <c r="D602" t="inlineStr">
        <is>
          <t>THESAEM Saemmul Perfect Pore Pact - Sebum Control Makeup Pressed Powder Pact, Pore Minimization, Plant-Based Setting Finishing Powder to Absorb Sweat and Prevent Clumps, with Mirror and Puff 12g</t>
        </is>
      </c>
      <c r="E602" s="2">
        <f>HYPERLINK("https://www.amazon.com/THESAEM-Saemmul-Perfect-Pore-Pact/dp/B097M8MNZR/ref=sr_1_10?keywords=Essential+Finish+Pressed+Powder&amp;qid=1695565620&amp;sr=8-10", "https://www.amazon.com/THESAEM-Saemmul-Perfect-Pore-Pact/dp/B097M8MNZR/ref=sr_1_10?keywords=Essential+Finish+Pressed+Powder&amp;qid=1695565620&amp;sr=8-10")</f>
        <v/>
      </c>
      <c r="F602" t="inlineStr">
        <is>
          <t>B097M8MNZR</t>
        </is>
      </c>
      <c r="G602">
        <f>_xlfn.IMAGE("https://camerareadycosmetics.com/cdn/shop/products/Essential-powderG5-500x500_50x.jpg?v=1524753179")</f>
        <v/>
      </c>
      <c r="H602">
        <f>_xlfn.IMAGE("https://m.media-amazon.com/images/I/615ZAjTnteS._AC_UL320_.jpg")</f>
        <v/>
      </c>
      <c r="K602" t="inlineStr">
        <is>
          <t>25.0</t>
        </is>
      </c>
      <c r="L602" t="n">
        <v>9.99</v>
      </c>
      <c r="M602" s="1" t="inlineStr">
        <is>
          <t>-60.04%</t>
        </is>
      </c>
      <c r="N602" t="n">
        <v>4.3</v>
      </c>
      <c r="O602" t="n">
        <v>67</v>
      </c>
      <c r="Q602" t="inlineStr">
        <is>
          <t>InStock</t>
        </is>
      </c>
      <c r="R602" t="inlineStr">
        <is>
          <t>undefined</t>
        </is>
      </c>
      <c r="S602" t="inlineStr">
        <is>
          <t>562534088714</t>
        </is>
      </c>
    </row>
    <row r="603" ht="75" customHeight="1">
      <c r="A603" s="2">
        <f>HYPERLINK("https://camerareadycosmetics.com/products/cozzette-essential-finish-pressed-powder", "https://camerareadycosmetics.com/products/cozzette-essential-finish-pressed-powder")</f>
        <v/>
      </c>
      <c r="B603" s="2">
        <f>HYPERLINK("https://camerareadycosmetics.com/products/cozzette-essential-finish-pressed-powder", "https://camerareadycosmetics.com/products/cozzette-essential-finish-pressed-powder")</f>
        <v/>
      </c>
      <c r="C603" t="inlineStr">
        <is>
          <t>Essential Finish Pressed Powder</t>
        </is>
      </c>
      <c r="D603" t="inlineStr">
        <is>
          <t>FV Setting Powder, Oil Control Long Lasting Pressed Face Powder Makeup with Medium Coverage, Matte Finish Finishing Powder for Oily Dry and Normal Skin, Natural Beige, 0.28 Oz</t>
        </is>
      </c>
      <c r="E603" s="2">
        <f>HYPERLINK("https://www.amazon.com/FV-Setting-Control-Coverage-Finishing/dp/B0C289JVY8/ref=sr_1_5?keywords=Essential+Finish+Pressed+Powder&amp;qid=1695565620&amp;sr=8-5", "https://www.amazon.com/FV-Setting-Control-Coverage-Finishing/dp/B0C289JVY8/ref=sr_1_5?keywords=Essential+Finish+Pressed+Powder&amp;qid=1695565620&amp;sr=8-5")</f>
        <v/>
      </c>
      <c r="F603" t="inlineStr">
        <is>
          <t>B0C289JVY8</t>
        </is>
      </c>
      <c r="G603">
        <f>_xlfn.IMAGE("https://camerareadycosmetics.com/cdn/shop/products/Essential-powderG5-500x500_50x.jpg?v=1524753179")</f>
        <v/>
      </c>
      <c r="H603">
        <f>_xlfn.IMAGE("https://m.media-amazon.com/images/I/81tr5jAqVlL._AC_UL320_.jpg")</f>
        <v/>
      </c>
      <c r="K603" t="inlineStr">
        <is>
          <t>25.0</t>
        </is>
      </c>
      <c r="L603" t="n">
        <v>9.99</v>
      </c>
      <c r="M603" s="1" t="inlineStr">
        <is>
          <t>-60.04%</t>
        </is>
      </c>
      <c r="N603" t="n">
        <v>4.1</v>
      </c>
      <c r="O603" t="n">
        <v>84</v>
      </c>
      <c r="Q603" t="inlineStr">
        <is>
          <t>InStock</t>
        </is>
      </c>
      <c r="R603" t="inlineStr">
        <is>
          <t>undefined</t>
        </is>
      </c>
      <c r="S603" t="inlineStr">
        <is>
          <t>562534088714</t>
        </is>
      </c>
    </row>
    <row r="604" ht="75" customHeight="1">
      <c r="A604" s="2">
        <f>HYPERLINK("https://camerareadycosmetics.com/products/cozzette-essential-finish-pressed-powder", "https://camerareadycosmetics.com/products/cozzette-essential-finish-pressed-powder")</f>
        <v/>
      </c>
      <c r="B604" s="2">
        <f>HYPERLINK("https://camerareadycosmetics.com/products/cozzette-essential-finish-pressed-powder", "https://camerareadycosmetics.com/products/cozzette-essential-finish-pressed-powder")</f>
        <v/>
      </c>
      <c r="C604" t="inlineStr">
        <is>
          <t>Essential Finish Pressed Powder</t>
        </is>
      </c>
      <c r="D604" t="inlineStr">
        <is>
          <t>THESAEM Saemmul Perfect Pore Pink Pact - Makeup Finishing Pressed Powder for Sebum Control and Pore Minimization, Soothes Sensitive Skin with Calamine, Setting Powder, Clumps Free 12g</t>
        </is>
      </c>
      <c r="E604" s="2">
        <f>HYPERLINK("https://www.amazon.com/SAEM-Saemmul-Perfect-Pore-Pink/dp/B097M8DW5B/ref=sr_1_7?keywords=Essential+Finish+Pressed+Powder&amp;qid=1695565620&amp;sr=8-7", "https://www.amazon.com/SAEM-Saemmul-Perfect-Pore-Pink/dp/B097M8DW5B/ref=sr_1_7?keywords=Essential+Finish+Pressed+Powder&amp;qid=1695565620&amp;sr=8-7")</f>
        <v/>
      </c>
      <c r="F604" t="inlineStr">
        <is>
          <t>B097M8DW5B</t>
        </is>
      </c>
      <c r="G604">
        <f>_xlfn.IMAGE("https://camerareadycosmetics.com/cdn/shop/products/Essential-powderG5-500x500_50x.jpg?v=1524753179")</f>
        <v/>
      </c>
      <c r="H604">
        <f>_xlfn.IMAGE("https://m.media-amazon.com/images/I/51kbFHnaoaL._AC_UL320_.jpg")</f>
        <v/>
      </c>
      <c r="K604" t="inlineStr">
        <is>
          <t>25.0</t>
        </is>
      </c>
      <c r="L604" t="n">
        <v>9.99</v>
      </c>
      <c r="M604" s="1" t="inlineStr">
        <is>
          <t>-60.04%</t>
        </is>
      </c>
      <c r="N604" t="n">
        <v>4.3</v>
      </c>
      <c r="O604" t="n">
        <v>243</v>
      </c>
      <c r="Q604" t="inlineStr">
        <is>
          <t>InStock</t>
        </is>
      </c>
      <c r="R604" t="inlineStr">
        <is>
          <t>undefined</t>
        </is>
      </c>
      <c r="S604" t="inlineStr">
        <is>
          <t>562534088714</t>
        </is>
      </c>
    </row>
    <row r="605" ht="75" customHeight="1">
      <c r="A605" s="2">
        <f>HYPERLINK("https://camerareadycosmetics.com/products/cozzette-essential-finish-pressed-powder", "https://camerareadycosmetics.com/products/cozzette-essential-finish-pressed-powder")</f>
        <v/>
      </c>
      <c r="B605" s="2">
        <f>HYPERLINK("https://camerareadycosmetics.com/products/cozzette-essential-finish-pressed-powder", "https://camerareadycosmetics.com/products/cozzette-essential-finish-pressed-powder")</f>
        <v/>
      </c>
      <c r="C605" t="inlineStr">
        <is>
          <t>Essential Finish Pressed Powder</t>
        </is>
      </c>
      <c r="D605" t="inlineStr">
        <is>
          <t>Wet n Wild Bare Focus Clarifying Finishing Powder | Matte | Pressed Setting Powder Translucent</t>
        </is>
      </c>
      <c r="E605" s="2">
        <f>HYPERLINK("https://www.amazon.com/Clarifying-Finishing-Pressed-Setting-Translucent/dp/B09NX3HBLB/ref=sr_1_1?keywords=Essential+Finish+Pressed+Powder&amp;qid=1695565620&amp;rdc=1&amp;sr=8-1", "https://www.amazon.com/Clarifying-Finishing-Pressed-Setting-Translucent/dp/B09NX3HBLB/ref=sr_1_1?keywords=Essential+Finish+Pressed+Powder&amp;qid=1695565620&amp;rdc=1&amp;sr=8-1")</f>
        <v/>
      </c>
      <c r="F605" t="inlineStr">
        <is>
          <t>B09NX3HBLB</t>
        </is>
      </c>
      <c r="G605">
        <f>_xlfn.IMAGE("https://camerareadycosmetics.com/cdn/shop/products/Essential-powderG5-500x500_50x.jpg?v=1524753179")</f>
        <v/>
      </c>
      <c r="H605">
        <f>_xlfn.IMAGE("https://m.media-amazon.com/images/I/71l5i9eUK7L._AC_UL320_.jpg")</f>
        <v/>
      </c>
      <c r="K605" t="inlineStr">
        <is>
          <t>25.0</t>
        </is>
      </c>
      <c r="L605" t="n">
        <v>3.28</v>
      </c>
      <c r="M605" s="1" t="inlineStr">
        <is>
          <t>-86.88%</t>
        </is>
      </c>
      <c r="N605" t="n">
        <v>4.3</v>
      </c>
      <c r="O605" t="n">
        <v>3893</v>
      </c>
      <c r="Q605" t="inlineStr">
        <is>
          <t>InStock</t>
        </is>
      </c>
      <c r="R605" t="inlineStr">
        <is>
          <t>undefined</t>
        </is>
      </c>
      <c r="S605" t="inlineStr">
        <is>
          <t>562534088714</t>
        </is>
      </c>
    </row>
    <row r="606" ht="75" customHeight="1">
      <c r="A606" s="2">
        <f>HYPERLINK("https://camerareadycosmetics.com/products/cozzette-essential-finish-pressed-powder", "https://camerareadycosmetics.com/products/cozzette-essential-finish-pressed-powder")</f>
        <v/>
      </c>
      <c r="B606" s="2">
        <f>HYPERLINK("https://camerareadycosmetics.com/products/cozzette-essential-finish-pressed-powder", "https://camerareadycosmetics.com/products/cozzette-essential-finish-pressed-powder")</f>
        <v/>
      </c>
      <c r="C606" t="inlineStr">
        <is>
          <t>Essential Finish Pressed Powder</t>
        </is>
      </c>
      <c r="D606" t="inlineStr">
        <is>
          <t>THESAEM Saemmul Perfect Pore Pact - Sebum Control Makeup Pressed Powder Pact, Pore Minimization, Plant-Based Setting Finishing Powder to Absorb Sweat and Prevent Clumps, with Mirror and Puff 12g</t>
        </is>
      </c>
      <c r="E606" s="2">
        <f>HYPERLINK("https://www.amazon.com/THESAEM-Saemmul-Perfect-Pore-Pact/dp/B097M8MNZR/ref=sr_1_10?keywords=Essential+Finish+Pressed+Powder&amp;qid=1695565620&amp;sr=8-10", "https://www.amazon.com/THESAEM-Saemmul-Perfect-Pore-Pact/dp/B097M8MNZR/ref=sr_1_10?keywords=Essential+Finish+Pressed+Powder&amp;qid=1695565620&amp;sr=8-10")</f>
        <v/>
      </c>
      <c r="F606" t="inlineStr">
        <is>
          <t>B097M8MNZR</t>
        </is>
      </c>
      <c r="G606">
        <f>_xlfn.IMAGE("https://camerareadycosmetics.com/cdn/shop/products/Essential-powderG5-500x500_50x.jpg?v=1524753179")</f>
        <v/>
      </c>
      <c r="H606">
        <f>_xlfn.IMAGE("https://m.media-amazon.com/images/I/615ZAjTnteS._AC_UL320_.jpg")</f>
        <v/>
      </c>
      <c r="K606" t="inlineStr">
        <is>
          <t>25.0</t>
        </is>
      </c>
      <c r="L606" t="n">
        <v>9.99</v>
      </c>
      <c r="M606" s="1" t="inlineStr">
        <is>
          <t>-60.04%</t>
        </is>
      </c>
      <c r="N606" t="n">
        <v>4.3</v>
      </c>
      <c r="O606" t="n">
        <v>67</v>
      </c>
      <c r="Q606" t="inlineStr">
        <is>
          <t>InStock</t>
        </is>
      </c>
      <c r="R606" t="inlineStr">
        <is>
          <t>undefined</t>
        </is>
      </c>
      <c r="S606" t="inlineStr">
        <is>
          <t>562534088714</t>
        </is>
      </c>
    </row>
    <row r="607" ht="75" customHeight="1">
      <c r="A607" s="2">
        <f>HYPERLINK("https://camerareadycosmetics.com/products/cozzette-essential-finish-pressed-powder", "https://camerareadycosmetics.com/products/cozzette-essential-finish-pressed-powder")</f>
        <v/>
      </c>
      <c r="B607" s="2">
        <f>HYPERLINK("https://camerareadycosmetics.com/products/cozzette-essential-finish-pressed-powder", "https://camerareadycosmetics.com/products/cozzette-essential-finish-pressed-powder")</f>
        <v/>
      </c>
      <c r="C607" t="inlineStr">
        <is>
          <t>Essential Finish Pressed Powder</t>
        </is>
      </c>
      <c r="D607" t="inlineStr">
        <is>
          <t>FV Setting Powder, Oil Control Long Lasting Pressed Face Powder Makeup with Medium Coverage, Matte Finish Finishing Powder for Oily Dry and Normal Skin, Natural Beige, 0.28 Oz</t>
        </is>
      </c>
      <c r="E607" s="2">
        <f>HYPERLINK("https://www.amazon.com/FV-Setting-Control-Coverage-Finishing/dp/B0C289JVY8/ref=sr_1_5?keywords=Essential+Finish+Pressed+Powder&amp;qid=1695565620&amp;sr=8-5", "https://www.amazon.com/FV-Setting-Control-Coverage-Finishing/dp/B0C289JVY8/ref=sr_1_5?keywords=Essential+Finish+Pressed+Powder&amp;qid=1695565620&amp;sr=8-5")</f>
        <v/>
      </c>
      <c r="F607" t="inlineStr">
        <is>
          <t>B0C289JVY8</t>
        </is>
      </c>
      <c r="G607">
        <f>_xlfn.IMAGE("https://camerareadycosmetics.com/cdn/shop/products/Essential-powderG5-500x500_50x.jpg?v=1524753179")</f>
        <v/>
      </c>
      <c r="H607">
        <f>_xlfn.IMAGE("https://m.media-amazon.com/images/I/81tr5jAqVlL._AC_UL320_.jpg")</f>
        <v/>
      </c>
      <c r="K607" t="inlineStr">
        <is>
          <t>25.0</t>
        </is>
      </c>
      <c r="L607" t="n">
        <v>9.99</v>
      </c>
      <c r="M607" s="1" t="inlineStr">
        <is>
          <t>-60.04%</t>
        </is>
      </c>
      <c r="N607" t="n">
        <v>4.1</v>
      </c>
      <c r="O607" t="n">
        <v>84</v>
      </c>
      <c r="Q607" t="inlineStr">
        <is>
          <t>InStock</t>
        </is>
      </c>
      <c r="R607" t="inlineStr">
        <is>
          <t>undefined</t>
        </is>
      </c>
      <c r="S607" t="inlineStr">
        <is>
          <t>562534088714</t>
        </is>
      </c>
    </row>
    <row r="608" ht="75" customHeight="1">
      <c r="A608" s="2">
        <f>HYPERLINK("https://camerareadycosmetics.com/products/cozzette-essential-finish-pressed-powder", "https://camerareadycosmetics.com/products/cozzette-essential-finish-pressed-powder")</f>
        <v/>
      </c>
      <c r="B608" s="2">
        <f>HYPERLINK("https://camerareadycosmetics.com/products/cozzette-essential-finish-pressed-powder", "https://camerareadycosmetics.com/products/cozzette-essential-finish-pressed-powder")</f>
        <v/>
      </c>
      <c r="C608" t="inlineStr">
        <is>
          <t>Essential Finish Pressed Powder</t>
        </is>
      </c>
      <c r="D608" t="inlineStr">
        <is>
          <t>THESAEM Saemmul Perfect Pore Pink Pact - Makeup Finishing Pressed Powder for Sebum Control and Pore Minimization, Soothes Sensitive Skin with Calamine, Setting Powder, Clumps Free 12g</t>
        </is>
      </c>
      <c r="E608" s="2">
        <f>HYPERLINK("https://www.amazon.com/SAEM-Saemmul-Perfect-Pore-Pink/dp/B097M8DW5B/ref=sr_1_7?keywords=Essential+Finish+Pressed+Powder&amp;qid=1695565620&amp;sr=8-7", "https://www.amazon.com/SAEM-Saemmul-Perfect-Pore-Pink/dp/B097M8DW5B/ref=sr_1_7?keywords=Essential+Finish+Pressed+Powder&amp;qid=1695565620&amp;sr=8-7")</f>
        <v/>
      </c>
      <c r="F608" t="inlineStr">
        <is>
          <t>B097M8DW5B</t>
        </is>
      </c>
      <c r="G608">
        <f>_xlfn.IMAGE("https://camerareadycosmetics.com/cdn/shop/products/Essential-powderG5-500x500_50x.jpg?v=1524753179")</f>
        <v/>
      </c>
      <c r="H608">
        <f>_xlfn.IMAGE("https://m.media-amazon.com/images/I/51kbFHnaoaL._AC_UL320_.jpg")</f>
        <v/>
      </c>
      <c r="K608" t="inlineStr">
        <is>
          <t>25.0</t>
        </is>
      </c>
      <c r="L608" t="n">
        <v>9.99</v>
      </c>
      <c r="M608" s="1" t="inlineStr">
        <is>
          <t>-60.04%</t>
        </is>
      </c>
      <c r="N608" t="n">
        <v>4.3</v>
      </c>
      <c r="O608" t="n">
        <v>243</v>
      </c>
      <c r="Q608" t="inlineStr">
        <is>
          <t>InStock</t>
        </is>
      </c>
      <c r="R608" t="inlineStr">
        <is>
          <t>undefined</t>
        </is>
      </c>
      <c r="S608" t="inlineStr">
        <is>
          <t>562534088714</t>
        </is>
      </c>
    </row>
    <row r="609" ht="75" customHeight="1">
      <c r="A609" s="2">
        <f>HYPERLINK("https://camerareadycosmetics.com/products/cozzette-essential-finish-pressed-powder", "https://camerareadycosmetics.com/products/cozzette-essential-finish-pressed-powder")</f>
        <v/>
      </c>
      <c r="B609" s="2">
        <f>HYPERLINK("https://camerareadycosmetics.com/products/cozzette-essential-finish-pressed-powder", "https://camerareadycosmetics.com/products/cozzette-essential-finish-pressed-powder")</f>
        <v/>
      </c>
      <c r="C609" t="inlineStr">
        <is>
          <t>Essential Finish Pressed Powder</t>
        </is>
      </c>
      <c r="D609" t="inlineStr">
        <is>
          <t>Wet n Wild Bare Focus Clarifying Finishing Powder | Matte | Pressed Setting Powder Translucent</t>
        </is>
      </c>
      <c r="E609" s="2">
        <f>HYPERLINK("https://www.amazon.com/Clarifying-Finishing-Pressed-Setting-Translucent/dp/B09NX3HBLB/ref=sr_1_1?keywords=Essential+Finish+Pressed+Powder&amp;qid=1695565620&amp;rdc=1&amp;sr=8-1", "https://www.amazon.com/Clarifying-Finishing-Pressed-Setting-Translucent/dp/B09NX3HBLB/ref=sr_1_1?keywords=Essential+Finish+Pressed+Powder&amp;qid=1695565620&amp;rdc=1&amp;sr=8-1")</f>
        <v/>
      </c>
      <c r="F609" t="inlineStr">
        <is>
          <t>B09NX3HBLB</t>
        </is>
      </c>
      <c r="G609">
        <f>_xlfn.IMAGE("https://camerareadycosmetics.com/cdn/shop/products/Essential-powderG5-500x500_50x.jpg?v=1524753179")</f>
        <v/>
      </c>
      <c r="H609">
        <f>_xlfn.IMAGE("https://m.media-amazon.com/images/I/71l5i9eUK7L._AC_UL320_.jpg")</f>
        <v/>
      </c>
      <c r="K609" t="inlineStr">
        <is>
          <t>25.0</t>
        </is>
      </c>
      <c r="L609" t="n">
        <v>3.28</v>
      </c>
      <c r="M609" s="1" t="inlineStr">
        <is>
          <t>-86.88%</t>
        </is>
      </c>
      <c r="N609" t="n">
        <v>4.3</v>
      </c>
      <c r="O609" t="n">
        <v>3893</v>
      </c>
      <c r="Q609" t="inlineStr">
        <is>
          <t>InStock</t>
        </is>
      </c>
      <c r="R609" t="inlineStr">
        <is>
          <t>undefined</t>
        </is>
      </c>
      <c r="S609" t="inlineStr">
        <is>
          <t>562534088714</t>
        </is>
      </c>
    </row>
    <row r="610" ht="75" customHeight="1">
      <c r="A610" s="2">
        <f>HYPERLINK("https://camerareadycosmetics.com/products/cozzette-lip-synergy", "https://camerareadycosmetics.com/products/cozzette-lip-synergy")</f>
        <v/>
      </c>
      <c r="B610" s="2">
        <f>HYPERLINK("https://camerareadycosmetics.com/products/cozzette-lip-synergy", "https://camerareadycosmetics.com/products/cozzette-lip-synergy")</f>
        <v/>
      </c>
      <c r="C610" t="inlineStr">
        <is>
          <t>Lip Synergy Liquid Lipstick</t>
        </is>
      </c>
      <c r="D610" t="inlineStr">
        <is>
          <t>Colourlit Liquid Matte Lipstick, Smudge Proof Lipstick, Matte Finish Liquid Lip Makeup, Long Lasting Color, 0.16 Fl Oz, 1 Count (Trail Blazer)</t>
        </is>
      </c>
      <c r="E610" s="2">
        <f>HYPERLINK("https://www.amazon.com/Colourlit-Liquid-Lipstick-Smudge-Lasting/dp/B08GH474KJ/ref=sr_1_3?keywords=Lip+Synergy+Liquid+Lipstick&amp;qid=1695565668&amp;sr=8-3", "https://www.amazon.com/Colourlit-Liquid-Lipstick-Smudge-Lasting/dp/B08GH474KJ/ref=sr_1_3?keywords=Lip+Synergy+Liquid+Lipstick&amp;qid=1695565668&amp;sr=8-3")</f>
        <v/>
      </c>
      <c r="F610" t="inlineStr">
        <is>
          <t>B08GH474KJ</t>
        </is>
      </c>
      <c r="G610">
        <f>_xlfn.IMAGE("https://camerareadycosmetics.com/cdn/shop/products/cozette-LipsynMiyake-1_50x.jpg?v=1633669118")</f>
        <v/>
      </c>
      <c r="H610">
        <f>_xlfn.IMAGE("https://m.media-amazon.com/images/I/61F8FxMxKtL._AC_UL320_.jpg")</f>
        <v/>
      </c>
      <c r="K610" t="inlineStr">
        <is>
          <t>19.0</t>
        </is>
      </c>
      <c r="L610" t="n">
        <v>18</v>
      </c>
      <c r="M610" s="1" t="inlineStr">
        <is>
          <t>-5.26%</t>
        </is>
      </c>
      <c r="N610" t="n">
        <v>4</v>
      </c>
      <c r="O610" t="n">
        <v>112</v>
      </c>
      <c r="Q610" t="inlineStr">
        <is>
          <t>InStock</t>
        </is>
      </c>
      <c r="R610" t="inlineStr">
        <is>
          <t>undefined</t>
        </is>
      </c>
      <c r="S610" t="inlineStr">
        <is>
          <t>1408691503215</t>
        </is>
      </c>
    </row>
    <row r="611" ht="75" customHeight="1">
      <c r="A611" s="2">
        <f>HYPERLINK("https://camerareadycosmetics.com/products/cozzette-lip-synergy", "https://camerareadycosmetics.com/products/cozzette-lip-synergy")</f>
        <v/>
      </c>
      <c r="B611" s="2">
        <f>HYPERLINK("https://camerareadycosmetics.com/products/cozzette-lip-synergy", "https://camerareadycosmetics.com/products/cozzette-lip-synergy")</f>
        <v/>
      </c>
      <c r="C611" t="inlineStr">
        <is>
          <t>Lip Synergy Liquid Lipstick</t>
        </is>
      </c>
      <c r="D611" t="inlineStr">
        <is>
          <t>Matte Liquid Lipstick set Waterproof Long Lasting Non-Stick Cup Liquid Lipgloss Velvety Liquid Lipstick Kiss-proof Durable Nude Lip Gloss (12PCS)</t>
        </is>
      </c>
      <c r="E611" s="2">
        <f>HYPERLINK("https://www.amazon.com/Lipstick-Waterproof-Non-Stick-Lipgloss-Kiss-proof/dp/B08G4LJSX2/ref=sr_1_8?keywords=Lip+Synergy+Liquid+Lipstick&amp;qid=1695565668&amp;sr=8-8", "https://www.amazon.com/Lipstick-Waterproof-Non-Stick-Lipgloss-Kiss-proof/dp/B08G4LJSX2/ref=sr_1_8?keywords=Lip+Synergy+Liquid+Lipstick&amp;qid=1695565668&amp;sr=8-8")</f>
        <v/>
      </c>
      <c r="F611" t="inlineStr">
        <is>
          <t>B08G4LJSX2</t>
        </is>
      </c>
      <c r="G611">
        <f>_xlfn.IMAGE("https://camerareadycosmetics.com/cdn/shop/products/cozette-LipsynMiyake-1_50x.jpg?v=1633669118")</f>
        <v/>
      </c>
      <c r="H611">
        <f>_xlfn.IMAGE("https://m.media-amazon.com/images/I/717HVmCPO4L._AC_UL320_.jpg")</f>
        <v/>
      </c>
      <c r="K611" t="inlineStr">
        <is>
          <t>19.0</t>
        </is>
      </c>
      <c r="L611" t="n">
        <v>9.99</v>
      </c>
      <c r="M611" s="1" t="inlineStr">
        <is>
          <t>-47.42%</t>
        </is>
      </c>
      <c r="N611" t="n">
        <v>3.9</v>
      </c>
      <c r="O611" t="n">
        <v>552</v>
      </c>
      <c r="Q611" t="inlineStr">
        <is>
          <t>InStock</t>
        </is>
      </c>
      <c r="R611" t="inlineStr">
        <is>
          <t>undefined</t>
        </is>
      </c>
      <c r="S611" t="inlineStr">
        <is>
          <t>1408691503215</t>
        </is>
      </c>
    </row>
    <row r="612" ht="75" customHeight="1">
      <c r="A612" s="2">
        <f>HYPERLINK("https://camerareadycosmetics.com/products/cozzette-lip-synergy", "https://camerareadycosmetics.com/products/cozzette-lip-synergy")</f>
        <v/>
      </c>
      <c r="B612" s="2">
        <f>HYPERLINK("https://camerareadycosmetics.com/products/cozzette-lip-synergy", "https://camerareadycosmetics.com/products/cozzette-lip-synergy")</f>
        <v/>
      </c>
      <c r="C612" t="inlineStr">
        <is>
          <t>Lip Synergy Liquid Lipstick</t>
        </is>
      </c>
      <c r="D612" t="inlineStr">
        <is>
          <t>VOLLUCK Wine Liquid Lipstick Gloss, Lip Tint Waterproof Lipstick Tint, Long Lasting Matte Lip Gloss 6pcs/Set, Non-stick Cup Lipstick Gloss for Women Gift (6 Colors)</t>
        </is>
      </c>
      <c r="E612" s="2">
        <f>HYPERLINK("https://www.amazon.com/Liquid-Lipstick-Waterproof-Lasting-Non-stick/dp/B086LC1T3N/ref=sr_1_10?keywords=Lip+Synergy+Liquid+Lipstick&amp;qid=1695565668&amp;sr=8-10", "https://www.amazon.com/Liquid-Lipstick-Waterproof-Lasting-Non-stick/dp/B086LC1T3N/ref=sr_1_10?keywords=Lip+Synergy+Liquid+Lipstick&amp;qid=1695565668&amp;sr=8-10")</f>
        <v/>
      </c>
      <c r="F612" t="inlineStr">
        <is>
          <t>B086LC1T3N</t>
        </is>
      </c>
      <c r="G612">
        <f>_xlfn.IMAGE("https://camerareadycosmetics.com/cdn/shop/products/cozette-LipsynMiyake-1_50x.jpg?v=1633669118")</f>
        <v/>
      </c>
      <c r="H612">
        <f>_xlfn.IMAGE("https://m.media-amazon.com/images/I/61M5oI3Ri+L._AC_UL320_.jpg")</f>
        <v/>
      </c>
      <c r="K612" t="inlineStr">
        <is>
          <t>19.0</t>
        </is>
      </c>
      <c r="L612" t="n">
        <v>9.99</v>
      </c>
      <c r="M612" s="1" t="inlineStr">
        <is>
          <t>-47.42%</t>
        </is>
      </c>
      <c r="N612" t="n">
        <v>3.8</v>
      </c>
      <c r="O612" t="n">
        <v>1113</v>
      </c>
      <c r="Q612" t="inlineStr">
        <is>
          <t>InStock</t>
        </is>
      </c>
      <c r="R612" t="inlineStr">
        <is>
          <t>undefined</t>
        </is>
      </c>
      <c r="S612" t="inlineStr">
        <is>
          <t>1408691503215</t>
        </is>
      </c>
    </row>
    <row r="613" ht="75" customHeight="1">
      <c r="A613" s="2">
        <f>HYPERLINK("https://camerareadycosmetics.com/products/cozzette-lip-synergy", "https://camerareadycosmetics.com/products/cozzette-lip-synergy")</f>
        <v/>
      </c>
      <c r="B613" s="2">
        <f>HYPERLINK("https://camerareadycosmetics.com/products/cozzette-lip-synergy", "https://camerareadycosmetics.com/products/cozzette-lip-synergy")</f>
        <v/>
      </c>
      <c r="C613" t="inlineStr">
        <is>
          <t>Lip Synergy Liquid Lipstick</t>
        </is>
      </c>
      <c r="D613" t="inlineStr">
        <is>
          <t>evpct 2 In 1 Matte Lipstick &amp; Long Lasting Smudge Proof Liquid Lipstick Lip Gloss Stain 6Pcs Set for Women Dark Ruby Red Nude Beige Pink Mauve Matte Vegan Long Wear Waterproof 24 Hour Lipstick Pack 01</t>
        </is>
      </c>
      <c r="E613" s="2">
        <f>HYPERLINK("https://www.amazon.com/evpct-Lipstick-Lasting-Smudge-Waterproof/dp/B0C5QH8XJQ/ref=sr_1_4?keywords=Lip+Synergy+Liquid+Lipstick&amp;qid=1695565668&amp;sr=8-4", "https://www.amazon.com/evpct-Lipstick-Lasting-Smudge-Waterproof/dp/B0C5QH8XJQ/ref=sr_1_4?keywords=Lip+Synergy+Liquid+Lipstick&amp;qid=1695565668&amp;sr=8-4")</f>
        <v/>
      </c>
      <c r="F613" t="inlineStr">
        <is>
          <t>B0C5QH8XJQ</t>
        </is>
      </c>
      <c r="G613">
        <f>_xlfn.IMAGE("https://camerareadycosmetics.com/cdn/shop/products/cozette-LipsynMiyake-1_50x.jpg?v=1633669118")</f>
        <v/>
      </c>
      <c r="H613">
        <f>_xlfn.IMAGE("https://m.media-amazon.com/images/I/61Vr5WtMiCL._AC_UL320_.jpg")</f>
        <v/>
      </c>
      <c r="K613" t="inlineStr">
        <is>
          <t>19.0</t>
        </is>
      </c>
      <c r="L613" t="n">
        <v>9.99</v>
      </c>
      <c r="M613" s="1" t="inlineStr">
        <is>
          <t>-47.42%</t>
        </is>
      </c>
      <c r="N613" t="n">
        <v>3.7</v>
      </c>
      <c r="O613" t="n">
        <v>48</v>
      </c>
      <c r="Q613" t="inlineStr">
        <is>
          <t>InStock</t>
        </is>
      </c>
      <c r="R613" t="inlineStr">
        <is>
          <t>undefined</t>
        </is>
      </c>
      <c r="S613" t="inlineStr">
        <is>
          <t>1408691503215</t>
        </is>
      </c>
    </row>
    <row r="614" ht="75" customHeight="1">
      <c r="A614" s="2">
        <f>HYPERLINK("https://camerareadycosmetics.com/products/cozzette-lip-synergy", "https://camerareadycosmetics.com/products/cozzette-lip-synergy")</f>
        <v/>
      </c>
      <c r="B614" s="2">
        <f>HYPERLINK("https://camerareadycosmetics.com/products/cozzette-lip-synergy", "https://camerareadycosmetics.com/products/cozzette-lip-synergy")</f>
        <v/>
      </c>
      <c r="C614" t="inlineStr">
        <is>
          <t>Lip Synergy Liquid Lipstick</t>
        </is>
      </c>
      <c r="D614" t="inlineStr">
        <is>
          <t>6 Colors Matte Red Wine Liquid Lipstick Pack Set,Wine Lip Tint Long Lasting 24 Hour Waterproof Velvet Nonstick Cup Lipgloss Lip Stain Pigmented Lip Makeup Gift Sets for Girls and Women Labiales</t>
        </is>
      </c>
      <c r="E614" s="2">
        <f>HYPERLINK("https://www.amazon.com/Lipstick-Waterproof-Nonstick-Lipgloss-Pigmented/dp/B0C3LNSCXY/ref=sr_1_5?keywords=Lip+Synergy+Liquid+Lipstick&amp;qid=1695565668&amp;sr=8-5", "https://www.amazon.com/Lipstick-Waterproof-Nonstick-Lipgloss-Pigmented/dp/B0C3LNSCXY/ref=sr_1_5?keywords=Lip+Synergy+Liquid+Lipstick&amp;qid=1695565668&amp;sr=8-5")</f>
        <v/>
      </c>
      <c r="F614" t="inlineStr">
        <is>
          <t>B0C3LNSCXY</t>
        </is>
      </c>
      <c r="G614">
        <f>_xlfn.IMAGE("https://camerareadycosmetics.com/cdn/shop/products/cozette-LipsynMiyake-1_50x.jpg?v=1633669118")</f>
        <v/>
      </c>
      <c r="H614">
        <f>_xlfn.IMAGE("https://m.media-amazon.com/images/I/61pccZdb8yL._AC_UL320_.jpg")</f>
        <v/>
      </c>
      <c r="K614" t="inlineStr">
        <is>
          <t>19.0</t>
        </is>
      </c>
      <c r="L614" t="n">
        <v>8.99</v>
      </c>
      <c r="M614" s="1" t="inlineStr">
        <is>
          <t>-52.68%</t>
        </is>
      </c>
      <c r="N614" t="n">
        <v>3.8</v>
      </c>
      <c r="O614" t="n">
        <v>227</v>
      </c>
      <c r="Q614" t="inlineStr">
        <is>
          <t>InStock</t>
        </is>
      </c>
      <c r="R614" t="inlineStr">
        <is>
          <t>undefined</t>
        </is>
      </c>
      <c r="S614" t="inlineStr">
        <is>
          <t>1408691503215</t>
        </is>
      </c>
    </row>
    <row r="615" ht="75" customHeight="1">
      <c r="A615" s="2">
        <f>HYPERLINK("https://camerareadycosmetics.com/products/cozzette-lip-synergy", "https://camerareadycosmetics.com/products/cozzette-lip-synergy")</f>
        <v/>
      </c>
      <c r="B615" s="2">
        <f>HYPERLINK("https://camerareadycosmetics.com/products/cozzette-lip-synergy", "https://camerareadycosmetics.com/products/cozzette-lip-synergy")</f>
        <v/>
      </c>
      <c r="C615" t="inlineStr">
        <is>
          <t>Lip Synergy Liquid Lipstick</t>
        </is>
      </c>
      <c r="D615" t="inlineStr">
        <is>
          <t>evpct 3Pcs Dark Red Plum Purple Matte 24-hour Liquid Lipstick Sets for Women DNM Matte Lipstick Lip Stain Long Lasting 24 Smudge Waterproof Lip Gloss Gift Set Matt Lipsticks Set Matt Liquid Lipstick</t>
        </is>
      </c>
      <c r="E615" s="2">
        <f>HYPERLINK("https://www.amazon.com/evpct-24-hour-Lipstick-Waterproof-Lipsticks/dp/B0CCDG5NHJ/ref=sr_1_7?keywords=Lip+Synergy+Liquid+Lipstick&amp;qid=1695565668&amp;sr=8-7", "https://www.amazon.com/evpct-24-hour-Lipstick-Waterproof-Lipsticks/dp/B0CCDG5NHJ/ref=sr_1_7?keywords=Lip+Synergy+Liquid+Lipstick&amp;qid=1695565668&amp;sr=8-7")</f>
        <v/>
      </c>
      <c r="F615" t="inlineStr">
        <is>
          <t>B0CCDG5NHJ</t>
        </is>
      </c>
      <c r="G615">
        <f>_xlfn.IMAGE("https://camerareadycosmetics.com/cdn/shop/products/cozette-LipsynMiyake-1_50x.jpg?v=1633669118")</f>
        <v/>
      </c>
      <c r="H615">
        <f>_xlfn.IMAGE("https://m.media-amazon.com/images/I/611yLz4CK3L._AC_UL320_.jpg")</f>
        <v/>
      </c>
      <c r="K615" t="inlineStr">
        <is>
          <t>19.0</t>
        </is>
      </c>
      <c r="L615" t="n">
        <v>7.99</v>
      </c>
      <c r="M615" s="1" t="inlineStr">
        <is>
          <t>-57.95%</t>
        </is>
      </c>
      <c r="N615" t="n">
        <v>4.1</v>
      </c>
      <c r="O615" t="n">
        <v>4024</v>
      </c>
      <c r="Q615" t="inlineStr">
        <is>
          <t>InStock</t>
        </is>
      </c>
      <c r="R615" t="inlineStr">
        <is>
          <t>undefined</t>
        </is>
      </c>
      <c r="S615" t="inlineStr">
        <is>
          <t>1408691503215</t>
        </is>
      </c>
    </row>
    <row r="616" ht="75" customHeight="1">
      <c r="A616" s="2">
        <f>HYPERLINK("https://camerareadycosmetics.com/products/cozzette-lip-synergy", "https://camerareadycosmetics.com/products/cozzette-lip-synergy")</f>
        <v/>
      </c>
      <c r="B616" s="2">
        <f>HYPERLINK("https://camerareadycosmetics.com/products/cozzette-lip-synergy", "https://camerareadycosmetics.com/products/cozzette-lip-synergy")</f>
        <v/>
      </c>
      <c r="C616" t="inlineStr">
        <is>
          <t>Lip Synergy Liquid Lipstick</t>
        </is>
      </c>
      <c r="D616" t="inlineStr">
        <is>
          <t>Palladio Long-Wear Cream Lip Color Liquid Lipstick, transfer proof high intensity color pigment, smooth lightweight formula, cream color matte finish, all day wear (Bare)</t>
        </is>
      </c>
      <c r="E616" s="2">
        <f>HYPERLINK("https://www.amazon.com/Palladio-Long-Wear-Lipstick-intensity-lightweight/dp/B093CHS2CG/ref=sr_1_2?keywords=Lip+Synergy+Liquid+Lipstick&amp;qid=1695565668&amp;sr=8-2", "https://www.amazon.com/Palladio-Long-Wear-Lipstick-intensity-lightweight/dp/B093CHS2CG/ref=sr_1_2?keywords=Lip+Synergy+Liquid+Lipstick&amp;qid=1695565668&amp;sr=8-2")</f>
        <v/>
      </c>
      <c r="F616" t="inlineStr">
        <is>
          <t>B093CHS2CG</t>
        </is>
      </c>
      <c r="G616">
        <f>_xlfn.IMAGE("https://camerareadycosmetics.com/cdn/shop/products/cozette-LipsynMiyake-1_50x.jpg?v=1633669118")</f>
        <v/>
      </c>
      <c r="H616">
        <f>_xlfn.IMAGE("https://m.media-amazon.com/images/I/61uENhSKH3S._AC_UL320_.jpg")</f>
        <v/>
      </c>
      <c r="K616" t="inlineStr">
        <is>
          <t>19.0</t>
        </is>
      </c>
      <c r="L616" t="n">
        <v>7.99</v>
      </c>
      <c r="M616" s="1" t="inlineStr">
        <is>
          <t>-57.95%</t>
        </is>
      </c>
      <c r="N616" t="n">
        <v>4.2</v>
      </c>
      <c r="O616" t="n">
        <v>94</v>
      </c>
      <c r="Q616" t="inlineStr">
        <is>
          <t>InStock</t>
        </is>
      </c>
      <c r="R616" t="inlineStr">
        <is>
          <t>undefined</t>
        </is>
      </c>
      <c r="S616" t="inlineStr">
        <is>
          <t>1408691503215</t>
        </is>
      </c>
    </row>
    <row r="617" ht="75" customHeight="1">
      <c r="A617" s="2">
        <f>HYPERLINK("https://camerareadycosmetics.com/products/cozzette-lip-synergy", "https://camerareadycosmetics.com/products/cozzette-lip-synergy")</f>
        <v/>
      </c>
      <c r="B617" s="2">
        <f>HYPERLINK("https://camerareadycosmetics.com/products/cozzette-lip-synergy", "https://camerareadycosmetics.com/products/cozzette-lip-synergy")</f>
        <v/>
      </c>
      <c r="C617" t="inlineStr">
        <is>
          <t>Lip Synergy Liquid Lipstick</t>
        </is>
      </c>
      <c r="D617" t="inlineStr">
        <is>
          <t>Rechoo Matte Liquid Lipstick Set, 6 Pcs Superstay Mate Ink Waterproof Lip Gloss Beauty Lips Makeup Set (NUDE MATTE INK)</t>
        </is>
      </c>
      <c r="E617" s="2">
        <f>HYPERLINK("https://www.amazon.com/Liquid-Lipstick-Superstay-Waterproof-Beauty/dp/B07VC8HBPC/ref=sr_1_9?keywords=Lip+Synergy+Liquid+Lipstick&amp;qid=1695565668&amp;sr=8-9", "https://www.amazon.com/Liquid-Lipstick-Superstay-Waterproof-Beauty/dp/B07VC8HBPC/ref=sr_1_9?keywords=Lip+Synergy+Liquid+Lipstick&amp;qid=1695565668&amp;sr=8-9")</f>
        <v/>
      </c>
      <c r="F617" t="inlineStr">
        <is>
          <t>B07VC8HBPC</t>
        </is>
      </c>
      <c r="G617">
        <f>_xlfn.IMAGE("https://camerareadycosmetics.com/cdn/shop/products/cozette-LipsynMiyake-1_50x.jpg?v=1633669118")</f>
        <v/>
      </c>
      <c r="H617">
        <f>_xlfn.IMAGE("https://m.media-amazon.com/images/I/71yP51jQqbL._AC_UL320_.jpg")</f>
        <v/>
      </c>
      <c r="K617" t="inlineStr">
        <is>
          <t>19.0</t>
        </is>
      </c>
      <c r="L617" t="n">
        <v>6.99</v>
      </c>
      <c r="M617" s="1" t="inlineStr">
        <is>
          <t>-63.21%</t>
        </is>
      </c>
      <c r="N617" t="n">
        <v>4</v>
      </c>
      <c r="O617" t="n">
        <v>2211</v>
      </c>
      <c r="Q617" t="inlineStr">
        <is>
          <t>InStock</t>
        </is>
      </c>
      <c r="R617" t="inlineStr">
        <is>
          <t>undefined</t>
        </is>
      </c>
      <c r="S617" t="inlineStr">
        <is>
          <t>1408691503215</t>
        </is>
      </c>
    </row>
    <row r="618" ht="75" customHeight="1">
      <c r="A618" s="2">
        <f>HYPERLINK("https://camerareadycosmetics.com/products/cozzette-lip-synergy", "https://camerareadycosmetics.com/products/cozzette-lip-synergy")</f>
        <v/>
      </c>
      <c r="B618" s="2">
        <f>HYPERLINK("https://camerareadycosmetics.com/products/cozzette-lip-synergy", "https://camerareadycosmetics.com/products/cozzette-lip-synergy")</f>
        <v/>
      </c>
      <c r="C618" t="inlineStr">
        <is>
          <t>Lip Synergy Liquid Lipstick</t>
        </is>
      </c>
      <c r="D618" t="inlineStr">
        <is>
          <t>MIESCHER 3 Colors Matte Liquid Lipstick Makeup Set, Long Lasting Waterproof Lip Gloss Velvety Matte Liquid Lipstick Lip Gloss Kit, Longwear Not Fade Smudge Proof &amp; Non-stick Cup Lip Stain Tube Bold Sexy Red Lip Makeup for Women Girls(05# Rose)</t>
        </is>
      </c>
      <c r="E618" s="2">
        <f>HYPERLINK("https://www.amazon.com/MIESCHER-Lipstick-Waterproof-Longwear-Non-stick/dp/B0BZPBR5K8/ref=sr_1_6?keywords=Lip+Synergy+Liquid+Lipstick&amp;qid=1695565668&amp;sr=8-6", "https://www.amazon.com/MIESCHER-Lipstick-Waterproof-Longwear-Non-stick/dp/B0BZPBR5K8/ref=sr_1_6?keywords=Lip+Synergy+Liquid+Lipstick&amp;qid=1695565668&amp;sr=8-6")</f>
        <v/>
      </c>
      <c r="F618" t="inlineStr">
        <is>
          <t>B0BZPBR5K8</t>
        </is>
      </c>
      <c r="G618">
        <f>_xlfn.IMAGE("https://camerareadycosmetics.com/cdn/shop/products/cozette-LipsynMiyake-1_50x.jpg?v=1633669118")</f>
        <v/>
      </c>
      <c r="H618">
        <f>_xlfn.IMAGE("https://m.media-amazon.com/images/I/71BUNGHtUXL._AC_UL320_.jpg")</f>
        <v/>
      </c>
      <c r="K618" t="inlineStr">
        <is>
          <t>19.0</t>
        </is>
      </c>
      <c r="L618" t="n">
        <v>5.99</v>
      </c>
      <c r="M618" s="1" t="inlineStr">
        <is>
          <t>-68.47%</t>
        </is>
      </c>
      <c r="N618" t="n">
        <v>4.5</v>
      </c>
      <c r="O618" t="n">
        <v>4</v>
      </c>
      <c r="Q618" t="inlineStr">
        <is>
          <t>InStock</t>
        </is>
      </c>
      <c r="R618" t="inlineStr">
        <is>
          <t>undefined</t>
        </is>
      </c>
      <c r="S618" t="inlineStr">
        <is>
          <t>1408691503215</t>
        </is>
      </c>
    </row>
    <row r="619" ht="75" customHeight="1">
      <c r="A619" s="2">
        <f>HYPERLINK("https://camerareadycosmetics.com/products/cozzette-lip-synergy", "https://camerareadycosmetics.com/products/cozzette-lip-synergy")</f>
        <v/>
      </c>
      <c r="B619" s="2">
        <f>HYPERLINK("https://camerareadycosmetics.com/products/cozzette-lip-synergy", "https://camerareadycosmetics.com/products/cozzette-lip-synergy")</f>
        <v/>
      </c>
      <c r="C619" t="inlineStr">
        <is>
          <t>Lip Synergy Liquid Lipstick</t>
        </is>
      </c>
      <c r="D619" t="inlineStr">
        <is>
          <t>Black Radiance Perfect Tone Matte Liquid Lipstick Lip Crème Mod Cougar</t>
        </is>
      </c>
      <c r="E619" s="2">
        <f>HYPERLINK("https://www.amazon.com/Black-Radiance-Perfect-Matte-Cougar/dp/B07MH1PPZC/ref=sr_1_1?keywords=Lip+Synergy+Liquid+Lipstick&amp;qid=1695565668&amp;sr=8-1", "https://www.amazon.com/Black-Radiance-Perfect-Matte-Cougar/dp/B07MH1PPZC/ref=sr_1_1?keywords=Lip+Synergy+Liquid+Lipstick&amp;qid=1695565668&amp;sr=8-1")</f>
        <v/>
      </c>
      <c r="F619" t="inlineStr">
        <is>
          <t>B07MH1PPZC</t>
        </is>
      </c>
      <c r="G619">
        <f>_xlfn.IMAGE("https://camerareadycosmetics.com/cdn/shop/products/cozette-LipsynMiyake-1_50x.jpg?v=1633669118")</f>
        <v/>
      </c>
      <c r="H619">
        <f>_xlfn.IMAGE("https://m.media-amazon.com/images/I/61H0H-M+CbL._AC_UL320_.jpg")</f>
        <v/>
      </c>
      <c r="K619" t="inlineStr">
        <is>
          <t>19.0</t>
        </is>
      </c>
      <c r="L619" t="n">
        <v>3.39</v>
      </c>
      <c r="M619" s="1" t="inlineStr">
        <is>
          <t>-82.16%</t>
        </is>
      </c>
      <c r="N619" t="n">
        <v>4.3</v>
      </c>
      <c r="O619" t="n">
        <v>1743</v>
      </c>
      <c r="Q619" t="inlineStr">
        <is>
          <t>InStock</t>
        </is>
      </c>
      <c r="R619" t="inlineStr">
        <is>
          <t>undefined</t>
        </is>
      </c>
      <c r="S619" t="inlineStr">
        <is>
          <t>1408691503215</t>
        </is>
      </c>
    </row>
    <row r="620" ht="75" customHeight="1">
      <c r="A620" s="2">
        <f>HYPERLINK("https://camerareadycosmetics.com/products/cozzette-lip-synergy", "https://camerareadycosmetics.com/products/cozzette-lip-synergy")</f>
        <v/>
      </c>
      <c r="B620" s="2">
        <f>HYPERLINK("https://camerareadycosmetics.com/products/cozzette-lip-synergy", "https://camerareadycosmetics.com/products/cozzette-lip-synergy")</f>
        <v/>
      </c>
      <c r="C620" t="inlineStr">
        <is>
          <t>Lip Synergy Liquid Lipstick</t>
        </is>
      </c>
      <c r="D620" t="inlineStr">
        <is>
          <t>Matte Liquid Lipstick set Waterproof Long Lasting Non-Stick Cup Liquid Lipgloss Velvety Liquid Lipstick Kiss-proof Durable Nude Lip Gloss (12PCS)</t>
        </is>
      </c>
      <c r="E620" s="2">
        <f>HYPERLINK("https://www.amazon.com/Lipstick-Waterproof-Non-Stick-Lipgloss-Kiss-proof/dp/B08G4LJSX2/ref=sr_1_8?keywords=Lip+Synergy+Liquid+Lipstick&amp;qid=1695565668&amp;sr=8-8", "https://www.amazon.com/Lipstick-Waterproof-Non-Stick-Lipgloss-Kiss-proof/dp/B08G4LJSX2/ref=sr_1_8?keywords=Lip+Synergy+Liquid+Lipstick&amp;qid=1695565668&amp;sr=8-8")</f>
        <v/>
      </c>
      <c r="F620" t="inlineStr">
        <is>
          <t>B08G4LJSX2</t>
        </is>
      </c>
      <c r="G620">
        <f>_xlfn.IMAGE("https://camerareadycosmetics.com/cdn/shop/products/cozette-LipsynMiyake-1_50x.jpg?v=1633669118")</f>
        <v/>
      </c>
      <c r="H620">
        <f>_xlfn.IMAGE("https://m.media-amazon.com/images/I/717HVmCPO4L._AC_UL320_.jpg")</f>
        <v/>
      </c>
      <c r="K620" t="inlineStr">
        <is>
          <t>19.0</t>
        </is>
      </c>
      <c r="L620" t="n">
        <v>9.99</v>
      </c>
      <c r="M620" s="1" t="inlineStr">
        <is>
          <t>-47.42%</t>
        </is>
      </c>
      <c r="N620" t="n">
        <v>3.9</v>
      </c>
      <c r="O620" t="n">
        <v>552</v>
      </c>
      <c r="Q620" t="inlineStr">
        <is>
          <t>InStock</t>
        </is>
      </c>
      <c r="R620" t="inlineStr">
        <is>
          <t>undefined</t>
        </is>
      </c>
      <c r="S620" t="inlineStr">
        <is>
          <t>1408691503215</t>
        </is>
      </c>
    </row>
    <row r="621" ht="75" customHeight="1">
      <c r="A621" s="2">
        <f>HYPERLINK("https://camerareadycosmetics.com/products/cozzette-lip-synergy", "https://camerareadycosmetics.com/products/cozzette-lip-synergy")</f>
        <v/>
      </c>
      <c r="B621" s="2">
        <f>HYPERLINK("https://camerareadycosmetics.com/products/cozzette-lip-synergy", "https://camerareadycosmetics.com/products/cozzette-lip-synergy")</f>
        <v/>
      </c>
      <c r="C621" t="inlineStr">
        <is>
          <t>Lip Synergy Liquid Lipstick</t>
        </is>
      </c>
      <c r="D621" t="inlineStr">
        <is>
          <t>VOLLUCK Wine Liquid Lipstick Gloss, Lip Tint Waterproof Lipstick Tint, Long Lasting Matte Lip Gloss 6pcs/Set, Non-stick Cup Lipstick Gloss for Women Gift (6 Colors)</t>
        </is>
      </c>
      <c r="E621" s="2">
        <f>HYPERLINK("https://www.amazon.com/Liquid-Lipstick-Waterproof-Lasting-Non-stick/dp/B086LC1T3N/ref=sr_1_10?keywords=Lip+Synergy+Liquid+Lipstick&amp;qid=1695565668&amp;sr=8-10", "https://www.amazon.com/Liquid-Lipstick-Waterproof-Lasting-Non-stick/dp/B086LC1T3N/ref=sr_1_10?keywords=Lip+Synergy+Liquid+Lipstick&amp;qid=1695565668&amp;sr=8-10")</f>
        <v/>
      </c>
      <c r="F621" t="inlineStr">
        <is>
          <t>B086LC1T3N</t>
        </is>
      </c>
      <c r="G621">
        <f>_xlfn.IMAGE("https://camerareadycosmetics.com/cdn/shop/products/cozette-LipsynMiyake-1_50x.jpg?v=1633669118")</f>
        <v/>
      </c>
      <c r="H621">
        <f>_xlfn.IMAGE("https://m.media-amazon.com/images/I/61M5oI3Ri+L._AC_UL320_.jpg")</f>
        <v/>
      </c>
      <c r="K621" t="inlineStr">
        <is>
          <t>19.0</t>
        </is>
      </c>
      <c r="L621" t="n">
        <v>9.99</v>
      </c>
      <c r="M621" s="1" t="inlineStr">
        <is>
          <t>-47.42%</t>
        </is>
      </c>
      <c r="N621" t="n">
        <v>3.8</v>
      </c>
      <c r="O621" t="n">
        <v>1113</v>
      </c>
      <c r="Q621" t="inlineStr">
        <is>
          <t>InStock</t>
        </is>
      </c>
      <c r="R621" t="inlineStr">
        <is>
          <t>undefined</t>
        </is>
      </c>
      <c r="S621" t="inlineStr">
        <is>
          <t>1408691503215</t>
        </is>
      </c>
    </row>
    <row r="622" ht="75" customHeight="1">
      <c r="A622" s="2">
        <f>HYPERLINK("https://camerareadycosmetics.com/products/cozzette-lip-synergy", "https://camerareadycosmetics.com/products/cozzette-lip-synergy")</f>
        <v/>
      </c>
      <c r="B622" s="2">
        <f>HYPERLINK("https://camerareadycosmetics.com/products/cozzette-lip-synergy", "https://camerareadycosmetics.com/products/cozzette-lip-synergy")</f>
        <v/>
      </c>
      <c r="C622" t="inlineStr">
        <is>
          <t>Lip Synergy Liquid Lipstick</t>
        </is>
      </c>
      <c r="D622" t="inlineStr">
        <is>
          <t>evpct 2 In 1 Matte Lipstick &amp; Long Lasting Smudge Proof Liquid Lipstick Lip Gloss Stain 6Pcs Set for Women Dark Ruby Red Nude Beige Pink Mauve Matte Vegan Long Wear Waterproof 24 Hour Lipstick Pack 01</t>
        </is>
      </c>
      <c r="E622" s="2">
        <f>HYPERLINK("https://www.amazon.com/evpct-Lipstick-Lasting-Smudge-Waterproof/dp/B0C5QH8XJQ/ref=sr_1_4?keywords=Lip+Synergy+Liquid+Lipstick&amp;qid=1695565668&amp;sr=8-4", "https://www.amazon.com/evpct-Lipstick-Lasting-Smudge-Waterproof/dp/B0C5QH8XJQ/ref=sr_1_4?keywords=Lip+Synergy+Liquid+Lipstick&amp;qid=1695565668&amp;sr=8-4")</f>
        <v/>
      </c>
      <c r="F622" t="inlineStr">
        <is>
          <t>B0C5QH8XJQ</t>
        </is>
      </c>
      <c r="G622">
        <f>_xlfn.IMAGE("https://camerareadycosmetics.com/cdn/shop/products/cozette-LipsynMiyake-1_50x.jpg?v=1633669118")</f>
        <v/>
      </c>
      <c r="H622">
        <f>_xlfn.IMAGE("https://m.media-amazon.com/images/I/61Vr5WtMiCL._AC_UL320_.jpg")</f>
        <v/>
      </c>
      <c r="K622" t="inlineStr">
        <is>
          <t>19.0</t>
        </is>
      </c>
      <c r="L622" t="n">
        <v>9.99</v>
      </c>
      <c r="M622" s="1" t="inlineStr">
        <is>
          <t>-47.42%</t>
        </is>
      </c>
      <c r="N622" t="n">
        <v>3.7</v>
      </c>
      <c r="O622" t="n">
        <v>48</v>
      </c>
      <c r="Q622" t="inlineStr">
        <is>
          <t>InStock</t>
        </is>
      </c>
      <c r="R622" t="inlineStr">
        <is>
          <t>undefined</t>
        </is>
      </c>
      <c r="S622" t="inlineStr">
        <is>
          <t>1408691503215</t>
        </is>
      </c>
    </row>
    <row r="623" ht="75" customHeight="1">
      <c r="A623" s="2">
        <f>HYPERLINK("https://camerareadycosmetics.com/products/cozzette-lip-synergy", "https://camerareadycosmetics.com/products/cozzette-lip-synergy")</f>
        <v/>
      </c>
      <c r="B623" s="2">
        <f>HYPERLINK("https://camerareadycosmetics.com/products/cozzette-lip-synergy", "https://camerareadycosmetics.com/products/cozzette-lip-synergy")</f>
        <v/>
      </c>
      <c r="C623" t="inlineStr">
        <is>
          <t>Lip Synergy Liquid Lipstick</t>
        </is>
      </c>
      <c r="D623" t="inlineStr">
        <is>
          <t>6 Colors Matte Red Wine Liquid Lipstick Pack Set,Wine Lip Tint Long Lasting 24 Hour Waterproof Velvet Nonstick Cup Lipgloss Lip Stain Pigmented Lip Makeup Gift Sets for Girls and Women Labiales</t>
        </is>
      </c>
      <c r="E623" s="2">
        <f>HYPERLINK("https://www.amazon.com/Lipstick-Waterproof-Nonstick-Lipgloss-Pigmented/dp/B0C3LNSCXY/ref=sr_1_5?keywords=Lip+Synergy+Liquid+Lipstick&amp;qid=1695565668&amp;sr=8-5", "https://www.amazon.com/Lipstick-Waterproof-Nonstick-Lipgloss-Pigmented/dp/B0C3LNSCXY/ref=sr_1_5?keywords=Lip+Synergy+Liquid+Lipstick&amp;qid=1695565668&amp;sr=8-5")</f>
        <v/>
      </c>
      <c r="F623" t="inlineStr">
        <is>
          <t>B0C3LNSCXY</t>
        </is>
      </c>
      <c r="G623">
        <f>_xlfn.IMAGE("https://camerareadycosmetics.com/cdn/shop/products/cozette-LipsynMiyake-1_50x.jpg?v=1633669118")</f>
        <v/>
      </c>
      <c r="H623">
        <f>_xlfn.IMAGE("https://m.media-amazon.com/images/I/61pccZdb8yL._AC_UL320_.jpg")</f>
        <v/>
      </c>
      <c r="K623" t="inlineStr">
        <is>
          <t>19.0</t>
        </is>
      </c>
      <c r="L623" t="n">
        <v>8.99</v>
      </c>
      <c r="M623" s="1" t="inlineStr">
        <is>
          <t>-52.68%</t>
        </is>
      </c>
      <c r="N623" t="n">
        <v>3.8</v>
      </c>
      <c r="O623" t="n">
        <v>227</v>
      </c>
      <c r="Q623" t="inlineStr">
        <is>
          <t>InStock</t>
        </is>
      </c>
      <c r="R623" t="inlineStr">
        <is>
          <t>undefined</t>
        </is>
      </c>
      <c r="S623" t="inlineStr">
        <is>
          <t>1408691503215</t>
        </is>
      </c>
    </row>
    <row r="624" ht="75" customHeight="1">
      <c r="A624" s="2">
        <f>HYPERLINK("https://camerareadycosmetics.com/products/cozzette-lip-synergy", "https://camerareadycosmetics.com/products/cozzette-lip-synergy")</f>
        <v/>
      </c>
      <c r="B624" s="2">
        <f>HYPERLINK("https://camerareadycosmetics.com/products/cozzette-lip-synergy", "https://camerareadycosmetics.com/products/cozzette-lip-synergy")</f>
        <v/>
      </c>
      <c r="C624" t="inlineStr">
        <is>
          <t>Lip Synergy Liquid Lipstick</t>
        </is>
      </c>
      <c r="D624" t="inlineStr">
        <is>
          <t>evpct 3Pcs Dark Red Plum Purple Matte 24-hour Liquid Lipstick Sets for Women DNM Matte Lipstick Lip Stain Long Lasting 24 Smudge Waterproof Lip Gloss Gift Set Matt Lipsticks Set Matt Liquid Lipstick</t>
        </is>
      </c>
      <c r="E624" s="2">
        <f>HYPERLINK("https://www.amazon.com/evpct-24-hour-Lipstick-Waterproof-Lipsticks/dp/B0CCDG5NHJ/ref=sr_1_7?keywords=Lip+Synergy+Liquid+Lipstick&amp;qid=1695565668&amp;sr=8-7", "https://www.amazon.com/evpct-24-hour-Lipstick-Waterproof-Lipsticks/dp/B0CCDG5NHJ/ref=sr_1_7?keywords=Lip+Synergy+Liquid+Lipstick&amp;qid=1695565668&amp;sr=8-7")</f>
        <v/>
      </c>
      <c r="F624" t="inlineStr">
        <is>
          <t>B0CCDG5NHJ</t>
        </is>
      </c>
      <c r="G624">
        <f>_xlfn.IMAGE("https://camerareadycosmetics.com/cdn/shop/products/cozette-LipsynMiyake-1_50x.jpg?v=1633669118")</f>
        <v/>
      </c>
      <c r="H624">
        <f>_xlfn.IMAGE("https://m.media-amazon.com/images/I/611yLz4CK3L._AC_UL320_.jpg")</f>
        <v/>
      </c>
      <c r="K624" t="inlineStr">
        <is>
          <t>19.0</t>
        </is>
      </c>
      <c r="L624" t="n">
        <v>7.99</v>
      </c>
      <c r="M624" s="1" t="inlineStr">
        <is>
          <t>-57.95%</t>
        </is>
      </c>
      <c r="N624" t="n">
        <v>4.1</v>
      </c>
      <c r="O624" t="n">
        <v>4024</v>
      </c>
      <c r="Q624" t="inlineStr">
        <is>
          <t>InStock</t>
        </is>
      </c>
      <c r="R624" t="inlineStr">
        <is>
          <t>undefined</t>
        </is>
      </c>
      <c r="S624" t="inlineStr">
        <is>
          <t>1408691503215</t>
        </is>
      </c>
    </row>
    <row r="625" ht="75" customHeight="1">
      <c r="A625" s="2">
        <f>HYPERLINK("https://camerareadycosmetics.com/products/cozzette-lip-synergy", "https://camerareadycosmetics.com/products/cozzette-lip-synergy")</f>
        <v/>
      </c>
      <c r="B625" s="2">
        <f>HYPERLINK("https://camerareadycosmetics.com/products/cozzette-lip-synergy", "https://camerareadycosmetics.com/products/cozzette-lip-synergy")</f>
        <v/>
      </c>
      <c r="C625" t="inlineStr">
        <is>
          <t>Lip Synergy Liquid Lipstick</t>
        </is>
      </c>
      <c r="D625" t="inlineStr">
        <is>
          <t>Palladio Long-Wear Cream Lip Color Liquid Lipstick, transfer proof high intensity color pigment, smooth lightweight formula, cream color matte finish, all day wear (Bare)</t>
        </is>
      </c>
      <c r="E625" s="2">
        <f>HYPERLINK("https://www.amazon.com/Palladio-Long-Wear-Lipstick-intensity-lightweight/dp/B093CHS2CG/ref=sr_1_2?keywords=Lip+Synergy+Liquid+Lipstick&amp;qid=1695565668&amp;sr=8-2", "https://www.amazon.com/Palladio-Long-Wear-Lipstick-intensity-lightweight/dp/B093CHS2CG/ref=sr_1_2?keywords=Lip+Synergy+Liquid+Lipstick&amp;qid=1695565668&amp;sr=8-2")</f>
        <v/>
      </c>
      <c r="F625" t="inlineStr">
        <is>
          <t>B093CHS2CG</t>
        </is>
      </c>
      <c r="G625">
        <f>_xlfn.IMAGE("https://camerareadycosmetics.com/cdn/shop/products/cozette-LipsynMiyake-1_50x.jpg?v=1633669118")</f>
        <v/>
      </c>
      <c r="H625">
        <f>_xlfn.IMAGE("https://m.media-amazon.com/images/I/61uENhSKH3S._AC_UL320_.jpg")</f>
        <v/>
      </c>
      <c r="K625" t="inlineStr">
        <is>
          <t>19.0</t>
        </is>
      </c>
      <c r="L625" t="n">
        <v>7.99</v>
      </c>
      <c r="M625" s="1" t="inlineStr">
        <is>
          <t>-57.95%</t>
        </is>
      </c>
      <c r="N625" t="n">
        <v>4.2</v>
      </c>
      <c r="O625" t="n">
        <v>94</v>
      </c>
      <c r="Q625" t="inlineStr">
        <is>
          <t>InStock</t>
        </is>
      </c>
      <c r="R625" t="inlineStr">
        <is>
          <t>undefined</t>
        </is>
      </c>
      <c r="S625" t="inlineStr">
        <is>
          <t>1408691503215</t>
        </is>
      </c>
    </row>
    <row r="626" ht="75" customHeight="1">
      <c r="A626" s="2">
        <f>HYPERLINK("https://camerareadycosmetics.com/products/cozzette-lip-synergy", "https://camerareadycosmetics.com/products/cozzette-lip-synergy")</f>
        <v/>
      </c>
      <c r="B626" s="2">
        <f>HYPERLINK("https://camerareadycosmetics.com/products/cozzette-lip-synergy", "https://camerareadycosmetics.com/products/cozzette-lip-synergy")</f>
        <v/>
      </c>
      <c r="C626" t="inlineStr">
        <is>
          <t>Lip Synergy Liquid Lipstick</t>
        </is>
      </c>
      <c r="D626" t="inlineStr">
        <is>
          <t>Rechoo Matte Liquid Lipstick Set, 6 Pcs Superstay Mate Ink Waterproof Lip Gloss Beauty Lips Makeup Set (NUDE MATTE INK)</t>
        </is>
      </c>
      <c r="E626" s="2">
        <f>HYPERLINK("https://www.amazon.com/Liquid-Lipstick-Superstay-Waterproof-Beauty/dp/B07VC8HBPC/ref=sr_1_9?keywords=Lip+Synergy+Liquid+Lipstick&amp;qid=1695565668&amp;sr=8-9", "https://www.amazon.com/Liquid-Lipstick-Superstay-Waterproof-Beauty/dp/B07VC8HBPC/ref=sr_1_9?keywords=Lip+Synergy+Liquid+Lipstick&amp;qid=1695565668&amp;sr=8-9")</f>
        <v/>
      </c>
      <c r="F626" t="inlineStr">
        <is>
          <t>B07VC8HBPC</t>
        </is>
      </c>
      <c r="G626">
        <f>_xlfn.IMAGE("https://camerareadycosmetics.com/cdn/shop/products/cozette-LipsynMiyake-1_50x.jpg?v=1633669118")</f>
        <v/>
      </c>
      <c r="H626">
        <f>_xlfn.IMAGE("https://m.media-amazon.com/images/I/71yP51jQqbL._AC_UL320_.jpg")</f>
        <v/>
      </c>
      <c r="K626" t="inlineStr">
        <is>
          <t>19.0</t>
        </is>
      </c>
      <c r="L626" t="n">
        <v>6.99</v>
      </c>
      <c r="M626" s="1" t="inlineStr">
        <is>
          <t>-63.21%</t>
        </is>
      </c>
      <c r="N626" t="n">
        <v>4</v>
      </c>
      <c r="O626" t="n">
        <v>2211</v>
      </c>
      <c r="Q626" t="inlineStr">
        <is>
          <t>InStock</t>
        </is>
      </c>
      <c r="R626" t="inlineStr">
        <is>
          <t>undefined</t>
        </is>
      </c>
      <c r="S626" t="inlineStr">
        <is>
          <t>1408691503215</t>
        </is>
      </c>
    </row>
    <row r="627" ht="75" customHeight="1">
      <c r="A627" s="2">
        <f>HYPERLINK("https://camerareadycosmetics.com/products/cozzette-lip-synergy", "https://camerareadycosmetics.com/products/cozzette-lip-synergy")</f>
        <v/>
      </c>
      <c r="B627" s="2">
        <f>HYPERLINK("https://camerareadycosmetics.com/products/cozzette-lip-synergy", "https://camerareadycosmetics.com/products/cozzette-lip-synergy")</f>
        <v/>
      </c>
      <c r="C627" t="inlineStr">
        <is>
          <t>Lip Synergy Liquid Lipstick</t>
        </is>
      </c>
      <c r="D627" t="inlineStr">
        <is>
          <t>MIESCHER 3 Colors Matte Liquid Lipstick Makeup Set, Long Lasting Waterproof Lip Gloss Velvety Matte Liquid Lipstick Lip Gloss Kit, Longwear Not Fade Smudge Proof &amp; Non-stick Cup Lip Stain Tube Bold Sexy Red Lip Makeup for Women Girls(05# Rose)</t>
        </is>
      </c>
      <c r="E627" s="2">
        <f>HYPERLINK("https://www.amazon.com/MIESCHER-Lipstick-Waterproof-Longwear-Non-stick/dp/B0BZPBR5K8/ref=sr_1_6?keywords=Lip+Synergy+Liquid+Lipstick&amp;qid=1695565668&amp;sr=8-6", "https://www.amazon.com/MIESCHER-Lipstick-Waterproof-Longwear-Non-stick/dp/B0BZPBR5K8/ref=sr_1_6?keywords=Lip+Synergy+Liquid+Lipstick&amp;qid=1695565668&amp;sr=8-6")</f>
        <v/>
      </c>
      <c r="F627" t="inlineStr">
        <is>
          <t>B0BZPBR5K8</t>
        </is>
      </c>
      <c r="G627">
        <f>_xlfn.IMAGE("https://camerareadycosmetics.com/cdn/shop/products/cozette-LipsynMiyake-1_50x.jpg?v=1633669118")</f>
        <v/>
      </c>
      <c r="H627">
        <f>_xlfn.IMAGE("https://m.media-amazon.com/images/I/71BUNGHtUXL._AC_UL320_.jpg")</f>
        <v/>
      </c>
      <c r="K627" t="inlineStr">
        <is>
          <t>19.0</t>
        </is>
      </c>
      <c r="L627" t="n">
        <v>5.99</v>
      </c>
      <c r="M627" s="1" t="inlineStr">
        <is>
          <t>-68.47%</t>
        </is>
      </c>
      <c r="N627" t="n">
        <v>4.5</v>
      </c>
      <c r="O627" t="n">
        <v>4</v>
      </c>
      <c r="Q627" t="inlineStr">
        <is>
          <t>InStock</t>
        </is>
      </c>
      <c r="R627" t="inlineStr">
        <is>
          <t>undefined</t>
        </is>
      </c>
      <c r="S627" t="inlineStr">
        <is>
          <t>1408691503215</t>
        </is>
      </c>
    </row>
    <row r="628" ht="75" customHeight="1">
      <c r="A628" s="2">
        <f>HYPERLINK("https://camerareadycosmetics.com/products/cozzette-lip-synergy", "https://camerareadycosmetics.com/products/cozzette-lip-synergy")</f>
        <v/>
      </c>
      <c r="B628" s="2">
        <f>HYPERLINK("https://camerareadycosmetics.com/products/cozzette-lip-synergy", "https://camerareadycosmetics.com/products/cozzette-lip-synergy")</f>
        <v/>
      </c>
      <c r="C628" t="inlineStr">
        <is>
          <t>Lip Synergy Liquid Lipstick</t>
        </is>
      </c>
      <c r="D628" t="inlineStr">
        <is>
          <t>Black Radiance Perfect Tone Matte Liquid Lipstick Lip Crème Mod Cougar</t>
        </is>
      </c>
      <c r="E628" s="2">
        <f>HYPERLINK("https://www.amazon.com/Black-Radiance-Perfect-Matte-Cougar/dp/B07MH1PPZC/ref=sr_1_1?keywords=Lip+Synergy+Liquid+Lipstick&amp;qid=1695565668&amp;sr=8-1", "https://www.amazon.com/Black-Radiance-Perfect-Matte-Cougar/dp/B07MH1PPZC/ref=sr_1_1?keywords=Lip+Synergy+Liquid+Lipstick&amp;qid=1695565668&amp;sr=8-1")</f>
        <v/>
      </c>
      <c r="F628" t="inlineStr">
        <is>
          <t>B07MH1PPZC</t>
        </is>
      </c>
      <c r="G628">
        <f>_xlfn.IMAGE("https://camerareadycosmetics.com/cdn/shop/products/cozette-LipsynMiyake-1_50x.jpg?v=1633669118")</f>
        <v/>
      </c>
      <c r="H628">
        <f>_xlfn.IMAGE("https://m.media-amazon.com/images/I/61H0H-M+CbL._AC_UL320_.jpg")</f>
        <v/>
      </c>
      <c r="K628" t="inlineStr">
        <is>
          <t>19.0</t>
        </is>
      </c>
      <c r="L628" t="n">
        <v>3.39</v>
      </c>
      <c r="M628" s="1" t="inlineStr">
        <is>
          <t>-82.16%</t>
        </is>
      </c>
      <c r="N628" t="n">
        <v>4.3</v>
      </c>
      <c r="O628" t="n">
        <v>1743</v>
      </c>
      <c r="Q628" t="inlineStr">
        <is>
          <t>InStock</t>
        </is>
      </c>
      <c r="R628" t="inlineStr">
        <is>
          <t>undefined</t>
        </is>
      </c>
      <c r="S628" t="inlineStr">
        <is>
          <t>1408691503215</t>
        </is>
      </c>
    </row>
    <row r="629" ht="75" customHeight="1">
      <c r="A629" s="2">
        <f>HYPERLINK("https://camerareadycosmetics.com/products/cozzette-lip-synergy-lip-gloss", "https://camerareadycosmetics.com/products/cozzette-lip-synergy-lip-gloss")</f>
        <v/>
      </c>
      <c r="B629" s="2">
        <f>HYPERLINK("https://camerareadycosmetics.com/products/cozzette-lip-synergy-lip-gloss", "https://camerareadycosmetics.com/products/cozzette-lip-synergy-lip-gloss")</f>
        <v/>
      </c>
      <c r="C629" t="inlineStr">
        <is>
          <t>Lip Synergy Lip Gloss</t>
        </is>
      </c>
      <c r="D629" t="inlineStr">
        <is>
          <t>stila Beauty Boss Lip Gloss, Lip Plumper Lip Gloss-Paraben &amp; Cruelty-Free</t>
        </is>
      </c>
      <c r="E629" s="2">
        <f>HYPERLINK("https://www.amazon.com/stila-Beauty-Plumper-Gloss-Paraben-Cruelty-Free/dp/B07NGQM9BK/ref=sr_1_9?keywords=Lip+Synergy+Lip+Gloss&amp;qid=1695565681&amp;sr=8-9", "https://www.amazon.com/stila-Beauty-Plumper-Gloss-Paraben-Cruelty-Free/dp/B07NGQM9BK/ref=sr_1_9?keywords=Lip+Synergy+Lip+Gloss&amp;qid=1695565681&amp;sr=8-9")</f>
        <v/>
      </c>
      <c r="F629" t="inlineStr">
        <is>
          <t>B07NGQM9BK</t>
        </is>
      </c>
      <c r="G629">
        <f>_xlfn.IMAGE("https://camerareadycosmetics.com/cdn/shop/products/lipglossDelightW_50x.jpg?v=1633669175")</f>
        <v/>
      </c>
      <c r="H629">
        <f>_xlfn.IMAGE("https://m.media-amazon.com/images/I/61VPdS+y0WL._AC_UL320_.jpg")</f>
        <v/>
      </c>
      <c r="K629" t="inlineStr">
        <is>
          <t>19.0</t>
        </is>
      </c>
      <c r="L629" t="n">
        <v>15</v>
      </c>
      <c r="M629" s="1" t="inlineStr">
        <is>
          <t>-21.05%</t>
        </is>
      </c>
      <c r="N629" t="n">
        <v>4.4</v>
      </c>
      <c r="O629" t="n">
        <v>1121</v>
      </c>
      <c r="Q629" t="inlineStr">
        <is>
          <t>InStock</t>
        </is>
      </c>
      <c r="R629" t="inlineStr">
        <is>
          <t>undefined</t>
        </is>
      </c>
      <c r="S629" t="inlineStr">
        <is>
          <t>7025419550905</t>
        </is>
      </c>
    </row>
    <row r="630" ht="75" customHeight="1">
      <c r="A630" s="2">
        <f>HYPERLINK("https://camerareadycosmetics.com/products/cozzette-lip-synergy-lip-gloss", "https://camerareadycosmetics.com/products/cozzette-lip-synergy-lip-gloss")</f>
        <v/>
      </c>
      <c r="B630" s="2">
        <f>HYPERLINK("https://camerareadycosmetics.com/products/cozzette-lip-synergy-lip-gloss", "https://camerareadycosmetics.com/products/cozzette-lip-synergy-lip-gloss")</f>
        <v/>
      </c>
      <c r="C630" t="inlineStr">
        <is>
          <t>Lip Synergy Lip Gloss</t>
        </is>
      </c>
      <c r="D630" t="inlineStr">
        <is>
          <t>Expressions 12pc Clear Lip Gloss Pack – Lip Oils with Vitamin E and Essential Oils, Flavored Lip Gloss Clear Tubes, Hydrating Lip Glow Oil, Tinted Lip Oil, Lip Moisturizer</t>
        </is>
      </c>
      <c r="E630" s="2">
        <f>HYPERLINK("https://www.amazon.com/Expressions-12pc-Clear-Gloss-Pack/dp/B0C62T34T8/ref=sr_1_10?keywords=Lip+Synergy+Lip+Gloss&amp;qid=1695565681&amp;sr=8-10", "https://www.amazon.com/Expressions-12pc-Clear-Gloss-Pack/dp/B0C62T34T8/ref=sr_1_10?keywords=Lip+Synergy+Lip+Gloss&amp;qid=1695565681&amp;sr=8-10")</f>
        <v/>
      </c>
      <c r="F630" t="inlineStr">
        <is>
          <t>B0C62T34T8</t>
        </is>
      </c>
      <c r="G630">
        <f>_xlfn.IMAGE("https://camerareadycosmetics.com/cdn/shop/products/lipglossDelightW_50x.jpg?v=1633669175")</f>
        <v/>
      </c>
      <c r="H630">
        <f>_xlfn.IMAGE("https://m.media-amazon.com/images/I/81hz085Qp0L._AC_UL320_.jpg")</f>
        <v/>
      </c>
      <c r="K630" t="inlineStr">
        <is>
          <t>19.0</t>
        </is>
      </c>
      <c r="L630" t="n">
        <v>14.99</v>
      </c>
      <c r="M630" s="1" t="inlineStr">
        <is>
          <t>-21.11%</t>
        </is>
      </c>
      <c r="N630" t="n">
        <v>3.8</v>
      </c>
      <c r="O630" t="n">
        <v>13</v>
      </c>
      <c r="Q630" t="inlineStr">
        <is>
          <t>InStock</t>
        </is>
      </c>
      <c r="R630" t="inlineStr">
        <is>
          <t>undefined</t>
        </is>
      </c>
      <c r="S630" t="inlineStr">
        <is>
          <t>7025419550905</t>
        </is>
      </c>
    </row>
    <row r="631" ht="75" customHeight="1">
      <c r="A631" s="2">
        <f>HYPERLINK("https://camerareadycosmetics.com/products/cozzette-lip-synergy-lip-gloss", "https://camerareadycosmetics.com/products/cozzette-lip-synergy-lip-gloss")</f>
        <v/>
      </c>
      <c r="B631" s="2">
        <f>HYPERLINK("https://camerareadycosmetics.com/products/cozzette-lip-synergy-lip-gloss", "https://camerareadycosmetics.com/products/cozzette-lip-synergy-lip-gloss")</f>
        <v/>
      </c>
      <c r="C631" t="inlineStr">
        <is>
          <t>Lip Synergy Lip Gloss</t>
        </is>
      </c>
      <c r="D631" t="inlineStr">
        <is>
          <t>6PCS Lip Oil Light Lipgloss Set, Moisturizing Hydrating Lip Glow Oil Lip Gloss Kit High Shine Lip Plumping Glass Finish Lip Gloss Liquid Lipstick for Women (Set C)</t>
        </is>
      </c>
      <c r="E631" s="2">
        <f>HYPERLINK("https://www.amazon.com/BANGFENG-Lipgloss-Moisturizing-Hydrating-Plumping/dp/B0C9HQPQD5/ref=sr_1_5?keywords=Lip+Synergy+Lip+Gloss&amp;qid=1695565681&amp;sr=8-5", "https://www.amazon.com/BANGFENG-Lipgloss-Moisturizing-Hydrating-Plumping/dp/B0C9HQPQD5/ref=sr_1_5?keywords=Lip+Synergy+Lip+Gloss&amp;qid=1695565681&amp;sr=8-5")</f>
        <v/>
      </c>
      <c r="F631" t="inlineStr">
        <is>
          <t>B0C9HQPQD5</t>
        </is>
      </c>
      <c r="G631">
        <f>_xlfn.IMAGE("https://camerareadycosmetics.com/cdn/shop/products/lipglossDelightW_50x.jpg?v=1633669175")</f>
        <v/>
      </c>
      <c r="H631">
        <f>_xlfn.IMAGE("https://m.media-amazon.com/images/I/61mHB3M6qmL._AC_UL320_.jpg")</f>
        <v/>
      </c>
      <c r="K631" t="inlineStr">
        <is>
          <t>19.0</t>
        </is>
      </c>
      <c r="L631" t="n">
        <v>9.99</v>
      </c>
      <c r="M631" s="1" t="inlineStr">
        <is>
          <t>-47.42%</t>
        </is>
      </c>
      <c r="N631" t="n">
        <v>4</v>
      </c>
      <c r="O631" t="n">
        <v>173</v>
      </c>
      <c r="Q631" t="inlineStr">
        <is>
          <t>InStock</t>
        </is>
      </c>
      <c r="R631" t="inlineStr">
        <is>
          <t>undefined</t>
        </is>
      </c>
      <c r="S631" t="inlineStr">
        <is>
          <t>7025419550905</t>
        </is>
      </c>
    </row>
    <row r="632" ht="75" customHeight="1">
      <c r="A632" s="2">
        <f>HYPERLINK("https://camerareadycosmetics.com/products/cozzette-lip-synergy-lip-gloss", "https://camerareadycosmetics.com/products/cozzette-lip-synergy-lip-gloss")</f>
        <v/>
      </c>
      <c r="B632" s="2">
        <f>HYPERLINK("https://camerareadycosmetics.com/products/cozzette-lip-synergy-lip-gloss", "https://camerareadycosmetics.com/products/cozzette-lip-synergy-lip-gloss")</f>
        <v/>
      </c>
      <c r="C632" t="inlineStr">
        <is>
          <t>Lip Synergy Lip Gloss</t>
        </is>
      </c>
      <c r="D632" t="inlineStr">
        <is>
          <t>Broadway Vita-Lip Clear Lip Gloss 0.47oz/14ml (10 PCS SET)</t>
        </is>
      </c>
      <c r="E632" s="2">
        <f>HYPERLINK("https://www.amazon.com/Broadway-Vita-Lip-Clear-Gloss-0-47oz/dp/B09DMGWJKY/ref=sr_1_8?keywords=Lip+Synergy+Lip+Gloss&amp;qid=1695565681&amp;sr=8-8", "https://www.amazon.com/Broadway-Vita-Lip-Clear-Gloss-0-47oz/dp/B09DMGWJKY/ref=sr_1_8?keywords=Lip+Synergy+Lip+Gloss&amp;qid=1695565681&amp;sr=8-8")</f>
        <v/>
      </c>
      <c r="F632" t="inlineStr">
        <is>
          <t>B09DMGWJKY</t>
        </is>
      </c>
      <c r="G632">
        <f>_xlfn.IMAGE("https://camerareadycosmetics.com/cdn/shop/products/lipglossDelightW_50x.jpg?v=1633669175")</f>
        <v/>
      </c>
      <c r="H632">
        <f>_xlfn.IMAGE("https://m.media-amazon.com/images/I/81Scw6fgMJL._AC_UL320_.jpg")</f>
        <v/>
      </c>
      <c r="K632" t="inlineStr">
        <is>
          <t>19.0</t>
        </is>
      </c>
      <c r="L632" t="n">
        <v>8.49</v>
      </c>
      <c r="M632" s="1" t="inlineStr">
        <is>
          <t>-55.32%</t>
        </is>
      </c>
      <c r="N632" t="n">
        <v>4.7</v>
      </c>
      <c r="O632" t="n">
        <v>2579</v>
      </c>
      <c r="Q632" t="inlineStr">
        <is>
          <t>InStock</t>
        </is>
      </c>
      <c r="R632" t="inlineStr">
        <is>
          <t>undefined</t>
        </is>
      </c>
      <c r="S632" t="inlineStr">
        <is>
          <t>7025419550905</t>
        </is>
      </c>
    </row>
    <row r="633" ht="75" customHeight="1">
      <c r="A633" s="2">
        <f>HYPERLINK("https://camerareadycosmetics.com/products/cozzette-lip-synergy-lip-gloss", "https://camerareadycosmetics.com/products/cozzette-lip-synergy-lip-gloss")</f>
        <v/>
      </c>
      <c r="B633" s="2">
        <f>HYPERLINK("https://camerareadycosmetics.com/products/cozzette-lip-synergy-lip-gloss", "https://camerareadycosmetics.com/products/cozzette-lip-synergy-lip-gloss")</f>
        <v/>
      </c>
      <c r="C633" t="inlineStr">
        <is>
          <t>Lip Synergy Lip Gloss</t>
        </is>
      </c>
      <c r="D633" t="inlineStr">
        <is>
          <t>Palladio Lip Gloss, Pink Candy, Non-Sticky Lip Gloss, Contains Vitamin E and Aloe, Offers Intense Color and Moisturization, Minimizes Lip Wrinkles, Softens Lips with Beautiful Shiny Finish</t>
        </is>
      </c>
      <c r="E633" s="2">
        <f>HYPERLINK("https://www.amazon.com/Palladio-Non-Sticky-Moisturization-Minimizes-Beautiful/dp/B0009XPA3U/ref=sr_1_3?keywords=Lip+Synergy+Lip+Gloss&amp;qid=1695565681&amp;sr=8-3", "https://www.amazon.com/Palladio-Non-Sticky-Moisturization-Minimizes-Beautiful/dp/B0009XPA3U/ref=sr_1_3?keywords=Lip+Synergy+Lip+Gloss&amp;qid=1695565681&amp;sr=8-3")</f>
        <v/>
      </c>
      <c r="F633" t="inlineStr">
        <is>
          <t>B0009XPA3U</t>
        </is>
      </c>
      <c r="G633">
        <f>_xlfn.IMAGE("https://camerareadycosmetics.com/cdn/shop/products/lipglossDelightW_50x.jpg?v=1633669175")</f>
        <v/>
      </c>
      <c r="H633">
        <f>_xlfn.IMAGE("https://m.media-amazon.com/images/I/51h3HWfDkCL._AC_UL320_.jpg")</f>
        <v/>
      </c>
      <c r="K633" t="inlineStr">
        <is>
          <t>19.0</t>
        </is>
      </c>
      <c r="L633" t="n">
        <v>7.99</v>
      </c>
      <c r="M633" s="1" t="inlineStr">
        <is>
          <t>-57.95%</t>
        </is>
      </c>
      <c r="N633" t="n">
        <v>4.2</v>
      </c>
      <c r="O633" t="n">
        <v>536</v>
      </c>
      <c r="Q633" t="inlineStr">
        <is>
          <t>InStock</t>
        </is>
      </c>
      <c r="R633" t="inlineStr">
        <is>
          <t>undefined</t>
        </is>
      </c>
      <c r="S633" t="inlineStr">
        <is>
          <t>7025419550905</t>
        </is>
      </c>
    </row>
    <row r="634" ht="75" customHeight="1">
      <c r="A634" s="2">
        <f>HYPERLINK("https://camerareadycosmetics.com/products/cozzette-lip-synergy-lip-gloss", "https://camerareadycosmetics.com/products/cozzette-lip-synergy-lip-gloss")</f>
        <v/>
      </c>
      <c r="B634" s="2">
        <f>HYPERLINK("https://camerareadycosmetics.com/products/cozzette-lip-synergy-lip-gloss", "https://camerareadycosmetics.com/products/cozzette-lip-synergy-lip-gloss")</f>
        <v/>
      </c>
      <c r="C634" t="inlineStr">
        <is>
          <t>Lip Synergy Lip Gloss</t>
        </is>
      </c>
      <c r="D634" t="inlineStr">
        <is>
          <t>Palladio Lip Gloss, Non-Sticky Lip Gloss, Contains Vitamin E and Aloe, Offers Intense Color and Moisturization, Minimizes Lip Wrinkles, Softens Lips with Beautiful Shiny Finish, Champagne</t>
        </is>
      </c>
      <c r="E634" s="2">
        <f>HYPERLINK("https://www.amazon.com/Palladio-Champagne-Non-Sticky-Moisturization-Minimizes/dp/B0009XJNPQ/ref=sr_1_1?keywords=Lip+Synergy+Lip+Gloss&amp;qid=1695565681&amp;sr=8-1", "https://www.amazon.com/Palladio-Champagne-Non-Sticky-Moisturization-Minimizes/dp/B0009XJNPQ/ref=sr_1_1?keywords=Lip+Synergy+Lip+Gloss&amp;qid=1695565681&amp;sr=8-1")</f>
        <v/>
      </c>
      <c r="F634" t="inlineStr">
        <is>
          <t>B0009XJNPQ</t>
        </is>
      </c>
      <c r="G634">
        <f>_xlfn.IMAGE("https://camerareadycosmetics.com/cdn/shop/products/lipglossDelightW_50x.jpg?v=1633669175")</f>
        <v/>
      </c>
      <c r="H634">
        <f>_xlfn.IMAGE("https://m.media-amazon.com/images/I/51ftcJtjq5L._AC_UL320_.jpg")</f>
        <v/>
      </c>
      <c r="K634" t="inlineStr">
        <is>
          <t>19.0</t>
        </is>
      </c>
      <c r="L634" t="n">
        <v>7.99</v>
      </c>
      <c r="M634" s="1" t="inlineStr">
        <is>
          <t>-57.95%</t>
        </is>
      </c>
      <c r="N634" t="n">
        <v>4.3</v>
      </c>
      <c r="O634" t="n">
        <v>990</v>
      </c>
      <c r="Q634" t="inlineStr">
        <is>
          <t>InStock</t>
        </is>
      </c>
      <c r="R634" t="inlineStr">
        <is>
          <t>undefined</t>
        </is>
      </c>
      <c r="S634" t="inlineStr">
        <is>
          <t>7025419550905</t>
        </is>
      </c>
    </row>
    <row r="635" ht="75" customHeight="1">
      <c r="A635" s="2">
        <f>HYPERLINK("https://camerareadycosmetics.com/products/cozzette-lip-synergy-lip-gloss", "https://camerareadycosmetics.com/products/cozzette-lip-synergy-lip-gloss")</f>
        <v/>
      </c>
      <c r="B635" s="2">
        <f>HYPERLINK("https://camerareadycosmetics.com/products/cozzette-lip-synergy-lip-gloss", "https://camerareadycosmetics.com/products/cozzette-lip-synergy-lip-gloss")</f>
        <v/>
      </c>
      <c r="C635" t="inlineStr">
        <is>
          <t>Lip Synergy Lip Gloss</t>
        </is>
      </c>
      <c r="D635" t="inlineStr">
        <is>
          <t>6-PACKS Kiss Broadway Clear Lip Gloss (Rosehip Oil)</t>
        </is>
      </c>
      <c r="E635" s="2">
        <f>HYPERLINK("https://www.amazon.com/6-PACKS-Broadway-Clear-Gloss-Rosehip/dp/B07QNTSZB3/ref=sr_1_7?keywords=Lip+Synergy+Lip+Gloss&amp;qid=1695565681&amp;sr=8-7", "https://www.amazon.com/6-PACKS-Broadway-Clear-Gloss-Rosehip/dp/B07QNTSZB3/ref=sr_1_7?keywords=Lip+Synergy+Lip+Gloss&amp;qid=1695565681&amp;sr=8-7")</f>
        <v/>
      </c>
      <c r="F635" t="inlineStr">
        <is>
          <t>B07QNTSZB3</t>
        </is>
      </c>
      <c r="G635">
        <f>_xlfn.IMAGE("https://camerareadycosmetics.com/cdn/shop/products/lipglossDelightW_50x.jpg?v=1633669175")</f>
        <v/>
      </c>
      <c r="H635">
        <f>_xlfn.IMAGE("https://m.media-amazon.com/images/I/81qKm55bf9L._AC_UL320_.jpg")</f>
        <v/>
      </c>
      <c r="K635" t="inlineStr">
        <is>
          <t>19.0</t>
        </is>
      </c>
      <c r="L635" t="n">
        <v>6.99</v>
      </c>
      <c r="M635" s="1" t="inlineStr">
        <is>
          <t>-63.21%</t>
        </is>
      </c>
      <c r="N635" t="n">
        <v>4.7</v>
      </c>
      <c r="O635" t="n">
        <v>987</v>
      </c>
      <c r="Q635" t="inlineStr">
        <is>
          <t>InStock</t>
        </is>
      </c>
      <c r="R635" t="inlineStr">
        <is>
          <t>undefined</t>
        </is>
      </c>
      <c r="S635" t="inlineStr">
        <is>
          <t>7025419550905</t>
        </is>
      </c>
    </row>
    <row r="636" ht="75" customHeight="1">
      <c r="A636" s="2">
        <f>HYPERLINK("https://camerareadycosmetics.com/products/cozzette-lip-synergy-lip-gloss", "https://camerareadycosmetics.com/products/cozzette-lip-synergy-lip-gloss")</f>
        <v/>
      </c>
      <c r="B636" s="2">
        <f>HYPERLINK("https://camerareadycosmetics.com/products/cozzette-lip-synergy-lip-gloss", "https://camerareadycosmetics.com/products/cozzette-lip-synergy-lip-gloss")</f>
        <v/>
      </c>
      <c r="C636" t="inlineStr">
        <is>
          <t>Lip Synergy Lip Gloss</t>
        </is>
      </c>
      <c r="D636" t="inlineStr">
        <is>
          <t>Almay Lip Gloss, Non-Sticky Lip Makeup, Holographic Glitter Finish, Hypoallergenic, 200 Angelic, 0.9 Oz</t>
        </is>
      </c>
      <c r="E636" s="2">
        <f>HYPERLINK("https://www.amazon.com/Almay-Non-Sticky-Holographic-Glitter-Hypoallergenic/dp/B00QRUM5SC/ref=sr_1_2?keywords=Lip+Synergy+Lip+Gloss&amp;qid=1695565681&amp;sr=8-2", "https://www.amazon.com/Almay-Non-Sticky-Holographic-Glitter-Hypoallergenic/dp/B00QRUM5SC/ref=sr_1_2?keywords=Lip+Synergy+Lip+Gloss&amp;qid=1695565681&amp;sr=8-2")</f>
        <v/>
      </c>
      <c r="F636" t="inlineStr">
        <is>
          <t>B00QRUM5SC</t>
        </is>
      </c>
      <c r="G636">
        <f>_xlfn.IMAGE("https://camerareadycosmetics.com/cdn/shop/products/lipglossDelightW_50x.jpg?v=1633669175")</f>
        <v/>
      </c>
      <c r="H636">
        <f>_xlfn.IMAGE("https://m.media-amazon.com/images/I/51Js+CG5DGL._AC_UL320_.jpg")</f>
        <v/>
      </c>
      <c r="K636" t="inlineStr">
        <is>
          <t>19.0</t>
        </is>
      </c>
      <c r="L636" t="n">
        <v>5.54</v>
      </c>
      <c r="M636" s="1" t="inlineStr">
        <is>
          <t>-70.84%</t>
        </is>
      </c>
      <c r="N636" t="n">
        <v>4.3</v>
      </c>
      <c r="O636" t="n">
        <v>3187</v>
      </c>
      <c r="Q636" t="inlineStr">
        <is>
          <t>InStock</t>
        </is>
      </c>
      <c r="R636" t="inlineStr">
        <is>
          <t>undefined</t>
        </is>
      </c>
      <c r="S636" t="inlineStr">
        <is>
          <t>7025419550905</t>
        </is>
      </c>
    </row>
    <row r="637" ht="75" customHeight="1">
      <c r="A637" s="2">
        <f>HYPERLINK("https://camerareadycosmetics.com/products/cozzette-lip-synergy-lip-gloss", "https://camerareadycosmetics.com/products/cozzette-lip-synergy-lip-gloss")</f>
        <v/>
      </c>
      <c r="B637" s="2">
        <f>HYPERLINK("https://camerareadycosmetics.com/products/cozzette-lip-synergy-lip-gloss", "https://camerareadycosmetics.com/products/cozzette-lip-synergy-lip-gloss")</f>
        <v/>
      </c>
      <c r="C637" t="inlineStr">
        <is>
          <t>Lip Synergy Lip Gloss</t>
        </is>
      </c>
      <c r="D637" t="inlineStr">
        <is>
          <t>Broadway Vita-Lip Clear Lip Gloss 0.47oz/14ml (5PCS Mint &amp; Coconut &amp; Rosehip &amp; Mango Butter &amp; Argan Oil) (5 PCS SET)</t>
        </is>
      </c>
      <c r="E637" s="2">
        <f>HYPERLINK("https://www.amazon.com/Broadway-Vita-Lip-0-47oz-Coconut-Rosehip/dp/B01N1ZC8JZ/ref=sr_1_6?keywords=Lip+Synergy+Lip+Gloss&amp;qid=1695565681&amp;sr=8-6", "https://www.amazon.com/Broadway-Vita-Lip-0-47oz-Coconut-Rosehip/dp/B01N1ZC8JZ/ref=sr_1_6?keywords=Lip+Synergy+Lip+Gloss&amp;qid=1695565681&amp;sr=8-6")</f>
        <v/>
      </c>
      <c r="F637" t="inlineStr">
        <is>
          <t>B01N1ZC8JZ</t>
        </is>
      </c>
      <c r="G637">
        <f>_xlfn.IMAGE("https://camerareadycosmetics.com/cdn/shop/products/lipglossDelightW_50x.jpg?v=1633669175")</f>
        <v/>
      </c>
      <c r="H637">
        <f>_xlfn.IMAGE("https://m.media-amazon.com/images/I/81VVZIxULVL._AC_UL320_.jpg")</f>
        <v/>
      </c>
      <c r="K637" t="inlineStr">
        <is>
          <t>19.0</t>
        </is>
      </c>
      <c r="L637" t="n">
        <v>5.49</v>
      </c>
      <c r="M637" s="1" t="inlineStr">
        <is>
          <t>-71.11%</t>
        </is>
      </c>
      <c r="N637" t="n">
        <v>4.6</v>
      </c>
      <c r="O637" t="n">
        <v>16746</v>
      </c>
      <c r="Q637" t="inlineStr">
        <is>
          <t>InStock</t>
        </is>
      </c>
      <c r="R637" t="inlineStr">
        <is>
          <t>undefined</t>
        </is>
      </c>
      <c r="S637" t="inlineStr">
        <is>
          <t>7025419550905</t>
        </is>
      </c>
    </row>
    <row r="638" ht="75" customHeight="1">
      <c r="A638" s="2">
        <f>HYPERLINK("https://camerareadycosmetics.com/products/cozzette-lip-synergy-lip-gloss", "https://camerareadycosmetics.com/products/cozzette-lip-synergy-lip-gloss")</f>
        <v/>
      </c>
      <c r="B638" s="2">
        <f>HYPERLINK("https://camerareadycosmetics.com/products/cozzette-lip-synergy-lip-gloss", "https://camerareadycosmetics.com/products/cozzette-lip-synergy-lip-gloss")</f>
        <v/>
      </c>
      <c r="C638" t="inlineStr">
        <is>
          <t>Lip Synergy Lip Gloss</t>
        </is>
      </c>
      <c r="D638" t="inlineStr">
        <is>
          <t>Rimmel Stay Glossy Lipgloss 6 Hour Lip Gloss Seduce Me 0.18 Fl Oz</t>
        </is>
      </c>
      <c r="E638" s="2">
        <f>HYPERLINK("https://www.amazon.com/Rimmel-Glossy-Lipgloss-Seduce-Me/dp/B00593EVUS/ref=sr_1_4?keywords=Lip+Synergy+Lip+Gloss&amp;qid=1695565681&amp;sr=8-4", "https://www.amazon.com/Rimmel-Glossy-Lipgloss-Seduce-Me/dp/B00593EVUS/ref=sr_1_4?keywords=Lip+Synergy+Lip+Gloss&amp;qid=1695565681&amp;sr=8-4")</f>
        <v/>
      </c>
      <c r="F638" t="inlineStr">
        <is>
          <t>B00593EVUS</t>
        </is>
      </c>
      <c r="G638">
        <f>_xlfn.IMAGE("https://camerareadycosmetics.com/cdn/shop/products/lipglossDelightW_50x.jpg?v=1633669175")</f>
        <v/>
      </c>
      <c r="H638">
        <f>_xlfn.IMAGE("https://m.media-amazon.com/images/I/71d5Ldfr0nL._AC_UL320_.jpg")</f>
        <v/>
      </c>
      <c r="K638" t="inlineStr">
        <is>
          <t>19.0</t>
        </is>
      </c>
      <c r="L638" t="n">
        <v>3.53</v>
      </c>
      <c r="M638" s="1" t="inlineStr">
        <is>
          <t>-81.42%</t>
        </is>
      </c>
      <c r="N638" t="n">
        <v>4.4</v>
      </c>
      <c r="O638" t="n">
        <v>31265</v>
      </c>
      <c r="Q638" t="inlineStr">
        <is>
          <t>InStock</t>
        </is>
      </c>
      <c r="R638" t="inlineStr">
        <is>
          <t>undefined</t>
        </is>
      </c>
      <c r="S638" t="inlineStr">
        <is>
          <t>7025419550905</t>
        </is>
      </c>
    </row>
    <row r="639" ht="75" customHeight="1">
      <c r="A639" s="2">
        <f>HYPERLINK("https://camerareadycosmetics.com/products/cozzette-lip-synergy-lip-gloss", "https://camerareadycosmetics.com/products/cozzette-lip-synergy-lip-gloss")</f>
        <v/>
      </c>
      <c r="B639" s="2">
        <f>HYPERLINK("https://camerareadycosmetics.com/products/cozzette-lip-synergy-lip-gloss", "https://camerareadycosmetics.com/products/cozzette-lip-synergy-lip-gloss")</f>
        <v/>
      </c>
      <c r="C639" t="inlineStr">
        <is>
          <t>Lip Synergy Lip Gloss</t>
        </is>
      </c>
      <c r="D639" t="inlineStr">
        <is>
          <t>6PCS Lip Oil Light Lipgloss Set, Moisturizing Hydrating Lip Glow Oil Lip Gloss Kit High Shine Lip Plumping Glass Finish Lip Gloss Liquid Lipstick for Women (Set C)</t>
        </is>
      </c>
      <c r="E639" s="2">
        <f>HYPERLINK("https://www.amazon.com/BANGFENG-Lipgloss-Moisturizing-Hydrating-Plumping/dp/B0C9HQPQD5/ref=sr_1_5?keywords=Lip+Synergy+Lip+Gloss&amp;qid=1695565681&amp;sr=8-5", "https://www.amazon.com/BANGFENG-Lipgloss-Moisturizing-Hydrating-Plumping/dp/B0C9HQPQD5/ref=sr_1_5?keywords=Lip+Synergy+Lip+Gloss&amp;qid=1695565681&amp;sr=8-5")</f>
        <v/>
      </c>
      <c r="F639" t="inlineStr">
        <is>
          <t>B0C9HQPQD5</t>
        </is>
      </c>
      <c r="G639">
        <f>_xlfn.IMAGE("https://camerareadycosmetics.com/cdn/shop/products/lipglossDelightW_50x.jpg?v=1633669175")</f>
        <v/>
      </c>
      <c r="H639">
        <f>_xlfn.IMAGE("https://m.media-amazon.com/images/I/61mHB3M6qmL._AC_UL320_.jpg")</f>
        <v/>
      </c>
      <c r="K639" t="inlineStr">
        <is>
          <t>19.0</t>
        </is>
      </c>
      <c r="L639" t="n">
        <v>9.99</v>
      </c>
      <c r="M639" s="1" t="inlineStr">
        <is>
          <t>-47.42%</t>
        </is>
      </c>
      <c r="N639" t="n">
        <v>4</v>
      </c>
      <c r="O639" t="n">
        <v>173</v>
      </c>
      <c r="Q639" t="inlineStr">
        <is>
          <t>InStock</t>
        </is>
      </c>
      <c r="R639" t="inlineStr">
        <is>
          <t>undefined</t>
        </is>
      </c>
      <c r="S639" t="inlineStr">
        <is>
          <t>7025419550905</t>
        </is>
      </c>
    </row>
    <row r="640" ht="75" customHeight="1">
      <c r="A640" s="2">
        <f>HYPERLINK("https://camerareadycosmetics.com/products/cozzette-lip-synergy-lip-gloss", "https://camerareadycosmetics.com/products/cozzette-lip-synergy-lip-gloss")</f>
        <v/>
      </c>
      <c r="B640" s="2">
        <f>HYPERLINK("https://camerareadycosmetics.com/products/cozzette-lip-synergy-lip-gloss", "https://camerareadycosmetics.com/products/cozzette-lip-synergy-lip-gloss")</f>
        <v/>
      </c>
      <c r="C640" t="inlineStr">
        <is>
          <t>Lip Synergy Lip Gloss</t>
        </is>
      </c>
      <c r="D640" t="inlineStr">
        <is>
          <t>Broadway Vita-Lip Clear Lip Gloss 0.47oz/14ml (10 PCS SET)</t>
        </is>
      </c>
      <c r="E640" s="2">
        <f>HYPERLINK("https://www.amazon.com/Broadway-Vita-Lip-Clear-Gloss-0-47oz/dp/B09DMGWJKY/ref=sr_1_8?keywords=Lip+Synergy+Lip+Gloss&amp;qid=1695565681&amp;sr=8-8", "https://www.amazon.com/Broadway-Vita-Lip-Clear-Gloss-0-47oz/dp/B09DMGWJKY/ref=sr_1_8?keywords=Lip+Synergy+Lip+Gloss&amp;qid=1695565681&amp;sr=8-8")</f>
        <v/>
      </c>
      <c r="F640" t="inlineStr">
        <is>
          <t>B09DMGWJKY</t>
        </is>
      </c>
      <c r="G640">
        <f>_xlfn.IMAGE("https://camerareadycosmetics.com/cdn/shop/products/lipglossDelightW_50x.jpg?v=1633669175")</f>
        <v/>
      </c>
      <c r="H640">
        <f>_xlfn.IMAGE("https://m.media-amazon.com/images/I/81Scw6fgMJL._AC_UL320_.jpg")</f>
        <v/>
      </c>
      <c r="K640" t="inlineStr">
        <is>
          <t>19.0</t>
        </is>
      </c>
      <c r="L640" t="n">
        <v>8.49</v>
      </c>
      <c r="M640" s="1" t="inlineStr">
        <is>
          <t>-55.32%</t>
        </is>
      </c>
      <c r="N640" t="n">
        <v>4.7</v>
      </c>
      <c r="O640" t="n">
        <v>2579</v>
      </c>
      <c r="Q640" t="inlineStr">
        <is>
          <t>InStock</t>
        </is>
      </c>
      <c r="R640" t="inlineStr">
        <is>
          <t>undefined</t>
        </is>
      </c>
      <c r="S640" t="inlineStr">
        <is>
          <t>7025419550905</t>
        </is>
      </c>
    </row>
    <row r="641" ht="75" customHeight="1">
      <c r="A641" s="2">
        <f>HYPERLINK("https://camerareadycosmetics.com/products/cozzette-lip-synergy-lip-gloss", "https://camerareadycosmetics.com/products/cozzette-lip-synergy-lip-gloss")</f>
        <v/>
      </c>
      <c r="B641" s="2">
        <f>HYPERLINK("https://camerareadycosmetics.com/products/cozzette-lip-synergy-lip-gloss", "https://camerareadycosmetics.com/products/cozzette-lip-synergy-lip-gloss")</f>
        <v/>
      </c>
      <c r="C641" t="inlineStr">
        <is>
          <t>Lip Synergy Lip Gloss</t>
        </is>
      </c>
      <c r="D641" t="inlineStr">
        <is>
          <t>Palladio Lip Gloss, Pink Candy, Non-Sticky Lip Gloss, Contains Vitamin E and Aloe, Offers Intense Color and Moisturization, Minimizes Lip Wrinkles, Softens Lips with Beautiful Shiny Finish</t>
        </is>
      </c>
      <c r="E641" s="2">
        <f>HYPERLINK("https://www.amazon.com/Palladio-Non-Sticky-Moisturization-Minimizes-Beautiful/dp/B0009XPA3U/ref=sr_1_3?keywords=Lip+Synergy+Lip+Gloss&amp;qid=1695565681&amp;sr=8-3", "https://www.amazon.com/Palladio-Non-Sticky-Moisturization-Minimizes-Beautiful/dp/B0009XPA3U/ref=sr_1_3?keywords=Lip+Synergy+Lip+Gloss&amp;qid=1695565681&amp;sr=8-3")</f>
        <v/>
      </c>
      <c r="F641" t="inlineStr">
        <is>
          <t>B0009XPA3U</t>
        </is>
      </c>
      <c r="G641">
        <f>_xlfn.IMAGE("https://camerareadycosmetics.com/cdn/shop/products/lipglossDelightW_50x.jpg?v=1633669175")</f>
        <v/>
      </c>
      <c r="H641">
        <f>_xlfn.IMAGE("https://m.media-amazon.com/images/I/51h3HWfDkCL._AC_UL320_.jpg")</f>
        <v/>
      </c>
      <c r="K641" t="inlineStr">
        <is>
          <t>19.0</t>
        </is>
      </c>
      <c r="L641" t="n">
        <v>7.99</v>
      </c>
      <c r="M641" s="1" t="inlineStr">
        <is>
          <t>-57.95%</t>
        </is>
      </c>
      <c r="N641" t="n">
        <v>4.2</v>
      </c>
      <c r="O641" t="n">
        <v>536</v>
      </c>
      <c r="Q641" t="inlineStr">
        <is>
          <t>InStock</t>
        </is>
      </c>
      <c r="R641" t="inlineStr">
        <is>
          <t>undefined</t>
        </is>
      </c>
      <c r="S641" t="inlineStr">
        <is>
          <t>7025419550905</t>
        </is>
      </c>
    </row>
    <row r="642" ht="75" customHeight="1">
      <c r="A642" s="2">
        <f>HYPERLINK("https://camerareadycosmetics.com/products/cozzette-lip-synergy-lip-gloss", "https://camerareadycosmetics.com/products/cozzette-lip-synergy-lip-gloss")</f>
        <v/>
      </c>
      <c r="B642" s="2">
        <f>HYPERLINK("https://camerareadycosmetics.com/products/cozzette-lip-synergy-lip-gloss", "https://camerareadycosmetics.com/products/cozzette-lip-synergy-lip-gloss")</f>
        <v/>
      </c>
      <c r="C642" t="inlineStr">
        <is>
          <t>Lip Synergy Lip Gloss</t>
        </is>
      </c>
      <c r="D642" t="inlineStr">
        <is>
          <t>Palladio Lip Gloss, Non-Sticky Lip Gloss, Contains Vitamin E and Aloe, Offers Intense Color and Moisturization, Minimizes Lip Wrinkles, Softens Lips with Beautiful Shiny Finish, Champagne</t>
        </is>
      </c>
      <c r="E642" s="2">
        <f>HYPERLINK("https://www.amazon.com/Palladio-Champagne-Non-Sticky-Moisturization-Minimizes/dp/B0009XJNPQ/ref=sr_1_1?keywords=Lip+Synergy+Lip+Gloss&amp;qid=1695565681&amp;sr=8-1", "https://www.amazon.com/Palladio-Champagne-Non-Sticky-Moisturization-Minimizes/dp/B0009XJNPQ/ref=sr_1_1?keywords=Lip+Synergy+Lip+Gloss&amp;qid=1695565681&amp;sr=8-1")</f>
        <v/>
      </c>
      <c r="F642" t="inlineStr">
        <is>
          <t>B0009XJNPQ</t>
        </is>
      </c>
      <c r="G642">
        <f>_xlfn.IMAGE("https://camerareadycosmetics.com/cdn/shop/products/lipglossDelightW_50x.jpg?v=1633669175")</f>
        <v/>
      </c>
      <c r="H642">
        <f>_xlfn.IMAGE("https://m.media-amazon.com/images/I/51ftcJtjq5L._AC_UL320_.jpg")</f>
        <v/>
      </c>
      <c r="K642" t="inlineStr">
        <is>
          <t>19.0</t>
        </is>
      </c>
      <c r="L642" t="n">
        <v>7.99</v>
      </c>
      <c r="M642" s="1" t="inlineStr">
        <is>
          <t>-57.95%</t>
        </is>
      </c>
      <c r="N642" t="n">
        <v>4.3</v>
      </c>
      <c r="O642" t="n">
        <v>990</v>
      </c>
      <c r="Q642" t="inlineStr">
        <is>
          <t>InStock</t>
        </is>
      </c>
      <c r="R642" t="inlineStr">
        <is>
          <t>undefined</t>
        </is>
      </c>
      <c r="S642" t="inlineStr">
        <is>
          <t>7025419550905</t>
        </is>
      </c>
    </row>
    <row r="643" ht="75" customHeight="1">
      <c r="A643" s="2">
        <f>HYPERLINK("https://camerareadycosmetics.com/products/cozzette-lip-synergy-lip-gloss", "https://camerareadycosmetics.com/products/cozzette-lip-synergy-lip-gloss")</f>
        <v/>
      </c>
      <c r="B643" s="2">
        <f>HYPERLINK("https://camerareadycosmetics.com/products/cozzette-lip-synergy-lip-gloss", "https://camerareadycosmetics.com/products/cozzette-lip-synergy-lip-gloss")</f>
        <v/>
      </c>
      <c r="C643" t="inlineStr">
        <is>
          <t>Lip Synergy Lip Gloss</t>
        </is>
      </c>
      <c r="D643" t="inlineStr">
        <is>
          <t>6-PACKS Kiss Broadway Clear Lip Gloss (Rosehip Oil)</t>
        </is>
      </c>
      <c r="E643" s="2">
        <f>HYPERLINK("https://www.amazon.com/6-PACKS-Broadway-Clear-Gloss-Rosehip/dp/B07QNTSZB3/ref=sr_1_7?keywords=Lip+Synergy+Lip+Gloss&amp;qid=1695565681&amp;sr=8-7", "https://www.amazon.com/6-PACKS-Broadway-Clear-Gloss-Rosehip/dp/B07QNTSZB3/ref=sr_1_7?keywords=Lip+Synergy+Lip+Gloss&amp;qid=1695565681&amp;sr=8-7")</f>
        <v/>
      </c>
      <c r="F643" t="inlineStr">
        <is>
          <t>B07QNTSZB3</t>
        </is>
      </c>
      <c r="G643">
        <f>_xlfn.IMAGE("https://camerareadycosmetics.com/cdn/shop/products/lipglossDelightW_50x.jpg?v=1633669175")</f>
        <v/>
      </c>
      <c r="H643">
        <f>_xlfn.IMAGE("https://m.media-amazon.com/images/I/81qKm55bf9L._AC_UL320_.jpg")</f>
        <v/>
      </c>
      <c r="K643" t="inlineStr">
        <is>
          <t>19.0</t>
        </is>
      </c>
      <c r="L643" t="n">
        <v>6.99</v>
      </c>
      <c r="M643" s="1" t="inlineStr">
        <is>
          <t>-63.21%</t>
        </is>
      </c>
      <c r="N643" t="n">
        <v>4.7</v>
      </c>
      <c r="O643" t="n">
        <v>987</v>
      </c>
      <c r="Q643" t="inlineStr">
        <is>
          <t>InStock</t>
        </is>
      </c>
      <c r="R643" t="inlineStr">
        <is>
          <t>undefined</t>
        </is>
      </c>
      <c r="S643" t="inlineStr">
        <is>
          <t>7025419550905</t>
        </is>
      </c>
    </row>
    <row r="644" ht="75" customHeight="1">
      <c r="A644" s="2">
        <f>HYPERLINK("https://camerareadycosmetics.com/products/cozzette-lip-synergy-lip-gloss", "https://camerareadycosmetics.com/products/cozzette-lip-synergy-lip-gloss")</f>
        <v/>
      </c>
      <c r="B644" s="2">
        <f>HYPERLINK("https://camerareadycosmetics.com/products/cozzette-lip-synergy-lip-gloss", "https://camerareadycosmetics.com/products/cozzette-lip-synergy-lip-gloss")</f>
        <v/>
      </c>
      <c r="C644" t="inlineStr">
        <is>
          <t>Lip Synergy Lip Gloss</t>
        </is>
      </c>
      <c r="D644" t="inlineStr">
        <is>
          <t>Almay Lip Gloss, Non-Sticky Lip Makeup, Holographic Glitter Finish, Hypoallergenic, 200 Angelic, 0.9 Oz</t>
        </is>
      </c>
      <c r="E644" s="2">
        <f>HYPERLINK("https://www.amazon.com/Almay-Non-Sticky-Holographic-Glitter-Hypoallergenic/dp/B00QRUM5SC/ref=sr_1_2?keywords=Lip+Synergy+Lip+Gloss&amp;qid=1695565681&amp;sr=8-2", "https://www.amazon.com/Almay-Non-Sticky-Holographic-Glitter-Hypoallergenic/dp/B00QRUM5SC/ref=sr_1_2?keywords=Lip+Synergy+Lip+Gloss&amp;qid=1695565681&amp;sr=8-2")</f>
        <v/>
      </c>
      <c r="F644" t="inlineStr">
        <is>
          <t>B00QRUM5SC</t>
        </is>
      </c>
      <c r="G644">
        <f>_xlfn.IMAGE("https://camerareadycosmetics.com/cdn/shop/products/lipglossDelightW_50x.jpg?v=1633669175")</f>
        <v/>
      </c>
      <c r="H644">
        <f>_xlfn.IMAGE("https://m.media-amazon.com/images/I/51Js+CG5DGL._AC_UL320_.jpg")</f>
        <v/>
      </c>
      <c r="K644" t="inlineStr">
        <is>
          <t>19.0</t>
        </is>
      </c>
      <c r="L644" t="n">
        <v>5.54</v>
      </c>
      <c r="M644" s="1" t="inlineStr">
        <is>
          <t>-70.84%</t>
        </is>
      </c>
      <c r="N644" t="n">
        <v>4.3</v>
      </c>
      <c r="O644" t="n">
        <v>3187</v>
      </c>
      <c r="Q644" t="inlineStr">
        <is>
          <t>InStock</t>
        </is>
      </c>
      <c r="R644" t="inlineStr">
        <is>
          <t>undefined</t>
        </is>
      </c>
      <c r="S644" t="inlineStr">
        <is>
          <t>7025419550905</t>
        </is>
      </c>
    </row>
    <row r="645" ht="75" customHeight="1">
      <c r="A645" s="2">
        <f>HYPERLINK("https://camerareadycosmetics.com/products/cozzette-lip-synergy-lip-gloss", "https://camerareadycosmetics.com/products/cozzette-lip-synergy-lip-gloss")</f>
        <v/>
      </c>
      <c r="B645" s="2">
        <f>HYPERLINK("https://camerareadycosmetics.com/products/cozzette-lip-synergy-lip-gloss", "https://camerareadycosmetics.com/products/cozzette-lip-synergy-lip-gloss")</f>
        <v/>
      </c>
      <c r="C645" t="inlineStr">
        <is>
          <t>Lip Synergy Lip Gloss</t>
        </is>
      </c>
      <c r="D645" t="inlineStr">
        <is>
          <t>Broadway Vita-Lip Clear Lip Gloss 0.47oz/14ml (5PCS Mint &amp; Coconut &amp; Rosehip &amp; Mango Butter &amp; Argan Oil) (5 PCS SET)</t>
        </is>
      </c>
      <c r="E645" s="2">
        <f>HYPERLINK("https://www.amazon.com/Broadway-Vita-Lip-0-47oz-Coconut-Rosehip/dp/B01N1ZC8JZ/ref=sr_1_6?keywords=Lip+Synergy+Lip+Gloss&amp;qid=1695565681&amp;sr=8-6", "https://www.amazon.com/Broadway-Vita-Lip-0-47oz-Coconut-Rosehip/dp/B01N1ZC8JZ/ref=sr_1_6?keywords=Lip+Synergy+Lip+Gloss&amp;qid=1695565681&amp;sr=8-6")</f>
        <v/>
      </c>
      <c r="F645" t="inlineStr">
        <is>
          <t>B01N1ZC8JZ</t>
        </is>
      </c>
      <c r="G645">
        <f>_xlfn.IMAGE("https://camerareadycosmetics.com/cdn/shop/products/lipglossDelightW_50x.jpg?v=1633669175")</f>
        <v/>
      </c>
      <c r="H645">
        <f>_xlfn.IMAGE("https://m.media-amazon.com/images/I/81VVZIxULVL._AC_UL320_.jpg")</f>
        <v/>
      </c>
      <c r="K645" t="inlineStr">
        <is>
          <t>19.0</t>
        </is>
      </c>
      <c r="L645" t="n">
        <v>5.49</v>
      </c>
      <c r="M645" s="1" t="inlineStr">
        <is>
          <t>-71.11%</t>
        </is>
      </c>
      <c r="N645" t="n">
        <v>4.6</v>
      </c>
      <c r="O645" t="n">
        <v>16746</v>
      </c>
      <c r="Q645" t="inlineStr">
        <is>
          <t>InStock</t>
        </is>
      </c>
      <c r="R645" t="inlineStr">
        <is>
          <t>undefined</t>
        </is>
      </c>
      <c r="S645" t="inlineStr">
        <is>
          <t>7025419550905</t>
        </is>
      </c>
    </row>
    <row r="646" ht="75" customHeight="1">
      <c r="A646" s="2">
        <f>HYPERLINK("https://camerareadycosmetics.com/products/cozzette-lip-synergy-lip-gloss", "https://camerareadycosmetics.com/products/cozzette-lip-synergy-lip-gloss")</f>
        <v/>
      </c>
      <c r="B646" s="2">
        <f>HYPERLINK("https://camerareadycosmetics.com/products/cozzette-lip-synergy-lip-gloss", "https://camerareadycosmetics.com/products/cozzette-lip-synergy-lip-gloss")</f>
        <v/>
      </c>
      <c r="C646" t="inlineStr">
        <is>
          <t>Lip Synergy Lip Gloss</t>
        </is>
      </c>
      <c r="D646" t="inlineStr">
        <is>
          <t>Rimmel Stay Glossy Lipgloss 6 Hour Lip Gloss Seduce Me 0.18 Fl Oz</t>
        </is>
      </c>
      <c r="E646" s="2">
        <f>HYPERLINK("https://www.amazon.com/Rimmel-Glossy-Lipgloss-Seduce-Me/dp/B00593EVUS/ref=sr_1_4?keywords=Lip+Synergy+Lip+Gloss&amp;qid=1695565681&amp;sr=8-4", "https://www.amazon.com/Rimmel-Glossy-Lipgloss-Seduce-Me/dp/B00593EVUS/ref=sr_1_4?keywords=Lip+Synergy+Lip+Gloss&amp;qid=1695565681&amp;sr=8-4")</f>
        <v/>
      </c>
      <c r="F646" t="inlineStr">
        <is>
          <t>B00593EVUS</t>
        </is>
      </c>
      <c r="G646">
        <f>_xlfn.IMAGE("https://camerareadycosmetics.com/cdn/shop/products/lipglossDelightW_50x.jpg?v=1633669175")</f>
        <v/>
      </c>
      <c r="H646">
        <f>_xlfn.IMAGE("https://m.media-amazon.com/images/I/71d5Ldfr0nL._AC_UL320_.jpg")</f>
        <v/>
      </c>
      <c r="K646" t="inlineStr">
        <is>
          <t>19.0</t>
        </is>
      </c>
      <c r="L646" t="n">
        <v>3.53</v>
      </c>
      <c r="M646" s="1" t="inlineStr">
        <is>
          <t>-81.42%</t>
        </is>
      </c>
      <c r="N646" t="n">
        <v>4.4</v>
      </c>
      <c r="O646" t="n">
        <v>31265</v>
      </c>
      <c r="Q646" t="inlineStr">
        <is>
          <t>InStock</t>
        </is>
      </c>
      <c r="R646" t="inlineStr">
        <is>
          <t>undefined</t>
        </is>
      </c>
      <c r="S646" t="inlineStr">
        <is>
          <t>7025419550905</t>
        </is>
      </c>
    </row>
    <row r="647" ht="75" customHeight="1">
      <c r="A647" s="2">
        <f>HYPERLINK("https://camerareadycosmetics.com/products/danessa-myricks-beauty-balm-contour", "https://camerareadycosmetics.com/products/danessa-myricks-beauty-balm-contour")</f>
        <v/>
      </c>
      <c r="B647" s="2">
        <f>HYPERLINK("https://camerareadycosmetics.com/products/danessa-myricks-beauty-yummy-blurring-balm-powder", "https://camerareadycosmetics.com/products/danessa-myricks-beauty-yummy-blurring-balm-powder")</f>
        <v/>
      </c>
      <c r="C647" t="inlineStr">
        <is>
          <t>Balm Contour</t>
        </is>
      </c>
      <c r="D647" t="inlineStr">
        <is>
          <t>Saie Sun Melt Bronzer - Buildable Cream-Balm Bronzer For Face Sculpting - Cream Contour with Velvet Finish - Tan Bronze (1 oz)</t>
        </is>
      </c>
      <c r="E647" s="2">
        <f>HYPERLINK("https://www.amazon.com/Saie-Sun-Melt-Bronzer-Cream-Balm/dp/B0C1THPHJG/ref=sr_1_6?keywords=Balm+Contour&amp;qid=1695565462&amp;sr=8-6", "https://www.amazon.com/Saie-Sun-Melt-Bronzer-Cream-Balm/dp/B0C1THPHJG/ref=sr_1_6?keywords=Balm+Contour&amp;qid=1695565462&amp;sr=8-6")</f>
        <v/>
      </c>
      <c r="F647" t="inlineStr">
        <is>
          <t>B0C1THPHJG</t>
        </is>
      </c>
      <c r="G647">
        <f>_xlfn.IMAGE("https://camerareadycosmetics.com/cdn/shop/products/BALMCONTOUR-DEEP1-00_50x.jpg?v=1663210937")</f>
        <v/>
      </c>
      <c r="H647">
        <f>_xlfn.IMAGE("https://m.media-amazon.com/images/I/51wmPC5ggrL._AC_UL320_.jpg")</f>
        <v/>
      </c>
      <c r="K647" t="inlineStr">
        <is>
          <t>26.0</t>
        </is>
      </c>
      <c r="L647" t="n">
        <v>32</v>
      </c>
      <c r="M647" s="1" t="inlineStr">
        <is>
          <t>23.08%</t>
        </is>
      </c>
      <c r="N647" t="n">
        <v>3.6</v>
      </c>
      <c r="O647" t="n">
        <v>35</v>
      </c>
      <c r="Q647" t="inlineStr">
        <is>
          <t>InStock</t>
        </is>
      </c>
      <c r="R647" t="inlineStr">
        <is>
          <t>undefined</t>
        </is>
      </c>
      <c r="S647" t="inlineStr">
        <is>
          <t>6194945917113</t>
        </is>
      </c>
    </row>
    <row r="648" ht="75" customHeight="1">
      <c r="A648" s="2">
        <f>HYPERLINK("https://camerareadycosmetics.com/products/danessa-myricks-beauty-balm-contour", "https://camerareadycosmetics.com/products/danessa-myricks-beauty-balm-contour")</f>
        <v/>
      </c>
      <c r="B648" s="2">
        <f>HYPERLINK("https://camerareadycosmetics.com/products/danessa-myricks-beauty-yummy-blurring-balm-powder", "https://camerareadycosmetics.com/products/danessa-myricks-beauty-yummy-blurring-balm-powder")</f>
        <v/>
      </c>
      <c r="C648" t="inlineStr">
        <is>
          <t>Balm Contour</t>
        </is>
      </c>
      <c r="D648" t="inlineStr">
        <is>
          <t>MCoBeauty Highlight and Glow Stick - Luminous Cream Balm Highlighter Stick - Illuminating Cheek Contour With Dewy Finish - Formulated With Ultra Fine, Light Reflecting Particles - Champagne - 0.35 Oz</t>
        </is>
      </c>
      <c r="E648" s="2">
        <f>HYPERLINK("https://www.amazon.com/MCoBeauty-Highlight-Illuminating-Highlighter-Champagne/dp/B07PN8G7S6/ref=sr_1_4?keywords=Balm+Contour&amp;qid=1695565462&amp;sr=8-4", "https://www.amazon.com/MCoBeauty-Highlight-Illuminating-Highlighter-Champagne/dp/B07PN8G7S6/ref=sr_1_4?keywords=Balm+Contour&amp;qid=1695565462&amp;sr=8-4")</f>
        <v/>
      </c>
      <c r="F648" t="inlineStr">
        <is>
          <t>B07PN8G7S6</t>
        </is>
      </c>
      <c r="G648">
        <f>_xlfn.IMAGE("https://camerareadycosmetics.com/cdn/shop/products/BALMCONTOUR-DEEP1-00_50x.jpg?v=1663210937")</f>
        <v/>
      </c>
      <c r="H648">
        <f>_xlfn.IMAGE("https://m.media-amazon.com/images/I/5186g4dPUyL._AC_UL320_.jpg")</f>
        <v/>
      </c>
      <c r="K648" t="inlineStr">
        <is>
          <t>26.0</t>
        </is>
      </c>
      <c r="L648" t="n">
        <v>11.94</v>
      </c>
      <c r="M648" s="1" t="inlineStr">
        <is>
          <t>-54.08%</t>
        </is>
      </c>
      <c r="N648" t="n">
        <v>4.3</v>
      </c>
      <c r="O648" t="n">
        <v>142</v>
      </c>
      <c r="Q648" t="inlineStr">
        <is>
          <t>InStock</t>
        </is>
      </c>
      <c r="R648" t="inlineStr">
        <is>
          <t>undefined</t>
        </is>
      </c>
      <c r="S648" t="inlineStr">
        <is>
          <t>6194945917113</t>
        </is>
      </c>
    </row>
    <row r="649" ht="75" customHeight="1">
      <c r="A649" s="2">
        <f>HYPERLINK("https://camerareadycosmetics.com/products/danessa-myricks-beauty-balm-contour", "https://camerareadycosmetics.com/products/danessa-myricks-beauty-balm-contour")</f>
        <v/>
      </c>
      <c r="B649" s="2">
        <f>HYPERLINK("https://camerareadycosmetics.com/products/danessa-myricks-beauty-yummy-blurring-balm-powder", "https://camerareadycosmetics.com/products/danessa-myricks-beauty-yummy-blurring-balm-powder")</f>
        <v/>
      </c>
      <c r="C649" t="inlineStr">
        <is>
          <t>Balm Contour</t>
        </is>
      </c>
      <c r="D649" t="inlineStr">
        <is>
          <t>W7 Bronze Chic Bronzer - Cream Bronzing Balm - Contouring &amp; Highlighting Vegan Makeup</t>
        </is>
      </c>
      <c r="E649" s="2">
        <f>HYPERLINK("https://www.amazon.com/W7-Bronze-Chic-Bronzer-Highlighting/dp/B08FT573C4/ref=sr_1_2?keywords=Balm+Contour&amp;qid=1695565462&amp;sr=8-2", "https://www.amazon.com/W7-Bronze-Chic-Bronzer-Highlighting/dp/B08FT573C4/ref=sr_1_2?keywords=Balm+Contour&amp;qid=1695565462&amp;sr=8-2")</f>
        <v/>
      </c>
      <c r="F649" t="inlineStr">
        <is>
          <t>B08FT573C4</t>
        </is>
      </c>
      <c r="G649">
        <f>_xlfn.IMAGE("https://camerareadycosmetics.com/cdn/shop/products/BALMCONTOUR-DEEP1-00_50x.jpg?v=1663210937")</f>
        <v/>
      </c>
      <c r="H649">
        <f>_xlfn.IMAGE("https://m.media-amazon.com/images/I/61M-dFbnqXL._AC_UL320_.jpg")</f>
        <v/>
      </c>
      <c r="K649" t="inlineStr">
        <is>
          <t>26.0</t>
        </is>
      </c>
      <c r="L649" t="n">
        <v>7.95</v>
      </c>
      <c r="M649" s="1" t="inlineStr">
        <is>
          <t>-69.42%</t>
        </is>
      </c>
      <c r="N649" t="n">
        <v>4</v>
      </c>
      <c r="O649" t="n">
        <v>856</v>
      </c>
      <c r="Q649" t="inlineStr">
        <is>
          <t>InStock</t>
        </is>
      </c>
      <c r="R649" t="inlineStr">
        <is>
          <t>undefined</t>
        </is>
      </c>
      <c r="S649" t="inlineStr">
        <is>
          <t>6194945917113</t>
        </is>
      </c>
    </row>
    <row r="650" ht="75" customHeight="1">
      <c r="A650" s="2">
        <f>HYPERLINK("https://camerareadycosmetics.com/products/danessa-myricks-beauty-balm-contour", "https://camerareadycosmetics.com/products/danessa-myricks-beauty-balm-contour")</f>
        <v/>
      </c>
      <c r="B650" s="2">
        <f>HYPERLINK("https://camerareadycosmetics.com/products/danessa-myricks-beauty-yummy-blurring-balm-powder", "https://camerareadycosmetics.com/products/danessa-myricks-beauty-yummy-blurring-balm-powder")</f>
        <v/>
      </c>
      <c r="C650" t="inlineStr">
        <is>
          <t>Balm Contour</t>
        </is>
      </c>
      <c r="D650" t="inlineStr">
        <is>
          <t>LAMEL Advanced BB Contour Cream - Creamy Texture, Blendable, Long-Lasting&amp;Nourtishing, Multi-Purpose Beauty Balm for Flawless Skin Definition - All Skin Types - 10ml/0,33fl.oz</t>
        </is>
      </c>
      <c r="E650" s="2">
        <f>HYPERLINK("https://www.amazon.com/LAMEL-Advanced-Contour-Cream-Multi-Purpose/dp/B09SXF8DNW/ref=sr_1_3?keywords=Balm+Contour&amp;qid=1695565462&amp;sr=8-3", "https://www.amazon.com/LAMEL-Advanced-Contour-Cream-Multi-Purpose/dp/B09SXF8DNW/ref=sr_1_3?keywords=Balm+Contour&amp;qid=1695565462&amp;sr=8-3")</f>
        <v/>
      </c>
      <c r="F650" t="inlineStr">
        <is>
          <t>B09SXF8DNW</t>
        </is>
      </c>
      <c r="G650">
        <f>_xlfn.IMAGE("https://camerareadycosmetics.com/cdn/shop/products/BALMCONTOUR-DEEP1-00_50x.jpg?v=1663210937")</f>
        <v/>
      </c>
      <c r="H650">
        <f>_xlfn.IMAGE("https://m.media-amazon.com/images/I/71GzC5ya-qL._AC_UL320_.jpg")</f>
        <v/>
      </c>
      <c r="K650" t="inlineStr">
        <is>
          <t>26.0</t>
        </is>
      </c>
      <c r="L650" t="n">
        <v>6.89</v>
      </c>
      <c r="M650" s="1" t="inlineStr">
        <is>
          <t>-73.50%</t>
        </is>
      </c>
      <c r="N650" t="n">
        <v>5</v>
      </c>
      <c r="O650" t="n">
        <v>2</v>
      </c>
      <c r="Q650" t="inlineStr">
        <is>
          <t>InStock</t>
        </is>
      </c>
      <c r="R650" t="inlineStr">
        <is>
          <t>undefined</t>
        </is>
      </c>
      <c r="S650" t="inlineStr">
        <is>
          <t>6194945917113</t>
        </is>
      </c>
    </row>
    <row r="651" ht="75" customHeight="1">
      <c r="A651" s="2">
        <f>HYPERLINK("https://camerareadycosmetics.com/products/danessa-myricks-beauty-balm-contour", "https://camerareadycosmetics.com/products/danessa-myricks-beauty-balm-contour")</f>
        <v/>
      </c>
      <c r="B651" s="2">
        <f>HYPERLINK("https://camerareadycosmetics.com/products/danessa-myricks-beauty-yummy-blurring-balm-powder", "https://camerareadycosmetics.com/products/danessa-myricks-beauty-yummy-blurring-balm-powder")</f>
        <v/>
      </c>
      <c r="C651" t="inlineStr">
        <is>
          <t>Balm Contour</t>
        </is>
      </c>
      <c r="D651" t="inlineStr">
        <is>
          <t>MCoBeauty Highlight and Glow Stick - Luminous Cream Balm Highlighter Stick - Illuminating Cheek Contour With Dewy Finish - Formulated With Ultra Fine, Light Reflecting Particles - Champagne - 0.35 Oz</t>
        </is>
      </c>
      <c r="E651" s="2">
        <f>HYPERLINK("https://www.amazon.com/MCoBeauty-Highlight-Illuminating-Highlighter-Champagne/dp/B07PN8G7S6/ref=sr_1_4?keywords=Balm+Contour&amp;qid=1695565462&amp;sr=8-4", "https://www.amazon.com/MCoBeauty-Highlight-Illuminating-Highlighter-Champagne/dp/B07PN8G7S6/ref=sr_1_4?keywords=Balm+Contour&amp;qid=1695565462&amp;sr=8-4")</f>
        <v/>
      </c>
      <c r="F651" t="inlineStr">
        <is>
          <t>B07PN8G7S6</t>
        </is>
      </c>
      <c r="G651">
        <f>_xlfn.IMAGE("https://camerareadycosmetics.com/cdn/shop/products/BALMCONTOUR-DEEP1-00_50x.jpg?v=1663210937")</f>
        <v/>
      </c>
      <c r="H651">
        <f>_xlfn.IMAGE("https://m.media-amazon.com/images/I/5186g4dPUyL._AC_UL320_.jpg")</f>
        <v/>
      </c>
      <c r="K651" t="inlineStr">
        <is>
          <t>26.0</t>
        </is>
      </c>
      <c r="L651" t="n">
        <v>11.94</v>
      </c>
      <c r="M651" s="1" t="inlineStr">
        <is>
          <t>-54.08%</t>
        </is>
      </c>
      <c r="N651" t="n">
        <v>4.3</v>
      </c>
      <c r="O651" t="n">
        <v>142</v>
      </c>
      <c r="Q651" t="inlineStr">
        <is>
          <t>InStock</t>
        </is>
      </c>
      <c r="R651" t="inlineStr">
        <is>
          <t>undefined</t>
        </is>
      </c>
      <c r="S651" t="inlineStr">
        <is>
          <t>6194945917113</t>
        </is>
      </c>
    </row>
    <row r="652" ht="75" customHeight="1">
      <c r="A652" s="2">
        <f>HYPERLINK("https://camerareadycosmetics.com/products/danessa-myricks-beauty-balm-contour", "https://camerareadycosmetics.com/products/danessa-myricks-beauty-balm-contour")</f>
        <v/>
      </c>
      <c r="B652" s="2">
        <f>HYPERLINK("https://camerareadycosmetics.com/products/danessa-myricks-beauty-yummy-blurring-balm-powder", "https://camerareadycosmetics.com/products/danessa-myricks-beauty-yummy-blurring-balm-powder")</f>
        <v/>
      </c>
      <c r="C652" t="inlineStr">
        <is>
          <t>Balm Contour</t>
        </is>
      </c>
      <c r="D652" t="inlineStr">
        <is>
          <t>W7 Bronze Chic Bronzer - Cream Bronzing Balm - Contouring &amp; Highlighting Vegan Makeup</t>
        </is>
      </c>
      <c r="E652" s="2">
        <f>HYPERLINK("https://www.amazon.com/W7-Bronze-Chic-Bronzer-Highlighting/dp/B08FT573C4/ref=sr_1_2?keywords=Balm+Contour&amp;qid=1695565462&amp;sr=8-2", "https://www.amazon.com/W7-Bronze-Chic-Bronzer-Highlighting/dp/B08FT573C4/ref=sr_1_2?keywords=Balm+Contour&amp;qid=1695565462&amp;sr=8-2")</f>
        <v/>
      </c>
      <c r="F652" t="inlineStr">
        <is>
          <t>B08FT573C4</t>
        </is>
      </c>
      <c r="G652">
        <f>_xlfn.IMAGE("https://camerareadycosmetics.com/cdn/shop/products/BALMCONTOUR-DEEP1-00_50x.jpg?v=1663210937")</f>
        <v/>
      </c>
      <c r="H652">
        <f>_xlfn.IMAGE("https://m.media-amazon.com/images/I/61M-dFbnqXL._AC_UL320_.jpg")</f>
        <v/>
      </c>
      <c r="K652" t="inlineStr">
        <is>
          <t>26.0</t>
        </is>
      </c>
      <c r="L652" t="n">
        <v>7.95</v>
      </c>
      <c r="M652" s="1" t="inlineStr">
        <is>
          <t>-69.42%</t>
        </is>
      </c>
      <c r="N652" t="n">
        <v>4</v>
      </c>
      <c r="O652" t="n">
        <v>856</v>
      </c>
      <c r="Q652" t="inlineStr">
        <is>
          <t>InStock</t>
        </is>
      </c>
      <c r="R652" t="inlineStr">
        <is>
          <t>undefined</t>
        </is>
      </c>
      <c r="S652" t="inlineStr">
        <is>
          <t>6194945917113</t>
        </is>
      </c>
    </row>
    <row r="653" ht="75" customHeight="1">
      <c r="A653" s="2">
        <f>HYPERLINK("https://camerareadycosmetics.com/products/danessa-myricks-beauty-balm-contour", "https://camerareadycosmetics.com/products/danessa-myricks-beauty-balm-contour")</f>
        <v/>
      </c>
      <c r="B653" s="2">
        <f>HYPERLINK("https://camerareadycosmetics.com/products/danessa-myricks-beauty-yummy-blurring-balm-powder", "https://camerareadycosmetics.com/products/danessa-myricks-beauty-yummy-blurring-balm-powder")</f>
        <v/>
      </c>
      <c r="C653" t="inlineStr">
        <is>
          <t>Balm Contour</t>
        </is>
      </c>
      <c r="D653" t="inlineStr">
        <is>
          <t>LAMEL Advanced BB Contour Cream - Creamy Texture, Blendable, Long-Lasting&amp;Nourtishing, Multi-Purpose Beauty Balm for Flawless Skin Definition - All Skin Types - 10ml/0,33fl.oz</t>
        </is>
      </c>
      <c r="E653" s="2">
        <f>HYPERLINK("https://www.amazon.com/LAMEL-Advanced-Contour-Cream-Multi-Purpose/dp/B09SXF8DNW/ref=sr_1_3?keywords=Balm+Contour&amp;qid=1695565462&amp;sr=8-3", "https://www.amazon.com/LAMEL-Advanced-Contour-Cream-Multi-Purpose/dp/B09SXF8DNW/ref=sr_1_3?keywords=Balm+Contour&amp;qid=1695565462&amp;sr=8-3")</f>
        <v/>
      </c>
      <c r="F653" t="inlineStr">
        <is>
          <t>B09SXF8DNW</t>
        </is>
      </c>
      <c r="G653">
        <f>_xlfn.IMAGE("https://camerareadycosmetics.com/cdn/shop/products/BALMCONTOUR-DEEP1-00_50x.jpg?v=1663210937")</f>
        <v/>
      </c>
      <c r="H653">
        <f>_xlfn.IMAGE("https://m.media-amazon.com/images/I/71GzC5ya-qL._AC_UL320_.jpg")</f>
        <v/>
      </c>
      <c r="K653" t="inlineStr">
        <is>
          <t>26.0</t>
        </is>
      </c>
      <c r="L653" t="n">
        <v>6.89</v>
      </c>
      <c r="M653" s="1" t="inlineStr">
        <is>
          <t>-73.50%</t>
        </is>
      </c>
      <c r="N653" t="n">
        <v>5</v>
      </c>
      <c r="O653" t="n">
        <v>2</v>
      </c>
      <c r="Q653" t="inlineStr">
        <is>
          <t>InStock</t>
        </is>
      </c>
      <c r="R653" t="inlineStr">
        <is>
          <t>undefined</t>
        </is>
      </c>
      <c r="S653" t="inlineStr">
        <is>
          <t>6194945917113</t>
        </is>
      </c>
    </row>
    <row r="654" ht="75" customHeight="1">
      <c r="A654" s="2">
        <f>HYPERLINK("https://camerareadycosmetics.com/products/danessa-myricks-beauty-color-fix-24hr-matte-cream-color", "https://camerareadycosmetics.com/products/danessa-myricks-beauty-color-fix-24hr-matte-cream-color")</f>
        <v/>
      </c>
      <c r="B654" s="2">
        <f>HYPERLINK("https://camerareadycosmetics.com/products/danessa-myricks-beauty-color-fix-24hr-matte-cream-color", "https://camerareadycosmetics.com/products/danessa-myricks-beauty-color-fix-24hr-matte-cream-color")</f>
        <v/>
      </c>
      <c r="C654" t="inlineStr">
        <is>
          <t>ColorFix Matte</t>
        </is>
      </c>
      <c r="D654" t="inlineStr">
        <is>
          <t>Esika Colorfix Iconic 24H Plus Matte Lipstick, Color: Caoba</t>
        </is>
      </c>
      <c r="E654" s="2">
        <f>HYPERLINK("https://www.amazon.com/Esika-Colorfix-Iconic-Matte-Lipstick/dp/B0844VXLQT/ref=sr_1_2?keywords=ColorFix+Matte&amp;qid=1695565412&amp;sr=8-2", "https://www.amazon.com/Esika-Colorfix-Iconic-Matte-Lipstick/dp/B0844VXLQT/ref=sr_1_2?keywords=ColorFix+Matte&amp;qid=1695565412&amp;sr=8-2")</f>
        <v/>
      </c>
      <c r="F654" t="inlineStr">
        <is>
          <t>B0844VXLQT</t>
        </is>
      </c>
      <c r="G654">
        <f>_xlfn.IMAGE("https://camerareadycosmetics.com/cdn/shop/products/COLORFIXMATTE-ALLURE-PRIMARYBLUE_50x.jpg?v=1622572940")</f>
        <v/>
      </c>
      <c r="H654">
        <f>_xlfn.IMAGE("https://m.media-amazon.com/images/I/41gqymQjGFL._AC_UL320_.jpg")</f>
        <v/>
      </c>
      <c r="K654" t="inlineStr">
        <is>
          <t>20.0</t>
        </is>
      </c>
      <c r="L654" t="n">
        <v>14</v>
      </c>
      <c r="M654" s="1" t="inlineStr">
        <is>
          <t>-30.00%</t>
        </is>
      </c>
      <c r="N654" t="n">
        <v>3.8</v>
      </c>
      <c r="O654" t="n">
        <v>5</v>
      </c>
      <c r="Q654" t="inlineStr">
        <is>
          <t>InStock</t>
        </is>
      </c>
      <c r="R654" t="inlineStr">
        <is>
          <t>undefined</t>
        </is>
      </c>
      <c r="S654" t="inlineStr">
        <is>
          <t>10438134666</t>
        </is>
      </c>
    </row>
    <row r="655" ht="75" customHeight="1">
      <c r="A655" s="2">
        <f>HYPERLINK("https://camerareadycosmetics.com/products/danessa-myricks-beauty-color-fix-24hr-matte-cream-color", "https://camerareadycosmetics.com/products/danessa-myricks-beauty-color-fix-24hr-matte-cream-color")</f>
        <v/>
      </c>
      <c r="B655" s="2">
        <f>HYPERLINK("https://camerareadycosmetics.com/products/danessa-myricks-beauty-color-fix-24hr-matte-cream-color", "https://camerareadycosmetics.com/products/danessa-myricks-beauty-color-fix-24hr-matte-cream-color")</f>
        <v/>
      </c>
      <c r="C655" t="inlineStr">
        <is>
          <t>ColorFix Matte</t>
        </is>
      </c>
      <c r="D655" t="inlineStr">
        <is>
          <t>Esika Colorfix Iconic 24H Plus Matte Lipstick, Color: Fucsia Express</t>
        </is>
      </c>
      <c r="E655" s="2">
        <f>HYPERLINK("https://www.amazon.com/Esika-Colorfix-Iconic-Matte-Lipstick/dp/B081TKF7T5/ref=sr_1_4?keywords=ColorFix+Matte&amp;qid=1695565412&amp;sr=8-4", "https://www.amazon.com/Esika-Colorfix-Iconic-Matte-Lipstick/dp/B081TKF7T5/ref=sr_1_4?keywords=ColorFix+Matte&amp;qid=1695565412&amp;sr=8-4")</f>
        <v/>
      </c>
      <c r="F655" t="inlineStr">
        <is>
          <t>B081TKF7T5</t>
        </is>
      </c>
      <c r="G655">
        <f>_xlfn.IMAGE("https://camerareadycosmetics.com/cdn/shop/products/COLORFIXMATTE-ALLURE-PRIMARYBLUE_50x.jpg?v=1622572940")</f>
        <v/>
      </c>
      <c r="H655">
        <f>_xlfn.IMAGE("https://m.media-amazon.com/images/I/41RWFdSn29L._AC_UL320_.jpg")</f>
        <v/>
      </c>
      <c r="K655" t="inlineStr">
        <is>
          <t>20.0</t>
        </is>
      </c>
      <c r="L655" t="n">
        <v>13</v>
      </c>
      <c r="M655" s="1" t="inlineStr">
        <is>
          <t>-35.00%</t>
        </is>
      </c>
      <c r="N655" t="n">
        <v>5</v>
      </c>
      <c r="O655" t="n">
        <v>4</v>
      </c>
      <c r="Q655" t="inlineStr">
        <is>
          <t>InStock</t>
        </is>
      </c>
      <c r="R655" t="inlineStr">
        <is>
          <t>undefined</t>
        </is>
      </c>
      <c r="S655" t="inlineStr">
        <is>
          <t>10438134666</t>
        </is>
      </c>
    </row>
    <row r="656" ht="75" customHeight="1">
      <c r="A656" s="2">
        <f>HYPERLINK("https://camerareadycosmetics.com/products/danessa-myricks-beauty-color-fix-24hr-matte-cream-color", "https://camerareadycosmetics.com/products/danessa-myricks-beauty-color-fix-24hr-matte-cream-color")</f>
        <v/>
      </c>
      <c r="B656" s="2">
        <f>HYPERLINK("https://camerareadycosmetics.com/products/danessa-myricks-beauty-color-fix-24hr-matte-cream-color", "https://camerareadycosmetics.com/products/danessa-myricks-beauty-color-fix-24hr-matte-cream-color")</f>
        <v/>
      </c>
      <c r="C656" t="inlineStr">
        <is>
          <t>ColorFix Matte</t>
        </is>
      </c>
      <c r="D656" t="inlineStr">
        <is>
          <t>Esika Colorfix Iconic 24H Plus Matte Lipstick, Color: Pimienta Caliente</t>
        </is>
      </c>
      <c r="E656" s="2">
        <f>HYPERLINK("https://www.amazon.com/Esika-Colorfix-Iconic-Matte-Lipstick/dp/B081TK275L/ref=sr_1_3?keywords=ColorFix+Matte&amp;qid=1695565412&amp;sr=8-3", "https://www.amazon.com/Esika-Colorfix-Iconic-Matte-Lipstick/dp/B081TK275L/ref=sr_1_3?keywords=ColorFix+Matte&amp;qid=1695565412&amp;sr=8-3")</f>
        <v/>
      </c>
      <c r="F656" t="inlineStr">
        <is>
          <t>B081TK275L</t>
        </is>
      </c>
      <c r="G656">
        <f>_xlfn.IMAGE("https://camerareadycosmetics.com/cdn/shop/products/COLORFIXMATTE-ALLURE-PRIMARYBLUE_50x.jpg?v=1622572940")</f>
        <v/>
      </c>
      <c r="H656">
        <f>_xlfn.IMAGE("https://m.media-amazon.com/images/I/51OSpYI2OQL._AC_UL320_.jpg")</f>
        <v/>
      </c>
      <c r="K656" t="inlineStr">
        <is>
          <t>20.0</t>
        </is>
      </c>
      <c r="L656" t="n">
        <v>12</v>
      </c>
      <c r="M656" s="1" t="inlineStr">
        <is>
          <t>-40.00%</t>
        </is>
      </c>
      <c r="N656" t="n">
        <v>3.5</v>
      </c>
      <c r="O656" t="n">
        <v>4</v>
      </c>
      <c r="Q656" t="inlineStr">
        <is>
          <t>InStock</t>
        </is>
      </c>
      <c r="R656" t="inlineStr">
        <is>
          <t>undefined</t>
        </is>
      </c>
      <c r="S656" t="inlineStr">
        <is>
          <t>10438134666</t>
        </is>
      </c>
    </row>
    <row r="657" ht="75" customHeight="1">
      <c r="A657" s="2">
        <f>HYPERLINK("https://camerareadycosmetics.com/products/danessa-myricks-beauty-color-fix-24hr-matte-cream-color", "https://camerareadycosmetics.com/products/danessa-myricks-beauty-color-fix-24hr-matte-cream-color")</f>
        <v/>
      </c>
      <c r="B657" s="2">
        <f>HYPERLINK("https://camerareadycosmetics.com/products/danessa-myricks-beauty-color-fix-24hr-matte-cream-color", "https://camerareadycosmetics.com/products/danessa-myricks-beauty-color-fix-24hr-matte-cream-color")</f>
        <v/>
      </c>
      <c r="C657" t="inlineStr">
        <is>
          <t>ColorFix Matte</t>
        </is>
      </c>
      <c r="D657" t="inlineStr">
        <is>
          <t>Esika Colorfix Iconic 24H Plus Matte Lipstick, Color: Vino Chic</t>
        </is>
      </c>
      <c r="E657" s="2">
        <f>HYPERLINK("https://www.amazon.com/Esika-Colorfix-Iconic-Matte-Lipstick/dp/B07ZMNNCCG/ref=sr_1_1?keywords=ColorFix+Matte&amp;qid=1695565412&amp;sr=8-1", "https://www.amazon.com/Esika-Colorfix-Iconic-Matte-Lipstick/dp/B07ZMNNCCG/ref=sr_1_1?keywords=ColorFix+Matte&amp;qid=1695565412&amp;sr=8-1")</f>
        <v/>
      </c>
      <c r="F657" t="inlineStr">
        <is>
          <t>B07ZMNNCCG</t>
        </is>
      </c>
      <c r="G657">
        <f>_xlfn.IMAGE("https://camerareadycosmetics.com/cdn/shop/products/COLORFIXMATTE-ALLURE-PRIMARYBLUE_50x.jpg?v=1622572940")</f>
        <v/>
      </c>
      <c r="H657">
        <f>_xlfn.IMAGE("https://m.media-amazon.com/images/I/41c7PXEQrHL._AC_UL320_.jpg")</f>
        <v/>
      </c>
      <c r="K657" t="inlineStr">
        <is>
          <t>20.0</t>
        </is>
      </c>
      <c r="L657" t="n">
        <v>10</v>
      </c>
      <c r="M657" s="1" t="inlineStr">
        <is>
          <t>-50.00%</t>
        </is>
      </c>
      <c r="N657" t="n">
        <v>4.5</v>
      </c>
      <c r="O657" t="n">
        <v>8</v>
      </c>
      <c r="Q657" t="inlineStr">
        <is>
          <t>InStock</t>
        </is>
      </c>
      <c r="R657" t="inlineStr">
        <is>
          <t>undefined</t>
        </is>
      </c>
      <c r="S657" t="inlineStr">
        <is>
          <t>10438134666</t>
        </is>
      </c>
    </row>
    <row r="658" ht="75" customHeight="1">
      <c r="A658" s="2">
        <f>HYPERLINK("https://camerareadycosmetics.com/products/danessa-myricks-beauty-color-fix-24hr-matte-cream-color", "https://camerareadycosmetics.com/products/danessa-myricks-beauty-color-fix-24hr-matte-cream-color")</f>
        <v/>
      </c>
      <c r="B658" s="2">
        <f>HYPERLINK("https://camerareadycosmetics.com/products/danessa-myricks-beauty-color-fix-24hr-matte-cream-color", "https://camerareadycosmetics.com/products/danessa-myricks-beauty-color-fix-24hr-matte-cream-color")</f>
        <v/>
      </c>
      <c r="C658" t="inlineStr">
        <is>
          <t>ColorFix Matte</t>
        </is>
      </c>
      <c r="D658" t="inlineStr">
        <is>
          <t>Esika Colorfix Iconic 24H Plus Matte Lipstick, Color: Vino Chic</t>
        </is>
      </c>
      <c r="E658" s="2">
        <f>HYPERLINK("https://www.amazon.com/Esika-Colorfix-Iconic-Matte-Lipstick/dp/B07ZMNNCCG/ref=sr_1_1?keywords=ColorFix+Matte&amp;qid=1695565412&amp;sr=8-1", "https://www.amazon.com/Esika-Colorfix-Iconic-Matte-Lipstick/dp/B07ZMNNCCG/ref=sr_1_1?keywords=ColorFix+Matte&amp;qid=1695565412&amp;sr=8-1")</f>
        <v/>
      </c>
      <c r="F658" t="inlineStr">
        <is>
          <t>B07ZMNNCCG</t>
        </is>
      </c>
      <c r="G658">
        <f>_xlfn.IMAGE("https://camerareadycosmetics.com/cdn/shop/products/COLORFIXMATTE-ALLURE-PRIMARYBLUE_50x.jpg?v=1622572940")</f>
        <v/>
      </c>
      <c r="H658">
        <f>_xlfn.IMAGE("https://m.media-amazon.com/images/I/41c7PXEQrHL._AC_UL320_.jpg")</f>
        <v/>
      </c>
      <c r="K658" t="inlineStr">
        <is>
          <t>20.0</t>
        </is>
      </c>
      <c r="L658" t="n">
        <v>10</v>
      </c>
      <c r="M658" s="1" t="inlineStr">
        <is>
          <t>-50.00%</t>
        </is>
      </c>
      <c r="N658" t="n">
        <v>4.5</v>
      </c>
      <c r="O658" t="n">
        <v>8</v>
      </c>
      <c r="Q658" t="inlineStr">
        <is>
          <t>InStock</t>
        </is>
      </c>
      <c r="R658" t="inlineStr">
        <is>
          <t>undefined</t>
        </is>
      </c>
      <c r="S658" t="inlineStr">
        <is>
          <t>10438134666</t>
        </is>
      </c>
    </row>
    <row r="659" ht="75" customHeight="1">
      <c r="A659" s="2">
        <f>HYPERLINK("https://camerareadycosmetics.com/products/danessa-myricks-beauty-dewy-cheek-lip-palette", "https://camerareadycosmetics.com/products/danessa-myricks-beauty-dewy-cheek-lip-palette")</f>
        <v/>
      </c>
      <c r="B659" s="2">
        <f>HYPERLINK("https://camerareadycosmetics.com/products/danessa-myricks-beauty-dewy-cheek-lip-palette", "https://camerareadycosmetics.com/products/danessa-myricks-beauty-dewy-cheek-lip-palette")</f>
        <v/>
      </c>
      <c r="C659" t="inlineStr">
        <is>
          <t>Dewy Cheek &amp; Lip Palette</t>
        </is>
      </c>
      <c r="D659" t="inlineStr">
        <is>
          <t>Moisturizing Color Changing Lip and Blush Gloss Gel.Korean Natural Dewy Glossy Shiny Flash Cream Blush for Cheeks Makeup.Chroma Depending on Skin’s PH &amp; Number of Stacks,Blendable Formula,Vegan &amp; Cruelty-Free.FLASH</t>
        </is>
      </c>
      <c r="E659" s="2">
        <f>HYPERLINK("https://www.amazon.com/Moisturizing-Gel-Korean-Makeup-Chroma-Depending-Cruelty-Free-FLASH/dp/B0BZLPQ8CS/ref=sr_1_10?keywords=Dewy+Cheek&amp;qid=1695565522&amp;sr=8-10", "https://www.amazon.com/Moisturizing-Gel-Korean-Makeup-Chroma-Depending-Cruelty-Free-FLASH/dp/B0BZLPQ8CS/ref=sr_1_10?keywords=Dewy+Cheek&amp;qid=1695565522&amp;sr=8-10")</f>
        <v/>
      </c>
      <c r="F659" t="inlineStr">
        <is>
          <t>B0BZLPQ8CS</t>
        </is>
      </c>
      <c r="G659">
        <f>_xlfn.IMAGE("https://camerareadycosmetics.com/cdn/shop/products/DEW_IT_FLIRTY_2_50x.jpg?v=1642192382")</f>
        <v/>
      </c>
      <c r="H659">
        <f>_xlfn.IMAGE("https://m.media-amazon.com/images/I/61Bm4HhAEIL._AC_UL320_.jpg")</f>
        <v/>
      </c>
      <c r="K659" t="inlineStr">
        <is>
          <t>32.0</t>
        </is>
      </c>
      <c r="L659" t="n">
        <v>7.99</v>
      </c>
      <c r="M659" s="1" t="inlineStr">
        <is>
          <t>-75.03%</t>
        </is>
      </c>
      <c r="N659" t="n">
        <v>3.4</v>
      </c>
      <c r="O659" t="n">
        <v>11</v>
      </c>
      <c r="Q659" t="inlineStr">
        <is>
          <t>InStock</t>
        </is>
      </c>
      <c r="R659" t="inlineStr">
        <is>
          <t>32.0</t>
        </is>
      </c>
      <c r="S659" t="inlineStr">
        <is>
          <t>7156107870393</t>
        </is>
      </c>
    </row>
    <row r="660" ht="75" customHeight="1">
      <c r="A660" s="2">
        <f>HYPERLINK("https://camerareadycosmetics.com/products/danessa-myricks-beauty-dewy-cheek-lip-palette", "https://camerareadycosmetics.com/products/danessa-myricks-beauty-dewy-cheek-lip-palette")</f>
        <v/>
      </c>
      <c r="B660" s="2">
        <f>HYPERLINK("https://camerareadycosmetics.com/products/danessa-myricks-beauty-dewy-cheek-lip-palette", "https://camerareadycosmetics.com/products/danessa-myricks-beauty-dewy-cheek-lip-palette")</f>
        <v/>
      </c>
      <c r="C660" t="inlineStr">
        <is>
          <t>Dewy Cheek &amp; Lip Palette</t>
        </is>
      </c>
      <c r="D660" t="inlineStr">
        <is>
          <t>Moisturizing Color Changing Lip and Blush Gloss Gel.Korean Natural Dewy Glossy Shiny Flash Cream Blush for Cheeks Makeup.Chroma Depending on Skin’s PH &amp; Number of Stacks,Blendable Formula,Vegan &amp; Cruelty-Free.FLASH</t>
        </is>
      </c>
      <c r="E660" s="2">
        <f>HYPERLINK("https://www.amazon.com/Moisturizing-Gel-Korean-Makeup-Chroma-Depending-Cruelty-Free-FLASH/dp/B0BZLPQ8CS/ref=sr_1_10?keywords=Dewy+Cheek&amp;qid=1695565522&amp;sr=8-10", "https://www.amazon.com/Moisturizing-Gel-Korean-Makeup-Chroma-Depending-Cruelty-Free-FLASH/dp/B0BZLPQ8CS/ref=sr_1_10?keywords=Dewy+Cheek&amp;qid=1695565522&amp;sr=8-10")</f>
        <v/>
      </c>
      <c r="F660" t="inlineStr">
        <is>
          <t>B0BZLPQ8CS</t>
        </is>
      </c>
      <c r="G660">
        <f>_xlfn.IMAGE("https://camerareadycosmetics.com/cdn/shop/products/DEW_IT_FLIRTY_2_50x.jpg?v=1642192382")</f>
        <v/>
      </c>
      <c r="H660">
        <f>_xlfn.IMAGE("https://m.media-amazon.com/images/I/61Bm4HhAEIL._AC_UL320_.jpg")</f>
        <v/>
      </c>
      <c r="K660" t="inlineStr">
        <is>
          <t>32.0</t>
        </is>
      </c>
      <c r="L660" t="n">
        <v>7.99</v>
      </c>
      <c r="M660" s="1" t="inlineStr">
        <is>
          <t>-75.03%</t>
        </is>
      </c>
      <c r="N660" t="n">
        <v>3.4</v>
      </c>
      <c r="O660" t="n">
        <v>11</v>
      </c>
      <c r="Q660" t="inlineStr">
        <is>
          <t>InStock</t>
        </is>
      </c>
      <c r="R660" t="inlineStr">
        <is>
          <t>32.0</t>
        </is>
      </c>
      <c r="S660" t="inlineStr">
        <is>
          <t>7156107870393</t>
        </is>
      </c>
    </row>
    <row r="661" ht="75" customHeight="1">
      <c r="A661" s="2">
        <f>HYPERLINK("https://camerareadycosmetics.com/products/danessa-myricks-beauty-eyeshadow-base", "https://camerareadycosmetics.com/products/danessa-myricks-beauty-eyeshadow-base")</f>
        <v/>
      </c>
      <c r="B661" s="2">
        <f>HYPERLINK("https://camerareadycosmetics.com/products/danessa-myricks-beauty-eyeshadow-base", "https://camerareadycosmetics.com/products/danessa-myricks-beauty-eyeshadow-base")</f>
        <v/>
      </c>
      <c r="C661" t="inlineStr">
        <is>
          <t>Eyeshadow Base</t>
        </is>
      </c>
      <c r="D661" t="inlineStr">
        <is>
          <t>EYESHADOW BASE SHADE RUMOUR 02, 0.504 Fl Oz (Pack of 1)</t>
        </is>
      </c>
      <c r="E661" s="2">
        <f>HYPERLINK("https://www.amazon.com/P-Louise-EYESHADOW-SHADE-RUMOUR-0-504/dp/B09ZNYK7VG/ref=sr_1_1?keywords=Eyeshadow+Base&amp;qid=1695565524&amp;sr=8-1", "https://www.amazon.com/P-Louise-EYESHADOW-SHADE-RUMOUR-0-504/dp/B09ZNYK7VG/ref=sr_1_1?keywords=Eyeshadow+Base&amp;qid=1695565524&amp;sr=8-1")</f>
        <v/>
      </c>
      <c r="F661" t="inlineStr">
        <is>
          <t>B09ZNYK7VG</t>
        </is>
      </c>
      <c r="G661">
        <f>_xlfn.IMAGE("https://camerareadycosmetics.com/cdn/shop/products/shadowbase_50x.jpg?v=1610019372")</f>
        <v/>
      </c>
      <c r="H661">
        <f>_xlfn.IMAGE("https://m.media-amazon.com/images/I/41uuTHYgrLL._AC_UL320_.jpg")</f>
        <v/>
      </c>
      <c r="K661" t="inlineStr">
        <is>
          <t>13.0</t>
        </is>
      </c>
      <c r="L661" t="n">
        <v>16.75</v>
      </c>
      <c r="M661" s="1" t="inlineStr">
        <is>
          <t>28.85%</t>
        </is>
      </c>
      <c r="N661" t="n">
        <v>4.4</v>
      </c>
      <c r="O661" t="n">
        <v>374</v>
      </c>
      <c r="Q661" t="inlineStr">
        <is>
          <t>InStock</t>
        </is>
      </c>
      <c r="R661" t="inlineStr">
        <is>
          <t>undefined</t>
        </is>
      </c>
      <c r="S661" t="inlineStr">
        <is>
          <t>10928400842</t>
        </is>
      </c>
    </row>
    <row r="662" ht="75" customHeight="1">
      <c r="A662" s="2">
        <f>HYPERLINK("https://camerareadycosmetics.com/products/danessa-myricks-beauty-eyeshadow-base", "https://camerareadycosmetics.com/products/danessa-myricks-beauty-eyeshadow-base")</f>
        <v/>
      </c>
      <c r="B662" s="2">
        <f>HYPERLINK("https://camerareadycosmetics.com/products/danessa-myricks-beauty-eyeshadow-base", "https://camerareadycosmetics.com/products/danessa-myricks-beauty-eyeshadow-base")</f>
        <v/>
      </c>
      <c r="C662" t="inlineStr">
        <is>
          <t>Eyeshadow Base</t>
        </is>
      </c>
      <c r="D662" t="inlineStr">
        <is>
          <t>Elizabeth Mott Thank Me Later Eye Primer for Long-Lasting Power Grip Eye Makeup, Eyeshadow Base to Control Oil, Prevent Creasing for All-Day Eye Makeup Wear 10g</t>
        </is>
      </c>
      <c r="E662" s="2">
        <f>HYPERLINK("https://www.amazon.com/Elizabeth-Mott-Long-Lasting-Waterproof-Eyeshadow/dp/B018JDMD4K/ref=sr_1_5?keywords=Eyeshadow+Base&amp;qid=1695565524&amp;sr=8-5", "https://www.amazon.com/Elizabeth-Mott-Long-Lasting-Waterproof-Eyeshadow/dp/B018JDMD4K/ref=sr_1_5?keywords=Eyeshadow+Base&amp;qid=1695565524&amp;sr=8-5")</f>
        <v/>
      </c>
      <c r="F662" t="inlineStr">
        <is>
          <t>B018JDMD4K</t>
        </is>
      </c>
      <c r="G662">
        <f>_xlfn.IMAGE("https://camerareadycosmetics.com/cdn/shop/products/shadowbase_50x.jpg?v=1610019372")</f>
        <v/>
      </c>
      <c r="H662">
        <f>_xlfn.IMAGE("https://m.media-amazon.com/images/I/41IcbLGgpFL._AC_UL320_.jpg")</f>
        <v/>
      </c>
      <c r="K662" t="inlineStr">
        <is>
          <t>13.0</t>
        </is>
      </c>
      <c r="L662" t="n">
        <v>13.99</v>
      </c>
      <c r="M662" s="1" t="inlineStr">
        <is>
          <t>7.62%</t>
        </is>
      </c>
      <c r="N662" t="n">
        <v>4.4</v>
      </c>
      <c r="O662" t="n">
        <v>20704</v>
      </c>
      <c r="Q662" t="inlineStr">
        <is>
          <t>InStock</t>
        </is>
      </c>
      <c r="R662" t="inlineStr">
        <is>
          <t>undefined</t>
        </is>
      </c>
      <c r="S662" t="inlineStr">
        <is>
          <t>10928400842</t>
        </is>
      </c>
    </row>
    <row r="663" ht="75" customHeight="1">
      <c r="A663" s="2">
        <f>HYPERLINK("https://camerareadycosmetics.com/products/danessa-myricks-beauty-eyeshadow-base", "https://camerareadycosmetics.com/products/danessa-myricks-beauty-eyeshadow-base")</f>
        <v/>
      </c>
      <c r="B663" s="2">
        <f>HYPERLINK("https://camerareadycosmetics.com/products/danessa-myricks-beauty-eyeshadow-base", "https://camerareadycosmetics.com/products/danessa-myricks-beauty-eyeshadow-base")</f>
        <v/>
      </c>
      <c r="C663" t="inlineStr">
        <is>
          <t>Eyeshadow Base</t>
        </is>
      </c>
      <c r="D663" t="inlineStr">
        <is>
          <t>ARTDECO Eyeshadow Base - improves eye shadow staying power &amp; prevents creasing - creamy consistency - neutral tones - shimmering - eyeshadows appear more intense - eye makeup - vegan - 0.16 Fl Oz</t>
        </is>
      </c>
      <c r="E663" s="2">
        <f>HYPERLINK("https://www.amazon.com/ARTDECO-4019674029107-Eyeshadow-Base/dp/B003XK7692/ref=sr_1_6?keywords=Eyeshadow+Base&amp;qid=1695565524&amp;sr=8-6", "https://www.amazon.com/ARTDECO-4019674029107-Eyeshadow-Base/dp/B003XK7692/ref=sr_1_6?keywords=Eyeshadow+Base&amp;qid=1695565524&amp;sr=8-6")</f>
        <v/>
      </c>
      <c r="F663" t="inlineStr">
        <is>
          <t>B003XK7692</t>
        </is>
      </c>
      <c r="G663">
        <f>_xlfn.IMAGE("https://camerareadycosmetics.com/cdn/shop/products/shadowbase_50x.jpg?v=1610019372")</f>
        <v/>
      </c>
      <c r="H663">
        <f>_xlfn.IMAGE("https://m.media-amazon.com/images/I/71UzdiK4bML._AC_UL320_.jpg")</f>
        <v/>
      </c>
      <c r="K663" t="inlineStr">
        <is>
          <t>13.0</t>
        </is>
      </c>
      <c r="L663" t="n">
        <v>9.99</v>
      </c>
      <c r="M663" s="1" t="inlineStr">
        <is>
          <t>-23.15%</t>
        </is>
      </c>
      <c r="N663" t="n">
        <v>4.3</v>
      </c>
      <c r="O663" t="n">
        <v>3083</v>
      </c>
      <c r="Q663" t="inlineStr">
        <is>
          <t>InStock</t>
        </is>
      </c>
      <c r="R663" t="inlineStr">
        <is>
          <t>undefined</t>
        </is>
      </c>
      <c r="S663" t="inlineStr">
        <is>
          <t>10928400842</t>
        </is>
      </c>
    </row>
    <row r="664" ht="75" customHeight="1">
      <c r="A664" s="2">
        <f>HYPERLINK("https://camerareadycosmetics.com/products/danessa-myricks-beauty-eyeshadow-base", "https://camerareadycosmetics.com/products/danessa-myricks-beauty-eyeshadow-base")</f>
        <v/>
      </c>
      <c r="B664" s="2">
        <f>HYPERLINK("https://camerareadycosmetics.com/products/danessa-myricks-beauty-eyeshadow-base", "https://camerareadycosmetics.com/products/danessa-myricks-beauty-eyeshadow-base")</f>
        <v/>
      </c>
      <c r="C664" t="inlineStr">
        <is>
          <t>Eyeshadow Base</t>
        </is>
      </c>
      <c r="D664" t="inlineStr">
        <is>
          <t>NYX PROFESSIONAL MAKEUP Eyeshadow Base Primer, Skin Tone</t>
        </is>
      </c>
      <c r="E664" s="2">
        <f>HYPERLINK("https://www.amazon.com/NYX-Professional-Makeup-Eyeshadow-Packaging/dp/B0030O9LYY/ref=sr_1_4?keywords=Eyeshadow+Base&amp;qid=1695565524&amp;sr=8-4", "https://www.amazon.com/NYX-Professional-Makeup-Eyeshadow-Packaging/dp/B0030O9LYY/ref=sr_1_4?keywords=Eyeshadow+Base&amp;qid=1695565524&amp;sr=8-4")</f>
        <v/>
      </c>
      <c r="F664" t="inlineStr">
        <is>
          <t>B0030O9LYY</t>
        </is>
      </c>
      <c r="G664">
        <f>_xlfn.IMAGE("https://camerareadycosmetics.com/cdn/shop/products/shadowbase_50x.jpg?v=1610019372")</f>
        <v/>
      </c>
      <c r="H664">
        <f>_xlfn.IMAGE("https://m.media-amazon.com/images/I/61d1RMTfdhL._AC_UL320_.jpg")</f>
        <v/>
      </c>
      <c r="K664" t="inlineStr">
        <is>
          <t>13.0</t>
        </is>
      </c>
      <c r="L664" t="n">
        <v>9.99</v>
      </c>
      <c r="M664" s="1" t="inlineStr">
        <is>
          <t>-23.15%</t>
        </is>
      </c>
      <c r="N664" t="n">
        <v>4.2</v>
      </c>
      <c r="O664" t="n">
        <v>14422</v>
      </c>
      <c r="Q664" t="inlineStr">
        <is>
          <t>InStock</t>
        </is>
      </c>
      <c r="R664" t="inlineStr">
        <is>
          <t>undefined</t>
        </is>
      </c>
      <c r="S664" t="inlineStr">
        <is>
          <t>10928400842</t>
        </is>
      </c>
    </row>
    <row r="665" ht="75" customHeight="1">
      <c r="A665" s="2">
        <f>HYPERLINK("https://camerareadycosmetics.com/products/danessa-myricks-beauty-illuminating-veil", "https://camerareadycosmetics.com/products/danessa-myricks-beauty-illuminating-veil")</f>
        <v/>
      </c>
      <c r="B665" s="2">
        <f>HYPERLINK("https://camerareadycosmetics.com/products/danessa-myricks-beauty-illuminating-veil", "https://camerareadycosmetics.com/products/danessa-myricks-beauty-illuminating-veil")</f>
        <v/>
      </c>
      <c r="C665" t="inlineStr">
        <is>
          <t>Illuminating Veil Highlighter</t>
        </is>
      </c>
      <c r="D665" t="inlineStr">
        <is>
          <t>3INA The Highlighter 512 - Illuminating Powder - Soft, Luminous Look - Light, Silky Texture - Shimmering Veil Of Radiance - Blendable And High Pigmented Formula - Ideal For A Perfect Finish - 0.21 Oz</t>
        </is>
      </c>
      <c r="E665" s="2">
        <f>HYPERLINK("https://www.amazon.com/3INA-Highlighter-512-Illuminating-Shimmering/dp/B08ND9N1ZR/ref=sr_1_1?keywords=Illuminating+Veil+Highlighter&amp;qid=1695565430&amp;sr=8-1", "https://www.amazon.com/3INA-Highlighter-512-Illuminating-Shimmering/dp/B08ND9N1ZR/ref=sr_1_1?keywords=Illuminating+Veil+Highlighter&amp;qid=1695565430&amp;sr=8-1")</f>
        <v/>
      </c>
      <c r="F665" t="inlineStr">
        <is>
          <t>B08ND9N1ZR</t>
        </is>
      </c>
      <c r="G665">
        <f>_xlfn.IMAGE("https://camerareadycosmetics.com/cdn/shop/products/LuminatingVeil.WEBGoddess_50e48b94-ad0d-41f5-922e-3de80b686432_50x.jpg?v=1610019321")</f>
        <v/>
      </c>
      <c r="H665">
        <f>_xlfn.IMAGE("https://m.media-amazon.com/images/I/81Du6dlvETL._AC_UL320_.jpg")</f>
        <v/>
      </c>
      <c r="K665" t="inlineStr">
        <is>
          <t>22.0</t>
        </is>
      </c>
      <c r="L665" t="n">
        <v>17.95</v>
      </c>
      <c r="M665" s="1" t="inlineStr">
        <is>
          <t>-18.41%</t>
        </is>
      </c>
      <c r="N665" t="n">
        <v>4.2</v>
      </c>
      <c r="O665" t="n">
        <v>79</v>
      </c>
      <c r="Q665" t="inlineStr">
        <is>
          <t>InStock</t>
        </is>
      </c>
      <c r="R665" t="inlineStr">
        <is>
          <t>undefined</t>
        </is>
      </c>
      <c r="S665" t="inlineStr">
        <is>
          <t>10670494794</t>
        </is>
      </c>
    </row>
    <row r="666" ht="75" customHeight="1">
      <c r="A666" s="2">
        <f>HYPERLINK("https://camerareadycosmetics.com/products/danessa-myricks-beauty-set-it-forever-mist", "https://camerareadycosmetics.com/products/danessa-myricks-beauty-set-it-forever-mist")</f>
        <v/>
      </c>
      <c r="B666" s="2">
        <f>HYPERLINK("https://camerareadycosmetics.com/products/danessa-myricks-beauty-set-it-forever-mist", "https://camerareadycosmetics.com/products/danessa-myricks-beauty-set-it-forever-mist")</f>
        <v/>
      </c>
      <c r="C666" t="inlineStr">
        <is>
          <t>Set It Forever Mist</t>
        </is>
      </c>
      <c r="D666" t="inlineStr">
        <is>
          <t>e.l.f. Makeup Mist &amp; Set - Large Lightweight, Long Lasting, All-Day Wear Revitalizes, Refreshes, Hydrates, Soothes Infused with Aloe, Green Tea and Cucumber 4 Fl Oz</t>
        </is>
      </c>
      <c r="E666" s="2">
        <f>HYPERLINK("https://www.amazon.com/l-f-Cosmetics-makeup-large-bottle/dp/B0791MDRFP/ref=sr_1_1?keywords=Set+It+Forever+Mist&amp;qid=1695565608&amp;sr=8-1", "https://www.amazon.com/l-f-Cosmetics-makeup-large-bottle/dp/B0791MDRFP/ref=sr_1_1?keywords=Set+It+Forever+Mist&amp;qid=1695565608&amp;sr=8-1")</f>
        <v/>
      </c>
      <c r="F666" t="inlineStr">
        <is>
          <t>B0791MDRFP</t>
        </is>
      </c>
      <c r="G666">
        <f>_xlfn.IMAGE("https://camerareadycosmetics.com/cdn/shop/products/set-it-spray_1200x1200_4a738850-3737-454d-9d18-15604fa48c8c_50x.jpg?v=1618898391")</f>
        <v/>
      </c>
      <c r="H666">
        <f>_xlfn.IMAGE("https://m.media-amazon.com/images/I/51JuYPfgyfL._AC_UL320_.jpg")</f>
        <v/>
      </c>
      <c r="K666" t="inlineStr">
        <is>
          <t>26.0</t>
        </is>
      </c>
      <c r="L666" t="n">
        <v>6</v>
      </c>
      <c r="M666" s="1" t="inlineStr">
        <is>
          <t>-76.92%</t>
        </is>
      </c>
      <c r="N666" t="n">
        <v>4.5</v>
      </c>
      <c r="O666" t="n">
        <v>10936</v>
      </c>
      <c r="Q666" t="inlineStr">
        <is>
          <t>InStock</t>
        </is>
      </c>
      <c r="R666" t="inlineStr">
        <is>
          <t>undefined</t>
        </is>
      </c>
      <c r="S666" t="inlineStr">
        <is>
          <t>6659321135289</t>
        </is>
      </c>
    </row>
    <row r="667" ht="75" customHeight="1">
      <c r="A667" s="2">
        <f>HYPERLINK("https://camerareadycosmetics.com/products/danessa-myricks-beauty-set-it-forever-mist", "https://camerareadycosmetics.com/products/danessa-myricks-beauty-set-it-forever-mist")</f>
        <v/>
      </c>
      <c r="B667" s="2">
        <f>HYPERLINK("https://camerareadycosmetics.com/products/danessa-myricks-beauty-set-it-forever-mist", "https://camerareadycosmetics.com/products/danessa-myricks-beauty-set-it-forever-mist")</f>
        <v/>
      </c>
      <c r="C667" t="inlineStr">
        <is>
          <t>Set It Forever Mist</t>
        </is>
      </c>
      <c r="D667" t="inlineStr">
        <is>
          <t>e.l.f. Makeup Mist &amp; Set - Large Lightweight, Long Lasting, All-Day Wear Revitalizes, Refreshes, Hydrates, Soothes Infused with Aloe, Green Tea and Cucumber 4 Fl Oz</t>
        </is>
      </c>
      <c r="E667" s="2">
        <f>HYPERLINK("https://www.amazon.com/l-f-Cosmetics-makeup-large-bottle/dp/B0791MDRFP/ref=sr_1_1?keywords=Set+It+Forever+Mist&amp;qid=1695565608&amp;sr=8-1", "https://www.amazon.com/l-f-Cosmetics-makeup-large-bottle/dp/B0791MDRFP/ref=sr_1_1?keywords=Set+It+Forever+Mist&amp;qid=1695565608&amp;sr=8-1")</f>
        <v/>
      </c>
      <c r="F667" t="inlineStr">
        <is>
          <t>B0791MDRFP</t>
        </is>
      </c>
      <c r="G667">
        <f>_xlfn.IMAGE("https://camerareadycosmetics.com/cdn/shop/products/set-it-spray_1200x1200_4a738850-3737-454d-9d18-15604fa48c8c_50x.jpg?v=1618898391")</f>
        <v/>
      </c>
      <c r="H667">
        <f>_xlfn.IMAGE("https://m.media-amazon.com/images/I/51JuYPfgyfL._AC_UL320_.jpg")</f>
        <v/>
      </c>
      <c r="K667" t="inlineStr">
        <is>
          <t>26.0</t>
        </is>
      </c>
      <c r="L667" t="n">
        <v>6</v>
      </c>
      <c r="M667" s="1" t="inlineStr">
        <is>
          <t>-76.92%</t>
        </is>
      </c>
      <c r="N667" t="n">
        <v>4.5</v>
      </c>
      <c r="O667" t="n">
        <v>10936</v>
      </c>
      <c r="Q667" t="inlineStr">
        <is>
          <t>InStock</t>
        </is>
      </c>
      <c r="R667" t="inlineStr">
        <is>
          <t>undefined</t>
        </is>
      </c>
      <c r="S667" t="inlineStr">
        <is>
          <t>6659321135289</t>
        </is>
      </c>
    </row>
    <row r="668" ht="75" customHeight="1">
      <c r="A668" s="2">
        <f>HYPERLINK("https://camerareadycosmetics.com/products/danessa-myricks-beauty-vision-cover-cream", "https://camerareadycosmetics.com/products/danessa-myricks-beauty-vision-cover-cream")</f>
        <v/>
      </c>
      <c r="B668" s="2">
        <f>HYPERLINK("https://camerareadycosmetics.com/products/danessa-myricks-beauty-vision-cover-cream", "https://camerareadycosmetics.com/products/danessa-myricks-beauty-vision-cover-cream")</f>
        <v/>
      </c>
      <c r="C668" t="inlineStr">
        <is>
          <t>Vision Cream Cover</t>
        </is>
      </c>
      <c r="D668" t="inlineStr">
        <is>
          <t>Danessa Myricks Vision Cream Cover Palette - Warm</t>
        </is>
      </c>
      <c r="E668" s="2">
        <f>HYPERLINK("https://www.amazon.com/Danessa-Myricks-Vision-Cream-Palette/dp/B093R8DP2R/ref=sr_1_1?keywords=Vision+Cream+Cover&amp;qid=1695565423&amp;sr=8-1", "https://www.amazon.com/Danessa-Myricks-Vision-Cream-Palette/dp/B093R8DP2R/ref=sr_1_1?keywords=Vision+Cream+Cover&amp;qid=1695565423&amp;sr=8-1")</f>
        <v/>
      </c>
      <c r="F668" t="inlineStr">
        <is>
          <t>B093R8DP2R</t>
        </is>
      </c>
      <c r="G668">
        <f>_xlfn.IMAGE("https://camerareadycosmetics.com/cdn/shop/products/COVERW06_50x.jpg?v=1611013446")</f>
        <v/>
      </c>
      <c r="H668">
        <f>_xlfn.IMAGE("https://m.media-amazon.com/images/I/41lfYh3ANrS._AC_UL320_.jpg")</f>
        <v/>
      </c>
      <c r="K668" t="inlineStr">
        <is>
          <t>28.0</t>
        </is>
      </c>
      <c r="L668" t="n">
        <v>200</v>
      </c>
      <c r="M668" s="1" t="inlineStr">
        <is>
          <t>614.29%</t>
        </is>
      </c>
      <c r="N668" t="n">
        <v>5</v>
      </c>
      <c r="O668" t="n">
        <v>2</v>
      </c>
      <c r="Q668" t="inlineStr">
        <is>
          <t>InStock</t>
        </is>
      </c>
      <c r="R668" t="inlineStr">
        <is>
          <t>undefined</t>
        </is>
      </c>
      <c r="S668" t="inlineStr">
        <is>
          <t>10673684234</t>
        </is>
      </c>
    </row>
    <row r="669" ht="75" customHeight="1">
      <c r="A669" s="2">
        <f>HYPERLINK("https://camerareadycosmetics.com/products/danessa-myricks-beauty-vision-cream-cover-palette-kit-warm", "https://camerareadycosmetics.com/products/danessa-myricks-beauty-vision-cream-cover-palette-kit-warm")</f>
        <v/>
      </c>
      <c r="B669" s="2">
        <f>HYPERLINK("https://camerareadycosmetics.com/products/danessa-myricks-beauty-vision-cream-cover-palette-kit-neutral", "https://camerareadycosmetics.com/products/danessa-myricks-beauty-vision-cream-cover-palette-kit-neutral")</f>
        <v/>
      </c>
      <c r="C669" t="inlineStr">
        <is>
          <t>Vision Cream Cover Palette Kit Warm</t>
        </is>
      </c>
      <c r="D669" t="inlineStr">
        <is>
          <t>Danessa Myricks Vision Cream Cover Palette - Warm</t>
        </is>
      </c>
      <c r="E669" s="2">
        <f>HYPERLINK("https://www.amazon.com/Danessa-Myricks-Vision-Cream-Palette/dp/B093R8DP2R/ref=sr_1_1?keywords=Vision+Cream+Cover+Palette+Kit+Warm&amp;qid=1695565521&amp;sr=8-1", "https://www.amazon.com/Danessa-Myricks-Vision-Cream-Palette/dp/B093R8DP2R/ref=sr_1_1?keywords=Vision+Cream+Cover+Palette+Kit+Warm&amp;qid=1695565521&amp;sr=8-1")</f>
        <v/>
      </c>
      <c r="F669" t="inlineStr">
        <is>
          <t>B093R8DP2R</t>
        </is>
      </c>
      <c r="G669">
        <f>_xlfn.IMAGE("https://camerareadycosmetics.com/cdn/shop/products/vision-cream-cover-palette-open-C-800x800_cccf9abb-5078-45d3-82c2-ec436dc13fcb_50x.jpg?v=1532101876")</f>
        <v/>
      </c>
      <c r="H669">
        <f>_xlfn.IMAGE("https://m.media-amazon.com/images/I/41lfYh3ANrS._AC_UL320_.jpg")</f>
        <v/>
      </c>
      <c r="K669" t="inlineStr">
        <is>
          <t>200.0</t>
        </is>
      </c>
      <c r="L669" t="n">
        <v>200</v>
      </c>
      <c r="M669" s="1" t="inlineStr">
        <is>
          <t>0.00%</t>
        </is>
      </c>
      <c r="N669" t="n">
        <v>5</v>
      </c>
      <c r="O669" t="n">
        <v>2</v>
      </c>
      <c r="Q669" t="inlineStr">
        <is>
          <t>InStock</t>
        </is>
      </c>
      <c r="R669" t="inlineStr">
        <is>
          <t>undefined</t>
        </is>
      </c>
      <c r="S669" t="inlineStr">
        <is>
          <t>1348634509423</t>
        </is>
      </c>
    </row>
    <row r="670" ht="75" customHeight="1">
      <c r="A670" s="2">
        <f>HYPERLINK("https://camerareadycosmetics.com/products/danessa-myricks-beauty-vision-eyeliner", "https://camerareadycosmetics.com/products/danessa-myricks-beauty-vision-eyeliner")</f>
        <v/>
      </c>
      <c r="B670" s="2">
        <f>HYPERLINK("https://camerareadycosmetics.com/products/danessa-myricks-beauty-vision-eyeliner", "https://camerareadycosmetics.com/products/danessa-myricks-beauty-vision-eyeliner")</f>
        <v/>
      </c>
      <c r="C670" t="inlineStr">
        <is>
          <t>Vision Eyeliner Cushion Color</t>
        </is>
      </c>
      <c r="D670" t="inlineStr">
        <is>
          <t>Danessa Myricks Beauty Vision Eyeliner - Waterproof Cushion Color (Atlantis)</t>
        </is>
      </c>
      <c r="E670" s="2">
        <f>HYPERLINK("https://www.amazon.com/Danessa-Myricks-Beauty-Vision-Eyeliner/dp/B093QKZTTW/ref=sr_1_1?keywords=Vision+Eyeliner+Cushion+Color&amp;qid=1695565468&amp;sr=8-1", "https://www.amazon.com/Danessa-Myricks-Beauty-Vision-Eyeliner/dp/B093QKZTTW/ref=sr_1_1?keywords=Vision+Eyeliner+Cushion+Color&amp;qid=1695565468&amp;sr=8-1")</f>
        <v/>
      </c>
      <c r="F670" t="inlineStr">
        <is>
          <t>B093QKZTTW</t>
        </is>
      </c>
      <c r="G670">
        <f>_xlfn.IMAGE("https://camerareadycosmetics.com/cdn/shop/products/CUSHIONCOLOR-TOTALLTANGERINE-00_50x.jpg?v=1619632826")</f>
        <v/>
      </c>
      <c r="H670">
        <f>_xlfn.IMAGE("https://m.media-amazon.com/images/I/41oKKwPCBZS._AC_UL320_.jpg")</f>
        <v/>
      </c>
      <c r="K670" t="inlineStr">
        <is>
          <t>15.0</t>
        </is>
      </c>
      <c r="L670" t="n">
        <v>15</v>
      </c>
      <c r="M670" s="1" t="inlineStr">
        <is>
          <t>0.00%</t>
        </is>
      </c>
      <c r="N670" t="n">
        <v>4.9</v>
      </c>
      <c r="O670" t="n">
        <v>10</v>
      </c>
      <c r="Q670" t="inlineStr">
        <is>
          <t>InStock</t>
        </is>
      </c>
      <c r="R670" t="inlineStr">
        <is>
          <t>undefined</t>
        </is>
      </c>
      <c r="S670" t="inlineStr">
        <is>
          <t>10928353354</t>
        </is>
      </c>
    </row>
    <row r="671" ht="75" customHeight="1">
      <c r="A671" s="2">
        <f>HYPERLINK("https://camerareadycosmetics.com/products/danessa-myricks-beauty-yummy-blurring-balm-powder", "https://camerareadycosmetics.com/products/danessa-myricks-beauty-yummy-blurring-balm-powder")</f>
        <v/>
      </c>
      <c r="B671" s="2">
        <f>HYPERLINK("https://camerareadycosmetics.com/products/danessa-myricks-beauty-yummy-blurring-balm-powder", "https://camerareadycosmetics.com/products/danessa-myricks-beauty-yummy-blurring-balm-powder")</f>
        <v/>
      </c>
      <c r="C671" t="inlineStr">
        <is>
          <t>Blurring Balm Powder</t>
        </is>
      </c>
      <c r="D671" t="inlineStr">
        <is>
          <t>Danessa Myricks Beauty Yummy Skin Blurring Balm Powder Flushed - Matte Color for Cheek &amp; Lip Bellini</t>
        </is>
      </c>
      <c r="E671" s="2">
        <f>HYPERLINK("https://www.amazon.com/Danessa-Myricks-Beauty-Blurring-Flushed/dp/B0C41WTMJ1/ref=sr_1_4?keywords=Blurring+Balm+Powder&amp;qid=1695565435&amp;sr=8-4", "https://www.amazon.com/Danessa-Myricks-Beauty-Blurring-Flushed/dp/B0C41WTMJ1/ref=sr_1_4?keywords=Blurring+Balm+Powder&amp;qid=1695565435&amp;sr=8-4")</f>
        <v/>
      </c>
      <c r="F671" t="inlineStr">
        <is>
          <t>B0C41WTMJ1</t>
        </is>
      </c>
      <c r="G671">
        <f>_xlfn.IMAGE("https://camerareadycosmetics.com/cdn/shop/products/danessamyricksbeauty-yummyskinblurringbalmpowder-shade5_1200x1200_434e5151-c019-476a-9453-8d1e3603ed08_50x.jpg?v=1650992731")</f>
        <v/>
      </c>
      <c r="H671">
        <f>_xlfn.IMAGE("https://m.media-amazon.com/images/I/51Xr4ebxNgL._AC_UL320_.jpg")</f>
        <v/>
      </c>
      <c r="K671" t="inlineStr">
        <is>
          <t>36.0</t>
        </is>
      </c>
      <c r="L671" t="n">
        <v>45</v>
      </c>
      <c r="M671" s="1" t="inlineStr">
        <is>
          <t>25.00%</t>
        </is>
      </c>
      <c r="N671" t="n">
        <v>1</v>
      </c>
      <c r="O671" t="n">
        <v>1</v>
      </c>
      <c r="Q671" t="inlineStr">
        <is>
          <t>InStock</t>
        </is>
      </c>
      <c r="R671" t="inlineStr">
        <is>
          <t>undefined</t>
        </is>
      </c>
      <c r="S671" t="inlineStr">
        <is>
          <t>7296060162233</t>
        </is>
      </c>
    </row>
    <row r="672" ht="75" customHeight="1">
      <c r="A672" s="2">
        <f>HYPERLINK("https://camerareadycosmetics.com/products/danessa-myricks-beauty-yummy-skin-blurring-balm-powder-flushed", "https://camerareadycosmetics.com/products/danessa-myricks-beauty-yummy-skin-blurring-balm-powder-flushed")</f>
        <v/>
      </c>
      <c r="B672" s="2">
        <f>HYPERLINK("https://camerareadycosmetics.com/products/danessa-myricks-beauty-yummy-blurring-balm-powder", "https://camerareadycosmetics.com/products/danessa-myricks-beauty-yummy-blurring-balm-powder")</f>
        <v/>
      </c>
      <c r="C672" t="inlineStr">
        <is>
          <t>Yummy Skin Balm Powder Flushed</t>
        </is>
      </c>
      <c r="D672" t="inlineStr">
        <is>
          <t>Danessa Myricks Beauty Yummy Skin Blurring Balm Powder Flushed - Matte Color for Cheek &amp; Lip Bellini</t>
        </is>
      </c>
      <c r="E672" s="2">
        <f>HYPERLINK("https://www.amazon.com/Danessa-Myricks-Beauty-Blurring-Flushed/dp/B0C41WTMJ1/ref=sr_1_2?keywords=Yummy+Skin+Balm+Powder+Flushed&amp;qid=1695565512&amp;sr=8-2", "https://www.amazon.com/Danessa-Myricks-Beauty-Blurring-Flushed/dp/B0C41WTMJ1/ref=sr_1_2?keywords=Yummy+Skin+Balm+Powder+Flushed&amp;qid=1695565512&amp;sr=8-2")</f>
        <v/>
      </c>
      <c r="F672" t="inlineStr">
        <is>
          <t>B0C41WTMJ1</t>
        </is>
      </c>
      <c r="G672">
        <f>_xlfn.IMAGE("https://camerareadycosmetics.com/cdn/shop/products/YS-BPF_Jubilee_PSWT_01_50x.jpg?v=1695315188")</f>
        <v/>
      </c>
      <c r="H672">
        <f>_xlfn.IMAGE("https://m.media-amazon.com/images/I/51Xr4ebxNgL._AC_UL320_.jpg")</f>
        <v/>
      </c>
      <c r="K672" t="inlineStr">
        <is>
          <t>25.0</t>
        </is>
      </c>
      <c r="L672" t="n">
        <v>45</v>
      </c>
      <c r="M672" s="1" t="inlineStr">
        <is>
          <t>80.00%</t>
        </is>
      </c>
      <c r="N672" t="n">
        <v>1</v>
      </c>
      <c r="O672" t="n">
        <v>1</v>
      </c>
      <c r="Q672" t="inlineStr">
        <is>
          <t>InStock</t>
        </is>
      </c>
      <c r="R672" t="inlineStr">
        <is>
          <t>undefined</t>
        </is>
      </c>
      <c r="S672" t="inlineStr">
        <is>
          <t>7565232242873</t>
        </is>
      </c>
    </row>
    <row r="673" ht="75" customHeight="1">
      <c r="A673" s="2">
        <f>HYPERLINK("https://camerareadycosmetics.com/products/danessa-myricks-beauty-yummy-skin-serum-foundation", "https://camerareadycosmetics.com/products/danessa-myricks-beauty-yummy-skin-serum-foundation")</f>
        <v/>
      </c>
      <c r="B673" s="2">
        <f>HYPERLINK("https://camerareadycosmetics.com/products/danessa-myricks-beauty-yummy-skin-serum-foundation", "https://camerareadycosmetics.com/products/danessa-myricks-beauty-yummy-skin-serum-foundation")</f>
        <v/>
      </c>
      <c r="C673" t="inlineStr">
        <is>
          <t>Yummy Skin Serum Foundation</t>
        </is>
      </c>
      <c r="D673" t="inlineStr">
        <is>
          <t>Juice Beauty PHYTO-PIGMENTS Flawless Serum Foundation - Sand | Skin-Perfecting + Age-Defying Serum in One | Plant-Derived Phyto-Pigments -1 fl oz</t>
        </is>
      </c>
      <c r="E673" s="2">
        <f>HYPERLINK("https://www.amazon.com/Juice-Beauty-Phyto-pigments-Flawless-Foundation/dp/B075SL8HZ5/ref=sr_1_9?keywords=Yummy+Skin+Serum+Foundation&amp;qid=1695565471&amp;sr=8-9", "https://www.amazon.com/Juice-Beauty-Phyto-pigments-Flawless-Foundation/dp/B075SL8HZ5/ref=sr_1_9?keywords=Yummy+Skin+Serum+Foundation&amp;qid=1695565471&amp;sr=8-9")</f>
        <v/>
      </c>
      <c r="F673" t="inlineStr">
        <is>
          <t>B075SL8HZ5</t>
        </is>
      </c>
      <c r="G673">
        <f>_xlfn.IMAGE("https://camerareadycosmetics.com/cdn/shop/products/YummySkinFoundation-21N3_1800x1800_4048d414-597a-4b53-8c0d-2f0b8c7c4d36_50x.jpg?v=1646434707")</f>
        <v/>
      </c>
      <c r="H673">
        <f>_xlfn.IMAGE("https://m.media-amazon.com/images/I/51dQAspC+xL._AC_UL320_.jpg")</f>
        <v/>
      </c>
      <c r="K673" t="inlineStr">
        <is>
          <t>34.0</t>
        </is>
      </c>
      <c r="L673" t="n">
        <v>45</v>
      </c>
      <c r="M673" s="1" t="inlineStr">
        <is>
          <t>32.35%</t>
        </is>
      </c>
      <c r="N673" t="n">
        <v>4.2</v>
      </c>
      <c r="O673" t="n">
        <v>208</v>
      </c>
      <c r="Q673" t="inlineStr">
        <is>
          <t>InStock</t>
        </is>
      </c>
      <c r="R673" t="inlineStr">
        <is>
          <t>undefined</t>
        </is>
      </c>
      <c r="S673" t="inlineStr">
        <is>
          <t>7248686645433</t>
        </is>
      </c>
    </row>
    <row r="674" ht="75" customHeight="1">
      <c r="A674" s="2">
        <f>HYPERLINK("https://camerareadycosmetics.com/products/danessa-myricks-beauty-yummy-skin-serum-foundation", "https://camerareadycosmetics.com/products/danessa-myricks-beauty-yummy-skin-serum-foundation")</f>
        <v/>
      </c>
      <c r="B674" s="2">
        <f>HYPERLINK("https://camerareadycosmetics.com/products/danessa-myricks-beauty-yummy-skin-serum-foundation", "https://camerareadycosmetics.com/products/danessa-myricks-beauty-yummy-skin-serum-foundation")</f>
        <v/>
      </c>
      <c r="C674" t="inlineStr">
        <is>
          <t>Yummy Skin Serum Foundation</t>
        </is>
      </c>
      <c r="D674" t="inlineStr">
        <is>
          <t>Neutrogena Healthy Skin Sensitive Skin Serum Foundation with Pro-Vitamin B5, Color Correcting &amp; Pore Minimizing Liquid Foundation &amp; Face Serum, Buildable Coverage, Light/Medium 02, 1 oz</t>
        </is>
      </c>
      <c r="E674" s="2">
        <f>HYPERLINK("https://www.amazon.com/Neutrogena-Foundation-Pro-Vitamin-Correcting-Minimizing/dp/B09J1Y9NSK/ref=sr_1_5?keywords=Yummy+Skin+Serum+Foundation&amp;qid=1695565471&amp;sr=8-5", "https://www.amazon.com/Neutrogena-Foundation-Pro-Vitamin-Correcting-Minimizing/dp/B09J1Y9NSK/ref=sr_1_5?keywords=Yummy+Skin+Serum+Foundation&amp;qid=1695565471&amp;sr=8-5")</f>
        <v/>
      </c>
      <c r="F674" t="inlineStr">
        <is>
          <t>B09J1Y9NSK</t>
        </is>
      </c>
      <c r="G674">
        <f>_xlfn.IMAGE("https://camerareadycosmetics.com/cdn/shop/products/YummySkinFoundation-21N3_1800x1800_4048d414-597a-4b53-8c0d-2f0b8c7c4d36_50x.jpg?v=1646434707")</f>
        <v/>
      </c>
      <c r="H674">
        <f>_xlfn.IMAGE("https://m.media-amazon.com/images/I/61Cs+KaBpfL._AC_UL320_.jpg")</f>
        <v/>
      </c>
      <c r="K674" t="inlineStr">
        <is>
          <t>34.0</t>
        </is>
      </c>
      <c r="L674" t="n">
        <v>15.77</v>
      </c>
      <c r="M674" s="1" t="inlineStr">
        <is>
          <t>-53.62%</t>
        </is>
      </c>
      <c r="N674" t="n">
        <v>4.2</v>
      </c>
      <c r="O674" t="n">
        <v>715</v>
      </c>
      <c r="Q674" t="inlineStr">
        <is>
          <t>InStock</t>
        </is>
      </c>
      <c r="R674" t="inlineStr">
        <is>
          <t>undefined</t>
        </is>
      </c>
      <c r="S674" t="inlineStr">
        <is>
          <t>7248686645433</t>
        </is>
      </c>
    </row>
    <row r="675" ht="75" customHeight="1">
      <c r="A675" s="2">
        <f>HYPERLINK("https://camerareadycosmetics.com/products/danessa-myricks-beauty-yummy-skin-serum-foundation", "https://camerareadycosmetics.com/products/danessa-myricks-beauty-yummy-skin-serum-foundation")</f>
        <v/>
      </c>
      <c r="B675" s="2">
        <f>HYPERLINK("https://camerareadycosmetics.com/products/danessa-myricks-beauty-yummy-skin-serum-foundation", "https://camerareadycosmetics.com/products/danessa-myricks-beauty-yummy-skin-serum-foundation")</f>
        <v/>
      </c>
      <c r="C675" t="inlineStr">
        <is>
          <t>Yummy Skin Serum Foundation</t>
        </is>
      </c>
      <c r="D675" t="inlineStr">
        <is>
          <t>Neutrogena Healthy Skin Sensitive Skin Serum Foundation with Pro-Vitamin B5, Color Correcting &amp; Pore Minimizing Liquid Foundation &amp; Face Serum, Buildable Coverage, Light/Medium 02, 1 oz</t>
        </is>
      </c>
      <c r="E675" s="2">
        <f>HYPERLINK("https://www.amazon.com/Neutrogena-Foundation-Pro-Vitamin-Correcting-Minimizing/dp/B09J1Y9NSK/ref=sr_1_5?keywords=Yummy+Skin+Serum+Foundation&amp;qid=1695565471&amp;sr=8-5", "https://www.amazon.com/Neutrogena-Foundation-Pro-Vitamin-Correcting-Minimizing/dp/B09J1Y9NSK/ref=sr_1_5?keywords=Yummy+Skin+Serum+Foundation&amp;qid=1695565471&amp;sr=8-5")</f>
        <v/>
      </c>
      <c r="F675" t="inlineStr">
        <is>
          <t>B09J1Y9NSK</t>
        </is>
      </c>
      <c r="G675">
        <f>_xlfn.IMAGE("https://camerareadycosmetics.com/cdn/shop/products/YummySkinFoundation-21N3_1800x1800_4048d414-597a-4b53-8c0d-2f0b8c7c4d36_50x.jpg?v=1646434707")</f>
        <v/>
      </c>
      <c r="H675">
        <f>_xlfn.IMAGE("https://m.media-amazon.com/images/I/61Cs+KaBpfL._AC_UL320_.jpg")</f>
        <v/>
      </c>
      <c r="K675" t="inlineStr">
        <is>
          <t>34.0</t>
        </is>
      </c>
      <c r="L675" t="n">
        <v>15.77</v>
      </c>
      <c r="M675" s="1" t="inlineStr">
        <is>
          <t>-53.62%</t>
        </is>
      </c>
      <c r="N675" t="n">
        <v>4.2</v>
      </c>
      <c r="O675" t="n">
        <v>715</v>
      </c>
      <c r="Q675" t="inlineStr">
        <is>
          <t>InStock</t>
        </is>
      </c>
      <c r="R675" t="inlineStr">
        <is>
          <t>undefined</t>
        </is>
      </c>
      <c r="S675" t="inlineStr">
        <is>
          <t>7248686645433</t>
        </is>
      </c>
    </row>
    <row r="676" ht="75" customHeight="1">
      <c r="A676" s="2">
        <f>HYPERLINK("https://camerareadycosmetics.com/products/danessa-myricks-beauty-yummy-skin-serum-skin-tint", "https://camerareadycosmetics.com/products/danessa-myricks-beauty-yummy-skin-serum-skin-tint")</f>
        <v/>
      </c>
      <c r="B676" s="2">
        <f>HYPERLINK("https://camerareadycosmetics.com/products/danessa-myricks-beauty-yummy-skin-glow-serum-juice-boost", "https://camerareadycosmetics.com/products/danessa-myricks-beauty-yummy-skin-glow-serum-juice-boost")</f>
        <v/>
      </c>
      <c r="C676" t="inlineStr">
        <is>
          <t>Skin Tint Serum</t>
        </is>
      </c>
      <c r="D676" t="inlineStr">
        <is>
          <t>ILIA - Super Serum Skin Tint SPF 40 | Clinically-Proven, Non-Comedogenic, Vegan, Clean Beauty (Bom Bom ST5)</t>
        </is>
      </c>
      <c r="E676" s="2">
        <f>HYPERLINK("https://www.amazon.com/ILIA-Natural-Non-Toxic-Cruelty-Free-Makeup/dp/B08L5LJQ3G/ref=sr_1_2?keywords=Skin+Tint+Serum&amp;qid=1695565642&amp;sr=8-2", "https://www.amazon.com/ILIA-Natural-Non-Toxic-Cruelty-Free-Makeup/dp/B08L5LJQ3G/ref=sr_1_2?keywords=Skin+Tint+Serum&amp;qid=1695565642&amp;sr=8-2")</f>
        <v/>
      </c>
      <c r="F676" t="inlineStr">
        <is>
          <t>B08L5LJQ3G</t>
        </is>
      </c>
      <c r="G676">
        <f>_xlfn.IMAGE("https://camerareadycosmetics.com/cdn/shop/files/810003366474-09_1_50x.jpg?v=1687301595")</f>
        <v/>
      </c>
      <c r="H676">
        <f>_xlfn.IMAGE("https://m.media-amazon.com/images/I/51TP4K63M4L._AC_UL320_.jpg")</f>
        <v/>
      </c>
      <c r="K676" t="inlineStr">
        <is>
          <t>36.0</t>
        </is>
      </c>
      <c r="L676" t="n">
        <v>48</v>
      </c>
      <c r="M676" s="1" t="inlineStr">
        <is>
          <t>33.33%</t>
        </is>
      </c>
      <c r="N676" t="n">
        <v>4.3</v>
      </c>
      <c r="O676" t="n">
        <v>4132</v>
      </c>
      <c r="Q676" t="inlineStr">
        <is>
          <t>InStock</t>
        </is>
      </c>
      <c r="R676" t="inlineStr">
        <is>
          <t>undefined</t>
        </is>
      </c>
      <c r="S676" t="inlineStr">
        <is>
          <t>7596594004153</t>
        </is>
      </c>
    </row>
    <row r="677" ht="75" customHeight="1">
      <c r="A677" s="2">
        <f>HYPERLINK("https://camerareadycosmetics.com/products/danessa-myricks-beauty-yummy-skin-serum-skin-tint", "https://camerareadycosmetics.com/products/danessa-myricks-beauty-yummy-skin-serum-skin-tint")</f>
        <v/>
      </c>
      <c r="B677" s="2">
        <f>HYPERLINK("https://camerareadycosmetics.com/products/danessa-myricks-beauty-yummy-skin-glow-serum-juice-boost", "https://camerareadycosmetics.com/products/danessa-myricks-beauty-yummy-skin-glow-serum-juice-boost")</f>
        <v/>
      </c>
      <c r="C677" t="inlineStr">
        <is>
          <t>Skin Tint Serum</t>
        </is>
      </c>
      <c r="D677" t="inlineStr">
        <is>
          <t>TULA Skin Care Radiant Skin Brightening Serum Skin Tint SPF | Facial Sunscreen Provides Broad Spectrum SPF 30 Protection, Tinted, Serum-Light Formula Brightens and Evens Skin | Shade 07, 1.0 fl. oz.</t>
        </is>
      </c>
      <c r="E677" s="2">
        <f>HYPERLINK("https://www.amazon.com/TULA-Brightening-Sunscreen-Protection-Serum-Light/dp/B0B7P76HZT/ref=sr_1_5?keywords=Skin+Tint+Serum&amp;qid=1695565642&amp;sr=8-5", "https://www.amazon.com/TULA-Brightening-Sunscreen-Protection-Serum-Light/dp/B0B7P76HZT/ref=sr_1_5?keywords=Skin+Tint+Serum&amp;qid=1695565642&amp;sr=8-5")</f>
        <v/>
      </c>
      <c r="F677" t="inlineStr">
        <is>
          <t>B0B7P76HZT</t>
        </is>
      </c>
      <c r="G677">
        <f>_xlfn.IMAGE("https://camerareadycosmetics.com/cdn/shop/files/810003366474-09_1_50x.jpg?v=1687301595")</f>
        <v/>
      </c>
      <c r="H677">
        <f>_xlfn.IMAGE("https://m.media-amazon.com/images/I/51FYrmVkikL._AC_UL320_.jpg")</f>
        <v/>
      </c>
      <c r="K677" t="inlineStr">
        <is>
          <t>36.0</t>
        </is>
      </c>
      <c r="L677" t="n">
        <v>40</v>
      </c>
      <c r="M677" s="1" t="inlineStr">
        <is>
          <t>11.11%</t>
        </is>
      </c>
      <c r="N677" t="n">
        <v>4.3</v>
      </c>
      <c r="O677" t="n">
        <v>187</v>
      </c>
      <c r="Q677" t="inlineStr">
        <is>
          <t>InStock</t>
        </is>
      </c>
      <c r="R677" t="inlineStr">
        <is>
          <t>undefined</t>
        </is>
      </c>
      <c r="S677" t="inlineStr">
        <is>
          <t>7596594004153</t>
        </is>
      </c>
    </row>
    <row r="678" ht="75" customHeight="1">
      <c r="A678" s="2">
        <f>HYPERLINK("https://camerareadycosmetics.com/products/danessa-myricks-beauty-yummy-skin-serum-skin-tint", "https://camerareadycosmetics.com/products/danessa-myricks-beauty-yummy-skin-serum-skin-tint")</f>
        <v/>
      </c>
      <c r="B678" s="2">
        <f>HYPERLINK("https://camerareadycosmetics.com/products/danessa-myricks-beauty-yummy-skin-glow-serum-juice-boost", "https://camerareadycosmetics.com/products/danessa-myricks-beauty-yummy-skin-glow-serum-juice-boost")</f>
        <v/>
      </c>
      <c r="C678" t="inlineStr">
        <is>
          <t>Skin Tint Serum</t>
        </is>
      </c>
      <c r="D678" t="inlineStr">
        <is>
          <t>Pacifica Beauty | Kind Tint Tinted Serum | Skincare Ingredients - Vegan Collagen, Hyaluronic Acid, Vitamin C, Niacinamide, Caffeine | Lightweight Foundation | Vegan, Cruelty Free, Clean Makeup</t>
        </is>
      </c>
      <c r="E678" s="2">
        <f>HYPERLINK("https://www.amazon.com/Pacifica-Beauty-Tinted-Skincare-Ingredients/dp/B09TV6GLLZ/ref=sr_1_3?keywords=Skin+Tint+Serum&amp;qid=1695565642&amp;sr=8-3", "https://www.amazon.com/Pacifica-Beauty-Tinted-Skincare-Ingredients/dp/B09TV6GLLZ/ref=sr_1_3?keywords=Skin+Tint+Serum&amp;qid=1695565642&amp;sr=8-3")</f>
        <v/>
      </c>
      <c r="F678" t="inlineStr">
        <is>
          <t>B09TV6GLLZ</t>
        </is>
      </c>
      <c r="G678">
        <f>_xlfn.IMAGE("https://camerareadycosmetics.com/cdn/shop/files/810003366474-09_1_50x.jpg?v=1687301595")</f>
        <v/>
      </c>
      <c r="H678">
        <f>_xlfn.IMAGE("https://m.media-amazon.com/images/I/51z6KWNp80L._AC_UL320_.jpg")</f>
        <v/>
      </c>
      <c r="K678" t="inlineStr">
        <is>
          <t>36.0</t>
        </is>
      </c>
      <c r="L678" t="n">
        <v>9.800000000000001</v>
      </c>
      <c r="M678" s="1" t="inlineStr">
        <is>
          <t>-72.78%</t>
        </is>
      </c>
      <c r="N678" t="n">
        <v>3.7</v>
      </c>
      <c r="O678" t="n">
        <v>240</v>
      </c>
      <c r="Q678" t="inlineStr">
        <is>
          <t>InStock</t>
        </is>
      </c>
      <c r="R678" t="inlineStr">
        <is>
          <t>undefined</t>
        </is>
      </c>
      <c r="S678" t="inlineStr">
        <is>
          <t>7596594004153</t>
        </is>
      </c>
    </row>
    <row r="679" ht="75" customHeight="1">
      <c r="A679" s="2">
        <f>HYPERLINK("https://camerareadycosmetics.com/products/danessa-myricks-beauty-yummy-skin-serum-skin-tint", "https://camerareadycosmetics.com/products/danessa-myricks-beauty-yummy-skin-serum-skin-tint")</f>
        <v/>
      </c>
      <c r="B679" s="2">
        <f>HYPERLINK("https://camerareadycosmetics.com/products/danessa-myricks-beauty-yummy-skin-glow-serum-juice-boost", "https://camerareadycosmetics.com/products/danessa-myricks-beauty-yummy-skin-glow-serum-juice-boost")</f>
        <v/>
      </c>
      <c r="C679" t="inlineStr">
        <is>
          <t>Skin Tint Serum</t>
        </is>
      </c>
      <c r="D679" t="inlineStr">
        <is>
          <t>Pacifica Beauty | Kind Tint Tinted Serum | Skincare Ingredients - Vegan Collagen, Hyaluronic Acid, Vitamin C, Niacinamide, Caffeine | Lightweight Foundation | Vegan, Cruelty Free, Clean Makeup</t>
        </is>
      </c>
      <c r="E679" s="2">
        <f>HYPERLINK("https://www.amazon.com/Pacifica-Beauty-Tinted-Skincare-Ingredients/dp/B09TV6GLLZ/ref=sr_1_3?keywords=Skin+Tint+Serum&amp;qid=1695565642&amp;sr=8-3", "https://www.amazon.com/Pacifica-Beauty-Tinted-Skincare-Ingredients/dp/B09TV6GLLZ/ref=sr_1_3?keywords=Skin+Tint+Serum&amp;qid=1695565642&amp;sr=8-3")</f>
        <v/>
      </c>
      <c r="F679" t="inlineStr">
        <is>
          <t>B09TV6GLLZ</t>
        </is>
      </c>
      <c r="G679">
        <f>_xlfn.IMAGE("https://camerareadycosmetics.com/cdn/shop/files/810003366474-09_1_50x.jpg?v=1687301595")</f>
        <v/>
      </c>
      <c r="H679">
        <f>_xlfn.IMAGE("https://m.media-amazon.com/images/I/51z6KWNp80L._AC_UL320_.jpg")</f>
        <v/>
      </c>
      <c r="K679" t="inlineStr">
        <is>
          <t>36.0</t>
        </is>
      </c>
      <c r="L679" t="n">
        <v>9.800000000000001</v>
      </c>
      <c r="M679" s="1" t="inlineStr">
        <is>
          <t>-72.78%</t>
        </is>
      </c>
      <c r="N679" t="n">
        <v>3.7</v>
      </c>
      <c r="O679" t="n">
        <v>240</v>
      </c>
      <c r="Q679" t="inlineStr">
        <is>
          <t>InStock</t>
        </is>
      </c>
      <c r="R679" t="inlineStr">
        <is>
          <t>undefined</t>
        </is>
      </c>
      <c r="S679" t="inlineStr">
        <is>
          <t>7596594004153</t>
        </is>
      </c>
    </row>
    <row r="680" ht="75" customHeight="1">
      <c r="A680" s="2">
        <f>HYPERLINK("https://camerareadycosmetics.com/products/danessa-myricks-evolution-powder", "https://camerareadycosmetics.com/products/danessa-myricks-evolution-powder")</f>
        <v/>
      </c>
      <c r="B680" s="2">
        <f>HYPERLINK("https://camerareadycosmetics.com/products/danessa-myricks-evolution-powder", "https://camerareadycosmetics.com/products/danessa-myricks-evolution-powder")</f>
        <v/>
      </c>
      <c r="C680" t="inlineStr">
        <is>
          <t>Evolution Powder</t>
        </is>
      </c>
      <c r="D680" t="inlineStr">
        <is>
          <t>Evolution Advance Nutrition Fit &amp; Slim Blend, 2 Pack, 2 Pounds e.a. – Grass Fed Whey Protein Powder, Easy Digesting, Keto Approved, Non GMO, Stevia Sweetened (Coco-Colada + Vanilla)</t>
        </is>
      </c>
      <c r="E680" s="2">
        <f>HYPERLINK("https://www.amazon.com/Evolution-Advance-Nutrition-Slim-Blend/dp/B08FXS62D7/ref=sr_1_7?keywords=Evolution+Powder&amp;qid=1695565434&amp;sr=8-7", "https://www.amazon.com/Evolution-Advance-Nutrition-Slim-Blend/dp/B08FXS62D7/ref=sr_1_7?keywords=Evolution+Powder&amp;qid=1695565434&amp;sr=8-7")</f>
        <v/>
      </c>
      <c r="F680" t="inlineStr">
        <is>
          <t>B08FXS62D7</t>
        </is>
      </c>
      <c r="G680">
        <f>_xlfn.IMAGE("https://camerareadycosmetics.com/cdn/shop/products/4-danessa-evolution-powder_50x.webp?v=1688672449")</f>
        <v/>
      </c>
      <c r="H680">
        <f>_xlfn.IMAGE("https://m.media-amazon.com/images/I/61Htq7y5h8L._AC_UL320_.jpg")</f>
        <v/>
      </c>
      <c r="K680" t="inlineStr">
        <is>
          <t>24.0</t>
        </is>
      </c>
      <c r="L680" t="n">
        <v>103.99</v>
      </c>
      <c r="M680" s="1" t="inlineStr">
        <is>
          <t>333.29%</t>
        </is>
      </c>
      <c r="N680" t="n">
        <v>4.3</v>
      </c>
      <c r="O680" t="n">
        <v>20</v>
      </c>
      <c r="Q680" t="inlineStr">
        <is>
          <t>InStock</t>
        </is>
      </c>
      <c r="R680" t="inlineStr">
        <is>
          <t>undefined</t>
        </is>
      </c>
      <c r="S680" t="inlineStr">
        <is>
          <t>110404894730</t>
        </is>
      </c>
    </row>
    <row r="681" ht="75" customHeight="1">
      <c r="A681" s="2">
        <f>HYPERLINK("https://camerareadycosmetics.com/products/danessa-myricks-evolution-powder", "https://camerareadycosmetics.com/products/danessa-myricks-evolution-powder")</f>
        <v/>
      </c>
      <c r="B681" s="2">
        <f>HYPERLINK("https://camerareadycosmetics.com/products/danessa-myricks-evolution-powder", "https://camerareadycosmetics.com/products/danessa-myricks-evolution-powder")</f>
        <v/>
      </c>
      <c r="C681" t="inlineStr">
        <is>
          <t>Evolution Powder</t>
        </is>
      </c>
      <c r="D681" t="inlineStr">
        <is>
          <t>Evolution Advance Nutrition Grass Fed 100% Whey Protein Powder + Fit &amp; Slim with Glucomannan, Inulin Fiber – High Fiber, High Protein, Pure, Keto Approved, Non GMO, Stevia Sweetened – 2 Pack</t>
        </is>
      </c>
      <c r="E681" s="2">
        <f>HYPERLINK("https://www.amazon.com/Evolution-Advance-Nutrition-Protein-Glucomannan/dp/B08FXQSZBY/ref=sr_1_10?keywords=Evolution+Powder&amp;qid=1695565434&amp;sr=8-10", "https://www.amazon.com/Evolution-Advance-Nutrition-Protein-Glucomannan/dp/B08FXQSZBY/ref=sr_1_10?keywords=Evolution+Powder&amp;qid=1695565434&amp;sr=8-10")</f>
        <v/>
      </c>
      <c r="F681" t="inlineStr">
        <is>
          <t>B08FXQSZBY</t>
        </is>
      </c>
      <c r="G681">
        <f>_xlfn.IMAGE("https://camerareadycosmetics.com/cdn/shop/products/4-danessa-evolution-powder_50x.webp?v=1688672449")</f>
        <v/>
      </c>
      <c r="H681">
        <f>_xlfn.IMAGE("https://m.media-amazon.com/images/I/51jJdxduPlL._AC_UL320_.jpg")</f>
        <v/>
      </c>
      <c r="K681" t="inlineStr">
        <is>
          <t>24.0</t>
        </is>
      </c>
      <c r="L681" t="n">
        <v>103.99</v>
      </c>
      <c r="M681" s="1" t="inlineStr">
        <is>
          <t>333.29%</t>
        </is>
      </c>
      <c r="N681" t="n">
        <v>4.6</v>
      </c>
      <c r="O681" t="n">
        <v>4</v>
      </c>
      <c r="Q681" t="inlineStr">
        <is>
          <t>InStock</t>
        </is>
      </c>
      <c r="R681" t="inlineStr">
        <is>
          <t>undefined</t>
        </is>
      </c>
      <c r="S681" t="inlineStr">
        <is>
          <t>110404894730</t>
        </is>
      </c>
    </row>
    <row r="682" ht="75" customHeight="1">
      <c r="A682" s="2">
        <f>HYPERLINK("https://camerareadycosmetics.com/products/danessa-myricks-evolution-powder", "https://camerareadycosmetics.com/products/danessa-myricks-evolution-powder")</f>
        <v/>
      </c>
      <c r="B682" s="2">
        <f>HYPERLINK("https://camerareadycosmetics.com/products/danessa-myricks-evolution-powder", "https://camerareadycosmetics.com/products/danessa-myricks-evolution-powder")</f>
        <v/>
      </c>
      <c r="C682" t="inlineStr">
        <is>
          <t>Evolution Powder</t>
        </is>
      </c>
      <c r="D682" t="inlineStr">
        <is>
          <t>Evolution Advance Nutrition Grass Fed 100% Whey Protein Powder – Pure Protein Powder with BCAA, Quick Absorbing and Fast Digesting for Optimal Muscle Recovery – 2 Pounds (Vanilla)</t>
        </is>
      </c>
      <c r="E682" s="2">
        <f>HYPERLINK("https://www.amazon.com/Evolution-Advance-Nutrition-100-Whey/dp/B01DJN643G/ref=sr_1_4?keywords=Evolution+Powder&amp;qid=1695565434&amp;sr=8-4", "https://www.amazon.com/Evolution-Advance-Nutrition-100-Whey/dp/B01DJN643G/ref=sr_1_4?keywords=Evolution+Powder&amp;qid=1695565434&amp;sr=8-4")</f>
        <v/>
      </c>
      <c r="F682" t="inlineStr">
        <is>
          <t>B01DJN643G</t>
        </is>
      </c>
      <c r="G682">
        <f>_xlfn.IMAGE("https://camerareadycosmetics.com/cdn/shop/products/4-danessa-evolution-powder_50x.webp?v=1688672449")</f>
        <v/>
      </c>
      <c r="H682">
        <f>_xlfn.IMAGE("https://m.media-amazon.com/images/I/51-zz7RDW0L._AC_UL320_.jpg")</f>
        <v/>
      </c>
      <c r="K682" t="inlineStr">
        <is>
          <t>24.0</t>
        </is>
      </c>
      <c r="L682" t="n">
        <v>54.99</v>
      </c>
      <c r="M682" s="1" t="inlineStr">
        <is>
          <t>129.12%</t>
        </is>
      </c>
      <c r="N682" t="n">
        <v>4.5</v>
      </c>
      <c r="O682" t="n">
        <v>171</v>
      </c>
      <c r="Q682" t="inlineStr">
        <is>
          <t>InStock</t>
        </is>
      </c>
      <c r="R682" t="inlineStr">
        <is>
          <t>undefined</t>
        </is>
      </c>
      <c r="S682" t="inlineStr">
        <is>
          <t>110404894730</t>
        </is>
      </c>
    </row>
    <row r="683" ht="75" customHeight="1">
      <c r="A683" s="2">
        <f>HYPERLINK("https://camerareadycosmetics.com/products/danessa-myricks-evolution-powder", "https://camerareadycosmetics.com/products/danessa-myricks-evolution-powder")</f>
        <v/>
      </c>
      <c r="B683" s="2">
        <f>HYPERLINK("https://camerareadycosmetics.com/products/danessa-myricks-evolution-powder", "https://camerareadycosmetics.com/products/danessa-myricks-evolution-powder")</f>
        <v/>
      </c>
      <c r="C683" t="inlineStr">
        <is>
          <t>Evolution Powder</t>
        </is>
      </c>
      <c r="D683" t="inlineStr">
        <is>
          <t>(Evolution Advance Fit &amp; Slim - Grass Fed Whey Protein Powder, Easy Digesting, Keto Approved, Non GMO, Stevia Sweetened 2 Lb (Coco-Colada)</t>
        </is>
      </c>
      <c r="E683" s="2">
        <f>HYPERLINK("https://www.amazon.com/Evolution-Carb-Slim-Grass-Protein/dp/B07QG439FX/ref=sr_1_6?keywords=Evolution+Powder&amp;qid=1695565434&amp;sr=8-6", "https://www.amazon.com/Evolution-Carb-Slim-Grass-Protein/dp/B07QG439FX/ref=sr_1_6?keywords=Evolution+Powder&amp;qid=1695565434&amp;sr=8-6")</f>
        <v/>
      </c>
      <c r="F683" t="inlineStr">
        <is>
          <t>B07QG439FX</t>
        </is>
      </c>
      <c r="G683">
        <f>_xlfn.IMAGE("https://camerareadycosmetics.com/cdn/shop/products/4-danessa-evolution-powder_50x.webp?v=1688672449")</f>
        <v/>
      </c>
      <c r="H683">
        <f>_xlfn.IMAGE("https://m.media-amazon.com/images/I/51IL36XBXfL._AC_UL320_.jpg")</f>
        <v/>
      </c>
      <c r="K683" t="inlineStr">
        <is>
          <t>24.0</t>
        </is>
      </c>
      <c r="L683" t="n">
        <v>54.99</v>
      </c>
      <c r="M683" s="1" t="inlineStr">
        <is>
          <t>129.12%</t>
        </is>
      </c>
      <c r="N683" t="n">
        <v>4.5</v>
      </c>
      <c r="O683" t="n">
        <v>390</v>
      </c>
      <c r="Q683" t="inlineStr">
        <is>
          <t>InStock</t>
        </is>
      </c>
      <c r="R683" t="inlineStr">
        <is>
          <t>undefined</t>
        </is>
      </c>
      <c r="S683" t="inlineStr">
        <is>
          <t>110404894730</t>
        </is>
      </c>
    </row>
    <row r="684" ht="75" customHeight="1">
      <c r="A684" s="2">
        <f>HYPERLINK("https://camerareadycosmetics.com/products/danessa-myricks-evolution-powder", "https://camerareadycosmetics.com/products/danessa-myricks-evolution-powder")</f>
        <v/>
      </c>
      <c r="B684" s="2">
        <f>HYPERLINK("https://camerareadycosmetics.com/products/danessa-myricks-evolution-powder", "https://camerareadycosmetics.com/products/danessa-myricks-evolution-powder")</f>
        <v/>
      </c>
      <c r="C684" t="inlineStr">
        <is>
          <t>Evolution Powder</t>
        </is>
      </c>
      <c r="D684" t="inlineStr">
        <is>
          <t>Vanilla Cream Whey Protein Powder - Myogenix Myolean Evolution Whey Isolate Protein Powder with 21 Grams of Protein Per Serving, Premium Protein Shake Powder, Protein Powder Vanilla (2.31 lbs)</t>
        </is>
      </c>
      <c r="E684" s="2">
        <f>HYPERLINK("https://www.amazon.com/Myogenix-Myolean-Evolution-Isolate-Vanilla/dp/B01DZG45WY/ref=sr_1_5?keywords=Evolution+Powder&amp;qid=1695565434&amp;sr=8-5", "https://www.amazon.com/Myogenix-Myolean-Evolution-Isolate-Vanilla/dp/B01DZG45WY/ref=sr_1_5?keywords=Evolution+Powder&amp;qid=1695565434&amp;sr=8-5")</f>
        <v/>
      </c>
      <c r="F684" t="inlineStr">
        <is>
          <t>B01DZG45WY</t>
        </is>
      </c>
      <c r="G684">
        <f>_xlfn.IMAGE("https://camerareadycosmetics.com/cdn/shop/products/4-danessa-evolution-powder_50x.webp?v=1688672449")</f>
        <v/>
      </c>
      <c r="H684">
        <f>_xlfn.IMAGE("https://m.media-amazon.com/images/I/81toixt+NZL._AC_UL320_.jpg")</f>
        <v/>
      </c>
      <c r="K684" t="inlineStr">
        <is>
          <t>24.0</t>
        </is>
      </c>
      <c r="L684" t="n">
        <v>46.99</v>
      </c>
      <c r="M684" s="1" t="inlineStr">
        <is>
          <t>95.79%</t>
        </is>
      </c>
      <c r="N684" t="n">
        <v>4.6</v>
      </c>
      <c r="O684" t="n">
        <v>114</v>
      </c>
      <c r="Q684" t="inlineStr">
        <is>
          <t>InStock</t>
        </is>
      </c>
      <c r="R684" t="inlineStr">
        <is>
          <t>undefined</t>
        </is>
      </c>
      <c r="S684" t="inlineStr">
        <is>
          <t>110404894730</t>
        </is>
      </c>
    </row>
    <row r="685" ht="75" customHeight="1">
      <c r="A685" s="2">
        <f>HYPERLINK("https://camerareadycosmetics.com/products/danessa-myricks-evolution-powder", "https://camerareadycosmetics.com/products/danessa-myricks-evolution-powder")</f>
        <v/>
      </c>
      <c r="B685" s="2">
        <f>HYPERLINK("https://camerareadycosmetics.com/products/danessa-myricks-evolution-powder", "https://camerareadycosmetics.com/products/danessa-myricks-evolution-powder")</f>
        <v/>
      </c>
      <c r="C685" t="inlineStr">
        <is>
          <t>Evolution Powder</t>
        </is>
      </c>
      <c r="D685" t="inlineStr">
        <is>
          <t>NutraBio ATP Evolution, Supercharged Muscle Recovery, 500g Powder - 40 Servings</t>
        </is>
      </c>
      <c r="E685" s="2">
        <f>HYPERLINK("https://www.amazon.com/NutraBio-ATP-Evolution-500-Grams/dp/B00333D2YC/ref=sr_1_8?keywords=Evolution+Powder&amp;qid=1695565434&amp;sr=8-8", "https://www.amazon.com/NutraBio-ATP-Evolution-500-Grams/dp/B00333D2YC/ref=sr_1_8?keywords=Evolution+Powder&amp;qid=1695565434&amp;sr=8-8")</f>
        <v/>
      </c>
      <c r="F685" t="inlineStr">
        <is>
          <t>B00333D2YC</t>
        </is>
      </c>
      <c r="G685">
        <f>_xlfn.IMAGE("https://camerareadycosmetics.com/cdn/shop/products/4-danessa-evolution-powder_50x.webp?v=1688672449")</f>
        <v/>
      </c>
      <c r="H685">
        <f>_xlfn.IMAGE("https://m.media-amazon.com/images/I/71Hq743rVhL._AC_UL320_.jpg")</f>
        <v/>
      </c>
      <c r="K685" t="inlineStr">
        <is>
          <t>24.0</t>
        </is>
      </c>
      <c r="L685" t="n">
        <v>44.99</v>
      </c>
      <c r="M685" s="1" t="inlineStr">
        <is>
          <t>87.46%</t>
        </is>
      </c>
      <c r="N685" t="n">
        <v>4.3</v>
      </c>
      <c r="O685" t="n">
        <v>46</v>
      </c>
      <c r="Q685" t="inlineStr">
        <is>
          <t>InStock</t>
        </is>
      </c>
      <c r="R685" t="inlineStr">
        <is>
          <t>undefined</t>
        </is>
      </c>
      <c r="S685" t="inlineStr">
        <is>
          <t>110404894730</t>
        </is>
      </c>
    </row>
    <row r="686" ht="75" customHeight="1">
      <c r="A686" s="2">
        <f>HYPERLINK("https://camerareadycosmetics.com/products/danessa-myricks-evolution-powder", "https://camerareadycosmetics.com/products/danessa-myricks-evolution-powder")</f>
        <v/>
      </c>
      <c r="B686" s="2">
        <f>HYPERLINK("https://camerareadycosmetics.com/products/danessa-myricks-evolution-powder", "https://camerareadycosmetics.com/products/danessa-myricks-evolution-powder")</f>
        <v/>
      </c>
      <c r="C686" t="inlineStr">
        <is>
          <t>Evolution Powder</t>
        </is>
      </c>
      <c r="D686" t="inlineStr">
        <is>
          <t>Evolutions by NaturVet Probiotic &amp; Superfoods Digestive 30ct Powder Sachets for Dogs - Prebiotic &amp; Probiotic Blend, Digestive Enzymes, Bone Broth Nourishes Natural Gut Bacteria &amp; Intestinal Microflora</t>
        </is>
      </c>
      <c r="E686" s="2">
        <f>HYPERLINK("https://www.amazon.com/Evolutions-NaturVet-Probiotic-Superfoods-Digestive/dp/B0B357PN3J/ref=sr_1_2?keywords=Evolution+Powder&amp;qid=1695565434&amp;sr=8-2", "https://www.amazon.com/Evolutions-NaturVet-Probiotic-Superfoods-Digestive/dp/B0B357PN3J/ref=sr_1_2?keywords=Evolution+Powder&amp;qid=1695565434&amp;sr=8-2")</f>
        <v/>
      </c>
      <c r="F686" t="inlineStr">
        <is>
          <t>B0B357PN3J</t>
        </is>
      </c>
      <c r="G686">
        <f>_xlfn.IMAGE("https://camerareadycosmetics.com/cdn/shop/products/4-danessa-evolution-powder_50x.webp?v=1688672449")</f>
        <v/>
      </c>
      <c r="H686">
        <f>_xlfn.IMAGE("https://m.media-amazon.com/images/I/814PFQ2O8xL._AC_UL320_.jpg")</f>
        <v/>
      </c>
      <c r="K686" t="inlineStr">
        <is>
          <t>24.0</t>
        </is>
      </c>
      <c r="L686" t="n">
        <v>20.99</v>
      </c>
      <c r="M686" s="1" t="inlineStr">
        <is>
          <t>-12.54%</t>
        </is>
      </c>
      <c r="N686" t="n">
        <v>4.7</v>
      </c>
      <c r="O686" t="n">
        <v>66</v>
      </c>
      <c r="Q686" t="inlineStr">
        <is>
          <t>InStock</t>
        </is>
      </c>
      <c r="R686" t="inlineStr">
        <is>
          <t>undefined</t>
        </is>
      </c>
      <c r="S686" t="inlineStr">
        <is>
          <t>110404894730</t>
        </is>
      </c>
    </row>
    <row r="687" ht="75" customHeight="1">
      <c r="A687" s="2">
        <f>HYPERLINK("https://camerareadycosmetics.com/products/danessa-myricks-luxe-cream-palette-the-feminist", "https://camerareadycosmetics.com/products/danessa-myricks-luxe-cream-palette-the-feminist")</f>
        <v/>
      </c>
      <c r="B687" s="2">
        <f>HYPERLINK("https://camerareadycosmetics.com/products/danessa-myricks-beauty-vision-cream-cover-palette-kit-neutral", "https://camerareadycosmetics.com/products/danessa-myricks-beauty-vision-cream-cover-palette-kit-neutral")</f>
        <v/>
      </c>
      <c r="C687" t="inlineStr">
        <is>
          <t>Luxe Cream Palette The Feminist</t>
        </is>
      </c>
      <c r="D687" t="inlineStr">
        <is>
          <t>Danessa Myricks Luxe Cream Palette - The Feminist</t>
        </is>
      </c>
      <c r="E687" s="2">
        <f>HYPERLINK("https://www.amazon.com/Danessa-Myricks-Luxe-Cream-Palette/dp/B093KCH85W/ref=sr_1_1?keywords=Luxe+Cream+Palette+The+Feminist&amp;qid=1695565444&amp;sr=8-1", "https://www.amazon.com/Danessa-Myricks-Luxe-Cream-Palette/dp/B093KCH85W/ref=sr_1_1?keywords=Luxe+Cream+Palette+The+Feminist&amp;qid=1695565444&amp;sr=8-1")</f>
        <v/>
      </c>
      <c r="F687" t="inlineStr">
        <is>
          <t>B093KCH85W</t>
        </is>
      </c>
      <c r="G687">
        <f>_xlfn.IMAGE("https://camerareadycosmetics.com/cdn/shop/products/Danessa-Myricks-luxe-cream-lip-palette-feminist_50x.jpg?v=1619194248")</f>
        <v/>
      </c>
      <c r="H687">
        <f>_xlfn.IMAGE("https://m.media-amazon.com/images/I/41QFv-aqf5S._AC_UL320_.jpg")</f>
        <v/>
      </c>
      <c r="K687" t="inlineStr">
        <is>
          <t>44.0</t>
        </is>
      </c>
      <c r="L687" t="n">
        <v>44</v>
      </c>
      <c r="M687" s="1" t="inlineStr">
        <is>
          <t>0.00%</t>
        </is>
      </c>
      <c r="N687" t="n">
        <v>4.4</v>
      </c>
      <c r="O687" t="n">
        <v>17</v>
      </c>
      <c r="Q687" t="inlineStr">
        <is>
          <t>InStock</t>
        </is>
      </c>
      <c r="R687" t="inlineStr">
        <is>
          <t>undefined</t>
        </is>
      </c>
      <c r="S687" t="inlineStr">
        <is>
          <t>469475164170</t>
        </is>
      </c>
    </row>
    <row r="688" ht="75" customHeight="1">
      <c r="A688" s="2">
        <f>HYPERLINK("https://camerareadycosmetics.com/products/danessa-myricks-luxe-cream-palette-the-feminist", "https://camerareadycosmetics.com/products/danessa-myricks-luxe-cream-palette-the-feminist")</f>
        <v/>
      </c>
      <c r="B688" s="2">
        <f>HYPERLINK("https://camerareadycosmetics.com/products/danessa-myricks-beauty-vision-cream-cover-palette-kit-neutral", "https://camerareadycosmetics.com/products/danessa-myricks-beauty-vision-cream-cover-palette-kit-neutral")</f>
        <v/>
      </c>
      <c r="C688" t="inlineStr">
        <is>
          <t>Luxe Cream Palette The Feminist</t>
        </is>
      </c>
      <c r="D688" t="inlineStr">
        <is>
          <t>Danessa Myricks Luxe Cream Palette - The Nudest</t>
        </is>
      </c>
      <c r="E688" s="2">
        <f>HYPERLINK("https://www.amazon.com/Danessa-Myricks-Luxe-Cream-Palette/dp/B082XHG72K/ref=sr_1_2?keywords=Luxe+Cream+Palette+The+Feminist&amp;qid=1695565444&amp;sr=8-2", "https://www.amazon.com/Danessa-Myricks-Luxe-Cream-Palette/dp/B082XHG72K/ref=sr_1_2?keywords=Luxe+Cream+Palette+The+Feminist&amp;qid=1695565444&amp;sr=8-2")</f>
        <v/>
      </c>
      <c r="F688" t="inlineStr">
        <is>
          <t>B082XHG72K</t>
        </is>
      </c>
      <c r="G688">
        <f>_xlfn.IMAGE("https://camerareadycosmetics.com/cdn/shop/products/Danessa-Myricks-luxe-cream-lip-palette-feminist_50x.jpg?v=1619194248")</f>
        <v/>
      </c>
      <c r="H688">
        <f>_xlfn.IMAGE("https://m.media-amazon.com/images/I/51N6i388TDL._AC_UL320_.jpg")</f>
        <v/>
      </c>
      <c r="K688" t="inlineStr">
        <is>
          <t>44.0</t>
        </is>
      </c>
      <c r="L688" t="n">
        <v>44</v>
      </c>
      <c r="M688" s="1" t="inlineStr">
        <is>
          <t>0.00%</t>
        </is>
      </c>
      <c r="N688" t="n">
        <v>4.3</v>
      </c>
      <c r="O688" t="n">
        <v>30</v>
      </c>
      <c r="Q688" t="inlineStr">
        <is>
          <t>InStock</t>
        </is>
      </c>
      <c r="R688" t="inlineStr">
        <is>
          <t>undefined</t>
        </is>
      </c>
      <c r="S688" t="inlineStr">
        <is>
          <t>469475164170</t>
        </is>
      </c>
    </row>
    <row r="689" ht="75" customHeight="1">
      <c r="A689" s="2">
        <f>HYPERLINK("https://camerareadycosmetics.com/products/danessa-myricks-luxe-cream-palette-the-nudist", "https://camerareadycosmetics.com/products/danessa-myricks-luxe-cream-palette-the-nudist")</f>
        <v/>
      </c>
      <c r="B689" s="2">
        <f>HYPERLINK("https://camerareadycosmetics.com/products/danessa-myricks-beauty-vision-cream-cover-palette-kit-neutral", "https://camerareadycosmetics.com/products/danessa-myricks-beauty-vision-cream-cover-palette-kit-neutral")</f>
        <v/>
      </c>
      <c r="C689" t="inlineStr">
        <is>
          <t>Luxe Cream Palette The Nudist</t>
        </is>
      </c>
      <c r="D689" t="inlineStr">
        <is>
          <t>Danessa Myricks Luxe Cream Palette - The Nudest</t>
        </is>
      </c>
      <c r="E689" s="2">
        <f>HYPERLINK("https://www.amazon.com/Danessa-Myricks-Luxe-Cream-Palette/dp/B082XHG72K/ref=sr_1_1?keywords=Luxe+Cream+Palette+The+Nudist&amp;qid=1695565431&amp;sr=8-1", "https://www.amazon.com/Danessa-Myricks-Luxe-Cream-Palette/dp/B082XHG72K/ref=sr_1_1?keywords=Luxe+Cream+Palette+The+Nudist&amp;qid=1695565431&amp;sr=8-1")</f>
        <v/>
      </c>
      <c r="F689" t="inlineStr">
        <is>
          <t>B082XHG72K</t>
        </is>
      </c>
      <c r="G689">
        <f>_xlfn.IMAGE("https://camerareadycosmetics.com/cdn/shop/products/danessa-myricks-LUXECREAMPALETTE-THENUDIST-01_50x.jpg?v=1619282696")</f>
        <v/>
      </c>
      <c r="H689">
        <f>_xlfn.IMAGE("https://m.media-amazon.com/images/I/51N6i388TDL._AC_UL320_.jpg")</f>
        <v/>
      </c>
      <c r="K689" t="inlineStr">
        <is>
          <t>44.0</t>
        </is>
      </c>
      <c r="L689" t="n">
        <v>44</v>
      </c>
      <c r="M689" s="1" t="inlineStr">
        <is>
          <t>0.00%</t>
        </is>
      </c>
      <c r="N689" t="n">
        <v>4.3</v>
      </c>
      <c r="O689" t="n">
        <v>30</v>
      </c>
      <c r="Q689" t="inlineStr">
        <is>
          <t>InStock</t>
        </is>
      </c>
      <c r="R689" t="inlineStr">
        <is>
          <t>undefined</t>
        </is>
      </c>
      <c r="S689" t="inlineStr">
        <is>
          <t>469439283210</t>
        </is>
      </c>
    </row>
    <row r="690" ht="75" customHeight="1">
      <c r="A690" s="2">
        <f>HYPERLINK("https://camerareadycosmetics.com/products/danessa-myricks-luxe-cream-palette-the-nudist", "https://camerareadycosmetics.com/products/danessa-myricks-luxe-cream-palette-the-nudist")</f>
        <v/>
      </c>
      <c r="B690" s="2">
        <f>HYPERLINK("https://camerareadycosmetics.com/products/danessa-myricks-beauty-vision-cream-cover-palette-kit-neutral", "https://camerareadycosmetics.com/products/danessa-myricks-beauty-vision-cream-cover-palette-kit-neutral")</f>
        <v/>
      </c>
      <c r="C690" t="inlineStr">
        <is>
          <t>Luxe Cream Palette The Nudist</t>
        </is>
      </c>
      <c r="D690" t="inlineStr">
        <is>
          <t>Danessa Myricks Luxe Cream Palette - The Feminist</t>
        </is>
      </c>
      <c r="E690" s="2">
        <f>HYPERLINK("https://www.amazon.com/Danessa-Myricks-Luxe-Cream-Palette/dp/B093KCH85W/ref=sr_1_3?keywords=Luxe+Cream+Palette+The+Nudist&amp;qid=1695565431&amp;sr=8-3", "https://www.amazon.com/Danessa-Myricks-Luxe-Cream-Palette/dp/B093KCH85W/ref=sr_1_3?keywords=Luxe+Cream+Palette+The+Nudist&amp;qid=1695565431&amp;sr=8-3")</f>
        <v/>
      </c>
      <c r="F690" t="inlineStr">
        <is>
          <t>B093KCH85W</t>
        </is>
      </c>
      <c r="G690">
        <f>_xlfn.IMAGE("https://camerareadycosmetics.com/cdn/shop/products/danessa-myricks-LUXECREAMPALETTE-THENUDIST-01_50x.jpg?v=1619282696")</f>
        <v/>
      </c>
      <c r="H690">
        <f>_xlfn.IMAGE("https://m.media-amazon.com/images/I/41QFv-aqf5S._AC_UL320_.jpg")</f>
        <v/>
      </c>
      <c r="K690" t="inlineStr">
        <is>
          <t>44.0</t>
        </is>
      </c>
      <c r="L690" t="n">
        <v>44</v>
      </c>
      <c r="M690" s="1" t="inlineStr">
        <is>
          <t>0.00%</t>
        </is>
      </c>
      <c r="N690" t="n">
        <v>4.4</v>
      </c>
      <c r="O690" t="n">
        <v>17</v>
      </c>
      <c r="Q690" t="inlineStr">
        <is>
          <t>InStock</t>
        </is>
      </c>
      <c r="R690" t="inlineStr">
        <is>
          <t>undefined</t>
        </is>
      </c>
      <c r="S690" t="inlineStr">
        <is>
          <t>469439283210</t>
        </is>
      </c>
    </row>
    <row r="691" ht="75" customHeight="1">
      <c r="A691" s="2">
        <f>HYPERLINK("https://camerareadycosmetics.com/products/dose-of-colors-baked-browns-eyeshadow-palette", "https://camerareadycosmetics.com/products/dose-of-colors-baked-browns-eyeshadow-palette")</f>
        <v/>
      </c>
      <c r="B691" s="2">
        <f>HYPERLINK("https://camerareadycosmetics.com/products/dose-of-colors-baked-browns-eyeshadow-palette", "https://camerareadycosmetics.com/products/dose-of-colors-baked-browns-eyeshadow-palette")</f>
        <v/>
      </c>
      <c r="C691" t="inlineStr">
        <is>
          <t>Baked Browns Eyeshadow Palette</t>
        </is>
      </c>
      <c r="D691" t="inlineStr">
        <is>
          <t>Dose of Colors - Eyeshadow Palette - Baked Browns</t>
        </is>
      </c>
      <c r="E691" s="2">
        <f>HYPERLINK("https://www.amazon.com/Dose-Colors-Eyeshadow-Palette-Browns/dp/B0C4BLD7NS/ref=sr_1_1?keywords=Baked+Browns+Eyeshadow+Palette&amp;qid=1695565595&amp;sr=8-1", "https://www.amazon.com/Dose-Colors-Eyeshadow-Palette-Browns/dp/B0C4BLD7NS/ref=sr_1_1?keywords=Baked+Browns+Eyeshadow+Palette&amp;qid=1695565595&amp;sr=8-1")</f>
        <v/>
      </c>
      <c r="F691" t="inlineStr">
        <is>
          <t>B0C4BLD7NS</t>
        </is>
      </c>
      <c r="G691">
        <f>_xlfn.IMAGE("https://camerareadycosmetics.com/cdn/shop/products/BAKED-BROWNS_50x.jpg?v=1623358246")</f>
        <v/>
      </c>
      <c r="H691">
        <f>_xlfn.IMAGE("https://m.media-amazon.com/images/I/818kNSgiiuL._AC_UL320_.jpg")</f>
        <v/>
      </c>
      <c r="K691" t="inlineStr">
        <is>
          <t>32.0</t>
        </is>
      </c>
      <c r="L691" t="n">
        <v>32</v>
      </c>
      <c r="M691" s="1" t="inlineStr">
        <is>
          <t>0.00%</t>
        </is>
      </c>
      <c r="N691" t="n">
        <v>4.6</v>
      </c>
      <c r="O691" t="n">
        <v>30</v>
      </c>
      <c r="Q691" t="inlineStr">
        <is>
          <t>InStock</t>
        </is>
      </c>
      <c r="R691" t="inlineStr">
        <is>
          <t>undefined</t>
        </is>
      </c>
      <c r="S691" t="inlineStr">
        <is>
          <t>6769253548217</t>
        </is>
      </c>
    </row>
    <row r="692" ht="75" customHeight="1">
      <c r="A692" s="2">
        <f>HYPERLINK("https://camerareadycosmetics.com/products/dose-of-colors-baked-browns-eyeshadow-palette", "https://camerareadycosmetics.com/products/dose-of-colors-baked-browns-eyeshadow-palette")</f>
        <v/>
      </c>
      <c r="B692" s="2">
        <f>HYPERLINK("https://camerareadycosmetics.com/products/dose-of-colors-baked-browns-eyeshadow-palette", "https://camerareadycosmetics.com/products/dose-of-colors-baked-browns-eyeshadow-palette")</f>
        <v/>
      </c>
      <c r="C692" t="inlineStr">
        <is>
          <t>Baked Browns Eyeshadow Palette</t>
        </is>
      </c>
      <c r="D692" t="inlineStr">
        <is>
          <t>LAURA GELLER NEW YORK The Ultimate Palette Hidden Gems Baked Eyeshadow Palette - 31 shades - Matte and Shimmer Shades - Pigmented Crease-Proof Eye Makeup</t>
        </is>
      </c>
      <c r="E692" s="2">
        <f>HYPERLINK("https://www.amazon.com/LAURA-GELLER-NEW-YORK-Eyeshadow/dp/B0BXNCJVB2/ref=sr_1_5?keywords=Baked+Browns+Eyeshadow+Palette&amp;qid=1695565595&amp;sr=8-5", "https://www.amazon.com/LAURA-GELLER-NEW-YORK-Eyeshadow/dp/B0BXNCJVB2/ref=sr_1_5?keywords=Baked+Browns+Eyeshadow+Palette&amp;qid=1695565595&amp;sr=8-5")</f>
        <v/>
      </c>
      <c r="F692" t="inlineStr">
        <is>
          <t>B0BXNCJVB2</t>
        </is>
      </c>
      <c r="G692">
        <f>_xlfn.IMAGE("https://camerareadycosmetics.com/cdn/shop/products/BAKED-BROWNS_50x.jpg?v=1623358246")</f>
        <v/>
      </c>
      <c r="H692">
        <f>_xlfn.IMAGE("https://m.media-amazon.com/images/I/81clfLmHyVL._AC_UL320_.jpg")</f>
        <v/>
      </c>
      <c r="K692" t="inlineStr">
        <is>
          <t>32.0</t>
        </is>
      </c>
      <c r="L692" t="n">
        <v>30</v>
      </c>
      <c r="M692" s="1" t="inlineStr">
        <is>
          <t>-6.25%</t>
        </is>
      </c>
      <c r="N692" t="n">
        <v>4.2</v>
      </c>
      <c r="O692" t="n">
        <v>2252</v>
      </c>
      <c r="Q692" t="inlineStr">
        <is>
          <t>InStock</t>
        </is>
      </c>
      <c r="R692" t="inlineStr">
        <is>
          <t>undefined</t>
        </is>
      </c>
      <c r="S692" t="inlineStr">
        <is>
          <t>6769253548217</t>
        </is>
      </c>
    </row>
    <row r="693" ht="75" customHeight="1">
      <c r="A693" s="2">
        <f>HYPERLINK("https://camerareadycosmetics.com/products/dose-of-colors-baked-browns-eyeshadow-palette", "https://camerareadycosmetics.com/products/dose-of-colors-baked-browns-eyeshadow-palette")</f>
        <v/>
      </c>
      <c r="B693" s="2">
        <f>HYPERLINK("https://camerareadycosmetics.com/products/dose-of-colors-baked-browns-eyeshadow-palette", "https://camerareadycosmetics.com/products/dose-of-colors-baked-browns-eyeshadow-palette")</f>
        <v/>
      </c>
      <c r="C693" t="inlineStr">
        <is>
          <t>Baked Browns Eyeshadow Palette</t>
        </is>
      </c>
      <c r="D693" t="inlineStr">
        <is>
          <t>Eyeshadow Palette Makeup, Everfavor Pigmented Eye Shadow Nude Palettes - Professional 21 Colors Shimmer Warm Neutral Smoky Cosmetic Baked Eye Shadows (21 Colors, 09)</t>
        </is>
      </c>
      <c r="E693" s="2">
        <f>HYPERLINK("https://www.amazon.com/Everfavor-Professional-Pigmented-Palettes-Eyeshadow/dp/B07GVK7TXD/ref=sr_1_8?keywords=Baked+Browns+Eyeshadow+Palette&amp;qid=1695565595&amp;sr=8-8", "https://www.amazon.com/Everfavor-Professional-Pigmented-Palettes-Eyeshadow/dp/B07GVK7TXD/ref=sr_1_8?keywords=Baked+Browns+Eyeshadow+Palette&amp;qid=1695565595&amp;sr=8-8")</f>
        <v/>
      </c>
      <c r="F693" t="inlineStr">
        <is>
          <t>B07GVK7TXD</t>
        </is>
      </c>
      <c r="G693">
        <f>_xlfn.IMAGE("https://camerareadycosmetics.com/cdn/shop/products/BAKED-BROWNS_50x.jpg?v=1623358246")</f>
        <v/>
      </c>
      <c r="H693">
        <f>_xlfn.IMAGE("https://m.media-amazon.com/images/I/610M0MnEqnL._AC_UL320_.jpg")</f>
        <v/>
      </c>
      <c r="K693" t="inlineStr">
        <is>
          <t>32.0</t>
        </is>
      </c>
      <c r="L693" t="n">
        <v>13.99</v>
      </c>
      <c r="M693" s="1" t="inlineStr">
        <is>
          <t>-56.28%</t>
        </is>
      </c>
      <c r="N693" t="n">
        <v>4.3</v>
      </c>
      <c r="O693" t="n">
        <v>1084</v>
      </c>
      <c r="Q693" t="inlineStr">
        <is>
          <t>InStock</t>
        </is>
      </c>
      <c r="R693" t="inlineStr">
        <is>
          <t>undefined</t>
        </is>
      </c>
      <c r="S693" t="inlineStr">
        <is>
          <t>6769253548217</t>
        </is>
      </c>
    </row>
    <row r="694" ht="75" customHeight="1">
      <c r="A694" s="2">
        <f>HYPERLINK("https://camerareadycosmetics.com/products/dose-of-colors-baked-browns-eyeshadow-palette", "https://camerareadycosmetics.com/products/dose-of-colors-baked-browns-eyeshadow-palette")</f>
        <v/>
      </c>
      <c r="B694" s="2">
        <f>HYPERLINK("https://camerareadycosmetics.com/products/dose-of-colors-baked-browns-eyeshadow-palette", "https://camerareadycosmetics.com/products/dose-of-colors-baked-browns-eyeshadow-palette")</f>
        <v/>
      </c>
      <c r="C694" t="inlineStr">
        <is>
          <t>Baked Browns Eyeshadow Palette</t>
        </is>
      </c>
      <c r="D694" t="inlineStr">
        <is>
          <t>e.l.f. Baked Eyeshadow Palette, 10-Shade Set, California</t>
        </is>
      </c>
      <c r="E694" s="2">
        <f>HYPERLINK("https://www.amazon.com/l-f-Eyeshadow-Palette-California-0-28oz/dp/B009Q1YQ5Y/ref=sr_1_7?keywords=Baked+Browns+Eyeshadow+Palette&amp;qid=1695565595&amp;sr=8-7", "https://www.amazon.com/l-f-Eyeshadow-Palette-California-0-28oz/dp/B009Q1YQ5Y/ref=sr_1_7?keywords=Baked+Browns+Eyeshadow+Palette&amp;qid=1695565595&amp;sr=8-7")</f>
        <v/>
      </c>
      <c r="F694" t="inlineStr">
        <is>
          <t>B009Q1YQ5Y</t>
        </is>
      </c>
      <c r="G694">
        <f>_xlfn.IMAGE("https://camerareadycosmetics.com/cdn/shop/products/BAKED-BROWNS_50x.jpg?v=1623358246")</f>
        <v/>
      </c>
      <c r="H694">
        <f>_xlfn.IMAGE("https://m.media-amazon.com/images/I/41nWbVX-D+L._AC_UL320_.jpg")</f>
        <v/>
      </c>
      <c r="K694" t="inlineStr">
        <is>
          <t>32.0</t>
        </is>
      </c>
      <c r="L694" t="n">
        <v>7.68</v>
      </c>
      <c r="M694" s="1" t="inlineStr">
        <is>
          <t>-76.00%</t>
        </is>
      </c>
      <c r="N694" t="n">
        <v>3.8</v>
      </c>
      <c r="O694" t="n">
        <v>1363</v>
      </c>
      <c r="Q694" t="inlineStr">
        <is>
          <t>InStock</t>
        </is>
      </c>
      <c r="R694" t="inlineStr">
        <is>
          <t>undefined</t>
        </is>
      </c>
      <c r="S694" t="inlineStr">
        <is>
          <t>6769253548217</t>
        </is>
      </c>
    </row>
    <row r="695" ht="75" customHeight="1">
      <c r="A695" s="2">
        <f>HYPERLINK("https://camerareadycosmetics.com/products/dose-of-colors-baked-browns-eyeshadow-palette", "https://camerareadycosmetics.com/products/dose-of-colors-baked-browns-eyeshadow-palette")</f>
        <v/>
      </c>
      <c r="B695" s="2">
        <f>HYPERLINK("https://camerareadycosmetics.com/products/dose-of-colors-baked-browns-eyeshadow-palette", "https://camerareadycosmetics.com/products/dose-of-colors-baked-browns-eyeshadow-palette")</f>
        <v/>
      </c>
      <c r="C695" t="inlineStr">
        <is>
          <t>Baked Browns Eyeshadow Palette</t>
        </is>
      </c>
      <c r="D695" t="inlineStr">
        <is>
          <t>CarMela Baked Eyeshadow Palette - Highly-Pigmented Shimmer Eyeshadow, Weightless Powder Formula, Silky Smooth Texture, Long-Lasting Wear (Brown)</t>
        </is>
      </c>
      <c r="E695" s="2">
        <f>HYPERLINK("https://www.amazon.com/CarMela-Baked-Eyeshadow-Palette-Highly-Pigmented/dp/B0BYZ11QFF/ref=sr_1_10?keywords=Baked+Browns+Eyeshadow+Palette&amp;qid=1695565595&amp;sr=8-10", "https://www.amazon.com/CarMela-Baked-Eyeshadow-Palette-Highly-Pigmented/dp/B0BYZ11QFF/ref=sr_1_10?keywords=Baked+Browns+Eyeshadow+Palette&amp;qid=1695565595&amp;sr=8-10")</f>
        <v/>
      </c>
      <c r="F695" t="inlineStr">
        <is>
          <t>B0BYZ11QFF</t>
        </is>
      </c>
      <c r="G695">
        <f>_xlfn.IMAGE("https://camerareadycosmetics.com/cdn/shop/products/BAKED-BROWNS_50x.jpg?v=1623358246")</f>
        <v/>
      </c>
      <c r="H695">
        <f>_xlfn.IMAGE("https://m.media-amazon.com/images/I/71L6zO8lhBL._AC_UL320_.jpg")</f>
        <v/>
      </c>
      <c r="K695" t="inlineStr">
        <is>
          <t>32.0</t>
        </is>
      </c>
      <c r="L695" t="n">
        <v>6.99</v>
      </c>
      <c r="M695" s="1" t="inlineStr">
        <is>
          <t>-78.16%</t>
        </is>
      </c>
      <c r="N695" t="n">
        <v>3.4</v>
      </c>
      <c r="O695" t="n">
        <v>13</v>
      </c>
      <c r="Q695" t="inlineStr">
        <is>
          <t>InStock</t>
        </is>
      </c>
      <c r="R695" t="inlineStr">
        <is>
          <t>undefined</t>
        </is>
      </c>
      <c r="S695" t="inlineStr">
        <is>
          <t>6769253548217</t>
        </is>
      </c>
    </row>
    <row r="696" ht="75" customHeight="1">
      <c r="A696" s="2">
        <f>HYPERLINK("https://camerareadycosmetics.com/products/dose-of-colors-baked-browns-eyeshadow-palette", "https://camerareadycosmetics.com/products/dose-of-colors-baked-browns-eyeshadow-palette")</f>
        <v/>
      </c>
      <c r="B696" s="2">
        <f>HYPERLINK("https://camerareadycosmetics.com/products/dose-of-colors-baked-browns-eyeshadow-palette", "https://camerareadycosmetics.com/products/dose-of-colors-baked-browns-eyeshadow-palette")</f>
        <v/>
      </c>
      <c r="C696" t="inlineStr">
        <is>
          <t>Baked Browns Eyeshadow Palette</t>
        </is>
      </c>
      <c r="D696" t="inlineStr">
        <is>
          <t>Eyeshadow Palette Makeup, Everfavor Pigmented Eye Shadow Nude Palettes - Professional 21 Colors Shimmer Warm Neutral Smoky Cosmetic Baked Eye Shadows (21 Colors, 09)</t>
        </is>
      </c>
      <c r="E696" s="2">
        <f>HYPERLINK("https://www.amazon.com/Everfavor-Professional-Pigmented-Palettes-Eyeshadow/dp/B07GVK7TXD/ref=sr_1_8?keywords=Baked+Browns+Eyeshadow+Palette&amp;qid=1695565595&amp;sr=8-8", "https://www.amazon.com/Everfavor-Professional-Pigmented-Palettes-Eyeshadow/dp/B07GVK7TXD/ref=sr_1_8?keywords=Baked+Browns+Eyeshadow+Palette&amp;qid=1695565595&amp;sr=8-8")</f>
        <v/>
      </c>
      <c r="F696" t="inlineStr">
        <is>
          <t>B07GVK7TXD</t>
        </is>
      </c>
      <c r="G696">
        <f>_xlfn.IMAGE("https://camerareadycosmetics.com/cdn/shop/products/BAKED-BROWNS_50x.jpg?v=1623358246")</f>
        <v/>
      </c>
      <c r="H696">
        <f>_xlfn.IMAGE("https://m.media-amazon.com/images/I/610M0MnEqnL._AC_UL320_.jpg")</f>
        <v/>
      </c>
      <c r="K696" t="inlineStr">
        <is>
          <t>32.0</t>
        </is>
      </c>
      <c r="L696" t="n">
        <v>13.99</v>
      </c>
      <c r="M696" s="1" t="inlineStr">
        <is>
          <t>-56.28%</t>
        </is>
      </c>
      <c r="N696" t="n">
        <v>4.3</v>
      </c>
      <c r="O696" t="n">
        <v>1084</v>
      </c>
      <c r="Q696" t="inlineStr">
        <is>
          <t>InStock</t>
        </is>
      </c>
      <c r="R696" t="inlineStr">
        <is>
          <t>undefined</t>
        </is>
      </c>
      <c r="S696" t="inlineStr">
        <is>
          <t>6769253548217</t>
        </is>
      </c>
    </row>
    <row r="697" ht="75" customHeight="1">
      <c r="A697" s="2">
        <f>HYPERLINK("https://camerareadycosmetics.com/products/dose-of-colors-baked-browns-eyeshadow-palette", "https://camerareadycosmetics.com/products/dose-of-colors-baked-browns-eyeshadow-palette")</f>
        <v/>
      </c>
      <c r="B697" s="2">
        <f>HYPERLINK("https://camerareadycosmetics.com/products/dose-of-colors-baked-browns-eyeshadow-palette", "https://camerareadycosmetics.com/products/dose-of-colors-baked-browns-eyeshadow-palette")</f>
        <v/>
      </c>
      <c r="C697" t="inlineStr">
        <is>
          <t>Baked Browns Eyeshadow Palette</t>
        </is>
      </c>
      <c r="D697" t="inlineStr">
        <is>
          <t>e.l.f. Baked Eyeshadow Palette, 10-Shade Set, California</t>
        </is>
      </c>
      <c r="E697" s="2">
        <f>HYPERLINK("https://www.amazon.com/l-f-Eyeshadow-Palette-California-0-28oz/dp/B009Q1YQ5Y/ref=sr_1_7?keywords=Baked+Browns+Eyeshadow+Palette&amp;qid=1695565595&amp;sr=8-7", "https://www.amazon.com/l-f-Eyeshadow-Palette-California-0-28oz/dp/B009Q1YQ5Y/ref=sr_1_7?keywords=Baked+Browns+Eyeshadow+Palette&amp;qid=1695565595&amp;sr=8-7")</f>
        <v/>
      </c>
      <c r="F697" t="inlineStr">
        <is>
          <t>B009Q1YQ5Y</t>
        </is>
      </c>
      <c r="G697">
        <f>_xlfn.IMAGE("https://camerareadycosmetics.com/cdn/shop/products/BAKED-BROWNS_50x.jpg?v=1623358246")</f>
        <v/>
      </c>
      <c r="H697">
        <f>_xlfn.IMAGE("https://m.media-amazon.com/images/I/41nWbVX-D+L._AC_UL320_.jpg")</f>
        <v/>
      </c>
      <c r="K697" t="inlineStr">
        <is>
          <t>32.0</t>
        </is>
      </c>
      <c r="L697" t="n">
        <v>7.68</v>
      </c>
      <c r="M697" s="1" t="inlineStr">
        <is>
          <t>-76.00%</t>
        </is>
      </c>
      <c r="N697" t="n">
        <v>3.8</v>
      </c>
      <c r="O697" t="n">
        <v>1363</v>
      </c>
      <c r="Q697" t="inlineStr">
        <is>
          <t>InStock</t>
        </is>
      </c>
      <c r="R697" t="inlineStr">
        <is>
          <t>undefined</t>
        </is>
      </c>
      <c r="S697" t="inlineStr">
        <is>
          <t>6769253548217</t>
        </is>
      </c>
    </row>
    <row r="698" ht="75" customHeight="1">
      <c r="A698" s="2">
        <f>HYPERLINK("https://camerareadycosmetics.com/products/dose-of-colors-baked-browns-eyeshadow-palette", "https://camerareadycosmetics.com/products/dose-of-colors-baked-browns-eyeshadow-palette")</f>
        <v/>
      </c>
      <c r="B698" s="2">
        <f>HYPERLINK("https://camerareadycosmetics.com/products/dose-of-colors-baked-browns-eyeshadow-palette", "https://camerareadycosmetics.com/products/dose-of-colors-baked-browns-eyeshadow-palette")</f>
        <v/>
      </c>
      <c r="C698" t="inlineStr">
        <is>
          <t>Baked Browns Eyeshadow Palette</t>
        </is>
      </c>
      <c r="D698" t="inlineStr">
        <is>
          <t>CarMela Baked Eyeshadow Palette - Highly-Pigmented Shimmer Eyeshadow, Weightless Powder Formula, Silky Smooth Texture, Long-Lasting Wear (Brown)</t>
        </is>
      </c>
      <c r="E698" s="2">
        <f>HYPERLINK("https://www.amazon.com/CarMela-Baked-Eyeshadow-Palette-Highly-Pigmented/dp/B0BYZ11QFF/ref=sr_1_10?keywords=Baked+Browns+Eyeshadow+Palette&amp;qid=1695565595&amp;sr=8-10", "https://www.amazon.com/CarMela-Baked-Eyeshadow-Palette-Highly-Pigmented/dp/B0BYZ11QFF/ref=sr_1_10?keywords=Baked+Browns+Eyeshadow+Palette&amp;qid=1695565595&amp;sr=8-10")</f>
        <v/>
      </c>
      <c r="F698" t="inlineStr">
        <is>
          <t>B0BYZ11QFF</t>
        </is>
      </c>
      <c r="G698">
        <f>_xlfn.IMAGE("https://camerareadycosmetics.com/cdn/shop/products/BAKED-BROWNS_50x.jpg?v=1623358246")</f>
        <v/>
      </c>
      <c r="H698">
        <f>_xlfn.IMAGE("https://m.media-amazon.com/images/I/71L6zO8lhBL._AC_UL320_.jpg")</f>
        <v/>
      </c>
      <c r="K698" t="inlineStr">
        <is>
          <t>32.0</t>
        </is>
      </c>
      <c r="L698" t="n">
        <v>6.99</v>
      </c>
      <c r="M698" s="1" t="inlineStr">
        <is>
          <t>-78.16%</t>
        </is>
      </c>
      <c r="N698" t="n">
        <v>3.4</v>
      </c>
      <c r="O698" t="n">
        <v>13</v>
      </c>
      <c r="Q698" t="inlineStr">
        <is>
          <t>InStock</t>
        </is>
      </c>
      <c r="R698" t="inlineStr">
        <is>
          <t>undefined</t>
        </is>
      </c>
      <c r="S698" t="inlineStr">
        <is>
          <t>6769253548217</t>
        </is>
      </c>
    </row>
    <row r="699" ht="75" customHeight="1">
      <c r="A699" s="2">
        <f>HYPERLINK("https://camerareadycosmetics.com/products/dose-of-colors-baked-browns-ii-eyeshadow-palette", "https://camerareadycosmetics.com/products/dose-of-colors-baked-browns-ii-eyeshadow-palette")</f>
        <v/>
      </c>
      <c r="B699" s="2">
        <f>HYPERLINK("https://camerareadycosmetics.com/products/dose-of-colors-baked-browns-ii-eyeshadow-palette", "https://camerareadycosmetics.com/products/dose-of-colors-baked-browns-ii-eyeshadow-palette")</f>
        <v/>
      </c>
      <c r="C699" t="inlineStr">
        <is>
          <t>Baked Browns II Eyeshadow Palette</t>
        </is>
      </c>
      <c r="D699" t="inlineStr">
        <is>
          <t>Dose of Colors - Eyeshadow Palette - Baked Browns</t>
        </is>
      </c>
      <c r="E699" s="2">
        <f>HYPERLINK("https://www.amazon.com/Dose-Colors-Eyeshadow-Palette-Browns/dp/B0C4BLD7NS/ref=sr_1_3?keywords=Baked+Browns+II+Eyeshadow+Palette&amp;qid=1695565660&amp;sr=8-3", "https://www.amazon.com/Dose-Colors-Eyeshadow-Palette-Browns/dp/B0C4BLD7NS/ref=sr_1_3?keywords=Baked+Browns+II+Eyeshadow+Palette&amp;qid=1695565660&amp;sr=8-3")</f>
        <v/>
      </c>
      <c r="F699" t="inlineStr">
        <is>
          <t>B0C4BLD7NS</t>
        </is>
      </c>
      <c r="G699">
        <f>_xlfn.IMAGE("https://camerareadycosmetics.com/cdn/shop/products/CRC_BAKED-BROWNS-II_50x.jpg?v=1648488889")</f>
        <v/>
      </c>
      <c r="H699">
        <f>_xlfn.IMAGE("https://m.media-amazon.com/images/I/818kNSgiiuL._AC_UL320_.jpg")</f>
        <v/>
      </c>
      <c r="K699" t="inlineStr">
        <is>
          <t>32.0</t>
        </is>
      </c>
      <c r="L699" t="n">
        <v>32</v>
      </c>
      <c r="M699" s="1" t="inlineStr">
        <is>
          <t>0.00%</t>
        </is>
      </c>
      <c r="N699" t="n">
        <v>4.6</v>
      </c>
      <c r="O699" t="n">
        <v>30</v>
      </c>
      <c r="Q699" t="inlineStr">
        <is>
          <t>InStock</t>
        </is>
      </c>
      <c r="R699" t="inlineStr">
        <is>
          <t>32.0</t>
        </is>
      </c>
      <c r="S699" t="inlineStr">
        <is>
          <t>7271362101433</t>
        </is>
      </c>
    </row>
    <row r="700" ht="75" customHeight="1">
      <c r="A700" s="2">
        <f>HYPERLINK("https://camerareadycosmetics.com/products/dose-of-colors-black-rose-lip-liner", "https://camerareadycosmetics.com/products/dose-of-colors-black-rose-lip-liner")</f>
        <v/>
      </c>
      <c r="B700" s="2">
        <f>HYPERLINK("https://camerareadycosmetics.com/products/dose-of-colors-black-rose-lip-liner", "https://camerareadycosmetics.com/products/dose-of-colors-black-rose-lip-liner")</f>
        <v/>
      </c>
      <c r="C700" t="inlineStr">
        <is>
          <t>Black Rose Lip Liner</t>
        </is>
      </c>
      <c r="D700" t="inlineStr">
        <is>
          <t>Rimmel London Lasting Finish 1000 Kisses Lip Liner - 007 Rose Quartz Lip Liner Women 0.04 oz</t>
        </is>
      </c>
      <c r="E700" s="2">
        <f>HYPERLINK("https://www.amazon.com/Rimmel-Kisses-Liner-Quartz-Fluid/dp/B0083H2SAW/ref=sr_1_5?keywords=Black+Rose+Lip+Liner&amp;qid=1695565770&amp;sr=8-5", "https://www.amazon.com/Rimmel-Kisses-Liner-Quartz-Fluid/dp/B0083H2SAW/ref=sr_1_5?keywords=Black+Rose+Lip+Liner&amp;qid=1695565770&amp;sr=8-5")</f>
        <v/>
      </c>
      <c r="F700" t="inlineStr">
        <is>
          <t>B0083H2SAW</t>
        </is>
      </c>
      <c r="G700">
        <f>_xlfn.IMAGE("https://camerareadycosmetics.com/cdn/shop/files/BLACKROSELIPLINER_1024x1024_2x_1_50x.jpg?v=1684470611")</f>
        <v/>
      </c>
      <c r="H700">
        <f>_xlfn.IMAGE("https://m.media-amazon.com/images/I/51im6LTG4tL._AC_UL320_.jpg")</f>
        <v/>
      </c>
      <c r="K700" t="inlineStr">
        <is>
          <t>18.0</t>
        </is>
      </c>
      <c r="L700" t="n">
        <v>16.9</v>
      </c>
      <c r="M700" s="1" t="inlineStr">
        <is>
          <t>-6.11%</t>
        </is>
      </c>
      <c r="N700" t="n">
        <v>4.5</v>
      </c>
      <c r="O700" t="n">
        <v>5351</v>
      </c>
      <c r="Q700" t="inlineStr">
        <is>
          <t>InStock</t>
        </is>
      </c>
      <c r="R700" t="inlineStr">
        <is>
          <t>undefined</t>
        </is>
      </c>
      <c r="S700" t="inlineStr">
        <is>
          <t>7592273346745</t>
        </is>
      </c>
    </row>
    <row r="701" ht="75" customHeight="1">
      <c r="A701" s="2">
        <f>HYPERLINK("https://camerareadycosmetics.com/products/dose-of-colors-black-rose-lip-liner", "https://camerareadycosmetics.com/products/dose-of-colors-black-rose-lip-liner")</f>
        <v/>
      </c>
      <c r="B701" s="2">
        <f>HYPERLINK("https://camerareadycosmetics.com/products/dose-of-colors-black-rose-lip-liner", "https://camerareadycosmetics.com/products/dose-of-colors-black-rose-lip-liner")</f>
        <v/>
      </c>
      <c r="C701" t="inlineStr">
        <is>
          <t>Black Rose Lip Liner</t>
        </is>
      </c>
      <c r="D701" t="inlineStr">
        <is>
          <t>Barry M Cosmetics - Lip Liner Pencil, Black</t>
        </is>
      </c>
      <c r="E701" s="2">
        <f>HYPERLINK("https://www.amazon.com/Barry-Cosmetics-Lip-Liner-Rose/dp/B01F55DTW0/ref=sr_1_3?keywords=Black+Rose+Lip+Liner&amp;qid=1695565770&amp;sr=8-3", "https://www.amazon.com/Barry-Cosmetics-Lip-Liner-Rose/dp/B01F55DTW0/ref=sr_1_3?keywords=Black+Rose+Lip+Liner&amp;qid=1695565770&amp;sr=8-3")</f>
        <v/>
      </c>
      <c r="F701" t="inlineStr">
        <is>
          <t>B01F55DTW0</t>
        </is>
      </c>
      <c r="G701">
        <f>_xlfn.IMAGE("https://camerareadycosmetics.com/cdn/shop/files/BLACKROSELIPLINER_1024x1024_2x_1_50x.jpg?v=1684470611")</f>
        <v/>
      </c>
      <c r="H701">
        <f>_xlfn.IMAGE("https://m.media-amazon.com/images/I/719LgR8AQSL._AC_UL320_.jpg")</f>
        <v/>
      </c>
      <c r="K701" t="inlineStr">
        <is>
          <t>18.0</t>
        </is>
      </c>
      <c r="L701" t="n">
        <v>12.99</v>
      </c>
      <c r="M701" s="1" t="inlineStr">
        <is>
          <t>-27.83%</t>
        </is>
      </c>
      <c r="N701" t="n">
        <v>4.5</v>
      </c>
      <c r="O701" t="n">
        <v>8223</v>
      </c>
      <c r="Q701" t="inlineStr">
        <is>
          <t>InStock</t>
        </is>
      </c>
      <c r="R701" t="inlineStr">
        <is>
          <t>undefined</t>
        </is>
      </c>
      <c r="S701" t="inlineStr">
        <is>
          <t>7592273346745</t>
        </is>
      </c>
    </row>
    <row r="702" ht="75" customHeight="1">
      <c r="A702" s="2">
        <f>HYPERLINK("https://camerareadycosmetics.com/products/dose-of-colors-black-rose-lip-liner", "https://camerareadycosmetics.com/products/dose-of-colors-black-rose-lip-liner")</f>
        <v/>
      </c>
      <c r="B702" s="2">
        <f>HYPERLINK("https://camerareadycosmetics.com/products/dose-of-colors-black-rose-lip-liner", "https://camerareadycosmetics.com/products/dose-of-colors-black-rose-lip-liner")</f>
        <v/>
      </c>
      <c r="C702" t="inlineStr">
        <is>
          <t>Black Rose Lip Liner</t>
        </is>
      </c>
      <c r="D702" t="inlineStr">
        <is>
          <t>Palladio, Retractable Waterproof Lip Liner High Pigmented and Creamy Color Slim Twist Up Smudge Proof Formula with Long Lasting All Day Wear No Sharpener Required, Black Berry, 1 Count</t>
        </is>
      </c>
      <c r="E702" s="2">
        <f>HYPERLINK("https://www.amazon.com/Palladio-Retractable-Liner-Pencil-Black/dp/B000E9C6JA/ref=sr_1_2?keywords=Black+Rose+Lip+Liner&amp;qid=1695565770&amp;sr=8-2", "https://www.amazon.com/Palladio-Retractable-Liner-Pencil-Black/dp/B000E9C6JA/ref=sr_1_2?keywords=Black+Rose+Lip+Liner&amp;qid=1695565770&amp;sr=8-2")</f>
        <v/>
      </c>
      <c r="F702" t="inlineStr">
        <is>
          <t>B000E9C6JA</t>
        </is>
      </c>
      <c r="G702">
        <f>_xlfn.IMAGE("https://camerareadycosmetics.com/cdn/shop/files/BLACKROSELIPLINER_1024x1024_2x_1_50x.jpg?v=1684470611")</f>
        <v/>
      </c>
      <c r="H702">
        <f>_xlfn.IMAGE("https://m.media-amazon.com/images/I/41dxoXM9r9L._AC_UL320_.jpg")</f>
        <v/>
      </c>
      <c r="K702" t="inlineStr">
        <is>
          <t>18.0</t>
        </is>
      </c>
      <c r="L702" t="n">
        <v>7.99</v>
      </c>
      <c r="M702" s="1" t="inlineStr">
        <is>
          <t>-55.61%</t>
        </is>
      </c>
      <c r="N702" t="n">
        <v>4.3</v>
      </c>
      <c r="O702" t="n">
        <v>4524</v>
      </c>
      <c r="Q702" t="inlineStr">
        <is>
          <t>InStock</t>
        </is>
      </c>
      <c r="R702" t="inlineStr">
        <is>
          <t>undefined</t>
        </is>
      </c>
      <c r="S702" t="inlineStr">
        <is>
          <t>7592273346745</t>
        </is>
      </c>
    </row>
    <row r="703" ht="75" customHeight="1">
      <c r="A703" s="2">
        <f>HYPERLINK("https://camerareadycosmetics.com/products/dose-of-colors-black-rose-lip-liner", "https://camerareadycosmetics.com/products/dose-of-colors-black-rose-lip-liner")</f>
        <v/>
      </c>
      <c r="B703" s="2">
        <f>HYPERLINK("https://camerareadycosmetics.com/products/dose-of-colors-black-rose-lip-liner", "https://camerareadycosmetics.com/products/dose-of-colors-black-rose-lip-liner")</f>
        <v/>
      </c>
      <c r="C703" t="inlineStr">
        <is>
          <t>Black Rose Lip Liner</t>
        </is>
      </c>
      <c r="D703" t="inlineStr">
        <is>
          <t>NYX PROFESSIONAL MAKEUP Line Loud Lip Liner, Longwear and Pigmented Lip Pencil with Jojoba Oil &amp; Vitamin E - Evil Genius (Black)</t>
        </is>
      </c>
      <c r="E703" s="2">
        <f>HYPERLINK("https://www.amazon.com/NYX-PROFESSIONAL-MAKEUP-Longwear-Pigmented/dp/B09ZKM4VQN/ref=sr_1_8?keywords=Black+Rose+Lip+Liner&amp;qid=1695565770&amp;sr=8-8", "https://www.amazon.com/NYX-PROFESSIONAL-MAKEUP-Longwear-Pigmented/dp/B09ZKM4VQN/ref=sr_1_8?keywords=Black+Rose+Lip+Liner&amp;qid=1695565770&amp;sr=8-8")</f>
        <v/>
      </c>
      <c r="F703" t="inlineStr">
        <is>
          <t>B09ZKM4VQN</t>
        </is>
      </c>
      <c r="G703">
        <f>_xlfn.IMAGE("https://camerareadycosmetics.com/cdn/shop/files/BLACKROSELIPLINER_1024x1024_2x_1_50x.jpg?v=1684470611")</f>
        <v/>
      </c>
      <c r="H703">
        <f>_xlfn.IMAGE("https://m.media-amazon.com/images/I/61UlUlpeF1L._AC_UL320_.jpg")</f>
        <v/>
      </c>
      <c r="K703" t="inlineStr">
        <is>
          <t>18.0</t>
        </is>
      </c>
      <c r="L703" t="n">
        <v>7.97</v>
      </c>
      <c r="M703" s="1" t="inlineStr">
        <is>
          <t>-55.72%</t>
        </is>
      </c>
      <c r="N703" t="n">
        <v>4.3</v>
      </c>
      <c r="O703" t="n">
        <v>1508</v>
      </c>
      <c r="Q703" t="inlineStr">
        <is>
          <t>InStock</t>
        </is>
      </c>
      <c r="R703" t="inlineStr">
        <is>
          <t>undefined</t>
        </is>
      </c>
      <c r="S703" t="inlineStr">
        <is>
          <t>7592273346745</t>
        </is>
      </c>
    </row>
    <row r="704" ht="75" customHeight="1">
      <c r="A704" s="2">
        <f>HYPERLINK("https://camerareadycosmetics.com/products/dose-of-colors-black-rose-lip-liner", "https://camerareadycosmetics.com/products/dose-of-colors-black-rose-lip-liner")</f>
        <v/>
      </c>
      <c r="B704" s="2">
        <f>HYPERLINK("https://camerareadycosmetics.com/products/dose-of-colors-black-rose-lip-liner", "https://camerareadycosmetics.com/products/dose-of-colors-black-rose-lip-liner")</f>
        <v/>
      </c>
      <c r="C704" t="inlineStr">
        <is>
          <t>Black Rose Lip Liner</t>
        </is>
      </c>
      <c r="D704" t="inlineStr">
        <is>
          <t>Ruby Kisses Auto Lip Liner Pencil, Long Lasting, Smooth Application Mechanical Lip Liner Pencil 3 PACK (Black)</t>
        </is>
      </c>
      <c r="E704" s="2">
        <f>HYPERLINK("https://www.amazon.com/Ruby-Kisses-Auto-Liner-Black/dp/B09B18H4GW/ref=sr_1_7?keywords=Black+Rose+Lip+Liner&amp;qid=1695565770&amp;sr=8-7", "https://www.amazon.com/Ruby-Kisses-Auto-Liner-Black/dp/B09B18H4GW/ref=sr_1_7?keywords=Black+Rose+Lip+Liner&amp;qid=1695565770&amp;sr=8-7")</f>
        <v/>
      </c>
      <c r="F704" t="inlineStr">
        <is>
          <t>B09B18H4GW</t>
        </is>
      </c>
      <c r="G704">
        <f>_xlfn.IMAGE("https://camerareadycosmetics.com/cdn/shop/files/BLACKROSELIPLINER_1024x1024_2x_1_50x.jpg?v=1684470611")</f>
        <v/>
      </c>
      <c r="H704">
        <f>_xlfn.IMAGE("https://m.media-amazon.com/images/I/61J1UNxepmL._AC_UL320_.jpg")</f>
        <v/>
      </c>
      <c r="K704" t="inlineStr">
        <is>
          <t>18.0</t>
        </is>
      </c>
      <c r="L704" t="n">
        <v>5.99</v>
      </c>
      <c r="M704" s="1" t="inlineStr">
        <is>
          <t>-66.72%</t>
        </is>
      </c>
      <c r="N704" t="n">
        <v>4.2</v>
      </c>
      <c r="O704" t="n">
        <v>2033</v>
      </c>
      <c r="Q704" t="inlineStr">
        <is>
          <t>InStock</t>
        </is>
      </c>
      <c r="R704" t="inlineStr">
        <is>
          <t>undefined</t>
        </is>
      </c>
      <c r="S704" t="inlineStr">
        <is>
          <t>7592273346745</t>
        </is>
      </c>
    </row>
    <row r="705" ht="75" customHeight="1">
      <c r="A705" s="2">
        <f>HYPERLINK("https://camerareadycosmetics.com/products/dose-of-colors-black-rose-lip-liner", "https://camerareadycosmetics.com/products/dose-of-colors-black-rose-lip-liner")</f>
        <v/>
      </c>
      <c r="B705" s="2">
        <f>HYPERLINK("https://camerareadycosmetics.com/products/dose-of-colors-black-rose-lip-liner", "https://camerareadycosmetics.com/products/dose-of-colors-black-rose-lip-liner")</f>
        <v/>
      </c>
      <c r="C705" t="inlineStr">
        <is>
          <t>Black Rose Lip Liner</t>
        </is>
      </c>
      <c r="D705" t="inlineStr">
        <is>
          <t>NYX PROFESSIONAL MAKEUP Mechanical Lip Liner Pencil, Black Lips</t>
        </is>
      </c>
      <c r="E705" s="2">
        <f>HYPERLINK("https://www.amazon.com/NYX-Mechanical-Pencil-Black-Lips/dp/B005G9LPNQ/ref=sr_1_1?keywords=Black+Rose+Lip+Liner&amp;qid=1695565770&amp;sr=8-1", "https://www.amazon.com/NYX-Mechanical-Pencil-Black-Lips/dp/B005G9LPNQ/ref=sr_1_1?keywords=Black+Rose+Lip+Liner&amp;qid=1695565770&amp;sr=8-1")</f>
        <v/>
      </c>
      <c r="F705" t="inlineStr">
        <is>
          <t>B005G9LPNQ</t>
        </is>
      </c>
      <c r="G705">
        <f>_xlfn.IMAGE("https://camerareadycosmetics.com/cdn/shop/files/BLACKROSELIPLINER_1024x1024_2x_1_50x.jpg?v=1684470611")</f>
        <v/>
      </c>
      <c r="H705">
        <f>_xlfn.IMAGE("https://m.media-amazon.com/images/I/41cqOleqMyL._AC_UL320_.jpg")</f>
        <v/>
      </c>
      <c r="K705" t="inlineStr">
        <is>
          <t>18.0</t>
        </is>
      </c>
      <c r="L705" t="n">
        <v>5</v>
      </c>
      <c r="M705" s="1" t="inlineStr">
        <is>
          <t>-72.22%</t>
        </is>
      </c>
      <c r="N705" t="n">
        <v>4.5</v>
      </c>
      <c r="O705" t="n">
        <v>9817</v>
      </c>
      <c r="Q705" t="inlineStr">
        <is>
          <t>InStock</t>
        </is>
      </c>
      <c r="R705" t="inlineStr">
        <is>
          <t>undefined</t>
        </is>
      </c>
      <c r="S705" t="inlineStr">
        <is>
          <t>7592273346745</t>
        </is>
      </c>
    </row>
    <row r="706" ht="75" customHeight="1">
      <c r="A706" s="2">
        <f>HYPERLINK("https://camerareadycosmetics.com/products/dose-of-colors-black-rose-lip-liner", "https://camerareadycosmetics.com/products/dose-of-colors-black-rose-lip-liner")</f>
        <v/>
      </c>
      <c r="B706" s="2">
        <f>HYPERLINK("https://camerareadycosmetics.com/products/dose-of-colors-black-rose-lip-liner", "https://camerareadycosmetics.com/products/dose-of-colors-black-rose-lip-liner")</f>
        <v/>
      </c>
      <c r="C706" t="inlineStr">
        <is>
          <t>Black Rose Lip Liner</t>
        </is>
      </c>
      <c r="D706" t="inlineStr">
        <is>
          <t>kiss new york Professional Slim Lip Pencil, Creamy Soft Lip Liner, Smooth Long-Lasting Rich Lip Color, Natural Lip Makeup, Water-Resistant Lip Crayon (Black)</t>
        </is>
      </c>
      <c r="E706" s="2">
        <f>HYPERLINK("https://www.amazon.com/kiss-new-york-Professional-Water-Resistant/dp/B0BVDD2NBX/ref=sr_1_9?keywords=Black+Rose+Lip+Liner&amp;qid=1695565770&amp;sr=8-9", "https://www.amazon.com/kiss-new-york-Professional-Water-Resistant/dp/B0BVDD2NBX/ref=sr_1_9?keywords=Black+Rose+Lip+Liner&amp;qid=1695565770&amp;sr=8-9")</f>
        <v/>
      </c>
      <c r="F706" t="inlineStr">
        <is>
          <t>B0BVDD2NBX</t>
        </is>
      </c>
      <c r="G706">
        <f>_xlfn.IMAGE("https://camerareadycosmetics.com/cdn/shop/files/BLACKROSELIPLINER_1024x1024_2x_1_50x.jpg?v=1684470611")</f>
        <v/>
      </c>
      <c r="H706">
        <f>_xlfn.IMAGE("https://m.media-amazon.com/images/I/61-BFVsSVjL._AC_UL320_.jpg")</f>
        <v/>
      </c>
      <c r="K706" t="inlineStr">
        <is>
          <t>18.0</t>
        </is>
      </c>
      <c r="L706" t="n">
        <v>4.99</v>
      </c>
      <c r="M706" s="1" t="inlineStr">
        <is>
          <t>-72.28%</t>
        </is>
      </c>
      <c r="N706" t="n">
        <v>4.3</v>
      </c>
      <c r="O706" t="n">
        <v>87</v>
      </c>
      <c r="Q706" t="inlineStr">
        <is>
          <t>InStock</t>
        </is>
      </c>
      <c r="R706" t="inlineStr">
        <is>
          <t>undefined</t>
        </is>
      </c>
      <c r="S706" t="inlineStr">
        <is>
          <t>7592273346745</t>
        </is>
      </c>
    </row>
    <row r="707" ht="75" customHeight="1">
      <c r="A707" s="2">
        <f>HYPERLINK("https://camerareadycosmetics.com/products/dose-of-colors-black-rose-lip-liner", "https://camerareadycosmetics.com/products/dose-of-colors-black-rose-lip-liner")</f>
        <v/>
      </c>
      <c r="B707" s="2">
        <f>HYPERLINK("https://camerareadycosmetics.com/products/dose-of-colors-black-rose-lip-liner", "https://camerareadycosmetics.com/products/dose-of-colors-black-rose-lip-liner")</f>
        <v/>
      </c>
      <c r="C707" t="inlineStr">
        <is>
          <t>Black Rose Lip Liner</t>
        </is>
      </c>
      <c r="D707" t="inlineStr">
        <is>
          <t>ISMINE One Black Lip Liner, Professional Matte Lip Pencil Waterproof Long Lasting Smooth Natural Lip Liner (#12)</t>
        </is>
      </c>
      <c r="E707" s="2">
        <f>HYPERLINK("https://www.amazon.com/ISMINE-Professional-Waterproof-Lasting-Natural/dp/B08XLVW911/ref=sr_1_10?keywords=Black+Rose+Lip+Liner&amp;qid=1695565770&amp;sr=8-10", "https://www.amazon.com/ISMINE-Professional-Waterproof-Lasting-Natural/dp/B08XLVW911/ref=sr_1_10?keywords=Black+Rose+Lip+Liner&amp;qid=1695565770&amp;sr=8-10")</f>
        <v/>
      </c>
      <c r="F707" t="inlineStr">
        <is>
          <t>B08XLVW911</t>
        </is>
      </c>
      <c r="G707">
        <f>_xlfn.IMAGE("https://camerareadycosmetics.com/cdn/shop/files/BLACKROSELIPLINER_1024x1024_2x_1_50x.jpg?v=1684470611")</f>
        <v/>
      </c>
      <c r="H707">
        <f>_xlfn.IMAGE("https://m.media-amazon.com/images/I/61qAt+IjJ7L._AC_UL320_.jpg")</f>
        <v/>
      </c>
      <c r="K707" t="inlineStr">
        <is>
          <t>18.0</t>
        </is>
      </c>
      <c r="L707" t="n">
        <v>4.98</v>
      </c>
      <c r="M707" s="1" t="inlineStr">
        <is>
          <t>-72.33%</t>
        </is>
      </c>
      <c r="N707" t="n">
        <v>4.3</v>
      </c>
      <c r="O707" t="n">
        <v>344</v>
      </c>
      <c r="Q707" t="inlineStr">
        <is>
          <t>InStock</t>
        </is>
      </c>
      <c r="R707" t="inlineStr">
        <is>
          <t>undefined</t>
        </is>
      </c>
      <c r="S707" t="inlineStr">
        <is>
          <t>7592273346745</t>
        </is>
      </c>
    </row>
    <row r="708" ht="75" customHeight="1">
      <c r="A708" s="2">
        <f>HYPERLINK("https://camerareadycosmetics.com/products/dose-of-colors-black-rose-lip-liner", "https://camerareadycosmetics.com/products/dose-of-colors-black-rose-lip-liner")</f>
        <v/>
      </c>
      <c r="B708" s="2">
        <f>HYPERLINK("https://camerareadycosmetics.com/products/dose-of-colors-black-rose-lip-liner", "https://camerareadycosmetics.com/products/dose-of-colors-black-rose-lip-liner")</f>
        <v/>
      </c>
      <c r="C708" t="inlineStr">
        <is>
          <t>Black Rose Lip Liner</t>
        </is>
      </c>
      <c r="D708" t="inlineStr">
        <is>
          <t>Palladio, Retractable Waterproof Lip Liner High Pigmented and Creamy Color Slim Twist Up Smudge Proof Formula with Long Lasting All Day Wear No Sharpener Required, Black Berry, 1 Count</t>
        </is>
      </c>
      <c r="E708" s="2">
        <f>HYPERLINK("https://www.amazon.com/Palladio-Retractable-Liner-Pencil-Black/dp/B000E9C6JA/ref=sr_1_2?keywords=Black+Rose+Lip+Liner&amp;qid=1695565770&amp;sr=8-2", "https://www.amazon.com/Palladio-Retractable-Liner-Pencil-Black/dp/B000E9C6JA/ref=sr_1_2?keywords=Black+Rose+Lip+Liner&amp;qid=1695565770&amp;sr=8-2")</f>
        <v/>
      </c>
      <c r="F708" t="inlineStr">
        <is>
          <t>B000E9C6JA</t>
        </is>
      </c>
      <c r="G708">
        <f>_xlfn.IMAGE("https://camerareadycosmetics.com/cdn/shop/files/BLACKROSELIPLINER_1024x1024_2x_1_50x.jpg?v=1684470611")</f>
        <v/>
      </c>
      <c r="H708">
        <f>_xlfn.IMAGE("https://m.media-amazon.com/images/I/41dxoXM9r9L._AC_UL320_.jpg")</f>
        <v/>
      </c>
      <c r="K708" t="inlineStr">
        <is>
          <t>18.0</t>
        </is>
      </c>
      <c r="L708" t="n">
        <v>7.99</v>
      </c>
      <c r="M708" s="1" t="inlineStr">
        <is>
          <t>-55.61%</t>
        </is>
      </c>
      <c r="N708" t="n">
        <v>4.3</v>
      </c>
      <c r="O708" t="n">
        <v>4524</v>
      </c>
      <c r="Q708" t="inlineStr">
        <is>
          <t>InStock</t>
        </is>
      </c>
      <c r="R708" t="inlineStr">
        <is>
          <t>undefined</t>
        </is>
      </c>
      <c r="S708" t="inlineStr">
        <is>
          <t>7592273346745</t>
        </is>
      </c>
    </row>
    <row r="709" ht="75" customHeight="1">
      <c r="A709" s="2">
        <f>HYPERLINK("https://camerareadycosmetics.com/products/dose-of-colors-black-rose-lip-liner", "https://camerareadycosmetics.com/products/dose-of-colors-black-rose-lip-liner")</f>
        <v/>
      </c>
      <c r="B709" s="2">
        <f>HYPERLINK("https://camerareadycosmetics.com/products/dose-of-colors-black-rose-lip-liner", "https://camerareadycosmetics.com/products/dose-of-colors-black-rose-lip-liner")</f>
        <v/>
      </c>
      <c r="C709" t="inlineStr">
        <is>
          <t>Black Rose Lip Liner</t>
        </is>
      </c>
      <c r="D709" t="inlineStr">
        <is>
          <t>NYX PROFESSIONAL MAKEUP Line Loud Lip Liner, Longwear and Pigmented Lip Pencil with Jojoba Oil &amp; Vitamin E - Evil Genius (Black)</t>
        </is>
      </c>
      <c r="E709" s="2">
        <f>HYPERLINK("https://www.amazon.com/NYX-PROFESSIONAL-MAKEUP-Longwear-Pigmented/dp/B09ZKM4VQN/ref=sr_1_8?keywords=Black+Rose+Lip+Liner&amp;qid=1695565770&amp;sr=8-8", "https://www.amazon.com/NYX-PROFESSIONAL-MAKEUP-Longwear-Pigmented/dp/B09ZKM4VQN/ref=sr_1_8?keywords=Black+Rose+Lip+Liner&amp;qid=1695565770&amp;sr=8-8")</f>
        <v/>
      </c>
      <c r="F709" t="inlineStr">
        <is>
          <t>B09ZKM4VQN</t>
        </is>
      </c>
      <c r="G709">
        <f>_xlfn.IMAGE("https://camerareadycosmetics.com/cdn/shop/files/BLACKROSELIPLINER_1024x1024_2x_1_50x.jpg?v=1684470611")</f>
        <v/>
      </c>
      <c r="H709">
        <f>_xlfn.IMAGE("https://m.media-amazon.com/images/I/61UlUlpeF1L._AC_UL320_.jpg")</f>
        <v/>
      </c>
      <c r="K709" t="inlineStr">
        <is>
          <t>18.0</t>
        </is>
      </c>
      <c r="L709" t="n">
        <v>7.97</v>
      </c>
      <c r="M709" s="1" t="inlineStr">
        <is>
          <t>-55.72%</t>
        </is>
      </c>
      <c r="N709" t="n">
        <v>4.3</v>
      </c>
      <c r="O709" t="n">
        <v>1508</v>
      </c>
      <c r="Q709" t="inlineStr">
        <is>
          <t>InStock</t>
        </is>
      </c>
      <c r="R709" t="inlineStr">
        <is>
          <t>undefined</t>
        </is>
      </c>
      <c r="S709" t="inlineStr">
        <is>
          <t>7592273346745</t>
        </is>
      </c>
    </row>
    <row r="710" ht="75" customHeight="1">
      <c r="A710" s="2">
        <f>HYPERLINK("https://camerareadycosmetics.com/products/dose-of-colors-black-rose-lip-liner", "https://camerareadycosmetics.com/products/dose-of-colors-black-rose-lip-liner")</f>
        <v/>
      </c>
      <c r="B710" s="2">
        <f>HYPERLINK("https://camerareadycosmetics.com/products/dose-of-colors-black-rose-lip-liner", "https://camerareadycosmetics.com/products/dose-of-colors-black-rose-lip-liner")</f>
        <v/>
      </c>
      <c r="C710" t="inlineStr">
        <is>
          <t>Black Rose Lip Liner</t>
        </is>
      </c>
      <c r="D710" t="inlineStr">
        <is>
          <t>Ruby Kisses Auto Lip Liner Pencil, Long Lasting, Smooth Application Mechanical Lip Liner Pencil 3 PACK (Black)</t>
        </is>
      </c>
      <c r="E710" s="2">
        <f>HYPERLINK("https://www.amazon.com/Ruby-Kisses-Auto-Liner-Black/dp/B09B18H4GW/ref=sr_1_7?keywords=Black+Rose+Lip+Liner&amp;qid=1695565770&amp;sr=8-7", "https://www.amazon.com/Ruby-Kisses-Auto-Liner-Black/dp/B09B18H4GW/ref=sr_1_7?keywords=Black+Rose+Lip+Liner&amp;qid=1695565770&amp;sr=8-7")</f>
        <v/>
      </c>
      <c r="F710" t="inlineStr">
        <is>
          <t>B09B18H4GW</t>
        </is>
      </c>
      <c r="G710">
        <f>_xlfn.IMAGE("https://camerareadycosmetics.com/cdn/shop/files/BLACKROSELIPLINER_1024x1024_2x_1_50x.jpg?v=1684470611")</f>
        <v/>
      </c>
      <c r="H710">
        <f>_xlfn.IMAGE("https://m.media-amazon.com/images/I/61J1UNxepmL._AC_UL320_.jpg")</f>
        <v/>
      </c>
      <c r="K710" t="inlineStr">
        <is>
          <t>18.0</t>
        </is>
      </c>
      <c r="L710" t="n">
        <v>5.99</v>
      </c>
      <c r="M710" s="1" t="inlineStr">
        <is>
          <t>-66.72%</t>
        </is>
      </c>
      <c r="N710" t="n">
        <v>4.2</v>
      </c>
      <c r="O710" t="n">
        <v>2033</v>
      </c>
      <c r="Q710" t="inlineStr">
        <is>
          <t>InStock</t>
        </is>
      </c>
      <c r="R710" t="inlineStr">
        <is>
          <t>undefined</t>
        </is>
      </c>
      <c r="S710" t="inlineStr">
        <is>
          <t>7592273346745</t>
        </is>
      </c>
    </row>
    <row r="711" ht="75" customHeight="1">
      <c r="A711" s="2">
        <f>HYPERLINK("https://camerareadycosmetics.com/products/dose-of-colors-black-rose-lip-liner", "https://camerareadycosmetics.com/products/dose-of-colors-black-rose-lip-liner")</f>
        <v/>
      </c>
      <c r="B711" s="2">
        <f>HYPERLINK("https://camerareadycosmetics.com/products/dose-of-colors-black-rose-lip-liner", "https://camerareadycosmetics.com/products/dose-of-colors-black-rose-lip-liner")</f>
        <v/>
      </c>
      <c r="C711" t="inlineStr">
        <is>
          <t>Black Rose Lip Liner</t>
        </is>
      </c>
      <c r="D711" t="inlineStr">
        <is>
          <t>NYX PROFESSIONAL MAKEUP Mechanical Lip Liner Pencil, Black Lips</t>
        </is>
      </c>
      <c r="E711" s="2">
        <f>HYPERLINK("https://www.amazon.com/NYX-Mechanical-Pencil-Black-Lips/dp/B005G9LPNQ/ref=sr_1_1?keywords=Black+Rose+Lip+Liner&amp;qid=1695565770&amp;sr=8-1", "https://www.amazon.com/NYX-Mechanical-Pencil-Black-Lips/dp/B005G9LPNQ/ref=sr_1_1?keywords=Black+Rose+Lip+Liner&amp;qid=1695565770&amp;sr=8-1")</f>
        <v/>
      </c>
      <c r="F711" t="inlineStr">
        <is>
          <t>B005G9LPNQ</t>
        </is>
      </c>
      <c r="G711">
        <f>_xlfn.IMAGE("https://camerareadycosmetics.com/cdn/shop/files/BLACKROSELIPLINER_1024x1024_2x_1_50x.jpg?v=1684470611")</f>
        <v/>
      </c>
      <c r="H711">
        <f>_xlfn.IMAGE("https://m.media-amazon.com/images/I/41cqOleqMyL._AC_UL320_.jpg")</f>
        <v/>
      </c>
      <c r="K711" t="inlineStr">
        <is>
          <t>18.0</t>
        </is>
      </c>
      <c r="L711" t="n">
        <v>5</v>
      </c>
      <c r="M711" s="1" t="inlineStr">
        <is>
          <t>-72.22%</t>
        </is>
      </c>
      <c r="N711" t="n">
        <v>4.5</v>
      </c>
      <c r="O711" t="n">
        <v>9817</v>
      </c>
      <c r="Q711" t="inlineStr">
        <is>
          <t>InStock</t>
        </is>
      </c>
      <c r="R711" t="inlineStr">
        <is>
          <t>undefined</t>
        </is>
      </c>
      <c r="S711" t="inlineStr">
        <is>
          <t>7592273346745</t>
        </is>
      </c>
    </row>
    <row r="712" ht="75" customHeight="1">
      <c r="A712" s="2">
        <f>HYPERLINK("https://camerareadycosmetics.com/products/dose-of-colors-black-rose-lip-liner", "https://camerareadycosmetics.com/products/dose-of-colors-black-rose-lip-liner")</f>
        <v/>
      </c>
      <c r="B712" s="2">
        <f>HYPERLINK("https://camerareadycosmetics.com/products/dose-of-colors-black-rose-lip-liner", "https://camerareadycosmetics.com/products/dose-of-colors-black-rose-lip-liner")</f>
        <v/>
      </c>
      <c r="C712" t="inlineStr">
        <is>
          <t>Black Rose Lip Liner</t>
        </is>
      </c>
      <c r="D712" t="inlineStr">
        <is>
          <t>kiss new york Professional Slim Lip Pencil, Creamy Soft Lip Liner, Smooth Long-Lasting Rich Lip Color, Natural Lip Makeup, Water-Resistant Lip Crayon (Black)</t>
        </is>
      </c>
      <c r="E712" s="2">
        <f>HYPERLINK("https://www.amazon.com/kiss-new-york-Professional-Water-Resistant/dp/B0BVDD2NBX/ref=sr_1_9?keywords=Black+Rose+Lip+Liner&amp;qid=1695565770&amp;sr=8-9", "https://www.amazon.com/kiss-new-york-Professional-Water-Resistant/dp/B0BVDD2NBX/ref=sr_1_9?keywords=Black+Rose+Lip+Liner&amp;qid=1695565770&amp;sr=8-9")</f>
        <v/>
      </c>
      <c r="F712" t="inlineStr">
        <is>
          <t>B0BVDD2NBX</t>
        </is>
      </c>
      <c r="G712">
        <f>_xlfn.IMAGE("https://camerareadycosmetics.com/cdn/shop/files/BLACKROSELIPLINER_1024x1024_2x_1_50x.jpg?v=1684470611")</f>
        <v/>
      </c>
      <c r="H712">
        <f>_xlfn.IMAGE("https://m.media-amazon.com/images/I/61-BFVsSVjL._AC_UL320_.jpg")</f>
        <v/>
      </c>
      <c r="K712" t="inlineStr">
        <is>
          <t>18.0</t>
        </is>
      </c>
      <c r="L712" t="n">
        <v>4.99</v>
      </c>
      <c r="M712" s="1" t="inlineStr">
        <is>
          <t>-72.28%</t>
        </is>
      </c>
      <c r="N712" t="n">
        <v>4.3</v>
      </c>
      <c r="O712" t="n">
        <v>87</v>
      </c>
      <c r="Q712" t="inlineStr">
        <is>
          <t>InStock</t>
        </is>
      </c>
      <c r="R712" t="inlineStr">
        <is>
          <t>undefined</t>
        </is>
      </c>
      <c r="S712" t="inlineStr">
        <is>
          <t>7592273346745</t>
        </is>
      </c>
    </row>
    <row r="713" ht="75" customHeight="1">
      <c r="A713" s="2">
        <f>HYPERLINK("https://camerareadycosmetics.com/products/dose-of-colors-black-rose-lip-liner", "https://camerareadycosmetics.com/products/dose-of-colors-black-rose-lip-liner")</f>
        <v/>
      </c>
      <c r="B713" s="2">
        <f>HYPERLINK("https://camerareadycosmetics.com/products/dose-of-colors-black-rose-lip-liner", "https://camerareadycosmetics.com/products/dose-of-colors-black-rose-lip-liner")</f>
        <v/>
      </c>
      <c r="C713" t="inlineStr">
        <is>
          <t>Black Rose Lip Liner</t>
        </is>
      </c>
      <c r="D713" t="inlineStr">
        <is>
          <t>ISMINE One Black Lip Liner, Professional Matte Lip Pencil Waterproof Long Lasting Smooth Natural Lip Liner (#12)</t>
        </is>
      </c>
      <c r="E713" s="2">
        <f>HYPERLINK("https://www.amazon.com/ISMINE-Professional-Waterproof-Lasting-Natural/dp/B08XLVW911/ref=sr_1_10?keywords=Black+Rose+Lip+Liner&amp;qid=1695565770&amp;sr=8-10", "https://www.amazon.com/ISMINE-Professional-Waterproof-Lasting-Natural/dp/B08XLVW911/ref=sr_1_10?keywords=Black+Rose+Lip+Liner&amp;qid=1695565770&amp;sr=8-10")</f>
        <v/>
      </c>
      <c r="F713" t="inlineStr">
        <is>
          <t>B08XLVW911</t>
        </is>
      </c>
      <c r="G713">
        <f>_xlfn.IMAGE("https://camerareadycosmetics.com/cdn/shop/files/BLACKROSELIPLINER_1024x1024_2x_1_50x.jpg?v=1684470611")</f>
        <v/>
      </c>
      <c r="H713">
        <f>_xlfn.IMAGE("https://m.media-amazon.com/images/I/61qAt+IjJ7L._AC_UL320_.jpg")</f>
        <v/>
      </c>
      <c r="K713" t="inlineStr">
        <is>
          <t>18.0</t>
        </is>
      </c>
      <c r="L713" t="n">
        <v>4.98</v>
      </c>
      <c r="M713" s="1" t="inlineStr">
        <is>
          <t>-72.33%</t>
        </is>
      </c>
      <c r="N713" t="n">
        <v>4.3</v>
      </c>
      <c r="O713" t="n">
        <v>344</v>
      </c>
      <c r="Q713" t="inlineStr">
        <is>
          <t>InStock</t>
        </is>
      </c>
      <c r="R713" t="inlineStr">
        <is>
          <t>undefined</t>
        </is>
      </c>
      <c r="S713" t="inlineStr">
        <is>
          <t>7592273346745</t>
        </is>
      </c>
    </row>
    <row r="714" ht="75" customHeight="1">
      <c r="A714" s="2">
        <f>HYPERLINK("https://camerareadycosmetics.com/products/dose-of-colors-black-rose-liquid-matte-lipstick", "https://camerareadycosmetics.com/products/dose-of-colors-black-rose-liquid-matte-lipstick")</f>
        <v/>
      </c>
      <c r="B714" s="2">
        <f>HYPERLINK("https://camerareadycosmetics.com/products/dose-of-colors-black-rose-liquid-matte-lipstick", "https://camerareadycosmetics.com/products/dose-of-colors-black-rose-liquid-matte-lipstick")</f>
        <v/>
      </c>
      <c r="C714" t="inlineStr">
        <is>
          <t>Black Rose Liquid Matte Lipstick</t>
        </is>
      </c>
      <c r="D714" t="inlineStr">
        <is>
          <t>Dose of Colors 10 YRS Birthday Collection Black Rose Liquid Matte Lipstick</t>
        </is>
      </c>
      <c r="E714" s="2">
        <f>HYPERLINK("https://www.amazon.com/Dose-Colors-Birthday-Collection-Lipstick/dp/B0C5Y4FRJX/ref=sr_1_1?keywords=Black+Rose+Liquid+Matte+Lipstick&amp;qid=1695565717&amp;sr=8-1", "https://www.amazon.com/Dose-Colors-Birthday-Collection-Lipstick/dp/B0C5Y4FRJX/ref=sr_1_1?keywords=Black+Rose+Liquid+Matte+Lipstick&amp;qid=1695565717&amp;sr=8-1")</f>
        <v/>
      </c>
      <c r="F714" t="inlineStr">
        <is>
          <t>B0C5Y4FRJX</t>
        </is>
      </c>
      <c r="G714">
        <f>_xlfn.IMAGE("https://camerareadycosmetics.com/cdn/shop/files/BLACKROSELML_1024x1024_2x_1_50x.jpg?v=1684467908")</f>
        <v/>
      </c>
      <c r="H714">
        <f>_xlfn.IMAGE("https://m.media-amazon.com/images/I/61hXfTZ8f0L._AC_UL320_.jpg")</f>
        <v/>
      </c>
      <c r="K714" t="inlineStr">
        <is>
          <t>20.0</t>
        </is>
      </c>
      <c r="L714" t="n">
        <v>20</v>
      </c>
      <c r="M714" s="1" t="inlineStr">
        <is>
          <t>0.00%</t>
        </is>
      </c>
      <c r="N714" t="n">
        <v>4.5</v>
      </c>
      <c r="O714" t="n">
        <v>9</v>
      </c>
      <c r="Q714" t="inlineStr">
        <is>
          <t>OutOfStock</t>
        </is>
      </c>
      <c r="R714" t="inlineStr">
        <is>
          <t>undefined</t>
        </is>
      </c>
      <c r="S714" t="inlineStr">
        <is>
          <t>7592268497081</t>
        </is>
      </c>
    </row>
    <row r="715" ht="75" customHeight="1">
      <c r="A715" s="2">
        <f>HYPERLINK("https://camerareadycosmetics.com/products/dose-of-colors-black-rose-liquid-matte-lipstick", "https://camerareadycosmetics.com/products/dose-of-colors-black-rose-liquid-matte-lipstick")</f>
        <v/>
      </c>
      <c r="B715" s="2">
        <f>HYPERLINK("https://camerareadycosmetics.com/products/dose-of-colors-black-rose-liquid-matte-lipstick", "https://camerareadycosmetics.com/products/dose-of-colors-black-rose-liquid-matte-lipstick")</f>
        <v/>
      </c>
      <c r="C715" t="inlineStr">
        <is>
          <t>Black Rose Liquid Matte Lipstick</t>
        </is>
      </c>
      <c r="D715" t="inlineStr">
        <is>
          <t>Lime Crime Velvetines Liquid Matte Lipstick, Black Velvet (True Black) - Bold, Long Lasting Shades &amp; Lip Lining - Stellar Color &amp; High Comfort for All-Day Wear - Talc-Free &amp; Paraben-Free</t>
        </is>
      </c>
      <c r="E715" s="2">
        <f>HYPERLINK("https://www.amazon.com/Lime-Crime-Matte-Liquid-Lipstick-Lip/dp/B07FL8FSD8/ref=sr_1_6?keywords=Black+Rose+Liquid+Matte+Lipstick&amp;qid=1695565717&amp;rdc=1&amp;sr=8-6", "https://www.amazon.com/Lime-Crime-Matte-Liquid-Lipstick-Lip/dp/B07FL8FSD8/ref=sr_1_6?keywords=Black+Rose+Liquid+Matte+Lipstick&amp;qid=1695565717&amp;rdc=1&amp;sr=8-6")</f>
        <v/>
      </c>
      <c r="F715" t="inlineStr">
        <is>
          <t>B07FL8FSD8</t>
        </is>
      </c>
      <c r="G715">
        <f>_xlfn.IMAGE("https://camerareadycosmetics.com/cdn/shop/files/BLACKROSELML_1024x1024_2x_1_50x.jpg?v=1684467908")</f>
        <v/>
      </c>
      <c r="H715">
        <f>_xlfn.IMAGE("https://m.media-amazon.com/images/I/61fHZ6Is4zL._AC_UL320_.jpg")</f>
        <v/>
      </c>
      <c r="K715" t="inlineStr">
        <is>
          <t>20.0</t>
        </is>
      </c>
      <c r="L715" t="n">
        <v>15</v>
      </c>
      <c r="M715" s="1" t="inlineStr">
        <is>
          <t>-25.00%</t>
        </is>
      </c>
      <c r="N715" t="n">
        <v>4.3</v>
      </c>
      <c r="O715" t="n">
        <v>5876</v>
      </c>
      <c r="Q715" t="inlineStr">
        <is>
          <t>OutOfStock</t>
        </is>
      </c>
      <c r="R715" t="inlineStr">
        <is>
          <t>undefined</t>
        </is>
      </c>
      <c r="S715" t="inlineStr">
        <is>
          <t>7592268497081</t>
        </is>
      </c>
    </row>
    <row r="716" ht="75" customHeight="1">
      <c r="A716" s="2">
        <f>HYPERLINK("https://camerareadycosmetics.com/products/dose-of-colors-black-rose-liquid-matte-lipstick", "https://camerareadycosmetics.com/products/dose-of-colors-black-rose-liquid-matte-lipstick")</f>
        <v/>
      </c>
      <c r="B716" s="2">
        <f>HYPERLINK("https://camerareadycosmetics.com/products/dose-of-colors-black-rose-liquid-matte-lipstick", "https://camerareadycosmetics.com/products/dose-of-colors-black-rose-liquid-matte-lipstick")</f>
        <v/>
      </c>
      <c r="C716" t="inlineStr">
        <is>
          <t>Black Rose Liquid Matte Lipstick</t>
        </is>
      </c>
      <c r="D716" t="inlineStr">
        <is>
          <t>evpct DNM 9Pcs Deep Red Black Matte Liquid Lipsticks + 1Pcs Clear Lip Plumping Plumper Gloss Makeup Set Long Lasting Lipstick 24 hour Waterproof labiales matte mate larga duracion 24 horas originales</t>
        </is>
      </c>
      <c r="E716" s="2">
        <f>HYPERLINK("https://www.amazon.com/Lipsticks-Plumping-Waterproof-Moisturizing-Lipstick/dp/B098MPG4JV/ref=sr_1_10?keywords=Black+Rose+Liquid+Matte+Lipstick&amp;qid=1695565717&amp;sr=8-10", "https://www.amazon.com/Lipsticks-Plumping-Waterproof-Moisturizing-Lipstick/dp/B098MPG4JV/ref=sr_1_10?keywords=Black+Rose+Liquid+Matte+Lipstick&amp;qid=1695565717&amp;sr=8-10")</f>
        <v/>
      </c>
      <c r="F716" t="inlineStr">
        <is>
          <t>B098MPG4JV</t>
        </is>
      </c>
      <c r="G716">
        <f>_xlfn.IMAGE("https://camerareadycosmetics.com/cdn/shop/files/BLACKROSELML_1024x1024_2x_1_50x.jpg?v=1684467908")</f>
        <v/>
      </c>
      <c r="H716">
        <f>_xlfn.IMAGE("https://m.media-amazon.com/images/I/61Md9FAJ9VL._AC_UL320_.jpg")</f>
        <v/>
      </c>
      <c r="K716" t="inlineStr">
        <is>
          <t>20.0</t>
        </is>
      </c>
      <c r="L716" t="n">
        <v>9.99</v>
      </c>
      <c r="M716" s="1" t="inlineStr">
        <is>
          <t>-50.05%</t>
        </is>
      </c>
      <c r="N716" t="n">
        <v>4</v>
      </c>
      <c r="O716" t="n">
        <v>11446</v>
      </c>
      <c r="Q716" t="inlineStr">
        <is>
          <t>OutOfStock</t>
        </is>
      </c>
      <c r="R716" t="inlineStr">
        <is>
          <t>undefined</t>
        </is>
      </c>
      <c r="S716" t="inlineStr">
        <is>
          <t>7592268497081</t>
        </is>
      </c>
    </row>
    <row r="717" ht="75" customHeight="1">
      <c r="A717" s="2">
        <f>HYPERLINK("https://camerareadycosmetics.com/products/dose-of-colors-black-rose-liquid-matte-lipstick", "https://camerareadycosmetics.com/products/dose-of-colors-black-rose-liquid-matte-lipstick")</f>
        <v/>
      </c>
      <c r="B717" s="2">
        <f>HYPERLINK("https://camerareadycosmetics.com/products/dose-of-colors-black-rose-liquid-matte-lipstick", "https://camerareadycosmetics.com/products/dose-of-colors-black-rose-liquid-matte-lipstick")</f>
        <v/>
      </c>
      <c r="C717" t="inlineStr">
        <is>
          <t>Black Rose Liquid Matte Lipstick</t>
        </is>
      </c>
      <c r="D717" t="inlineStr">
        <is>
          <t>evpct 3Pcs Black Red Matte Lip Liner Pencil and Liquid Lipstick Sets for Women Long Lasting Lipstick 24 Hour Waterproof Dark red Purple Rose pink Lip Stick/Gloss Set labiales mate 24 horas originales</t>
        </is>
      </c>
      <c r="E717" s="2">
        <f>HYPERLINK("https://www.amazon.com/Lipstick-Lasting-Waterproof-labiales-originales/dp/B0B3N4YTD7/ref=sr_1_5?keywords=Black+Rose+Liquid+Matte+Lipstick&amp;qid=1695565717&amp;sr=8-5", "https://www.amazon.com/Lipstick-Lasting-Waterproof-labiales-originales/dp/B0B3N4YTD7/ref=sr_1_5?keywords=Black+Rose+Liquid+Matte+Lipstick&amp;qid=1695565717&amp;sr=8-5")</f>
        <v/>
      </c>
      <c r="F717" t="inlineStr">
        <is>
          <t>B0B3N4YTD7</t>
        </is>
      </c>
      <c r="G717">
        <f>_xlfn.IMAGE("https://camerareadycosmetics.com/cdn/shop/files/BLACKROSELML_1024x1024_2x_1_50x.jpg?v=1684467908")</f>
        <v/>
      </c>
      <c r="H717">
        <f>_xlfn.IMAGE("https://m.media-amazon.com/images/I/51UQRcnHQmL._AC_UL320_.jpg")</f>
        <v/>
      </c>
      <c r="K717" t="inlineStr">
        <is>
          <t>20.0</t>
        </is>
      </c>
      <c r="L717" t="n">
        <v>9.99</v>
      </c>
      <c r="M717" s="1" t="inlineStr">
        <is>
          <t>-50.05%</t>
        </is>
      </c>
      <c r="N717" t="n">
        <v>3.9</v>
      </c>
      <c r="O717" t="n">
        <v>1741</v>
      </c>
      <c r="Q717" t="inlineStr">
        <is>
          <t>OutOfStock</t>
        </is>
      </c>
      <c r="R717" t="inlineStr">
        <is>
          <t>undefined</t>
        </is>
      </c>
      <c r="S717" t="inlineStr">
        <is>
          <t>7592268497081</t>
        </is>
      </c>
    </row>
    <row r="718" ht="75" customHeight="1">
      <c r="A718" s="2">
        <f>HYPERLINK("https://camerareadycosmetics.com/products/dose-of-colors-black-rose-liquid-matte-lipstick", "https://camerareadycosmetics.com/products/dose-of-colors-black-rose-liquid-matte-lipstick")</f>
        <v/>
      </c>
      <c r="B718" s="2">
        <f>HYPERLINK("https://camerareadycosmetics.com/products/dose-of-colors-black-rose-liquid-matte-lipstick", "https://camerareadycosmetics.com/products/dose-of-colors-black-rose-liquid-matte-lipstick")</f>
        <v/>
      </c>
      <c r="C718" t="inlineStr">
        <is>
          <t>Black Rose Liquid Matte Lipstick</t>
        </is>
      </c>
      <c r="D718" t="inlineStr">
        <is>
          <t>HANLADY Black Lipstick Matte, Black Liquid Lipstick for Women Long lasting &amp; transfer proof, 24 Hour Lipsticks Waterproof &amp; Smudgeproof, Full-Coverage Lip Makeup (911 Black Rose)</t>
        </is>
      </c>
      <c r="E718" s="2">
        <f>HYPERLINK("https://www.amazon.com/HANLADY-Lipsticks-Waterproof-Smudgeproof-Full-Coverage/dp/B0C77NR14R/ref=sr_1_3?keywords=Black+Rose+Liquid+Matte+Lipstick&amp;qid=1695565717&amp;sr=8-3", "https://www.amazon.com/HANLADY-Lipsticks-Waterproof-Smudgeproof-Full-Coverage/dp/B0C77NR14R/ref=sr_1_3?keywords=Black+Rose+Liquid+Matte+Lipstick&amp;qid=1695565717&amp;sr=8-3")</f>
        <v/>
      </c>
      <c r="F718" t="inlineStr">
        <is>
          <t>B0C77NR14R</t>
        </is>
      </c>
      <c r="G718">
        <f>_xlfn.IMAGE("https://camerareadycosmetics.com/cdn/shop/files/BLACKROSELML_1024x1024_2x_1_50x.jpg?v=1684467908")</f>
        <v/>
      </c>
      <c r="H718">
        <f>_xlfn.IMAGE("https://m.media-amazon.com/images/I/718MxcHMGsL._AC_UL320_.jpg")</f>
        <v/>
      </c>
      <c r="K718" t="inlineStr">
        <is>
          <t>20.0</t>
        </is>
      </c>
      <c r="L718" t="n">
        <v>8.99</v>
      </c>
      <c r="M718" s="1" t="inlineStr">
        <is>
          <t>-55.05%</t>
        </is>
      </c>
      <c r="N718" t="n">
        <v>3.8</v>
      </c>
      <c r="O718" t="n">
        <v>61</v>
      </c>
      <c r="Q718" t="inlineStr">
        <is>
          <t>OutOfStock</t>
        </is>
      </c>
      <c r="R718" t="inlineStr">
        <is>
          <t>undefined</t>
        </is>
      </c>
      <c r="S718" t="inlineStr">
        <is>
          <t>7592268497081</t>
        </is>
      </c>
    </row>
    <row r="719" ht="75" customHeight="1">
      <c r="A719" s="2">
        <f>HYPERLINK("https://camerareadycosmetics.com/products/dose-of-colors-black-rose-liquid-matte-lipstick", "https://camerareadycosmetics.com/products/dose-of-colors-black-rose-liquid-matte-lipstick")</f>
        <v/>
      </c>
      <c r="B719" s="2">
        <f>HYPERLINK("https://camerareadycosmetics.com/products/dose-of-colors-black-rose-liquid-matte-lipstick", "https://camerareadycosmetics.com/products/dose-of-colors-black-rose-liquid-matte-lipstick")</f>
        <v/>
      </c>
      <c r="C719" t="inlineStr">
        <is>
          <t>Black Rose Liquid Matte Lipstick</t>
        </is>
      </c>
      <c r="D719" t="inlineStr">
        <is>
          <t>NYX PROFESSIONAL MAKEUP Lip Lingerie XXL Matte Liquid Lipstick - Naughty Noir (Black)</t>
        </is>
      </c>
      <c r="E719" s="2">
        <f>HYPERLINK("https://www.amazon.com/NYX-PROFESSIONAL-MAKEUP-Lingerie-Lipstick/dp/B09XGXXGD1/ref=sr_1_9?keywords=Black+Rose+Liquid+Matte+Lipstick&amp;qid=1695565717&amp;sr=8-9", "https://www.amazon.com/NYX-PROFESSIONAL-MAKEUP-Lingerie-Lipstick/dp/B09XGXXGD1/ref=sr_1_9?keywords=Black+Rose+Liquid+Matte+Lipstick&amp;qid=1695565717&amp;sr=8-9")</f>
        <v/>
      </c>
      <c r="F719" t="inlineStr">
        <is>
          <t>B09XGXXGD1</t>
        </is>
      </c>
      <c r="G719">
        <f>_xlfn.IMAGE("https://camerareadycosmetics.com/cdn/shop/files/BLACKROSELML_1024x1024_2x_1_50x.jpg?v=1684467908")</f>
        <v/>
      </c>
      <c r="H719">
        <f>_xlfn.IMAGE("https://m.media-amazon.com/images/I/61ocx4G+YQL._AC_UL320_.jpg")</f>
        <v/>
      </c>
      <c r="K719" t="inlineStr">
        <is>
          <t>20.0</t>
        </is>
      </c>
      <c r="L719" t="n">
        <v>8.07</v>
      </c>
      <c r="M719" s="1" t="inlineStr">
        <is>
          <t>-59.65%</t>
        </is>
      </c>
      <c r="N719" t="n">
        <v>4.3</v>
      </c>
      <c r="O719" t="n">
        <v>10247</v>
      </c>
      <c r="Q719" t="inlineStr">
        <is>
          <t>OutOfStock</t>
        </is>
      </c>
      <c r="R719" t="inlineStr">
        <is>
          <t>undefined</t>
        </is>
      </c>
      <c r="S719" t="inlineStr">
        <is>
          <t>7592268497081</t>
        </is>
      </c>
    </row>
    <row r="720" ht="75" customHeight="1">
      <c r="A720" s="2">
        <f>HYPERLINK("https://camerareadycosmetics.com/products/dose-of-colors-black-rose-liquid-matte-lipstick", "https://camerareadycosmetics.com/products/dose-of-colors-black-rose-liquid-matte-lipstick")</f>
        <v/>
      </c>
      <c r="B720" s="2">
        <f>HYPERLINK("https://camerareadycosmetics.com/products/dose-of-colors-black-rose-liquid-matte-lipstick", "https://camerareadycosmetics.com/products/dose-of-colors-black-rose-liquid-matte-lipstick")</f>
        <v/>
      </c>
      <c r="C720" t="inlineStr">
        <is>
          <t>Black Rose Liquid Matte Lipstick</t>
        </is>
      </c>
      <c r="D720" t="inlineStr">
        <is>
          <t>BERVEAL 3Pcs Red Matte Liquid Lipstick Sets for Black Women Lip Stain Matte Long Lasting Lipstick Waterproof, Dark red Purple Rose pink Lipstick Lip Stick Gloss Packs Matte labial mate(A-Set03)</t>
        </is>
      </c>
      <c r="E720" s="2">
        <f>HYPERLINK("https://www.amazon.com/BERVEAL-Liquid-Lipstick-Lasting-Waterproof/dp/B0BKK1NBB6/ref=sr_1_4?keywords=Black+Rose+Liquid+Matte+Lipstick&amp;qid=1695565717&amp;sr=8-4", "https://www.amazon.com/BERVEAL-Liquid-Lipstick-Lasting-Waterproof/dp/B0BKK1NBB6/ref=sr_1_4?keywords=Black+Rose+Liquid+Matte+Lipstick&amp;qid=1695565717&amp;sr=8-4")</f>
        <v/>
      </c>
      <c r="F720" t="inlineStr">
        <is>
          <t>B0BKK1NBB6</t>
        </is>
      </c>
      <c r="G720">
        <f>_xlfn.IMAGE("https://camerareadycosmetics.com/cdn/shop/files/BLACKROSELML_1024x1024_2x_1_50x.jpg?v=1684467908")</f>
        <v/>
      </c>
      <c r="H720">
        <f>_xlfn.IMAGE("https://m.media-amazon.com/images/I/61W1T5KsfeL._AC_UL320_.jpg")</f>
        <v/>
      </c>
      <c r="K720" t="inlineStr">
        <is>
          <t>20.0</t>
        </is>
      </c>
      <c r="L720" t="n">
        <v>6.99</v>
      </c>
      <c r="M720" s="1" t="inlineStr">
        <is>
          <t>-65.05%</t>
        </is>
      </c>
      <c r="N720" t="n">
        <v>3.9</v>
      </c>
      <c r="O720" t="n">
        <v>12</v>
      </c>
      <c r="Q720" t="inlineStr">
        <is>
          <t>OutOfStock</t>
        </is>
      </c>
      <c r="R720" t="inlineStr">
        <is>
          <t>undefined</t>
        </is>
      </c>
      <c r="S720" t="inlineStr">
        <is>
          <t>7592268497081</t>
        </is>
      </c>
    </row>
    <row r="721" ht="75" customHeight="1">
      <c r="A721" s="2">
        <f>HYPERLINK("https://camerareadycosmetics.com/products/dose-of-colors-black-rose-liquid-matte-lipstick", "https://camerareadycosmetics.com/products/dose-of-colors-black-rose-liquid-matte-lipstick")</f>
        <v/>
      </c>
      <c r="B721" s="2">
        <f>HYPERLINK("https://camerareadycosmetics.com/products/dose-of-colors-black-rose-liquid-matte-lipstick", "https://camerareadycosmetics.com/products/dose-of-colors-black-rose-liquid-matte-lipstick")</f>
        <v/>
      </c>
      <c r="C721" t="inlineStr">
        <is>
          <t>Black Rose Liquid Matte Lipstick</t>
        </is>
      </c>
      <c r="D721" t="inlineStr">
        <is>
          <t>DNM 3Pcs Red Matte Liquid Lipstick Sets for Black Women Lip Stain Matte Long Lasting Lipstick Waterproof, Dark red Purple Rose pink Lipstick Lip Stick Gloss Packs Matte labial mate larga duracion 24</t>
        </is>
      </c>
      <c r="E721" s="2">
        <f>HYPERLINK("https://www.amazon.com/Liquid-Lipstick-lipgloss-Waterproof-Lasting/dp/B08ZJPM118/ref=sr_1_2?keywords=Black+Rose+Liquid+Matte+Lipstick&amp;qid=1695565717&amp;sr=8-2", "https://www.amazon.com/Liquid-Lipstick-lipgloss-Waterproof-Lasting/dp/B08ZJPM118/ref=sr_1_2?keywords=Black+Rose+Liquid+Matte+Lipstick&amp;qid=1695565717&amp;sr=8-2")</f>
        <v/>
      </c>
      <c r="F721" t="inlineStr">
        <is>
          <t>B08ZJPM118</t>
        </is>
      </c>
      <c r="G721">
        <f>_xlfn.IMAGE("https://camerareadycosmetics.com/cdn/shop/files/BLACKROSELML_1024x1024_2x_1_50x.jpg?v=1684467908")</f>
        <v/>
      </c>
      <c r="H721">
        <f>_xlfn.IMAGE("https://m.media-amazon.com/images/I/61+VjvB1vXL._AC_UL320_.jpg")</f>
        <v/>
      </c>
      <c r="K721" t="inlineStr">
        <is>
          <t>20.0</t>
        </is>
      </c>
      <c r="L721" t="n">
        <v>6.99</v>
      </c>
      <c r="M721" s="1" t="inlineStr">
        <is>
          <t>-65.05%</t>
        </is>
      </c>
      <c r="N721" t="n">
        <v>4.1</v>
      </c>
      <c r="O721" t="n">
        <v>4024</v>
      </c>
      <c r="Q721" t="inlineStr">
        <is>
          <t>OutOfStock</t>
        </is>
      </c>
      <c r="R721" t="inlineStr">
        <is>
          <t>undefined</t>
        </is>
      </c>
      <c r="S721" t="inlineStr">
        <is>
          <t>7592268497081</t>
        </is>
      </c>
    </row>
    <row r="722" ht="75" customHeight="1">
      <c r="A722" s="2">
        <f>HYPERLINK("https://camerareadycosmetics.com/products/dose-of-colors-black-rose-liquid-matte-lipstick", "https://camerareadycosmetics.com/products/dose-of-colors-black-rose-liquid-matte-lipstick")</f>
        <v/>
      </c>
      <c r="B722" s="2">
        <f>HYPERLINK("https://camerareadycosmetics.com/products/dose-of-colors-black-rose-liquid-matte-lipstick", "https://camerareadycosmetics.com/products/dose-of-colors-black-rose-liquid-matte-lipstick")</f>
        <v/>
      </c>
      <c r="C722" t="inlineStr">
        <is>
          <t>Black Rose Liquid Matte Lipstick</t>
        </is>
      </c>
      <c r="D722" t="inlineStr">
        <is>
          <t>Maybelline New York Color Sensational Vivid Matte Liquid Lipstick, Smoky Rose, 0.26 fl. oz.</t>
        </is>
      </c>
      <c r="E722" s="2">
        <f>HYPERLINK("https://www.amazon.com/Maybelline-New-York-Sensational-Liquid/dp/B01LXFQPMI/ref=sr_1_7?keywords=Black+Rose+Liquid+Matte+Lipstick&amp;qid=1695565717&amp;sr=8-7", "https://www.amazon.com/Maybelline-New-York-Sensational-Liquid/dp/B01LXFQPMI/ref=sr_1_7?keywords=Black+Rose+Liquid+Matte+Lipstick&amp;qid=1695565717&amp;sr=8-7")</f>
        <v/>
      </c>
      <c r="F722" t="inlineStr">
        <is>
          <t>B01LXFQPMI</t>
        </is>
      </c>
      <c r="G722">
        <f>_xlfn.IMAGE("https://camerareadycosmetics.com/cdn/shop/files/BLACKROSELML_1024x1024_2x_1_50x.jpg?v=1684467908")</f>
        <v/>
      </c>
      <c r="H722">
        <f>_xlfn.IMAGE("https://m.media-amazon.com/images/I/815WyX+QCwL._AC_UL320_.jpg")</f>
        <v/>
      </c>
      <c r="K722" t="inlineStr">
        <is>
          <t>20.0</t>
        </is>
      </c>
      <c r="L722" t="n">
        <v>5.6</v>
      </c>
      <c r="M722" s="1" t="inlineStr">
        <is>
          <t>-72.00%</t>
        </is>
      </c>
      <c r="N722" t="n">
        <v>4</v>
      </c>
      <c r="O722" t="n">
        <v>3004</v>
      </c>
      <c r="Q722" t="inlineStr">
        <is>
          <t>OutOfStock</t>
        </is>
      </c>
      <c r="R722" t="inlineStr">
        <is>
          <t>undefined</t>
        </is>
      </c>
      <c r="S722" t="inlineStr">
        <is>
          <t>7592268497081</t>
        </is>
      </c>
    </row>
    <row r="723" ht="75" customHeight="1">
      <c r="A723" s="2">
        <f>HYPERLINK("https://camerareadycosmetics.com/products/dose-of-colors-black-rose-liquid-matte-lipstick", "https://camerareadycosmetics.com/products/dose-of-colors-black-rose-liquid-matte-lipstick")</f>
        <v/>
      </c>
      <c r="B723" s="2">
        <f>HYPERLINK("https://camerareadycosmetics.com/products/dose-of-colors-black-rose-liquid-matte-lipstick", "https://camerareadycosmetics.com/products/dose-of-colors-black-rose-liquid-matte-lipstick")</f>
        <v/>
      </c>
      <c r="C723" t="inlineStr">
        <is>
          <t>Black Rose Liquid Matte Lipstick</t>
        </is>
      </c>
      <c r="D723" t="inlineStr">
        <is>
          <t>Black Radiance Perfect Tone Matte Liquid Lipstick Lip Crème Go Nude</t>
        </is>
      </c>
      <c r="E723" s="2">
        <f>HYPERLINK("https://www.amazon.com/Black-Radiance-Perfect-Matte-Cr%C3%A8me/dp/B077TLMWTN/ref=sr_1_8?keywords=Black+Rose+Liquid+Matte+Lipstick&amp;qid=1695565717&amp;sr=8-8", "https://www.amazon.com/Black-Radiance-Perfect-Matte-Cr%C3%A8me/dp/B077TLMWTN/ref=sr_1_8?keywords=Black+Rose+Liquid+Matte+Lipstick&amp;qid=1695565717&amp;sr=8-8")</f>
        <v/>
      </c>
      <c r="F723" t="inlineStr">
        <is>
          <t>B077TLMWTN</t>
        </is>
      </c>
      <c r="G723">
        <f>_xlfn.IMAGE("https://camerareadycosmetics.com/cdn/shop/files/BLACKROSELML_1024x1024_2x_1_50x.jpg?v=1684467908")</f>
        <v/>
      </c>
      <c r="H723">
        <f>_xlfn.IMAGE("https://m.media-amazon.com/images/I/61kaQYx8K2L._AC_UL320_.jpg")</f>
        <v/>
      </c>
      <c r="K723" t="inlineStr">
        <is>
          <t>20.0</t>
        </is>
      </c>
      <c r="L723" t="n">
        <v>4.79</v>
      </c>
      <c r="M723" s="1" t="inlineStr">
        <is>
          <t>-76.05%</t>
        </is>
      </c>
      <c r="N723" t="n">
        <v>4.3</v>
      </c>
      <c r="O723" t="n">
        <v>1743</v>
      </c>
      <c r="Q723" t="inlineStr">
        <is>
          <t>OutOfStock</t>
        </is>
      </c>
      <c r="R723" t="inlineStr">
        <is>
          <t>undefined</t>
        </is>
      </c>
      <c r="S723" t="inlineStr">
        <is>
          <t>7592268497081</t>
        </is>
      </c>
    </row>
    <row r="724" ht="75" customHeight="1">
      <c r="A724" s="2">
        <f>HYPERLINK("https://camerareadycosmetics.com/products/dose-of-colors-black-rose-liquid-matte-lipstick", "https://camerareadycosmetics.com/products/dose-of-colors-black-rose-liquid-matte-lipstick")</f>
        <v/>
      </c>
      <c r="B724" s="2">
        <f>HYPERLINK("https://camerareadycosmetics.com/products/dose-of-colors-black-rose-liquid-matte-lipstick", "https://camerareadycosmetics.com/products/dose-of-colors-black-rose-liquid-matte-lipstick")</f>
        <v/>
      </c>
      <c r="C724" t="inlineStr">
        <is>
          <t>Black Rose Liquid Matte Lipstick</t>
        </is>
      </c>
      <c r="D724" t="inlineStr">
        <is>
          <t>evpct DNM 9Pcs Deep Red Black Matte Liquid Lipsticks + 1Pcs Clear Lip Plumping Plumper Gloss Makeup Set Long Lasting Lipstick 24 hour Waterproof labiales matte mate larga duracion 24 horas originales</t>
        </is>
      </c>
      <c r="E724" s="2">
        <f>HYPERLINK("https://www.amazon.com/Lipsticks-Plumping-Waterproof-Moisturizing-Lipstick/dp/B098MPG4JV/ref=sr_1_10?keywords=Black+Rose+Liquid+Matte+Lipstick&amp;qid=1695565717&amp;sr=8-10", "https://www.amazon.com/Lipsticks-Plumping-Waterproof-Moisturizing-Lipstick/dp/B098MPG4JV/ref=sr_1_10?keywords=Black+Rose+Liquid+Matte+Lipstick&amp;qid=1695565717&amp;sr=8-10")</f>
        <v/>
      </c>
      <c r="F724" t="inlineStr">
        <is>
          <t>B098MPG4JV</t>
        </is>
      </c>
      <c r="G724">
        <f>_xlfn.IMAGE("https://camerareadycosmetics.com/cdn/shop/files/BLACKROSELML_1024x1024_2x_1_50x.jpg?v=1684467908")</f>
        <v/>
      </c>
      <c r="H724">
        <f>_xlfn.IMAGE("https://m.media-amazon.com/images/I/61Md9FAJ9VL._AC_UL320_.jpg")</f>
        <v/>
      </c>
      <c r="K724" t="inlineStr">
        <is>
          <t>20.0</t>
        </is>
      </c>
      <c r="L724" t="n">
        <v>9.99</v>
      </c>
      <c r="M724" s="1" t="inlineStr">
        <is>
          <t>-50.05%</t>
        </is>
      </c>
      <c r="N724" t="n">
        <v>4</v>
      </c>
      <c r="O724" t="n">
        <v>11446</v>
      </c>
      <c r="Q724" t="inlineStr">
        <is>
          <t>OutOfStock</t>
        </is>
      </c>
      <c r="R724" t="inlineStr">
        <is>
          <t>undefined</t>
        </is>
      </c>
      <c r="S724" t="inlineStr">
        <is>
          <t>7592268497081</t>
        </is>
      </c>
    </row>
    <row r="725" ht="75" customHeight="1">
      <c r="A725" s="2">
        <f>HYPERLINK("https://camerareadycosmetics.com/products/dose-of-colors-black-rose-liquid-matte-lipstick", "https://camerareadycosmetics.com/products/dose-of-colors-black-rose-liquid-matte-lipstick")</f>
        <v/>
      </c>
      <c r="B725" s="2">
        <f>HYPERLINK("https://camerareadycosmetics.com/products/dose-of-colors-black-rose-liquid-matte-lipstick", "https://camerareadycosmetics.com/products/dose-of-colors-black-rose-liquid-matte-lipstick")</f>
        <v/>
      </c>
      <c r="C725" t="inlineStr">
        <is>
          <t>Black Rose Liquid Matte Lipstick</t>
        </is>
      </c>
      <c r="D725" t="inlineStr">
        <is>
          <t>evpct 3Pcs Black Red Matte Lip Liner Pencil and Liquid Lipstick Sets for Women Long Lasting Lipstick 24 Hour Waterproof Dark red Purple Rose pink Lip Stick/Gloss Set labiales mate 24 horas originales</t>
        </is>
      </c>
      <c r="E725" s="2">
        <f>HYPERLINK("https://www.amazon.com/Lipstick-Lasting-Waterproof-labiales-originales/dp/B0B3N4YTD7/ref=sr_1_5?keywords=Black+Rose+Liquid+Matte+Lipstick&amp;qid=1695565717&amp;sr=8-5", "https://www.amazon.com/Lipstick-Lasting-Waterproof-labiales-originales/dp/B0B3N4YTD7/ref=sr_1_5?keywords=Black+Rose+Liquid+Matte+Lipstick&amp;qid=1695565717&amp;sr=8-5")</f>
        <v/>
      </c>
      <c r="F725" t="inlineStr">
        <is>
          <t>B0B3N4YTD7</t>
        </is>
      </c>
      <c r="G725">
        <f>_xlfn.IMAGE("https://camerareadycosmetics.com/cdn/shop/files/BLACKROSELML_1024x1024_2x_1_50x.jpg?v=1684467908")</f>
        <v/>
      </c>
      <c r="H725">
        <f>_xlfn.IMAGE("https://m.media-amazon.com/images/I/51UQRcnHQmL._AC_UL320_.jpg")</f>
        <v/>
      </c>
      <c r="K725" t="inlineStr">
        <is>
          <t>20.0</t>
        </is>
      </c>
      <c r="L725" t="n">
        <v>9.99</v>
      </c>
      <c r="M725" s="1" t="inlineStr">
        <is>
          <t>-50.05%</t>
        </is>
      </c>
      <c r="N725" t="n">
        <v>3.9</v>
      </c>
      <c r="O725" t="n">
        <v>1741</v>
      </c>
      <c r="Q725" t="inlineStr">
        <is>
          <t>OutOfStock</t>
        </is>
      </c>
      <c r="R725" t="inlineStr">
        <is>
          <t>undefined</t>
        </is>
      </c>
      <c r="S725" t="inlineStr">
        <is>
          <t>7592268497081</t>
        </is>
      </c>
    </row>
    <row r="726" ht="75" customHeight="1">
      <c r="A726" s="2">
        <f>HYPERLINK("https://camerareadycosmetics.com/products/dose-of-colors-black-rose-liquid-matte-lipstick", "https://camerareadycosmetics.com/products/dose-of-colors-black-rose-liquid-matte-lipstick")</f>
        <v/>
      </c>
      <c r="B726" s="2">
        <f>HYPERLINK("https://camerareadycosmetics.com/products/dose-of-colors-black-rose-liquid-matte-lipstick", "https://camerareadycosmetics.com/products/dose-of-colors-black-rose-liquid-matte-lipstick")</f>
        <v/>
      </c>
      <c r="C726" t="inlineStr">
        <is>
          <t>Black Rose Liquid Matte Lipstick</t>
        </is>
      </c>
      <c r="D726" t="inlineStr">
        <is>
          <t>HANLADY Black Lipstick Matte, Black Liquid Lipstick for Women Long lasting &amp; transfer proof, 24 Hour Lipsticks Waterproof &amp; Smudgeproof, Full-Coverage Lip Makeup (911 Black Rose)</t>
        </is>
      </c>
      <c r="E726" s="2">
        <f>HYPERLINK("https://www.amazon.com/HANLADY-Lipsticks-Waterproof-Smudgeproof-Full-Coverage/dp/B0C77NR14R/ref=sr_1_3?keywords=Black+Rose+Liquid+Matte+Lipstick&amp;qid=1695565717&amp;sr=8-3", "https://www.amazon.com/HANLADY-Lipsticks-Waterproof-Smudgeproof-Full-Coverage/dp/B0C77NR14R/ref=sr_1_3?keywords=Black+Rose+Liquid+Matte+Lipstick&amp;qid=1695565717&amp;sr=8-3")</f>
        <v/>
      </c>
      <c r="F726" t="inlineStr">
        <is>
          <t>B0C77NR14R</t>
        </is>
      </c>
      <c r="G726">
        <f>_xlfn.IMAGE("https://camerareadycosmetics.com/cdn/shop/files/BLACKROSELML_1024x1024_2x_1_50x.jpg?v=1684467908")</f>
        <v/>
      </c>
      <c r="H726">
        <f>_xlfn.IMAGE("https://m.media-amazon.com/images/I/718MxcHMGsL._AC_UL320_.jpg")</f>
        <v/>
      </c>
      <c r="K726" t="inlineStr">
        <is>
          <t>20.0</t>
        </is>
      </c>
      <c r="L726" t="n">
        <v>8.99</v>
      </c>
      <c r="M726" s="1" t="inlineStr">
        <is>
          <t>-55.05%</t>
        </is>
      </c>
      <c r="N726" t="n">
        <v>3.8</v>
      </c>
      <c r="O726" t="n">
        <v>61</v>
      </c>
      <c r="Q726" t="inlineStr">
        <is>
          <t>OutOfStock</t>
        </is>
      </c>
      <c r="R726" t="inlineStr">
        <is>
          <t>undefined</t>
        </is>
      </c>
      <c r="S726" t="inlineStr">
        <is>
          <t>7592268497081</t>
        </is>
      </c>
    </row>
    <row r="727" ht="75" customHeight="1">
      <c r="A727" s="2">
        <f>HYPERLINK("https://camerareadycosmetics.com/products/dose-of-colors-black-rose-liquid-matte-lipstick", "https://camerareadycosmetics.com/products/dose-of-colors-black-rose-liquid-matte-lipstick")</f>
        <v/>
      </c>
      <c r="B727" s="2">
        <f>HYPERLINK("https://camerareadycosmetics.com/products/dose-of-colors-black-rose-liquid-matte-lipstick", "https://camerareadycosmetics.com/products/dose-of-colors-black-rose-liquid-matte-lipstick")</f>
        <v/>
      </c>
      <c r="C727" t="inlineStr">
        <is>
          <t>Black Rose Liquid Matte Lipstick</t>
        </is>
      </c>
      <c r="D727" t="inlineStr">
        <is>
          <t>NYX PROFESSIONAL MAKEUP Lip Lingerie XXL Matte Liquid Lipstick - Naughty Noir (Black)</t>
        </is>
      </c>
      <c r="E727" s="2">
        <f>HYPERLINK("https://www.amazon.com/NYX-PROFESSIONAL-MAKEUP-Lingerie-Lipstick/dp/B09XGXXGD1/ref=sr_1_9?keywords=Black+Rose+Liquid+Matte+Lipstick&amp;qid=1695565717&amp;sr=8-9", "https://www.amazon.com/NYX-PROFESSIONAL-MAKEUP-Lingerie-Lipstick/dp/B09XGXXGD1/ref=sr_1_9?keywords=Black+Rose+Liquid+Matte+Lipstick&amp;qid=1695565717&amp;sr=8-9")</f>
        <v/>
      </c>
      <c r="F727" t="inlineStr">
        <is>
          <t>B09XGXXGD1</t>
        </is>
      </c>
      <c r="G727">
        <f>_xlfn.IMAGE("https://camerareadycosmetics.com/cdn/shop/files/BLACKROSELML_1024x1024_2x_1_50x.jpg?v=1684467908")</f>
        <v/>
      </c>
      <c r="H727">
        <f>_xlfn.IMAGE("https://m.media-amazon.com/images/I/61ocx4G+YQL._AC_UL320_.jpg")</f>
        <v/>
      </c>
      <c r="K727" t="inlineStr">
        <is>
          <t>20.0</t>
        </is>
      </c>
      <c r="L727" t="n">
        <v>8.07</v>
      </c>
      <c r="M727" s="1" t="inlineStr">
        <is>
          <t>-59.65%</t>
        </is>
      </c>
      <c r="N727" t="n">
        <v>4.3</v>
      </c>
      <c r="O727" t="n">
        <v>10247</v>
      </c>
      <c r="Q727" t="inlineStr">
        <is>
          <t>OutOfStock</t>
        </is>
      </c>
      <c r="R727" t="inlineStr">
        <is>
          <t>undefined</t>
        </is>
      </c>
      <c r="S727" t="inlineStr">
        <is>
          <t>7592268497081</t>
        </is>
      </c>
    </row>
    <row r="728" ht="75" customHeight="1">
      <c r="A728" s="2">
        <f>HYPERLINK("https://camerareadycosmetics.com/products/dose-of-colors-black-rose-liquid-matte-lipstick", "https://camerareadycosmetics.com/products/dose-of-colors-black-rose-liquid-matte-lipstick")</f>
        <v/>
      </c>
      <c r="B728" s="2">
        <f>HYPERLINK("https://camerareadycosmetics.com/products/dose-of-colors-black-rose-liquid-matte-lipstick", "https://camerareadycosmetics.com/products/dose-of-colors-black-rose-liquid-matte-lipstick")</f>
        <v/>
      </c>
      <c r="C728" t="inlineStr">
        <is>
          <t>Black Rose Liquid Matte Lipstick</t>
        </is>
      </c>
      <c r="D728" t="inlineStr">
        <is>
          <t>BERVEAL 3Pcs Red Matte Liquid Lipstick Sets for Black Women Lip Stain Matte Long Lasting Lipstick Waterproof, Dark red Purple Rose pink Lipstick Lip Stick Gloss Packs Matte labial mate(A-Set03)</t>
        </is>
      </c>
      <c r="E728" s="2">
        <f>HYPERLINK("https://www.amazon.com/BERVEAL-Liquid-Lipstick-Lasting-Waterproof/dp/B0BKK1NBB6/ref=sr_1_4?keywords=Black+Rose+Liquid+Matte+Lipstick&amp;qid=1695565717&amp;sr=8-4", "https://www.amazon.com/BERVEAL-Liquid-Lipstick-Lasting-Waterproof/dp/B0BKK1NBB6/ref=sr_1_4?keywords=Black+Rose+Liquid+Matte+Lipstick&amp;qid=1695565717&amp;sr=8-4")</f>
        <v/>
      </c>
      <c r="F728" t="inlineStr">
        <is>
          <t>B0BKK1NBB6</t>
        </is>
      </c>
      <c r="G728">
        <f>_xlfn.IMAGE("https://camerareadycosmetics.com/cdn/shop/files/BLACKROSELML_1024x1024_2x_1_50x.jpg?v=1684467908")</f>
        <v/>
      </c>
      <c r="H728">
        <f>_xlfn.IMAGE("https://m.media-amazon.com/images/I/61W1T5KsfeL._AC_UL320_.jpg")</f>
        <v/>
      </c>
      <c r="K728" t="inlineStr">
        <is>
          <t>20.0</t>
        </is>
      </c>
      <c r="L728" t="n">
        <v>6.99</v>
      </c>
      <c r="M728" s="1" t="inlineStr">
        <is>
          <t>-65.05%</t>
        </is>
      </c>
      <c r="N728" t="n">
        <v>3.9</v>
      </c>
      <c r="O728" t="n">
        <v>12</v>
      </c>
      <c r="Q728" t="inlineStr">
        <is>
          <t>OutOfStock</t>
        </is>
      </c>
      <c r="R728" t="inlineStr">
        <is>
          <t>undefined</t>
        </is>
      </c>
      <c r="S728" t="inlineStr">
        <is>
          <t>7592268497081</t>
        </is>
      </c>
    </row>
    <row r="729" ht="75" customHeight="1">
      <c r="A729" s="2">
        <f>HYPERLINK("https://camerareadycosmetics.com/products/dose-of-colors-black-rose-liquid-matte-lipstick", "https://camerareadycosmetics.com/products/dose-of-colors-black-rose-liquid-matte-lipstick")</f>
        <v/>
      </c>
      <c r="B729" s="2">
        <f>HYPERLINK("https://camerareadycosmetics.com/products/dose-of-colors-black-rose-liquid-matte-lipstick", "https://camerareadycosmetics.com/products/dose-of-colors-black-rose-liquid-matte-lipstick")</f>
        <v/>
      </c>
      <c r="C729" t="inlineStr">
        <is>
          <t>Black Rose Liquid Matte Lipstick</t>
        </is>
      </c>
      <c r="D729" t="inlineStr">
        <is>
          <t>DNM 3Pcs Red Matte Liquid Lipstick Sets for Black Women Lip Stain Matte Long Lasting Lipstick Waterproof, Dark red Purple Rose pink Lipstick Lip Stick Gloss Packs Matte labial mate larga duracion 24</t>
        </is>
      </c>
      <c r="E729" s="2">
        <f>HYPERLINK("https://www.amazon.com/Liquid-Lipstick-lipgloss-Waterproof-Lasting/dp/B08ZJPM118/ref=sr_1_2?keywords=Black+Rose+Liquid+Matte+Lipstick&amp;qid=1695565717&amp;sr=8-2", "https://www.amazon.com/Liquid-Lipstick-lipgloss-Waterproof-Lasting/dp/B08ZJPM118/ref=sr_1_2?keywords=Black+Rose+Liquid+Matte+Lipstick&amp;qid=1695565717&amp;sr=8-2")</f>
        <v/>
      </c>
      <c r="F729" t="inlineStr">
        <is>
          <t>B08ZJPM118</t>
        </is>
      </c>
      <c r="G729">
        <f>_xlfn.IMAGE("https://camerareadycosmetics.com/cdn/shop/files/BLACKROSELML_1024x1024_2x_1_50x.jpg?v=1684467908")</f>
        <v/>
      </c>
      <c r="H729">
        <f>_xlfn.IMAGE("https://m.media-amazon.com/images/I/61+VjvB1vXL._AC_UL320_.jpg")</f>
        <v/>
      </c>
      <c r="K729" t="inlineStr">
        <is>
          <t>20.0</t>
        </is>
      </c>
      <c r="L729" t="n">
        <v>6.99</v>
      </c>
      <c r="M729" s="1" t="inlineStr">
        <is>
          <t>-65.05%</t>
        </is>
      </c>
      <c r="N729" t="n">
        <v>4.1</v>
      </c>
      <c r="O729" t="n">
        <v>4024</v>
      </c>
      <c r="Q729" t="inlineStr">
        <is>
          <t>OutOfStock</t>
        </is>
      </c>
      <c r="R729" t="inlineStr">
        <is>
          <t>undefined</t>
        </is>
      </c>
      <c r="S729" t="inlineStr">
        <is>
          <t>7592268497081</t>
        </is>
      </c>
    </row>
    <row r="730" ht="75" customHeight="1">
      <c r="A730" s="2">
        <f>HYPERLINK("https://camerareadycosmetics.com/products/dose-of-colors-black-rose-liquid-matte-lipstick", "https://camerareadycosmetics.com/products/dose-of-colors-black-rose-liquid-matte-lipstick")</f>
        <v/>
      </c>
      <c r="B730" s="2">
        <f>HYPERLINK("https://camerareadycosmetics.com/products/dose-of-colors-black-rose-liquid-matte-lipstick", "https://camerareadycosmetics.com/products/dose-of-colors-black-rose-liquid-matte-lipstick")</f>
        <v/>
      </c>
      <c r="C730" t="inlineStr">
        <is>
          <t>Black Rose Liquid Matte Lipstick</t>
        </is>
      </c>
      <c r="D730" t="inlineStr">
        <is>
          <t>Maybelline New York Color Sensational Vivid Matte Liquid Lipstick, Smoky Rose, 0.26 fl. oz.</t>
        </is>
      </c>
      <c r="E730" s="2">
        <f>HYPERLINK("https://www.amazon.com/Maybelline-New-York-Sensational-Liquid/dp/B01LXFQPMI/ref=sr_1_7?keywords=Black+Rose+Liquid+Matte+Lipstick&amp;qid=1695565717&amp;sr=8-7", "https://www.amazon.com/Maybelline-New-York-Sensational-Liquid/dp/B01LXFQPMI/ref=sr_1_7?keywords=Black+Rose+Liquid+Matte+Lipstick&amp;qid=1695565717&amp;sr=8-7")</f>
        <v/>
      </c>
      <c r="F730" t="inlineStr">
        <is>
          <t>B01LXFQPMI</t>
        </is>
      </c>
      <c r="G730">
        <f>_xlfn.IMAGE("https://camerareadycosmetics.com/cdn/shop/files/BLACKROSELML_1024x1024_2x_1_50x.jpg?v=1684467908")</f>
        <v/>
      </c>
      <c r="H730">
        <f>_xlfn.IMAGE("https://m.media-amazon.com/images/I/815WyX+QCwL._AC_UL320_.jpg")</f>
        <v/>
      </c>
      <c r="K730" t="inlineStr">
        <is>
          <t>20.0</t>
        </is>
      </c>
      <c r="L730" t="n">
        <v>5.6</v>
      </c>
      <c r="M730" s="1" t="inlineStr">
        <is>
          <t>-72.00%</t>
        </is>
      </c>
      <c r="N730" t="n">
        <v>4</v>
      </c>
      <c r="O730" t="n">
        <v>3004</v>
      </c>
      <c r="Q730" t="inlineStr">
        <is>
          <t>OutOfStock</t>
        </is>
      </c>
      <c r="R730" t="inlineStr">
        <is>
          <t>undefined</t>
        </is>
      </c>
      <c r="S730" t="inlineStr">
        <is>
          <t>7592268497081</t>
        </is>
      </c>
    </row>
    <row r="731" ht="75" customHeight="1">
      <c r="A731" s="2">
        <f>HYPERLINK("https://camerareadycosmetics.com/products/dose-of-colors-black-rose-liquid-matte-lipstick", "https://camerareadycosmetics.com/products/dose-of-colors-black-rose-liquid-matte-lipstick")</f>
        <v/>
      </c>
      <c r="B731" s="2">
        <f>HYPERLINK("https://camerareadycosmetics.com/products/dose-of-colors-black-rose-liquid-matte-lipstick", "https://camerareadycosmetics.com/products/dose-of-colors-black-rose-liquid-matte-lipstick")</f>
        <v/>
      </c>
      <c r="C731" t="inlineStr">
        <is>
          <t>Black Rose Liquid Matte Lipstick</t>
        </is>
      </c>
      <c r="D731" t="inlineStr">
        <is>
          <t>Black Radiance Perfect Tone Matte Liquid Lipstick Lip Crème Go Nude</t>
        </is>
      </c>
      <c r="E731" s="2">
        <f>HYPERLINK("https://www.amazon.com/Black-Radiance-Perfect-Matte-Cr%C3%A8me/dp/B077TLMWTN/ref=sr_1_8?keywords=Black+Rose+Liquid+Matte+Lipstick&amp;qid=1695565717&amp;sr=8-8", "https://www.amazon.com/Black-Radiance-Perfect-Matte-Cr%C3%A8me/dp/B077TLMWTN/ref=sr_1_8?keywords=Black+Rose+Liquid+Matte+Lipstick&amp;qid=1695565717&amp;sr=8-8")</f>
        <v/>
      </c>
      <c r="F731" t="inlineStr">
        <is>
          <t>B077TLMWTN</t>
        </is>
      </c>
      <c r="G731">
        <f>_xlfn.IMAGE("https://camerareadycosmetics.com/cdn/shop/files/BLACKROSELML_1024x1024_2x_1_50x.jpg?v=1684467908")</f>
        <v/>
      </c>
      <c r="H731">
        <f>_xlfn.IMAGE("https://m.media-amazon.com/images/I/61kaQYx8K2L._AC_UL320_.jpg")</f>
        <v/>
      </c>
      <c r="K731" t="inlineStr">
        <is>
          <t>20.0</t>
        </is>
      </c>
      <c r="L731" t="n">
        <v>4.79</v>
      </c>
      <c r="M731" s="1" t="inlineStr">
        <is>
          <t>-76.05%</t>
        </is>
      </c>
      <c r="N731" t="n">
        <v>4.3</v>
      </c>
      <c r="O731" t="n">
        <v>1743</v>
      </c>
      <c r="Q731" t="inlineStr">
        <is>
          <t>OutOfStock</t>
        </is>
      </c>
      <c r="R731" t="inlineStr">
        <is>
          <t>undefined</t>
        </is>
      </c>
      <c r="S731" t="inlineStr">
        <is>
          <t>7592268497081</t>
        </is>
      </c>
    </row>
    <row r="732" ht="75" customHeight="1">
      <c r="A732" s="2">
        <f>HYPERLINK("https://camerareadycosmetics.com/products/dose-of-colors-blushing-berries-eyeshadow-palette", "https://camerareadycosmetics.com/products/dose-of-colors-blushing-berries-eyeshadow-palette")</f>
        <v/>
      </c>
      <c r="B732" s="2">
        <f>HYPERLINK("https://camerareadycosmetics.com/products/dose-of-colors-blushing-berries-eyeshadow-palette", "https://camerareadycosmetics.com/products/dose-of-colors-blushing-berries-eyeshadow-palette")</f>
        <v/>
      </c>
      <c r="C732" t="inlineStr">
        <is>
          <t>Blushing Berries Eyeshadow Palette</t>
        </is>
      </c>
      <c r="D732" t="inlineStr">
        <is>
          <t>Dose of Colors - Eyeshadow Palette - Blushing Berries</t>
        </is>
      </c>
      <c r="E732" s="2">
        <f>HYPERLINK("https://www.amazon.com/DOSE-Blushing-Berries-Eyeshadow-Palette/dp/B078Z4DR5S/ref=sr_1_1?keywords=Blushing+Berries+Eyeshadow+Palette&amp;qid=1695565692&amp;sr=8-1", "https://www.amazon.com/DOSE-Blushing-Berries-Eyeshadow-Palette/dp/B078Z4DR5S/ref=sr_1_1?keywords=Blushing+Berries+Eyeshadow+Palette&amp;qid=1695565692&amp;sr=8-1")</f>
        <v/>
      </c>
      <c r="F732" t="inlineStr">
        <is>
          <t>B078Z4DR5S</t>
        </is>
      </c>
      <c r="G732">
        <f>_xlfn.IMAGE("https://camerareadycosmetics.com/cdn/shop/products/DoseofColorsBlushingBerriesEyeshadowPalette-BLUSHING-BERRIES_50x.jpg?v=1623160167")</f>
        <v/>
      </c>
      <c r="H732">
        <f>_xlfn.IMAGE("https://m.media-amazon.com/images/I/81L3GVn045L._AC_UL320_.jpg")</f>
        <v/>
      </c>
      <c r="K732" t="inlineStr">
        <is>
          <t>32.0</t>
        </is>
      </c>
      <c r="L732" t="n">
        <v>32</v>
      </c>
      <c r="M732" s="1" t="inlineStr">
        <is>
          <t>0.00%</t>
        </is>
      </c>
      <c r="N732" t="n">
        <v>4.4</v>
      </c>
      <c r="O732" t="n">
        <v>74</v>
      </c>
      <c r="Q732" t="inlineStr">
        <is>
          <t>InStock</t>
        </is>
      </c>
      <c r="R732" t="inlineStr">
        <is>
          <t>undefined</t>
        </is>
      </c>
      <c r="S732" t="inlineStr">
        <is>
          <t>6764175884473</t>
        </is>
      </c>
    </row>
    <row r="733" ht="75" customHeight="1">
      <c r="A733" s="2">
        <f>HYPERLINK("https://camerareadycosmetics.com/products/dose-of-colors-blushing-berries-eyeshadow-palette", "https://camerareadycosmetics.com/products/dose-of-colors-blushing-berries-eyeshadow-palette")</f>
        <v/>
      </c>
      <c r="B733" s="2">
        <f>HYPERLINK("https://camerareadycosmetics.com/products/dose-of-colors-blushing-berries-eyeshadow-palette", "https://camerareadycosmetics.com/products/dose-of-colors-blushing-berries-eyeshadow-palette")</f>
        <v/>
      </c>
      <c r="C733" t="inlineStr">
        <is>
          <t>Blushing Berries Eyeshadow Palette</t>
        </is>
      </c>
      <c r="D733" t="inlineStr">
        <is>
          <t>BYS Berries 2 Eyeshadow Palette, 12 Color Collection in Tin Kit with Mirror - Highly Pigmented Matte &amp; Metallic Shades</t>
        </is>
      </c>
      <c r="E733" s="2">
        <f>HYPERLINK("https://www.amazon.com/BYS-Berries-Eyeshadow-Applicator-Metallic/dp/B07CM7MKV1/ref=sr_1_4?keywords=Blushing+Berries+Eyeshadow+Palette&amp;qid=1695565692&amp;sr=8-4", "https://www.amazon.com/BYS-Berries-Eyeshadow-Applicator-Metallic/dp/B07CM7MKV1/ref=sr_1_4?keywords=Blushing+Berries+Eyeshadow+Palette&amp;qid=1695565692&amp;sr=8-4")</f>
        <v/>
      </c>
      <c r="F733" t="inlineStr">
        <is>
          <t>B07CM7MKV1</t>
        </is>
      </c>
      <c r="G733">
        <f>_xlfn.IMAGE("https://camerareadycosmetics.com/cdn/shop/products/DoseofColorsBlushingBerriesEyeshadowPalette-BLUSHING-BERRIES_50x.jpg?v=1623160167")</f>
        <v/>
      </c>
      <c r="H733">
        <f>_xlfn.IMAGE("https://m.media-amazon.com/images/I/81xAYuyVbDL._AC_UL320_.jpg")</f>
        <v/>
      </c>
      <c r="K733" t="inlineStr">
        <is>
          <t>32.0</t>
        </is>
      </c>
      <c r="L733" t="n">
        <v>13.75</v>
      </c>
      <c r="M733" s="1" t="inlineStr">
        <is>
          <t>-57.03%</t>
        </is>
      </c>
      <c r="N733" t="n">
        <v>3.6</v>
      </c>
      <c r="O733" t="n">
        <v>87</v>
      </c>
      <c r="Q733" t="inlineStr">
        <is>
          <t>InStock</t>
        </is>
      </c>
      <c r="R733" t="inlineStr">
        <is>
          <t>undefined</t>
        </is>
      </c>
      <c r="S733" t="inlineStr">
        <is>
          <t>6764175884473</t>
        </is>
      </c>
    </row>
    <row r="734" ht="75" customHeight="1">
      <c r="A734" s="2">
        <f>HYPERLINK("https://camerareadycosmetics.com/products/dose-of-colors-blushing-berries-eyeshadow-palette", "https://camerareadycosmetics.com/products/dose-of-colors-blushing-berries-eyeshadow-palette")</f>
        <v/>
      </c>
      <c r="B734" s="2">
        <f>HYPERLINK("https://camerareadycosmetics.com/products/dose-of-colors-blushing-berries-eyeshadow-palette", "https://camerareadycosmetics.com/products/dose-of-colors-blushing-berries-eyeshadow-palette")</f>
        <v/>
      </c>
      <c r="C734" t="inlineStr">
        <is>
          <t>Blushing Berries Eyeshadow Palette</t>
        </is>
      </c>
      <c r="D734" t="inlineStr">
        <is>
          <t>BYS Berries 2 Eyeshadow Palette, 12 Color Collection in Tin Kit with Mirror - Highly Pigmented Matte &amp; Metallic Shades</t>
        </is>
      </c>
      <c r="E734" s="2">
        <f>HYPERLINK("https://www.amazon.com/BYS-Berries-Eyeshadow-Applicator-Metallic/dp/B07CM7MKV1/ref=sr_1_4?keywords=Blushing+Berries+Eyeshadow+Palette&amp;qid=1695565692&amp;sr=8-4", "https://www.amazon.com/BYS-Berries-Eyeshadow-Applicator-Metallic/dp/B07CM7MKV1/ref=sr_1_4?keywords=Blushing+Berries+Eyeshadow+Palette&amp;qid=1695565692&amp;sr=8-4")</f>
        <v/>
      </c>
      <c r="F734" t="inlineStr">
        <is>
          <t>B07CM7MKV1</t>
        </is>
      </c>
      <c r="G734">
        <f>_xlfn.IMAGE("https://camerareadycosmetics.com/cdn/shop/products/DoseofColorsBlushingBerriesEyeshadowPalette-BLUSHING-BERRIES_50x.jpg?v=1623160167")</f>
        <v/>
      </c>
      <c r="H734">
        <f>_xlfn.IMAGE("https://m.media-amazon.com/images/I/81xAYuyVbDL._AC_UL320_.jpg")</f>
        <v/>
      </c>
      <c r="K734" t="inlineStr">
        <is>
          <t>32.0</t>
        </is>
      </c>
      <c r="L734" t="n">
        <v>13.75</v>
      </c>
      <c r="M734" s="1" t="inlineStr">
        <is>
          <t>-57.03%</t>
        </is>
      </c>
      <c r="N734" t="n">
        <v>3.6</v>
      </c>
      <c r="O734" t="n">
        <v>87</v>
      </c>
      <c r="Q734" t="inlineStr">
        <is>
          <t>InStock</t>
        </is>
      </c>
      <c r="R734" t="inlineStr">
        <is>
          <t>undefined</t>
        </is>
      </c>
      <c r="S734" t="inlineStr">
        <is>
          <t>6764175884473</t>
        </is>
      </c>
    </row>
    <row r="735" ht="75" customHeight="1">
      <c r="A735" s="2">
        <f>HYPERLINK("https://camerareadycosmetics.com/products/dose-of-colors-concealer", "https://camerareadycosmetics.com/products/dose-of-colors-concealer")</f>
        <v/>
      </c>
      <c r="B735" s="2">
        <f>HYPERLINK("https://camerareadycosmetics.com/products/dose-of-colors-concealer", "https://camerareadycosmetics.com/products/dose-of-colors-concealer")</f>
        <v/>
      </c>
      <c r="C735" t="inlineStr">
        <is>
          <t>Meet Your Hue Concealer</t>
        </is>
      </c>
      <c r="D735" t="inlineStr">
        <is>
          <t>Dose of Colors - Meet Your Hue Foundation - 109 Light, 1oz</t>
        </is>
      </c>
      <c r="E735" s="2">
        <f>HYPERLINK("https://www.amazon.com/Dose-Colors-Meet-Foundation-Light/dp/B08KQ5N1ST/ref=sr_1_2?keywords=Meet+Your+Hue+Concealer&amp;qid=1695565452&amp;sr=8-2", "https://www.amazon.com/Dose-Colors-Meet-Foundation-Light/dp/B08KQ5N1ST/ref=sr_1_2?keywords=Meet+Your+Hue+Concealer&amp;qid=1695565452&amp;sr=8-2")</f>
        <v/>
      </c>
      <c r="F735" t="inlineStr">
        <is>
          <t>B08KQ5N1ST</t>
        </is>
      </c>
      <c r="G735">
        <f>_xlfn.IMAGE("https://camerareadycosmetics.com/cdn/shop/products/03_50x.jpg?v=1623820147")</f>
        <v/>
      </c>
      <c r="H735">
        <f>_xlfn.IMAGE("https://m.media-amazon.com/images/I/510yG+D1vtL._AC_UL320_.jpg")</f>
        <v/>
      </c>
      <c r="K735" t="inlineStr">
        <is>
          <t>24.0</t>
        </is>
      </c>
      <c r="L735" t="n">
        <v>18</v>
      </c>
      <c r="M735" s="1" t="inlineStr">
        <is>
          <t>-25.00%</t>
        </is>
      </c>
      <c r="N735" t="n">
        <v>3.9</v>
      </c>
      <c r="O735" t="n">
        <v>160</v>
      </c>
      <c r="Q735" t="inlineStr">
        <is>
          <t>undefined</t>
        </is>
      </c>
      <c r="R735" t="inlineStr">
        <is>
          <t>24.0</t>
        </is>
      </c>
      <c r="S735" t="inlineStr">
        <is>
          <t>6766978171065</t>
        </is>
      </c>
    </row>
    <row r="736" ht="75" customHeight="1">
      <c r="A736" s="2">
        <f>HYPERLINK("https://camerareadycosmetics.com/products/dose-of-colors-concealer", "https://camerareadycosmetics.com/products/dose-of-colors-concealer")</f>
        <v/>
      </c>
      <c r="B736" s="2">
        <f>HYPERLINK("https://camerareadycosmetics.com/products/dose-of-colors-concealer", "https://camerareadycosmetics.com/products/dose-of-colors-concealer")</f>
        <v/>
      </c>
      <c r="C736" t="inlineStr">
        <is>
          <t>Meet Your Hue Concealer</t>
        </is>
      </c>
      <c r="D736" t="inlineStr">
        <is>
          <t>MEET YOUR HUE CONCEALERS (22 DARK)</t>
        </is>
      </c>
      <c r="E736" s="2">
        <f>HYPERLINK("https://www.amazon.com/MEET-YOUR-HUE-CONCEALERS-DARK/dp/B08KQ959VV/ref=sr_1_1?keywords=Meet+Your+Hue+Concealer&amp;qid=1695565452&amp;sr=8-1", "https://www.amazon.com/MEET-YOUR-HUE-CONCEALERS-DARK/dp/B08KQ959VV/ref=sr_1_1?keywords=Meet+Your+Hue+Concealer&amp;qid=1695565452&amp;sr=8-1")</f>
        <v/>
      </c>
      <c r="F736" t="inlineStr">
        <is>
          <t>B08KQ959VV</t>
        </is>
      </c>
      <c r="G736">
        <f>_xlfn.IMAGE("https://camerareadycosmetics.com/cdn/shop/products/03_50x.jpg?v=1623820147")</f>
        <v/>
      </c>
      <c r="H736">
        <f>_xlfn.IMAGE("https://m.media-amazon.com/images/I/61dk2k3yT9L._AC_UL320_.jpg")</f>
        <v/>
      </c>
      <c r="K736" t="inlineStr">
        <is>
          <t>24.0</t>
        </is>
      </c>
      <c r="L736" t="n">
        <v>10</v>
      </c>
      <c r="M736" s="1" t="inlineStr">
        <is>
          <t>-58.33%</t>
        </is>
      </c>
      <c r="N736" t="n">
        <v>4.6</v>
      </c>
      <c r="O736" t="n">
        <v>149</v>
      </c>
      <c r="Q736" t="inlineStr">
        <is>
          <t>undefined</t>
        </is>
      </c>
      <c r="R736" t="inlineStr">
        <is>
          <t>24.0</t>
        </is>
      </c>
      <c r="S736" t="inlineStr">
        <is>
          <t>6766978171065</t>
        </is>
      </c>
    </row>
    <row r="737" ht="75" customHeight="1">
      <c r="A737" s="2">
        <f>HYPERLINK("https://camerareadycosmetics.com/products/dose-of-colors-concealer", "https://camerareadycosmetics.com/products/dose-of-colors-concealer")</f>
        <v/>
      </c>
      <c r="B737" s="2">
        <f>HYPERLINK("https://camerareadycosmetics.com/products/dose-of-colors-concealer", "https://camerareadycosmetics.com/products/dose-of-colors-concealer")</f>
        <v/>
      </c>
      <c r="C737" t="inlineStr">
        <is>
          <t>Meet Your Hue Concealer</t>
        </is>
      </c>
      <c r="D737" t="inlineStr">
        <is>
          <t>MEET YOUR HUE CONCEALERS (22 DARK)</t>
        </is>
      </c>
      <c r="E737" s="2">
        <f>HYPERLINK("https://www.amazon.com/MEET-YOUR-HUE-CONCEALERS-DARK/dp/B08KQ959VV/ref=sr_1_1?keywords=Meet+Your+Hue+Concealer&amp;qid=1695565452&amp;sr=8-1", "https://www.amazon.com/MEET-YOUR-HUE-CONCEALERS-DARK/dp/B08KQ959VV/ref=sr_1_1?keywords=Meet+Your+Hue+Concealer&amp;qid=1695565452&amp;sr=8-1")</f>
        <v/>
      </c>
      <c r="F737" t="inlineStr">
        <is>
          <t>B08KQ959VV</t>
        </is>
      </c>
      <c r="G737">
        <f>_xlfn.IMAGE("https://camerareadycosmetics.com/cdn/shop/products/03_50x.jpg?v=1623820147")</f>
        <v/>
      </c>
      <c r="H737">
        <f>_xlfn.IMAGE("https://m.media-amazon.com/images/I/61dk2k3yT9L._AC_UL320_.jpg")</f>
        <v/>
      </c>
      <c r="K737" t="inlineStr">
        <is>
          <t>24.0</t>
        </is>
      </c>
      <c r="L737" t="n">
        <v>10</v>
      </c>
      <c r="M737" s="1" t="inlineStr">
        <is>
          <t>-58.33%</t>
        </is>
      </c>
      <c r="N737" t="n">
        <v>4.6</v>
      </c>
      <c r="O737" t="n">
        <v>149</v>
      </c>
      <c r="Q737" t="inlineStr">
        <is>
          <t>undefined</t>
        </is>
      </c>
      <c r="R737" t="inlineStr">
        <is>
          <t>24.0</t>
        </is>
      </c>
      <c r="S737" t="inlineStr">
        <is>
          <t>6766978171065</t>
        </is>
      </c>
    </row>
    <row r="738" ht="75" customHeight="1">
      <c r="A738" s="2">
        <f>HYPERLINK("https://camerareadycosmetics.com/products/dose-of-colors-cutting-edge-eyeshadow-palette", "https://camerareadycosmetics.com/products/dose-of-colors-cutting-edge-eyeshadow-palette")</f>
        <v/>
      </c>
      <c r="B738" s="2">
        <f>HYPERLINK("https://camerareadycosmetics.com/products/dose-of-colors-cutting-edge-eyeshadow-palette", "https://camerareadycosmetics.com/products/dose-of-colors-cutting-edge-eyeshadow-palette")</f>
        <v/>
      </c>
      <c r="C738" t="inlineStr">
        <is>
          <t>Cutting Edge Eyeshadow Palette</t>
        </is>
      </c>
      <c r="D738" t="inlineStr">
        <is>
          <t>Dose of Colors - Eyeshadow Palette - Cutting Edge</t>
        </is>
      </c>
      <c r="E738" s="2">
        <f>HYPERLINK("https://www.amazon.com/Dose-Colors-Eyeshadow-Palette-Cutting/dp/B08KQ7PZ7J/ref=sr_1_1?keywords=Cutting+Edge+Eyeshadow+Palette&amp;qid=1695565716&amp;sr=8-1", "https://www.amazon.com/Dose-Colors-Eyeshadow-Palette-Cutting/dp/B08KQ7PZ7J/ref=sr_1_1?keywords=Cutting+Edge+Eyeshadow+Palette&amp;qid=1695565716&amp;sr=8-1")</f>
        <v/>
      </c>
      <c r="F738" t="inlineStr">
        <is>
          <t>B08KQ7PZ7J</t>
        </is>
      </c>
      <c r="G738">
        <f>_xlfn.IMAGE("https://camerareadycosmetics.com/cdn/shop/products/DoseofColorsCuttingEdgeEyeshadowPalette-SC1_1024x1024_2x_3c22cde9-d6eb-4366-96e9-05bc907b8849_50x.jpg?v=1623160180")</f>
        <v/>
      </c>
      <c r="H738">
        <f>_xlfn.IMAGE("https://m.media-amazon.com/images/I/91QcUNHznAL._AC_UL320_.jpg")</f>
        <v/>
      </c>
      <c r="K738" t="inlineStr">
        <is>
          <t>32.0</t>
        </is>
      </c>
      <c r="L738" t="n">
        <v>32</v>
      </c>
      <c r="M738" s="1" t="inlineStr">
        <is>
          <t>0.00%</t>
        </is>
      </c>
      <c r="N738" t="n">
        <v>4.3</v>
      </c>
      <c r="O738" t="n">
        <v>36</v>
      </c>
      <c r="Q738" t="inlineStr">
        <is>
          <t>InStock</t>
        </is>
      </c>
      <c r="R738" t="inlineStr">
        <is>
          <t>undefined</t>
        </is>
      </c>
      <c r="S738" t="inlineStr">
        <is>
          <t>6764289786041</t>
        </is>
      </c>
    </row>
    <row r="739" ht="75" customHeight="1">
      <c r="A739" s="2">
        <f>HYPERLINK("https://camerareadycosmetics.com/products/dose-of-colors-foundation", "https://camerareadycosmetics.com/products/dose-of-colors-foundation")</f>
        <v/>
      </c>
      <c r="B739" s="2">
        <f>HYPERLINK("https://camerareadycosmetics.com/products/dose-of-colors-foundation", "https://camerareadycosmetics.com/products/dose-of-colors-foundation")</f>
        <v/>
      </c>
      <c r="C739" t="inlineStr">
        <is>
          <t>Meet Your Hue Foundation</t>
        </is>
      </c>
      <c r="D739" t="inlineStr">
        <is>
          <t>Dose of Colors - Meet Your Hue Foundation - 122 Medium Tan, 1oz</t>
        </is>
      </c>
      <c r="E739" s="2">
        <f>HYPERLINK("https://www.amazon.com/Dose-Colors-Meet-Foundation-Medium/dp/B08KQ6MVS4/ref=sr_1_1?keywords=Meet+Your+Hue+Foundation&amp;qid=1695565441&amp;sr=8-1", "https://www.amazon.com/Dose-Colors-Meet-Foundation-Medium/dp/B08KQ6MVS4/ref=sr_1_1?keywords=Meet+Your+Hue+Foundation&amp;qid=1695565441&amp;sr=8-1")</f>
        <v/>
      </c>
      <c r="F739" t="inlineStr">
        <is>
          <t>B08KQ6MVS4</t>
        </is>
      </c>
      <c r="G739">
        <f>_xlfn.IMAGE("https://camerareadycosmetics.com/cdn/shop/products/Foundation-Categories-3-min_50x.jpg?v=1632952926")</f>
        <v/>
      </c>
      <c r="H739">
        <f>_xlfn.IMAGE("https://m.media-amazon.com/images/I/61cnmN0RrAL._AC_UL320_.jpg")</f>
        <v/>
      </c>
      <c r="K739" t="inlineStr">
        <is>
          <t>18.0</t>
        </is>
      </c>
      <c r="L739" t="n">
        <v>18</v>
      </c>
      <c r="M739" s="1" t="inlineStr">
        <is>
          <t>0.00%</t>
        </is>
      </c>
      <c r="N739" t="n">
        <v>4.3</v>
      </c>
      <c r="O739" t="n">
        <v>12</v>
      </c>
      <c r="Q739" t="inlineStr">
        <is>
          <t>InStock</t>
        </is>
      </c>
      <c r="R739" t="inlineStr">
        <is>
          <t>36.0</t>
        </is>
      </c>
      <c r="S739" t="inlineStr">
        <is>
          <t>6766421180601</t>
        </is>
      </c>
    </row>
    <row r="740" ht="75" customHeight="1">
      <c r="A740" s="2">
        <f>HYPERLINK("https://camerareadycosmetics.com/products/dose-of-colors-glass-petals-lip-oil", "https://camerareadycosmetics.com/products/dose-of-colors-glass-petals-lip-oil")</f>
        <v/>
      </c>
      <c r="B740" s="2">
        <f>HYPERLINK("https://camerareadycosmetics.com/products/dose-of-colors-glass-petals-lip-oil", "https://camerareadycosmetics.com/products/dose-of-colors-glass-petals-lip-oil")</f>
        <v/>
      </c>
      <c r="C740" t="inlineStr">
        <is>
          <t>Glass Petals Lip Oil</t>
        </is>
      </c>
      <c r="D740" t="inlineStr">
        <is>
          <t>2 PCS Lip Oil Hydrating Tinted Lip Balm, Plump Lip Gloss Lip Care Transparent Toot Lip Oil Tinted, Glass Lip Glow Oil Fresh Texture &amp; Non-sticky, Nourishing Repairing Lightening Lip Lines Lip Care Products (ROSEWOOD &amp; CHERRY)</t>
        </is>
      </c>
      <c r="E740" s="2">
        <f>HYPERLINK("https://www.amazon.com/Hydrating-Transparent-Non-sticky-Nourishing-Lightening/dp/B0BNZXVH5Q/ref=sr_1_6?keywords=Glass+Petals+Lip+Oil&amp;qid=1695565799&amp;sr=8-6", "https://www.amazon.com/Hydrating-Transparent-Non-sticky-Nourishing-Lightening/dp/B0BNZXVH5Q/ref=sr_1_6?keywords=Glass+Petals+Lip+Oil&amp;qid=1695565799&amp;sr=8-6")</f>
        <v/>
      </c>
      <c r="F740" t="inlineStr">
        <is>
          <t>B0BNZXVH5Q</t>
        </is>
      </c>
      <c r="G740">
        <f>_xlfn.IMAGE("https://camerareadycosmetics.com/cdn/shop/files/BABY-BLANKET-BOTTLE-AND-APPLICATOR-_1_50x.jpg?v=1687288115")</f>
        <v/>
      </c>
      <c r="H740">
        <f>_xlfn.IMAGE("https://m.media-amazon.com/images/I/61Y3Grn8XmL._AC_UL320_.jpg")</f>
        <v/>
      </c>
      <c r="K740" t="inlineStr">
        <is>
          <t>22.0</t>
        </is>
      </c>
      <c r="L740" t="n">
        <v>12.59</v>
      </c>
      <c r="M740" s="1" t="inlineStr">
        <is>
          <t>-42.77%</t>
        </is>
      </c>
      <c r="N740" t="n">
        <v>4.1</v>
      </c>
      <c r="O740" t="n">
        <v>665</v>
      </c>
      <c r="Q740" t="inlineStr">
        <is>
          <t>InStock</t>
        </is>
      </c>
      <c r="R740" t="inlineStr">
        <is>
          <t>undefined</t>
        </is>
      </c>
      <c r="S740" t="inlineStr">
        <is>
          <t>7595647860921</t>
        </is>
      </c>
    </row>
    <row r="741" ht="75" customHeight="1">
      <c r="A741" s="2">
        <f>HYPERLINK("https://camerareadycosmetics.com/products/dose-of-colors-glass-petals-lip-oil", "https://camerareadycosmetics.com/products/dose-of-colors-glass-petals-lip-oil")</f>
        <v/>
      </c>
      <c r="B741" s="2">
        <f>HYPERLINK("https://camerareadycosmetics.com/products/dose-of-colors-glass-petals-lip-oil", "https://camerareadycosmetics.com/products/dose-of-colors-glass-petals-lip-oil")</f>
        <v/>
      </c>
      <c r="C741" t="inlineStr">
        <is>
          <t>Glass Petals Lip Oil</t>
        </is>
      </c>
      <c r="D741" t="inlineStr">
        <is>
          <t>BestLand 3Pcs Fruit Lip Oil, Hydrating Lip Glow Oil Plumping Glass Finish Moisturizing Lip Gloss Lip Tint Fruit Extract Lip Oil Tinted for Dry Lip and Lip Care</t>
        </is>
      </c>
      <c r="E741" s="2">
        <f>HYPERLINK("https://www.amazon.com/BestLand-Hydrating-Plumping-Moisturizing-Extract/dp/B0BPLP68GX/ref=sr_1_2?keywords=Glass+Petals+Lip+Oil&amp;qid=1695565799&amp;sr=8-2", "https://www.amazon.com/BestLand-Hydrating-Plumping-Moisturizing-Extract/dp/B0BPLP68GX/ref=sr_1_2?keywords=Glass+Petals+Lip+Oil&amp;qid=1695565799&amp;sr=8-2")</f>
        <v/>
      </c>
      <c r="F741" t="inlineStr">
        <is>
          <t>B0BPLP68GX</t>
        </is>
      </c>
      <c r="G741">
        <f>_xlfn.IMAGE("https://camerareadycosmetics.com/cdn/shop/files/BABY-BLANKET-BOTTLE-AND-APPLICATOR-_1_50x.jpg?v=1687288115")</f>
        <v/>
      </c>
      <c r="H741">
        <f>_xlfn.IMAGE("https://m.media-amazon.com/images/I/812zSRlN1fL._AC_UL320_.jpg")</f>
        <v/>
      </c>
      <c r="K741" t="inlineStr">
        <is>
          <t>22.0</t>
        </is>
      </c>
      <c r="L741" t="n">
        <v>8.99</v>
      </c>
      <c r="M741" s="1" t="inlineStr">
        <is>
          <t>-59.14%</t>
        </is>
      </c>
      <c r="N741" t="n">
        <v>4.3</v>
      </c>
      <c r="O741" t="n">
        <v>3</v>
      </c>
      <c r="Q741" t="inlineStr">
        <is>
          <t>InStock</t>
        </is>
      </c>
      <c r="R741" t="inlineStr">
        <is>
          <t>undefined</t>
        </is>
      </c>
      <c r="S741" t="inlineStr">
        <is>
          <t>7595647860921</t>
        </is>
      </c>
    </row>
    <row r="742" ht="75" customHeight="1">
      <c r="A742" s="2">
        <f>HYPERLINK("https://camerareadycosmetics.com/products/dose-of-colors-glass-petals-lip-oil", "https://camerareadycosmetics.com/products/dose-of-colors-glass-petals-lip-oil")</f>
        <v/>
      </c>
      <c r="B742" s="2">
        <f>HYPERLINK("https://camerareadycosmetics.com/products/dose-of-colors-glass-petals-lip-oil", "https://camerareadycosmetics.com/products/dose-of-colors-glass-petals-lip-oil")</f>
        <v/>
      </c>
      <c r="C742" t="inlineStr">
        <is>
          <t>Glass Petals Lip Oil</t>
        </is>
      </c>
      <c r="D742" t="inlineStr">
        <is>
          <t>Hydrating Lip Glow Oil, Plumping Lip Oil, Long Lasting Moisturizing Lip Gloss, Non-Sticky Shine Lip Tint, Nourishing &amp; Repairing Glass Lip Stain, Lip Blam For Lip Care and Dry Lip</t>
        </is>
      </c>
      <c r="E742" s="2">
        <f>HYPERLINK("https://www.amazon.com/Agthyuve-Hydrating-Moisturizing-Non-Sticky-Nourishing/dp/B0BR5ML1DP/ref=sr_1_9?keywords=Glass+Petals+Lip+Oil&amp;qid=1695565799&amp;sr=8-9", "https://www.amazon.com/Agthyuve-Hydrating-Moisturizing-Non-Sticky-Nourishing/dp/B0BR5ML1DP/ref=sr_1_9?keywords=Glass+Petals+Lip+Oil&amp;qid=1695565799&amp;sr=8-9")</f>
        <v/>
      </c>
      <c r="F742" t="inlineStr">
        <is>
          <t>B0BR5ML1DP</t>
        </is>
      </c>
      <c r="G742">
        <f>_xlfn.IMAGE("https://camerareadycosmetics.com/cdn/shop/files/BABY-BLANKET-BOTTLE-AND-APPLICATOR-_1_50x.jpg?v=1687288115")</f>
        <v/>
      </c>
      <c r="H742">
        <f>_xlfn.IMAGE("https://m.media-amazon.com/images/I/51Vv6zAP-lL._AC_UL320_.jpg")</f>
        <v/>
      </c>
      <c r="K742" t="inlineStr">
        <is>
          <t>22.0</t>
        </is>
      </c>
      <c r="L742" t="n">
        <v>6.99</v>
      </c>
      <c r="M742" s="1" t="inlineStr">
        <is>
          <t>-68.23%</t>
        </is>
      </c>
      <c r="N742" t="n">
        <v>4.1</v>
      </c>
      <c r="O742" t="n">
        <v>78</v>
      </c>
      <c r="Q742" t="inlineStr">
        <is>
          <t>InStock</t>
        </is>
      </c>
      <c r="R742" t="inlineStr">
        <is>
          <t>undefined</t>
        </is>
      </c>
      <c r="S742" t="inlineStr">
        <is>
          <t>7595647860921</t>
        </is>
      </c>
    </row>
    <row r="743" ht="75" customHeight="1">
      <c r="A743" s="2">
        <f>HYPERLINK("https://camerareadycosmetics.com/products/dose-of-colors-glass-petals-lip-oil", "https://camerareadycosmetics.com/products/dose-of-colors-glass-petals-lip-oil")</f>
        <v/>
      </c>
      <c r="B743" s="2">
        <f>HYPERLINK("https://camerareadycosmetics.com/products/dose-of-colors-glass-petals-lip-oil", "https://camerareadycosmetics.com/products/dose-of-colors-glass-petals-lip-oil")</f>
        <v/>
      </c>
      <c r="C743" t="inlineStr">
        <is>
          <t>Glass Petals Lip Oil</t>
        </is>
      </c>
      <c r="D743" t="inlineStr">
        <is>
          <t>DAGEDA Tinted Lip Oil Plumping Lip Gloss, Hydrating Lip Glow Oil Lip Care Moisturizing Clear Toot Lip Oil for Dry Lips, Nourishing Glossy Glass Lip Oil Gloss Non-Sticky Shine Lip Tint (04 Coral)</t>
        </is>
      </c>
      <c r="E743" s="2">
        <f>HYPERLINK("https://www.amazon.com/DAGEDA-Hydrating-Moisturizing-Nourishing-Non-Sticky/dp/B0BFDT9MHG/ref=sr_1_4?keywords=Glass+Petals+Lip+Oil&amp;qid=1695565799&amp;sr=8-4", "https://www.amazon.com/DAGEDA-Hydrating-Moisturizing-Nourishing-Non-Sticky/dp/B0BFDT9MHG/ref=sr_1_4?keywords=Glass+Petals+Lip+Oil&amp;qid=1695565799&amp;sr=8-4")</f>
        <v/>
      </c>
      <c r="F743" t="inlineStr">
        <is>
          <t>B0BFDT9MHG</t>
        </is>
      </c>
      <c r="G743">
        <f>_xlfn.IMAGE("https://camerareadycosmetics.com/cdn/shop/files/BABY-BLANKET-BOTTLE-AND-APPLICATOR-_1_50x.jpg?v=1687288115")</f>
        <v/>
      </c>
      <c r="H743">
        <f>_xlfn.IMAGE("https://m.media-amazon.com/images/I/61k2IBpuC6L._AC_UL320_.jpg")</f>
        <v/>
      </c>
      <c r="K743" t="inlineStr">
        <is>
          <t>22.0</t>
        </is>
      </c>
      <c r="L743" t="n">
        <v>6.99</v>
      </c>
      <c r="M743" s="1" t="inlineStr">
        <is>
          <t>-68.23%</t>
        </is>
      </c>
      <c r="N743" t="n">
        <v>3.9</v>
      </c>
      <c r="O743" t="n">
        <v>211</v>
      </c>
      <c r="Q743" t="inlineStr">
        <is>
          <t>InStock</t>
        </is>
      </c>
      <c r="R743" t="inlineStr">
        <is>
          <t>undefined</t>
        </is>
      </c>
      <c r="S743" t="inlineStr">
        <is>
          <t>7595647860921</t>
        </is>
      </c>
    </row>
    <row r="744" ht="75" customHeight="1">
      <c r="A744" s="2">
        <f>HYPERLINK("https://camerareadycosmetics.com/products/dose-of-colors-glass-petals-lip-oil", "https://camerareadycosmetics.com/products/dose-of-colors-glass-petals-lip-oil")</f>
        <v/>
      </c>
      <c r="B744" s="2">
        <f>HYPERLINK("https://camerareadycosmetics.com/products/dose-of-colors-glass-petals-lip-oil", "https://camerareadycosmetics.com/products/dose-of-colors-glass-petals-lip-oil")</f>
        <v/>
      </c>
      <c r="C744" t="inlineStr">
        <is>
          <t>Glass Petals Lip Oil</t>
        </is>
      </c>
      <c r="D744" t="inlineStr">
        <is>
          <t>Plumping Lip Oil Tinted Lip Balm, Hydrating Lip Gloss Lip Care Transparent Toot Lip Oil Tinted,Long Lasting Nourishing Glass Lip Glow Oil Fresh Texture Non-sticky Big Brush Head Glitter Shine Lip Tint (017#)</t>
        </is>
      </c>
      <c r="E744" s="2">
        <f>HYPERLINK("https://www.amazon.com/Plumping-Hydrating-Transparent-Nourishing-Non-sticky/dp/B0C9HLFFCR/ref=sr_1_1?keywords=Glass+Petals+Lip+Oil&amp;qid=1695565799&amp;sr=8-1", "https://www.amazon.com/Plumping-Hydrating-Transparent-Nourishing-Non-sticky/dp/B0C9HLFFCR/ref=sr_1_1?keywords=Glass+Petals+Lip+Oil&amp;qid=1695565799&amp;sr=8-1")</f>
        <v/>
      </c>
      <c r="F744" t="inlineStr">
        <is>
          <t>B0C9HLFFCR</t>
        </is>
      </c>
      <c r="G744">
        <f>_xlfn.IMAGE("https://camerareadycosmetics.com/cdn/shop/files/BABY-BLANKET-BOTTLE-AND-APPLICATOR-_1_50x.jpg?v=1687288115")</f>
        <v/>
      </c>
      <c r="H744">
        <f>_xlfn.IMAGE("https://m.media-amazon.com/images/I/51zOfGe42ZL._AC_UL320_.jpg")</f>
        <v/>
      </c>
      <c r="K744" t="inlineStr">
        <is>
          <t>22.0</t>
        </is>
      </c>
      <c r="L744" t="n">
        <v>3.99</v>
      </c>
      <c r="M744" s="1" t="inlineStr">
        <is>
          <t>-81.86%</t>
        </is>
      </c>
      <c r="N744" t="n">
        <v>3.3</v>
      </c>
      <c r="O744" t="n">
        <v>10</v>
      </c>
      <c r="Q744" t="inlineStr">
        <is>
          <t>InStock</t>
        </is>
      </c>
      <c r="R744" t="inlineStr">
        <is>
          <t>undefined</t>
        </is>
      </c>
      <c r="S744" t="inlineStr">
        <is>
          <t>7595647860921</t>
        </is>
      </c>
    </row>
    <row r="745" ht="75" customHeight="1">
      <c r="A745" s="2">
        <f>HYPERLINK("https://camerareadycosmetics.com/products/dose-of-colors-glass-petals-lip-oil", "https://camerareadycosmetics.com/products/dose-of-colors-glass-petals-lip-oil")</f>
        <v/>
      </c>
      <c r="B745" s="2">
        <f>HYPERLINK("https://camerareadycosmetics.com/products/dose-of-colors-glass-petals-lip-oil", "https://camerareadycosmetics.com/products/dose-of-colors-glass-petals-lip-oil")</f>
        <v/>
      </c>
      <c r="C745" t="inlineStr">
        <is>
          <t>Glass Petals Lip Oil</t>
        </is>
      </c>
      <c r="D745" t="inlineStr">
        <is>
          <t>BestLand 3Pcs Fruit Lip Oil, Hydrating Lip Glow Oil Plumping Glass Finish Moisturizing Lip Gloss Lip Tint Fruit Extract Lip Oil Tinted for Dry Lip and Lip Care</t>
        </is>
      </c>
      <c r="E745" s="2">
        <f>HYPERLINK("https://www.amazon.com/BestLand-Hydrating-Plumping-Moisturizing-Extract/dp/B0BPLP68GX/ref=sr_1_2?keywords=Glass+Petals+Lip+Oil&amp;qid=1695565799&amp;sr=8-2", "https://www.amazon.com/BestLand-Hydrating-Plumping-Moisturizing-Extract/dp/B0BPLP68GX/ref=sr_1_2?keywords=Glass+Petals+Lip+Oil&amp;qid=1695565799&amp;sr=8-2")</f>
        <v/>
      </c>
      <c r="F745" t="inlineStr">
        <is>
          <t>B0BPLP68GX</t>
        </is>
      </c>
      <c r="G745">
        <f>_xlfn.IMAGE("https://camerareadycosmetics.com/cdn/shop/files/BABY-BLANKET-BOTTLE-AND-APPLICATOR-_1_50x.jpg?v=1687288115")</f>
        <v/>
      </c>
      <c r="H745">
        <f>_xlfn.IMAGE("https://m.media-amazon.com/images/I/812zSRlN1fL._AC_UL320_.jpg")</f>
        <v/>
      </c>
      <c r="K745" t="inlineStr">
        <is>
          <t>22.0</t>
        </is>
      </c>
      <c r="L745" t="n">
        <v>8.99</v>
      </c>
      <c r="M745" s="1" t="inlineStr">
        <is>
          <t>-59.14%</t>
        </is>
      </c>
      <c r="N745" t="n">
        <v>4.3</v>
      </c>
      <c r="O745" t="n">
        <v>3</v>
      </c>
      <c r="Q745" t="inlineStr">
        <is>
          <t>InStock</t>
        </is>
      </c>
      <c r="R745" t="inlineStr">
        <is>
          <t>undefined</t>
        </is>
      </c>
      <c r="S745" t="inlineStr">
        <is>
          <t>7595647860921</t>
        </is>
      </c>
    </row>
    <row r="746" ht="75" customHeight="1">
      <c r="A746" s="2">
        <f>HYPERLINK("https://camerareadycosmetics.com/products/dose-of-colors-glass-petals-lip-oil", "https://camerareadycosmetics.com/products/dose-of-colors-glass-petals-lip-oil")</f>
        <v/>
      </c>
      <c r="B746" s="2">
        <f>HYPERLINK("https://camerareadycosmetics.com/products/dose-of-colors-glass-petals-lip-oil", "https://camerareadycosmetics.com/products/dose-of-colors-glass-petals-lip-oil")</f>
        <v/>
      </c>
      <c r="C746" t="inlineStr">
        <is>
          <t>Glass Petals Lip Oil</t>
        </is>
      </c>
      <c r="D746" t="inlineStr">
        <is>
          <t>Hydrating Lip Glow Oil, Plumping Lip Oil, Long Lasting Moisturizing Lip Gloss, Non-Sticky Shine Lip Tint, Nourishing &amp; Repairing Glass Lip Stain, Lip Blam For Lip Care and Dry Lip</t>
        </is>
      </c>
      <c r="E746" s="2">
        <f>HYPERLINK("https://www.amazon.com/Agthyuve-Hydrating-Moisturizing-Non-Sticky-Nourishing/dp/B0BR5ML1DP/ref=sr_1_9?keywords=Glass+Petals+Lip+Oil&amp;qid=1695565799&amp;sr=8-9", "https://www.amazon.com/Agthyuve-Hydrating-Moisturizing-Non-Sticky-Nourishing/dp/B0BR5ML1DP/ref=sr_1_9?keywords=Glass+Petals+Lip+Oil&amp;qid=1695565799&amp;sr=8-9")</f>
        <v/>
      </c>
      <c r="F746" t="inlineStr">
        <is>
          <t>B0BR5ML1DP</t>
        </is>
      </c>
      <c r="G746">
        <f>_xlfn.IMAGE("https://camerareadycosmetics.com/cdn/shop/files/BABY-BLANKET-BOTTLE-AND-APPLICATOR-_1_50x.jpg?v=1687288115")</f>
        <v/>
      </c>
      <c r="H746">
        <f>_xlfn.IMAGE("https://m.media-amazon.com/images/I/51Vv6zAP-lL._AC_UL320_.jpg")</f>
        <v/>
      </c>
      <c r="K746" t="inlineStr">
        <is>
          <t>22.0</t>
        </is>
      </c>
      <c r="L746" t="n">
        <v>6.99</v>
      </c>
      <c r="M746" s="1" t="inlineStr">
        <is>
          <t>-68.23%</t>
        </is>
      </c>
      <c r="N746" t="n">
        <v>4.1</v>
      </c>
      <c r="O746" t="n">
        <v>78</v>
      </c>
      <c r="Q746" t="inlineStr">
        <is>
          <t>InStock</t>
        </is>
      </c>
      <c r="R746" t="inlineStr">
        <is>
          <t>undefined</t>
        </is>
      </c>
      <c r="S746" t="inlineStr">
        <is>
          <t>7595647860921</t>
        </is>
      </c>
    </row>
    <row r="747" ht="75" customHeight="1">
      <c r="A747" s="2">
        <f>HYPERLINK("https://camerareadycosmetics.com/products/dose-of-colors-glass-petals-lip-oil", "https://camerareadycosmetics.com/products/dose-of-colors-glass-petals-lip-oil")</f>
        <v/>
      </c>
      <c r="B747" s="2">
        <f>HYPERLINK("https://camerareadycosmetics.com/products/dose-of-colors-glass-petals-lip-oil", "https://camerareadycosmetics.com/products/dose-of-colors-glass-petals-lip-oil")</f>
        <v/>
      </c>
      <c r="C747" t="inlineStr">
        <is>
          <t>Glass Petals Lip Oil</t>
        </is>
      </c>
      <c r="D747" t="inlineStr">
        <is>
          <t>DAGEDA Tinted Lip Oil Plumping Lip Gloss, Hydrating Lip Glow Oil Lip Care Moisturizing Clear Toot Lip Oil for Dry Lips, Nourishing Glossy Glass Lip Oil Gloss Non-Sticky Shine Lip Tint (04 Coral)</t>
        </is>
      </c>
      <c r="E747" s="2">
        <f>HYPERLINK("https://www.amazon.com/DAGEDA-Hydrating-Moisturizing-Nourishing-Non-Sticky/dp/B0BFDT9MHG/ref=sr_1_4?keywords=Glass+Petals+Lip+Oil&amp;qid=1695565799&amp;sr=8-4", "https://www.amazon.com/DAGEDA-Hydrating-Moisturizing-Nourishing-Non-Sticky/dp/B0BFDT9MHG/ref=sr_1_4?keywords=Glass+Petals+Lip+Oil&amp;qid=1695565799&amp;sr=8-4")</f>
        <v/>
      </c>
      <c r="F747" t="inlineStr">
        <is>
          <t>B0BFDT9MHG</t>
        </is>
      </c>
      <c r="G747">
        <f>_xlfn.IMAGE("https://camerareadycosmetics.com/cdn/shop/files/BABY-BLANKET-BOTTLE-AND-APPLICATOR-_1_50x.jpg?v=1687288115")</f>
        <v/>
      </c>
      <c r="H747">
        <f>_xlfn.IMAGE("https://m.media-amazon.com/images/I/61k2IBpuC6L._AC_UL320_.jpg")</f>
        <v/>
      </c>
      <c r="K747" t="inlineStr">
        <is>
          <t>22.0</t>
        </is>
      </c>
      <c r="L747" t="n">
        <v>6.99</v>
      </c>
      <c r="M747" s="1" t="inlineStr">
        <is>
          <t>-68.23%</t>
        </is>
      </c>
      <c r="N747" t="n">
        <v>3.9</v>
      </c>
      <c r="O747" t="n">
        <v>211</v>
      </c>
      <c r="Q747" t="inlineStr">
        <is>
          <t>InStock</t>
        </is>
      </c>
      <c r="R747" t="inlineStr">
        <is>
          <t>undefined</t>
        </is>
      </c>
      <c r="S747" t="inlineStr">
        <is>
          <t>7595647860921</t>
        </is>
      </c>
    </row>
    <row r="748" ht="75" customHeight="1">
      <c r="A748" s="2">
        <f>HYPERLINK("https://camerareadycosmetics.com/products/dose-of-colors-glass-petals-lip-oil", "https://camerareadycosmetics.com/products/dose-of-colors-glass-petals-lip-oil")</f>
        <v/>
      </c>
      <c r="B748" s="2">
        <f>HYPERLINK("https://camerareadycosmetics.com/products/dose-of-colors-glass-petals-lip-oil", "https://camerareadycosmetics.com/products/dose-of-colors-glass-petals-lip-oil")</f>
        <v/>
      </c>
      <c r="C748" t="inlineStr">
        <is>
          <t>Glass Petals Lip Oil</t>
        </is>
      </c>
      <c r="D748" t="inlineStr">
        <is>
          <t>Plumping Lip Oil Tinted Lip Balm, Hydrating Lip Gloss Lip Care Transparent Toot Lip Oil Tinted,Long Lasting Nourishing Glass Lip Glow Oil Fresh Texture Non-sticky Big Brush Head Glitter Shine Lip Tint (017#)</t>
        </is>
      </c>
      <c r="E748" s="2">
        <f>HYPERLINK("https://www.amazon.com/Plumping-Hydrating-Transparent-Nourishing-Non-sticky/dp/B0C9HLFFCR/ref=sr_1_1?keywords=Glass+Petals+Lip+Oil&amp;qid=1695565799&amp;sr=8-1", "https://www.amazon.com/Plumping-Hydrating-Transparent-Nourishing-Non-sticky/dp/B0C9HLFFCR/ref=sr_1_1?keywords=Glass+Petals+Lip+Oil&amp;qid=1695565799&amp;sr=8-1")</f>
        <v/>
      </c>
      <c r="F748" t="inlineStr">
        <is>
          <t>B0C9HLFFCR</t>
        </is>
      </c>
      <c r="G748">
        <f>_xlfn.IMAGE("https://camerareadycosmetics.com/cdn/shop/files/BABY-BLANKET-BOTTLE-AND-APPLICATOR-_1_50x.jpg?v=1687288115")</f>
        <v/>
      </c>
      <c r="H748">
        <f>_xlfn.IMAGE("https://m.media-amazon.com/images/I/51zOfGe42ZL._AC_UL320_.jpg")</f>
        <v/>
      </c>
      <c r="K748" t="inlineStr">
        <is>
          <t>22.0</t>
        </is>
      </c>
      <c r="L748" t="n">
        <v>3.99</v>
      </c>
      <c r="M748" s="1" t="inlineStr">
        <is>
          <t>-81.86%</t>
        </is>
      </c>
      <c r="N748" t="n">
        <v>3.3</v>
      </c>
      <c r="O748" t="n">
        <v>10</v>
      </c>
      <c r="Q748" t="inlineStr">
        <is>
          <t>InStock</t>
        </is>
      </c>
      <c r="R748" t="inlineStr">
        <is>
          <t>undefined</t>
        </is>
      </c>
      <c r="S748" t="inlineStr">
        <is>
          <t>7595647860921</t>
        </is>
      </c>
    </row>
    <row r="749" ht="75" customHeight="1">
      <c r="A749" s="2">
        <f>HYPERLINK("https://camerareadycosmetics.com/products/dose-of-colors-golden-hour-eyeshadow-palette", "https://camerareadycosmetics.com/products/dose-of-colors-golden-hour-eyeshadow-palette")</f>
        <v/>
      </c>
      <c r="B749" s="2">
        <f>HYPERLINK("https://camerareadycosmetics.com/products/dose-of-colors-golden-hour-eyeshadow-palette", "https://camerareadycosmetics.com/products/dose-of-colors-golden-hour-eyeshadow-palette")</f>
        <v/>
      </c>
      <c r="C749" t="inlineStr">
        <is>
          <t>Golden Hour Eyeshadow Palette</t>
        </is>
      </c>
      <c r="D749" t="inlineStr">
        <is>
          <t>Lune+Aster Golden Hour Eyeshadow Palette - Golden-toned vegan eyeshadow palette with matte and shimmer shades</t>
        </is>
      </c>
      <c r="E749" s="2">
        <f>HYPERLINK("https://www.amazon.com/Lune-Aster-Golden-Eyeshadow-Palette/dp/B08HXKG192/ref=sr_1_4?keywords=Golden+Hour+Eyeshadow+Palette&amp;qid=1695565663&amp;sr=8-4", "https://www.amazon.com/Lune-Aster-Golden-Eyeshadow-Palette/dp/B08HXKG192/ref=sr_1_4?keywords=Golden+Hour+Eyeshadow+Palette&amp;qid=1695565663&amp;sr=8-4")</f>
        <v/>
      </c>
      <c r="F749" t="inlineStr">
        <is>
          <t>B08HXKG192</t>
        </is>
      </c>
      <c r="G749">
        <f>_xlfn.IMAGE("https://camerareadycosmetics.com/cdn/shop/products/CRC_GOLDENHOUR_50x.jpg?v=1688676794")</f>
        <v/>
      </c>
      <c r="H749">
        <f>_xlfn.IMAGE("https://m.media-amazon.com/images/I/71tWQqBQDFL._AC_UL320_.jpg")</f>
        <v/>
      </c>
      <c r="K749" t="inlineStr">
        <is>
          <t>32.0</t>
        </is>
      </c>
      <c r="L749" t="n">
        <v>48</v>
      </c>
      <c r="M749" s="1" t="inlineStr">
        <is>
          <t>50.00%</t>
        </is>
      </c>
      <c r="N749" t="n">
        <v>5</v>
      </c>
      <c r="O749" t="n">
        <v>1</v>
      </c>
      <c r="Q749" t="inlineStr">
        <is>
          <t>InStock</t>
        </is>
      </c>
      <c r="R749" t="inlineStr">
        <is>
          <t>undefined</t>
        </is>
      </c>
      <c r="S749" t="inlineStr">
        <is>
          <t>7271400014009</t>
        </is>
      </c>
    </row>
    <row r="750" ht="75" customHeight="1">
      <c r="A750" s="2">
        <f>HYPERLINK("https://camerareadycosmetics.com/products/dose-of-colors-golden-hour-eyeshadow-palette", "https://camerareadycosmetics.com/products/dose-of-colors-golden-hour-eyeshadow-palette")</f>
        <v/>
      </c>
      <c r="B750" s="2">
        <f>HYPERLINK("https://camerareadycosmetics.com/products/dose-of-colors-golden-hour-eyeshadow-palette", "https://camerareadycosmetics.com/products/dose-of-colors-golden-hour-eyeshadow-palette")</f>
        <v/>
      </c>
      <c r="C750" t="inlineStr">
        <is>
          <t>Golden Hour Eyeshadow Palette</t>
        </is>
      </c>
      <c r="D750" t="inlineStr">
        <is>
          <t>Dose of Colors Eyeshadow Palette - GOLDEN HOUR</t>
        </is>
      </c>
      <c r="E750" s="2">
        <f>HYPERLINK("https://www.amazon.com/Dose-Colors-Eyeshadow-Palette-GOLDEN/dp/B0C6RJJ49B/ref=sr_1_1?keywords=Golden+Hour+Eyeshadow+Palette&amp;qid=1695565663&amp;sr=8-1", "https://www.amazon.com/Dose-Colors-Eyeshadow-Palette-GOLDEN/dp/B0C6RJJ49B/ref=sr_1_1?keywords=Golden+Hour+Eyeshadow+Palette&amp;qid=1695565663&amp;sr=8-1")</f>
        <v/>
      </c>
      <c r="F750" t="inlineStr">
        <is>
          <t>B0C6RJJ49B</t>
        </is>
      </c>
      <c r="G750">
        <f>_xlfn.IMAGE("https://camerareadycosmetics.com/cdn/shop/products/CRC_GOLDENHOUR_50x.jpg?v=1688676794")</f>
        <v/>
      </c>
      <c r="H750">
        <f>_xlfn.IMAGE("https://m.media-amazon.com/images/I/81WYQ7+VP5L._AC_UL320_.jpg")</f>
        <v/>
      </c>
      <c r="K750" t="inlineStr">
        <is>
          <t>32.0</t>
        </is>
      </c>
      <c r="L750" t="n">
        <v>32</v>
      </c>
      <c r="M750" s="1" t="inlineStr">
        <is>
          <t>0.00%</t>
        </is>
      </c>
      <c r="N750" t="n">
        <v>4.7</v>
      </c>
      <c r="O750" t="n">
        <v>26</v>
      </c>
      <c r="Q750" t="inlineStr">
        <is>
          <t>InStock</t>
        </is>
      </c>
      <c r="R750" t="inlineStr">
        <is>
          <t>undefined</t>
        </is>
      </c>
      <c r="S750" t="inlineStr">
        <is>
          <t>7271400014009</t>
        </is>
      </c>
    </row>
    <row r="751" ht="75" customHeight="1">
      <c r="A751" s="2">
        <f>HYPERLINK("https://camerareadycosmetics.com/products/dose-of-colors-golden-hour-eyeshadow-palette", "https://camerareadycosmetics.com/products/dose-of-colors-golden-hour-eyeshadow-palette")</f>
        <v/>
      </c>
      <c r="B751" s="2">
        <f>HYPERLINK("https://camerareadycosmetics.com/products/dose-of-colors-golden-hour-eyeshadow-palette", "https://camerareadycosmetics.com/products/dose-of-colors-golden-hour-eyeshadow-palette")</f>
        <v/>
      </c>
      <c r="C751" t="inlineStr">
        <is>
          <t>Golden Hour Eyeshadow Palette</t>
        </is>
      </c>
      <c r="D751" t="inlineStr">
        <is>
          <t>Beauty For Real Golden Hour Eyeshadow Palette - Eight Shades with Matte &amp; Shimmer Finishes - Infused with Mango Butter &amp; Vitamin E - Cruelty Free, Vegan</t>
        </is>
      </c>
      <c r="E751" s="2">
        <f>HYPERLINK("https://www.amazon.com/Beauty-Real-Golden-Eyeshadow-Palette/dp/B0954SL18P/ref=sr_1_2?keywords=Golden+Hour+Eyeshadow+Palette&amp;qid=1695565663&amp;sr=8-2", "https://www.amazon.com/Beauty-Real-Golden-Eyeshadow-Palette/dp/B0954SL18P/ref=sr_1_2?keywords=Golden+Hour+Eyeshadow+Palette&amp;qid=1695565663&amp;sr=8-2")</f>
        <v/>
      </c>
      <c r="F751" t="inlineStr">
        <is>
          <t>B0954SL18P</t>
        </is>
      </c>
      <c r="G751">
        <f>_xlfn.IMAGE("https://camerareadycosmetics.com/cdn/shop/products/CRC_GOLDENHOUR_50x.jpg?v=1688676794")</f>
        <v/>
      </c>
      <c r="H751">
        <f>_xlfn.IMAGE("https://m.media-amazon.com/images/I/71CWm53MbiS._AC_UL320_.jpg")</f>
        <v/>
      </c>
      <c r="K751" t="inlineStr">
        <is>
          <t>32.0</t>
        </is>
      </c>
      <c r="L751" t="n">
        <v>26</v>
      </c>
      <c r="M751" s="1" t="inlineStr">
        <is>
          <t>-18.75%</t>
        </is>
      </c>
      <c r="N751" t="n">
        <v>5</v>
      </c>
      <c r="O751" t="n">
        <v>4</v>
      </c>
      <c r="Q751" t="inlineStr">
        <is>
          <t>InStock</t>
        </is>
      </c>
      <c r="R751" t="inlineStr">
        <is>
          <t>undefined</t>
        </is>
      </c>
      <c r="S751" t="inlineStr">
        <is>
          <t>7271400014009</t>
        </is>
      </c>
    </row>
    <row r="752" ht="75" customHeight="1">
      <c r="A752" s="2">
        <f>HYPERLINK("https://camerareadycosmetics.com/products/dose-of-colors-golden-hour-eyeshadow-palette", "https://camerareadycosmetics.com/products/dose-of-colors-golden-hour-eyeshadow-palette")</f>
        <v/>
      </c>
      <c r="B752" s="2">
        <f>HYPERLINK("https://camerareadycosmetics.com/products/dose-of-colors-golden-hour-eyeshadow-palette", "https://camerareadycosmetics.com/products/dose-of-colors-golden-hour-eyeshadow-palette")</f>
        <v/>
      </c>
      <c r="C752" t="inlineStr">
        <is>
          <t>Golden Hour Eyeshadow Palette</t>
        </is>
      </c>
      <c r="D752" t="inlineStr">
        <is>
          <t>NYX PROFESSIONAL MAKEUP Perfect Filter Shadow Palette, Eyeshadow Palette, Golden Hour</t>
        </is>
      </c>
      <c r="E752" s="2">
        <f>HYPERLINK("https://www.amazon.com/NYX-PROFESSIONAL-MAKEUP-Perfect-Palette/dp/B0752RJ33J/ref=sr_1_3?keywords=Golden+Hour+Eyeshadow+Palette&amp;qid=1695565663&amp;sr=8-3", "https://www.amazon.com/NYX-PROFESSIONAL-MAKEUP-Perfect-Palette/dp/B0752RJ33J/ref=sr_1_3?keywords=Golden+Hour+Eyeshadow+Palette&amp;qid=1695565663&amp;sr=8-3")</f>
        <v/>
      </c>
      <c r="F752" t="inlineStr">
        <is>
          <t>B0752RJ33J</t>
        </is>
      </c>
      <c r="G752">
        <f>_xlfn.IMAGE("https://camerareadycosmetics.com/cdn/shop/products/CRC_GOLDENHOUR_50x.jpg?v=1688676794")</f>
        <v/>
      </c>
      <c r="H752">
        <f>_xlfn.IMAGE("https://m.media-amazon.com/images/I/61r8gxuGYXL._AC_UL320_.jpg")</f>
        <v/>
      </c>
      <c r="K752" t="inlineStr">
        <is>
          <t>32.0</t>
        </is>
      </c>
      <c r="L752" t="n">
        <v>17.99</v>
      </c>
      <c r="M752" s="1" t="inlineStr">
        <is>
          <t>-43.78%</t>
        </is>
      </c>
      <c r="N752" t="n">
        <v>4.3</v>
      </c>
      <c r="O752" t="n">
        <v>734</v>
      </c>
      <c r="Q752" t="inlineStr">
        <is>
          <t>InStock</t>
        </is>
      </c>
      <c r="R752" t="inlineStr">
        <is>
          <t>undefined</t>
        </is>
      </c>
      <c r="S752" t="inlineStr">
        <is>
          <t>7271400014009</t>
        </is>
      </c>
    </row>
    <row r="753" ht="75" customHeight="1">
      <c r="A753" s="2">
        <f>HYPERLINK("https://camerareadycosmetics.com/products/dose-of-colors-golden-hour-eyeshadow-palette", "https://camerareadycosmetics.com/products/dose-of-colors-golden-hour-eyeshadow-palette")</f>
        <v/>
      </c>
      <c r="B753" s="2">
        <f>HYPERLINK("https://camerareadycosmetics.com/products/dose-of-colors-golden-hour-eyeshadow-palette", "https://camerareadycosmetics.com/products/dose-of-colors-golden-hour-eyeshadow-palette")</f>
        <v/>
      </c>
      <c r="C753" t="inlineStr">
        <is>
          <t>Golden Hour Eyeshadow Palette</t>
        </is>
      </c>
      <c r="D753" t="inlineStr">
        <is>
          <t>Mallofusa 5 Colors Eye Shadow Palette Powder Metallic Shimmer Eyeshadow Palette (Golden Frenzy) 4.7oz</t>
        </is>
      </c>
      <c r="E753" s="2">
        <f>HYPERLINK("https://www.amazon.com/Mallofusa-Palette-Metallic-Shimmer-Eyeshadow/dp/B00LE3IXOM/ref=sr_1_8?keywords=Golden+Hour+Eyeshadow+Palette&amp;qid=1695565663&amp;sr=8-8", "https://www.amazon.com/Mallofusa-Palette-Metallic-Shimmer-Eyeshadow/dp/B00LE3IXOM/ref=sr_1_8?keywords=Golden+Hour+Eyeshadow+Palette&amp;qid=1695565663&amp;sr=8-8")</f>
        <v/>
      </c>
      <c r="F753" t="inlineStr">
        <is>
          <t>B00LE3IXOM</t>
        </is>
      </c>
      <c r="G753">
        <f>_xlfn.IMAGE("https://camerareadycosmetics.com/cdn/shop/products/CRC_GOLDENHOUR_50x.jpg?v=1688676794")</f>
        <v/>
      </c>
      <c r="H753">
        <f>_xlfn.IMAGE("https://m.media-amazon.com/images/I/61vdsRPFtPL._AC_UL320_.jpg")</f>
        <v/>
      </c>
      <c r="K753" t="inlineStr">
        <is>
          <t>32.0</t>
        </is>
      </c>
      <c r="L753" t="n">
        <v>9.49</v>
      </c>
      <c r="M753" s="1" t="inlineStr">
        <is>
          <t>-70.34%</t>
        </is>
      </c>
      <c r="N753" t="n">
        <v>4.2</v>
      </c>
      <c r="O753" t="n">
        <v>955</v>
      </c>
      <c r="Q753" t="inlineStr">
        <is>
          <t>InStock</t>
        </is>
      </c>
      <c r="R753" t="inlineStr">
        <is>
          <t>undefined</t>
        </is>
      </c>
      <c r="S753" t="inlineStr">
        <is>
          <t>7271400014009</t>
        </is>
      </c>
    </row>
    <row r="754" ht="75" customHeight="1">
      <c r="A754" s="2">
        <f>HYPERLINK("https://camerareadycosmetics.com/products/dose-of-colors-golden-hour-eyeshadow-palette", "https://camerareadycosmetics.com/products/dose-of-colors-golden-hour-eyeshadow-palette")</f>
        <v/>
      </c>
      <c r="B754" s="2">
        <f>HYPERLINK("https://camerareadycosmetics.com/products/dose-of-colors-golden-hour-eyeshadow-palette", "https://camerareadycosmetics.com/products/dose-of-colors-golden-hour-eyeshadow-palette")</f>
        <v/>
      </c>
      <c r="C754" t="inlineStr">
        <is>
          <t>Golden Hour Eyeshadow Palette</t>
        </is>
      </c>
      <c r="D754" t="inlineStr">
        <is>
          <t>Mallofusa 5 Colors Eye Shadow Palette Powder Metallic Shimmer Eyeshadow Palette (Golden Frenzy) 4.7oz</t>
        </is>
      </c>
      <c r="E754" s="2">
        <f>HYPERLINK("https://www.amazon.com/Mallofusa-Palette-Metallic-Shimmer-Eyeshadow/dp/B00LE3IXOM/ref=sr_1_8?keywords=Golden+Hour+Eyeshadow+Palette&amp;qid=1695565663&amp;sr=8-8", "https://www.amazon.com/Mallofusa-Palette-Metallic-Shimmer-Eyeshadow/dp/B00LE3IXOM/ref=sr_1_8?keywords=Golden+Hour+Eyeshadow+Palette&amp;qid=1695565663&amp;sr=8-8")</f>
        <v/>
      </c>
      <c r="F754" t="inlineStr">
        <is>
          <t>B00LE3IXOM</t>
        </is>
      </c>
      <c r="G754">
        <f>_xlfn.IMAGE("https://camerareadycosmetics.com/cdn/shop/products/CRC_GOLDENHOUR_50x.jpg?v=1688676794")</f>
        <v/>
      </c>
      <c r="H754">
        <f>_xlfn.IMAGE("https://m.media-amazon.com/images/I/61vdsRPFtPL._AC_UL320_.jpg")</f>
        <v/>
      </c>
      <c r="K754" t="inlineStr">
        <is>
          <t>32.0</t>
        </is>
      </c>
      <c r="L754" t="n">
        <v>9.49</v>
      </c>
      <c r="M754" s="1" t="inlineStr">
        <is>
          <t>-70.34%</t>
        </is>
      </c>
      <c r="N754" t="n">
        <v>4.2</v>
      </c>
      <c r="O754" t="n">
        <v>955</v>
      </c>
      <c r="Q754" t="inlineStr">
        <is>
          <t>InStock</t>
        </is>
      </c>
      <c r="R754" t="inlineStr">
        <is>
          <t>undefined</t>
        </is>
      </c>
      <c r="S754" t="inlineStr">
        <is>
          <t>7271400014009</t>
        </is>
      </c>
    </row>
    <row r="755" ht="75" customHeight="1">
      <c r="A755" s="2">
        <f>HYPERLINK("https://camerareadycosmetics.com/products/dose-of-colors-hint-of-tint-lip-oil", "https://camerareadycosmetics.com/products/dose-of-colors-hint-of-tint-lip-oil")</f>
        <v/>
      </c>
      <c r="B755" s="2">
        <f>HYPERLINK("https://camerareadycosmetics.com/products/dose-of-colors-hint-of-tint-lip-oil", "https://camerareadycosmetics.com/products/dose-of-colors-hint-of-tint-lip-oil")</f>
        <v/>
      </c>
      <c r="C755" t="inlineStr">
        <is>
          <t>Hint of Tint Lip Oil</t>
        </is>
      </c>
      <c r="D755" t="inlineStr">
        <is>
          <t>Dose of Colors HINT OF TINT Lip Oil (Pretty Nice)</t>
        </is>
      </c>
      <c r="E755" s="2">
        <f>HYPERLINK("https://www.amazon.com/Dose-Colors-HINT-TINT-Pretty/dp/B0BKTPH6M3/ref=sr_1_1?keywords=Hint+of+Tint+Lip+Oil&amp;qid=1695565657&amp;sr=8-1", "https://www.amazon.com/Dose-Colors-HINT-TINT-Pretty/dp/B0BKTPH6M3/ref=sr_1_1?keywords=Hint+of+Tint+Lip+Oil&amp;qid=1695565657&amp;sr=8-1")</f>
        <v/>
      </c>
      <c r="F755" t="inlineStr">
        <is>
          <t>B0BKTPH6M3</t>
        </is>
      </c>
      <c r="G755">
        <f>_xlfn.IMAGE("https://camerareadycosmetics.com/cdn/shop/products/PRETTYFUN1_1024x1024_2x_4630d2f8-0d50-47da-a4d8-7cda55bc042c_50x.jpg?v=1667239510")</f>
        <v/>
      </c>
      <c r="H755">
        <f>_xlfn.IMAGE("https://m.media-amazon.com/images/I/518ucTZfTOL._AC_UL320_.jpg")</f>
        <v/>
      </c>
      <c r="K755" t="inlineStr">
        <is>
          <t>19.0</t>
        </is>
      </c>
      <c r="L755" t="n">
        <v>19</v>
      </c>
      <c r="M755" s="1" t="inlineStr">
        <is>
          <t>0.00%</t>
        </is>
      </c>
      <c r="N755" t="n">
        <v>4.8</v>
      </c>
      <c r="O755" t="n">
        <v>12</v>
      </c>
      <c r="Q755" t="inlineStr">
        <is>
          <t>InStock</t>
        </is>
      </c>
      <c r="R755" t="inlineStr">
        <is>
          <t>19.0</t>
        </is>
      </c>
      <c r="S755" t="inlineStr">
        <is>
          <t>7537933058233</t>
        </is>
      </c>
    </row>
    <row r="756" ht="75" customHeight="1">
      <c r="A756" s="2">
        <f>HYPERLINK("https://camerareadycosmetics.com/products/dose-of-colors-hint-of-tint-lip-oil", "https://camerareadycosmetics.com/products/dose-of-colors-hint-of-tint-lip-oil")</f>
        <v/>
      </c>
      <c r="B756" s="2">
        <f>HYPERLINK("https://camerareadycosmetics.com/products/dose-of-colors-hint-of-tint-lip-oil", "https://camerareadycosmetics.com/products/dose-of-colors-hint-of-tint-lip-oil")</f>
        <v/>
      </c>
      <c r="C756" t="inlineStr">
        <is>
          <t>Hint of Tint Lip Oil</t>
        </is>
      </c>
      <c r="D756" t="inlineStr">
        <is>
          <t>NYX PROFESSIONAL MAKEUP Fat Oil Lip Drip, Moisturizing, Shiny and Vegan Tinted Lip Gloss - Newsfeed (Rose Nude)</t>
        </is>
      </c>
      <c r="E756" s="2">
        <f>HYPERLINK("https://www.amazon.com/NYX-PROFESSIONAL-MAKEUP-Moisturizing-Tinted/dp/B0BL8HXJMX/ref=sr_1_4?keywords=Hint+of+Tint+Lip+Oil&amp;qid=1695565657&amp;sr=8-4", "https://www.amazon.com/NYX-PROFESSIONAL-MAKEUP-Moisturizing-Tinted/dp/B0BL8HXJMX/ref=sr_1_4?keywords=Hint+of+Tint+Lip+Oil&amp;qid=1695565657&amp;sr=8-4")</f>
        <v/>
      </c>
      <c r="F756" t="inlineStr">
        <is>
          <t>B0BL8HXJMX</t>
        </is>
      </c>
      <c r="G756">
        <f>_xlfn.IMAGE("https://camerareadycosmetics.com/cdn/shop/products/PRETTYFUN1_1024x1024_2x_4630d2f8-0d50-47da-a4d8-7cda55bc042c_50x.jpg?v=1667239510")</f>
        <v/>
      </c>
      <c r="H756">
        <f>_xlfn.IMAGE("https://m.media-amazon.com/images/I/71l97HlWNOL._AC_UL320_.jpg")</f>
        <v/>
      </c>
      <c r="K756" t="inlineStr">
        <is>
          <t>19.0</t>
        </is>
      </c>
      <c r="L756" t="n">
        <v>8.970000000000001</v>
      </c>
      <c r="M756" s="1" t="inlineStr">
        <is>
          <t>-52.79%</t>
        </is>
      </c>
      <c r="N756" t="n">
        <v>4.5</v>
      </c>
      <c r="O756" t="n">
        <v>7141</v>
      </c>
      <c r="Q756" t="inlineStr">
        <is>
          <t>InStock</t>
        </is>
      </c>
      <c r="R756" t="inlineStr">
        <is>
          <t>19.0</t>
        </is>
      </c>
      <c r="S756" t="inlineStr">
        <is>
          <t>7537933058233</t>
        </is>
      </c>
    </row>
    <row r="757" ht="75" customHeight="1">
      <c r="A757" s="2">
        <f>HYPERLINK("https://camerareadycosmetics.com/products/dose-of-colors-hint-of-tint-lip-oil", "https://camerareadycosmetics.com/products/dose-of-colors-hint-of-tint-lip-oil")</f>
        <v/>
      </c>
      <c r="B757" s="2">
        <f>HYPERLINK("https://camerareadycosmetics.com/products/dose-of-colors-hint-of-tint-lip-oil", "https://camerareadycosmetics.com/products/dose-of-colors-hint-of-tint-lip-oil")</f>
        <v/>
      </c>
      <c r="C757" t="inlineStr">
        <is>
          <t>Hint of Tint Lip Oil</t>
        </is>
      </c>
      <c r="D757" t="inlineStr">
        <is>
          <t>NYX PROFESSIONAL MAKEUP Fat Oil Lip Drip, Moisturizing, Shiny and Vegan Tinted Lip Gloss - Newsfeed (Rose Nude)</t>
        </is>
      </c>
      <c r="E757" s="2">
        <f>HYPERLINK("https://www.amazon.com/NYX-PROFESSIONAL-MAKEUP-Moisturizing-Tinted/dp/B0BL8HXJMX/ref=sr_1_4?keywords=Hint+of+Tint+Lip+Oil&amp;qid=1695565657&amp;sr=8-4", "https://www.amazon.com/NYX-PROFESSIONAL-MAKEUP-Moisturizing-Tinted/dp/B0BL8HXJMX/ref=sr_1_4?keywords=Hint+of+Tint+Lip+Oil&amp;qid=1695565657&amp;sr=8-4")</f>
        <v/>
      </c>
      <c r="F757" t="inlineStr">
        <is>
          <t>B0BL8HXJMX</t>
        </is>
      </c>
      <c r="G757">
        <f>_xlfn.IMAGE("https://camerareadycosmetics.com/cdn/shop/products/PRETTYFUN1_1024x1024_2x_4630d2f8-0d50-47da-a4d8-7cda55bc042c_50x.jpg?v=1667239510")</f>
        <v/>
      </c>
      <c r="H757">
        <f>_xlfn.IMAGE("https://m.media-amazon.com/images/I/71l97HlWNOL._AC_UL320_.jpg")</f>
        <v/>
      </c>
      <c r="K757" t="inlineStr">
        <is>
          <t>19.0</t>
        </is>
      </c>
      <c r="L757" t="n">
        <v>8.970000000000001</v>
      </c>
      <c r="M757" s="1" t="inlineStr">
        <is>
          <t>-52.79%</t>
        </is>
      </c>
      <c r="N757" t="n">
        <v>4.5</v>
      </c>
      <c r="O757" t="n">
        <v>7141</v>
      </c>
      <c r="Q757" t="inlineStr">
        <is>
          <t>InStock</t>
        </is>
      </c>
      <c r="R757" t="inlineStr">
        <is>
          <t>19.0</t>
        </is>
      </c>
      <c r="S757" t="inlineStr">
        <is>
          <t>7537933058233</t>
        </is>
      </c>
    </row>
    <row r="758" ht="75" customHeight="1">
      <c r="A758" s="2">
        <f>HYPERLINK("https://camerareadycosmetics.com/products/dose-of-colors-its-fine-eyeliner", "https://camerareadycosmetics.com/products/dose-of-colors-its-fine-eyeliner")</f>
        <v/>
      </c>
      <c r="B758" s="2">
        <f>HYPERLINK("https://camerareadycosmetics.com/products/dose-of-colors-its-fine-eyeliner", "https://camerareadycosmetics.com/products/dose-of-colors-its-fine-eyeliner")</f>
        <v/>
      </c>
      <c r="C758" t="inlineStr">
        <is>
          <t>It's Fine Eyeliner</t>
        </is>
      </c>
      <c r="D758" t="inlineStr">
        <is>
          <t>Dose of Colors IT'S FINE Eyeliner (Polished Black)</t>
        </is>
      </c>
      <c r="E758" s="2">
        <f>HYPERLINK("https://www.amazon.com/Dose-Colors-Eyeliner-Polished-Black/dp/B0BKTQHM2V/ref=sr_1_10?keywords=Its+Fine+Eyeliner&amp;qid=1695565784&amp;sr=8-10", "https://www.amazon.com/Dose-Colors-Eyeliner-Polished-Black/dp/B0BKTQHM2V/ref=sr_1_10?keywords=Its+Fine+Eyeliner&amp;qid=1695565784&amp;sr=8-10")</f>
        <v/>
      </c>
      <c r="F758" t="inlineStr">
        <is>
          <t>B0BKTQHM2V</t>
        </is>
      </c>
      <c r="G758">
        <f>_xlfn.IMAGE("https://camerareadycosmetics.com/cdn/shop/products/ITSFINEEYELINERSARMSWATCHESLABELED_50x.jpg?v=1667237925")</f>
        <v/>
      </c>
      <c r="H758">
        <f>_xlfn.IMAGE("https://m.media-amazon.com/images/I/61nyDJhP8HL._AC_UL320_.jpg")</f>
        <v/>
      </c>
      <c r="K758" t="inlineStr">
        <is>
          <t>19.0</t>
        </is>
      </c>
      <c r="L758" t="n">
        <v>19</v>
      </c>
      <c r="M758" s="1" t="inlineStr">
        <is>
          <t>0.00%</t>
        </is>
      </c>
      <c r="N758" t="n">
        <v>5</v>
      </c>
      <c r="O758" t="n">
        <v>3</v>
      </c>
      <c r="Q758" t="inlineStr">
        <is>
          <t>InStock</t>
        </is>
      </c>
      <c r="R758" t="inlineStr">
        <is>
          <t>undefined</t>
        </is>
      </c>
      <c r="S758" t="inlineStr">
        <is>
          <t>7536431366329</t>
        </is>
      </c>
    </row>
    <row r="759" ht="75" customHeight="1">
      <c r="A759" s="2">
        <f>HYPERLINK("https://camerareadycosmetics.com/products/dose-of-colors-lets-face-it-concealer", "https://camerareadycosmetics.com/products/dose-of-colors-lets-face-it-concealer")</f>
        <v/>
      </c>
      <c r="B759" s="2">
        <f>HYPERLINK("https://camerareadycosmetics.com/products/dose-of-colors-lets-face-it-concealer", "https://camerareadycosmetics.com/products/dose-of-colors-lets-face-it-concealer")</f>
        <v/>
      </c>
      <c r="C759" t="inlineStr">
        <is>
          <t>Let's Face It Concealer</t>
        </is>
      </c>
      <c r="D759" t="inlineStr">
        <is>
          <t>Neutrogena SkinClearing Blemish Concealer Face Makeup with Salicylic Acid Acne Medicine, Non-Comedogenic and Oil-Free Concealer Helps Cover, Treat &amp; Prevent Breakouts, Medium 15,.05 oz</t>
        </is>
      </c>
      <c r="E759" s="2">
        <f>HYPERLINK("https://www.amazon.com/Neutrogena-Skinclearing-Blemish-Concealer-Salicylic/dp/B003FBKAL0/ref=sr_1_3?keywords=Let%27s+Face+It+Concealer&amp;qid=1695565849&amp;sr=8-3", "https://www.amazon.com/Neutrogena-Skinclearing-Blemish-Concealer-Salicylic/dp/B003FBKAL0/ref=sr_1_3?keywords=Let%27s+Face+It+Concealer&amp;qid=1695565849&amp;sr=8-3")</f>
        <v/>
      </c>
      <c r="F759" t="inlineStr">
        <is>
          <t>B003FBKAL0</t>
        </is>
      </c>
      <c r="G759">
        <f>_xlfn.IMAGE("https://camerareadycosmetics.com/cdn/shop/products/CONCEALER-LETS-FACE-IT-LIGHT-3_1_50x.jpg?v=1693009096")</f>
        <v/>
      </c>
      <c r="H759">
        <f>_xlfn.IMAGE("https://m.media-amazon.com/images/I/71L3qrzLrML._AC_UL320_.jpg")</f>
        <v/>
      </c>
      <c r="K759" t="inlineStr">
        <is>
          <t>24.0</t>
        </is>
      </c>
      <c r="L759" t="n">
        <v>7.25</v>
      </c>
      <c r="M759" s="1" t="inlineStr">
        <is>
          <t>-69.79%</t>
        </is>
      </c>
      <c r="N759" t="n">
        <v>4.5</v>
      </c>
      <c r="O759" t="n">
        <v>3943</v>
      </c>
      <c r="Q759" t="inlineStr">
        <is>
          <t>InStock</t>
        </is>
      </c>
      <c r="R759" t="inlineStr">
        <is>
          <t>undefined</t>
        </is>
      </c>
      <c r="S759" t="inlineStr">
        <is>
          <t>7608476729529</t>
        </is>
      </c>
    </row>
    <row r="760" ht="75" customHeight="1">
      <c r="A760" s="2">
        <f>HYPERLINK("https://camerareadycosmetics.com/products/dose-of-colors-lets-face-it-concealer", "https://camerareadycosmetics.com/products/dose-of-colors-lets-face-it-concealer")</f>
        <v/>
      </c>
      <c r="B760" s="2">
        <f>HYPERLINK("https://camerareadycosmetics.com/products/dose-of-colors-lets-face-it-concealer", "https://camerareadycosmetics.com/products/dose-of-colors-lets-face-it-concealer")</f>
        <v/>
      </c>
      <c r="C760" t="inlineStr">
        <is>
          <t>Let's Face It Concealer</t>
        </is>
      </c>
      <c r="D760" t="inlineStr">
        <is>
          <t>Neutrogena SkinClearing Blemish Concealer Face Makeup with Salicylic Acid Acne Medicine, Non-Comedogenic and Oil-Free Concealer Helps Cover, Treat &amp; Prevent Breakouts, Medium 15,.05 oz</t>
        </is>
      </c>
      <c r="E760" s="2">
        <f>HYPERLINK("https://www.amazon.com/Neutrogena-Skinclearing-Blemish-Concealer-Salicylic/dp/B003FBKAL0/ref=sr_1_3?keywords=Let%27s+Face+It+Concealer&amp;qid=1695565849&amp;sr=8-3", "https://www.amazon.com/Neutrogena-Skinclearing-Blemish-Concealer-Salicylic/dp/B003FBKAL0/ref=sr_1_3?keywords=Let%27s+Face+It+Concealer&amp;qid=1695565849&amp;sr=8-3")</f>
        <v/>
      </c>
      <c r="F760" t="inlineStr">
        <is>
          <t>B003FBKAL0</t>
        </is>
      </c>
      <c r="G760">
        <f>_xlfn.IMAGE("https://camerareadycosmetics.com/cdn/shop/products/CONCEALER-LETS-FACE-IT-LIGHT-3_1_50x.jpg?v=1693009096")</f>
        <v/>
      </c>
      <c r="H760">
        <f>_xlfn.IMAGE("https://m.media-amazon.com/images/I/71L3qrzLrML._AC_UL320_.jpg")</f>
        <v/>
      </c>
      <c r="K760" t="inlineStr">
        <is>
          <t>24.0</t>
        </is>
      </c>
      <c r="L760" t="n">
        <v>7.25</v>
      </c>
      <c r="M760" s="1" t="inlineStr">
        <is>
          <t>-69.79%</t>
        </is>
      </c>
      <c r="N760" t="n">
        <v>4.5</v>
      </c>
      <c r="O760" t="n">
        <v>3943</v>
      </c>
      <c r="Q760" t="inlineStr">
        <is>
          <t>InStock</t>
        </is>
      </c>
      <c r="R760" t="inlineStr">
        <is>
          <t>undefined</t>
        </is>
      </c>
      <c r="S760" t="inlineStr">
        <is>
          <t>7608476729529</t>
        </is>
      </c>
    </row>
    <row r="761" ht="75" customHeight="1">
      <c r="A761" s="2">
        <f>HYPERLINK("https://camerareadycosmetics.com/products/dose-of-colors-lip-reveal-lip-balm", "https://camerareadycosmetics.com/products/dose-of-colors-lip-reveal-lip-balm")</f>
        <v/>
      </c>
      <c r="B761" s="2">
        <f>HYPERLINK("https://camerareadycosmetics.com/products/dose-of-colors-lip-reveal-lip-balm", "https://camerareadycosmetics.com/products/dose-of-colors-lip-reveal-lip-balm")</f>
        <v/>
      </c>
      <c r="C761" t="inlineStr">
        <is>
          <t>Lip Reveal Lip Balm</t>
        </is>
      </c>
      <c r="D761" t="inlineStr">
        <is>
          <t>100 Set Baby Shower Lip Balm Gifts Bulk Baby Shower Favors for Guests Bulk Gender Reveal Favors Gifts Baby Shower Souvenirs Goodies Supplies with 100 Organza Bags 100 Tags for Women Girl Boy</t>
        </is>
      </c>
      <c r="E761" s="2">
        <f>HYPERLINK("https://www.amazon.com/Siifert-Souvenirs-Goodies-Supplies-Organza/dp/B0CCRZ6BF5/ref=sr_1_3?keywords=Lip+Reveal+Lip+Balm&amp;qid=1695565769&amp;sr=8-3", "https://www.amazon.com/Siifert-Souvenirs-Goodies-Supplies-Organza/dp/B0CCRZ6BF5/ref=sr_1_3?keywords=Lip+Reveal+Lip+Balm&amp;qid=1695565769&amp;sr=8-3")</f>
        <v/>
      </c>
      <c r="F761" t="inlineStr">
        <is>
          <t>B0CCRZ6BF5</t>
        </is>
      </c>
      <c r="G761">
        <f>_xlfn.IMAGE("https://camerareadycosmetics.com/cdn/shop/products/COMPONENT-BOTH_1024x1024_2x_4a4db92d-74d7-4fb9-a19c-75fbec3ebcc2_50x.jpg?v=1622993718")</f>
        <v/>
      </c>
      <c r="H761">
        <f>_xlfn.IMAGE("https://m.media-amazon.com/images/I/81Ra9MUMxbL._AC_UL320_.jpg")</f>
        <v/>
      </c>
      <c r="K761" t="inlineStr">
        <is>
          <t>18.0</t>
        </is>
      </c>
      <c r="L761" t="n">
        <v>48.99</v>
      </c>
      <c r="M761" s="1" t="inlineStr">
        <is>
          <t>172.17%</t>
        </is>
      </c>
      <c r="N761" t="n">
        <v>5</v>
      </c>
      <c r="O761" t="n">
        <v>1</v>
      </c>
      <c r="Q761" t="inlineStr">
        <is>
          <t>InStock</t>
        </is>
      </c>
      <c r="R761" t="inlineStr">
        <is>
          <t>undefined</t>
        </is>
      </c>
      <c r="S761" t="inlineStr">
        <is>
          <t>6760614592697</t>
        </is>
      </c>
    </row>
    <row r="762" ht="75" customHeight="1">
      <c r="A762" s="2">
        <f>HYPERLINK("https://camerareadycosmetics.com/products/dose-of-colors-lip-reveal-lip-balm", "https://camerareadycosmetics.com/products/dose-of-colors-lip-reveal-lip-balm")</f>
        <v/>
      </c>
      <c r="B762" s="2">
        <f>HYPERLINK("https://camerareadycosmetics.com/products/dose-of-colors-lip-reveal-lip-balm", "https://camerareadycosmetics.com/products/dose-of-colors-lip-reveal-lip-balm")</f>
        <v/>
      </c>
      <c r="C762" t="inlineStr">
        <is>
          <t>Lip Reveal Lip Balm</t>
        </is>
      </c>
      <c r="D762" t="inlineStr">
        <is>
          <t>Dunzy 100 Pcs Baby Shower Lip Balms Gifts Bulk Baby Shower Favors Souvenirs for Guests Bulk Gender Reveal Favors Supplies Welcome Goodies Small Thank You Appreciation Gifts for Boys Girls</t>
        </is>
      </c>
      <c r="E762" s="2">
        <f>HYPERLINK("https://www.amazon.com/Dunzy-Souvenirs-Supplies-Welcome-Appreciation/dp/B0CB3PDHTT/ref=sr_1_7?keywords=Lip+Reveal+Lip+Balm&amp;qid=1695565769&amp;sr=8-7", "https://www.amazon.com/Dunzy-Souvenirs-Supplies-Welcome-Appreciation/dp/B0CB3PDHTT/ref=sr_1_7?keywords=Lip+Reveal+Lip+Balm&amp;qid=1695565769&amp;sr=8-7")</f>
        <v/>
      </c>
      <c r="F762" t="inlineStr">
        <is>
          <t>B0CB3PDHTT</t>
        </is>
      </c>
      <c r="G762">
        <f>_xlfn.IMAGE("https://camerareadycosmetics.com/cdn/shop/products/COMPONENT-BOTH_1024x1024_2x_4a4db92d-74d7-4fb9-a19c-75fbec3ebcc2_50x.jpg?v=1622993718")</f>
        <v/>
      </c>
      <c r="H762">
        <f>_xlfn.IMAGE("https://m.media-amazon.com/images/I/71-0DzytfkL._AC_UL320_.jpg")</f>
        <v/>
      </c>
      <c r="K762" t="inlineStr">
        <is>
          <t>18.0</t>
        </is>
      </c>
      <c r="L762" t="n">
        <v>39.99</v>
      </c>
      <c r="M762" s="1" t="inlineStr">
        <is>
          <t>122.17%</t>
        </is>
      </c>
      <c r="N762" t="n">
        <v>4.5</v>
      </c>
      <c r="O762" t="n">
        <v>11</v>
      </c>
      <c r="Q762" t="inlineStr">
        <is>
          <t>InStock</t>
        </is>
      </c>
      <c r="R762" t="inlineStr">
        <is>
          <t>undefined</t>
        </is>
      </c>
      <c r="S762" t="inlineStr">
        <is>
          <t>6760614592697</t>
        </is>
      </c>
    </row>
    <row r="763" ht="75" customHeight="1">
      <c r="A763" s="2">
        <f>HYPERLINK("https://camerareadycosmetics.com/products/dose-of-colors-lip-reveal-lip-balm", "https://camerareadycosmetics.com/products/dose-of-colors-lip-reveal-lip-balm")</f>
        <v/>
      </c>
      <c r="B763" s="2">
        <f>HYPERLINK("https://camerareadycosmetics.com/products/dose-of-colors-lip-reveal-lip-balm", "https://camerareadycosmetics.com/products/dose-of-colors-lip-reveal-lip-balm")</f>
        <v/>
      </c>
      <c r="C763" t="inlineStr">
        <is>
          <t>Lip Reveal Lip Balm</t>
        </is>
      </c>
      <c r="D763" t="inlineStr">
        <is>
          <t>50 Sets Baby Shower Favors Lip Balm with Organza Gift Bags Thank Card Tags for Gender Reveal Lipstick Baby Shower Birthday Party Supplies Basket Gift Stuffers (Bear)</t>
        </is>
      </c>
      <c r="E763" s="2">
        <f>HYPERLINK("https://www.amazon.com/Loopeer-Lipstick-Birthday-Supplies-Stuffers/dp/B0CG697Y14/ref=sr_1_10?keywords=Lip+Reveal+Lip+Balm&amp;qid=1695565769&amp;sr=8-10", "https://www.amazon.com/Loopeer-Lipstick-Birthday-Supplies-Stuffers/dp/B0CG697Y14/ref=sr_1_10?keywords=Lip+Reveal+Lip+Balm&amp;qid=1695565769&amp;sr=8-10")</f>
        <v/>
      </c>
      <c r="F763" t="inlineStr">
        <is>
          <t>B0CG697Y14</t>
        </is>
      </c>
      <c r="G763">
        <f>_xlfn.IMAGE("https://camerareadycosmetics.com/cdn/shop/products/COMPONENT-BOTH_1024x1024_2x_4a4db92d-74d7-4fb9-a19c-75fbec3ebcc2_50x.jpg?v=1622993718")</f>
        <v/>
      </c>
      <c r="H763">
        <f>_xlfn.IMAGE("https://m.media-amazon.com/images/I/71bswOjdIBL._AC_UL320_.jpg")</f>
        <v/>
      </c>
      <c r="K763" t="inlineStr">
        <is>
          <t>18.0</t>
        </is>
      </c>
      <c r="L763" t="n">
        <v>27.99</v>
      </c>
      <c r="M763" s="1" t="inlineStr">
        <is>
          <t>55.50%</t>
        </is>
      </c>
      <c r="N763" t="n">
        <v>5</v>
      </c>
      <c r="O763" t="n">
        <v>5</v>
      </c>
      <c r="Q763" t="inlineStr">
        <is>
          <t>InStock</t>
        </is>
      </c>
      <c r="R763" t="inlineStr">
        <is>
          <t>undefined</t>
        </is>
      </c>
      <c r="S763" t="inlineStr">
        <is>
          <t>6760614592697</t>
        </is>
      </c>
    </row>
    <row r="764" ht="75" customHeight="1">
      <c r="A764" s="2">
        <f>HYPERLINK("https://camerareadycosmetics.com/products/dose-of-colors-lip-reveal-lip-balm", "https://camerareadycosmetics.com/products/dose-of-colors-lip-reveal-lip-balm")</f>
        <v/>
      </c>
      <c r="B764" s="2">
        <f>HYPERLINK("https://camerareadycosmetics.com/products/dose-of-colors-lip-reveal-lip-balm", "https://camerareadycosmetics.com/products/dose-of-colors-lip-reveal-lip-balm")</f>
        <v/>
      </c>
      <c r="C764" t="inlineStr">
        <is>
          <t>Lip Reveal Lip Balm</t>
        </is>
      </c>
      <c r="D764" t="inlineStr">
        <is>
          <t>50 Pcs Baby Shower Lip Balm Bulk Favors Baby Shower Favors Moisturizing Lip Balm for Gender Reveal Favors Baskets Gift Stuffers (Girl)</t>
        </is>
      </c>
      <c r="E764" s="2">
        <f>HYPERLINK("https://www.amazon.com/Shower-Favors-Moisturizing-Baskets-Stuffers/dp/B0C4KBF6KH/ref=sr_1_4?keywords=Lip+Reveal+Lip+Balm&amp;qid=1695565769&amp;sr=8-4", "https://www.amazon.com/Shower-Favors-Moisturizing-Baskets-Stuffers/dp/B0C4KBF6KH/ref=sr_1_4?keywords=Lip+Reveal+Lip+Balm&amp;qid=1695565769&amp;sr=8-4")</f>
        <v/>
      </c>
      <c r="F764" t="inlineStr">
        <is>
          <t>B0C4KBF6KH</t>
        </is>
      </c>
      <c r="G764">
        <f>_xlfn.IMAGE("https://camerareadycosmetics.com/cdn/shop/products/COMPONENT-BOTH_1024x1024_2x_4a4db92d-74d7-4fb9-a19c-75fbec3ebcc2_50x.jpg?v=1622993718")</f>
        <v/>
      </c>
      <c r="H764">
        <f>_xlfn.IMAGE("https://m.media-amazon.com/images/I/71tJ6IebBZL._AC_UL320_.jpg")</f>
        <v/>
      </c>
      <c r="K764" t="inlineStr">
        <is>
          <t>18.0</t>
        </is>
      </c>
      <c r="L764" t="n">
        <v>26.99</v>
      </c>
      <c r="M764" s="1" t="inlineStr">
        <is>
          <t>49.94%</t>
        </is>
      </c>
      <c r="N764" t="n">
        <v>4.7</v>
      </c>
      <c r="O764" t="n">
        <v>9</v>
      </c>
      <c r="Q764" t="inlineStr">
        <is>
          <t>InStock</t>
        </is>
      </c>
      <c r="R764" t="inlineStr">
        <is>
          <t>undefined</t>
        </is>
      </c>
      <c r="S764" t="inlineStr">
        <is>
          <t>6760614592697</t>
        </is>
      </c>
    </row>
    <row r="765" ht="75" customHeight="1">
      <c r="A765" s="2">
        <f>HYPERLINK("https://camerareadycosmetics.com/products/dose-of-colors-lip-reveal-lip-balm", "https://camerareadycosmetics.com/products/dose-of-colors-lip-reveal-lip-balm")</f>
        <v/>
      </c>
      <c r="B765" s="2">
        <f>HYPERLINK("https://camerareadycosmetics.com/products/dose-of-colors-lip-reveal-lip-balm", "https://camerareadycosmetics.com/products/dose-of-colors-lip-reveal-lip-balm")</f>
        <v/>
      </c>
      <c r="C765" t="inlineStr">
        <is>
          <t>Lip Reveal Lip Balm</t>
        </is>
      </c>
      <c r="D765" t="inlineStr">
        <is>
          <t>50 Pcs Lip Balm Gift Set Baby Shower Party Favors Natural Ingredients Beeswax lipsticks Gender Reveal Favors Gift Chapped Lips Care Products for Baby Kids Men Women and Children (Bee)</t>
        </is>
      </c>
      <c r="E765" s="2">
        <f>HYPERLINK("https://www.amazon.com/Loopeer-Ingredients-lipsticks-Products-Children/dp/B0C69JCBJG/ref=sr_1_2?keywords=Lip+Reveal+Lip+Balm&amp;qid=1695565769&amp;sr=8-2", "https://www.amazon.com/Loopeer-Ingredients-lipsticks-Products-Children/dp/B0C69JCBJG/ref=sr_1_2?keywords=Lip+Reveal+Lip+Balm&amp;qid=1695565769&amp;sr=8-2")</f>
        <v/>
      </c>
      <c r="F765" t="inlineStr">
        <is>
          <t>B0C69JCBJG</t>
        </is>
      </c>
      <c r="G765">
        <f>_xlfn.IMAGE("https://camerareadycosmetics.com/cdn/shop/products/COMPONENT-BOTH_1024x1024_2x_4a4db92d-74d7-4fb9-a19c-75fbec3ebcc2_50x.jpg?v=1622993718")</f>
        <v/>
      </c>
      <c r="H765">
        <f>_xlfn.IMAGE("https://m.media-amazon.com/images/I/71WUnfiPzqL._AC_UL320_.jpg")</f>
        <v/>
      </c>
      <c r="K765" t="inlineStr">
        <is>
          <t>18.0</t>
        </is>
      </c>
      <c r="L765" t="n">
        <v>23.99</v>
      </c>
      <c r="M765" s="1" t="inlineStr">
        <is>
          <t>33.28%</t>
        </is>
      </c>
      <c r="N765" t="n">
        <v>5</v>
      </c>
      <c r="O765" t="n">
        <v>3</v>
      </c>
      <c r="Q765" t="inlineStr">
        <is>
          <t>InStock</t>
        </is>
      </c>
      <c r="R765" t="inlineStr">
        <is>
          <t>undefined</t>
        </is>
      </c>
      <c r="S765" t="inlineStr">
        <is>
          <t>6760614592697</t>
        </is>
      </c>
    </row>
    <row r="766" ht="75" customHeight="1">
      <c r="A766" s="2">
        <f>HYPERLINK("https://camerareadycosmetics.com/products/dose-of-colors-lip-reveal-lip-balm", "https://camerareadycosmetics.com/products/dose-of-colors-lip-reveal-lip-balm")</f>
        <v/>
      </c>
      <c r="B766" s="2">
        <f>HYPERLINK("https://camerareadycosmetics.com/products/dose-of-colors-lip-reveal-lip-balm", "https://camerareadycosmetics.com/products/dose-of-colors-lip-reveal-lip-balm")</f>
        <v/>
      </c>
      <c r="C766" t="inlineStr">
        <is>
          <t>Lip Reveal Lip Balm</t>
        </is>
      </c>
      <c r="D766" t="inlineStr">
        <is>
          <t>40 Pieces Lip Balm Bulk Baby Shower Jasmine Lip Balm Favors Floral Moisturizing Lip Balm for Women Children Men Girl kids Gender Reveal Favors Gift Basket (Flower)</t>
        </is>
      </c>
      <c r="E766" s="2">
        <f>HYPERLINK("https://www.amazon.com/Pieces-Jasmine-Moisturizing-Children-Baskets/dp/B0BNBS6GX8/ref=sr_1_6?keywords=Lip+Reveal+Lip+Balm&amp;qid=1695565769&amp;sr=8-6", "https://www.amazon.com/Pieces-Jasmine-Moisturizing-Children-Baskets/dp/B0BNBS6GX8/ref=sr_1_6?keywords=Lip+Reveal+Lip+Balm&amp;qid=1695565769&amp;sr=8-6")</f>
        <v/>
      </c>
      <c r="F766" t="inlineStr">
        <is>
          <t>B0BNBS6GX8</t>
        </is>
      </c>
      <c r="G766">
        <f>_xlfn.IMAGE("https://camerareadycosmetics.com/cdn/shop/products/COMPONENT-BOTH_1024x1024_2x_4a4db92d-74d7-4fb9-a19c-75fbec3ebcc2_50x.jpg?v=1622993718")</f>
        <v/>
      </c>
      <c r="H766">
        <f>_xlfn.IMAGE("https://m.media-amazon.com/images/I/71rh+Wgs9uL._AC_UL320_.jpg")</f>
        <v/>
      </c>
      <c r="K766" t="inlineStr">
        <is>
          <t>18.0</t>
        </is>
      </c>
      <c r="L766" t="n">
        <v>21.99</v>
      </c>
      <c r="M766" s="1" t="inlineStr">
        <is>
          <t>22.17%</t>
        </is>
      </c>
      <c r="N766" t="n">
        <v>4.8</v>
      </c>
      <c r="O766" t="n">
        <v>24</v>
      </c>
      <c r="Q766" t="inlineStr">
        <is>
          <t>InStock</t>
        </is>
      </c>
      <c r="R766" t="inlineStr">
        <is>
          <t>undefined</t>
        </is>
      </c>
      <c r="S766" t="inlineStr">
        <is>
          <t>6760614592697</t>
        </is>
      </c>
    </row>
    <row r="767" ht="75" customHeight="1">
      <c r="A767" s="2">
        <f>HYPERLINK("https://camerareadycosmetics.com/products/dose-of-colors-lip-reveal-lip-balm", "https://camerareadycosmetics.com/products/dose-of-colors-lip-reveal-lip-balm")</f>
        <v/>
      </c>
      <c r="B767" s="2">
        <f>HYPERLINK("https://camerareadycosmetics.com/products/dose-of-colors-lip-reveal-lip-balm", "https://camerareadycosmetics.com/products/dose-of-colors-lip-reveal-lip-balm")</f>
        <v/>
      </c>
      <c r="C767" t="inlineStr">
        <is>
          <t>Lip Reveal Lip Balm</t>
        </is>
      </c>
      <c r="D767" t="inlineStr">
        <is>
          <t>Dose of Colors Lip Reveal Lip Balm - Peach 0.51oz</t>
        </is>
      </c>
      <c r="E767" s="2">
        <f>HYPERLINK("https://www.amazon.com/Dose-Colors-Lip-Reveal-Balm/dp/B08SC2LQLB/ref=sr_1_5?keywords=Lip+Reveal+Lip+Balm&amp;qid=1695565769&amp;sr=8-5", "https://www.amazon.com/Dose-Colors-Lip-Reveal-Balm/dp/B08SC2LQLB/ref=sr_1_5?keywords=Lip+Reveal+Lip+Balm&amp;qid=1695565769&amp;sr=8-5")</f>
        <v/>
      </c>
      <c r="F767" t="inlineStr">
        <is>
          <t>B08SC2LQLB</t>
        </is>
      </c>
      <c r="G767">
        <f>_xlfn.IMAGE("https://camerareadycosmetics.com/cdn/shop/products/COMPONENT-BOTH_1024x1024_2x_4a4db92d-74d7-4fb9-a19c-75fbec3ebcc2_50x.jpg?v=1622993718")</f>
        <v/>
      </c>
      <c r="H767">
        <f>_xlfn.IMAGE("https://m.media-amazon.com/images/I/61jxG3hzBSL._AC_UL320_.jpg")</f>
        <v/>
      </c>
      <c r="K767" t="inlineStr">
        <is>
          <t>18.0</t>
        </is>
      </c>
      <c r="L767" t="n">
        <v>18</v>
      </c>
      <c r="M767" s="1" t="inlineStr">
        <is>
          <t>0.00%</t>
        </is>
      </c>
      <c r="N767" t="n">
        <v>4.5</v>
      </c>
      <c r="O767" t="n">
        <v>28</v>
      </c>
      <c r="Q767" t="inlineStr">
        <is>
          <t>InStock</t>
        </is>
      </c>
      <c r="R767" t="inlineStr">
        <is>
          <t>undefined</t>
        </is>
      </c>
      <c r="S767" t="inlineStr">
        <is>
          <t>6760614592697</t>
        </is>
      </c>
    </row>
    <row r="768" ht="75" customHeight="1">
      <c r="A768" s="2">
        <f>HYPERLINK("https://camerareadycosmetics.com/products/dose-of-colors-lip-reveal-lip-balm", "https://camerareadycosmetics.com/products/dose-of-colors-lip-reveal-lip-balm")</f>
        <v/>
      </c>
      <c r="B768" s="2">
        <f>HYPERLINK("https://camerareadycosmetics.com/products/dose-of-colors-lip-reveal-lip-balm", "https://camerareadycosmetics.com/products/dose-of-colors-lip-reveal-lip-balm")</f>
        <v/>
      </c>
      <c r="C768" t="inlineStr">
        <is>
          <t>Lip Reveal Lip Balm</t>
        </is>
      </c>
      <c r="D768" t="inlineStr">
        <is>
          <t>Dose of Colors Lip Reveal Lip Balm - Clear 0.51oz</t>
        </is>
      </c>
      <c r="E768" s="2">
        <f>HYPERLINK("https://www.amazon.com/Dose-Colors-Lip-Reveal-Balm/dp/B08SC8GGH2/ref=sr_1_1?keywords=Lip+Reveal+Lip+Balm&amp;qid=1695565769&amp;sr=8-1", "https://www.amazon.com/Dose-Colors-Lip-Reveal-Balm/dp/B08SC8GGH2/ref=sr_1_1?keywords=Lip+Reveal+Lip+Balm&amp;qid=1695565769&amp;sr=8-1")</f>
        <v/>
      </c>
      <c r="F768" t="inlineStr">
        <is>
          <t>B08SC8GGH2</t>
        </is>
      </c>
      <c r="G768">
        <f>_xlfn.IMAGE("https://camerareadycosmetics.com/cdn/shop/products/COMPONENT-BOTH_1024x1024_2x_4a4db92d-74d7-4fb9-a19c-75fbec3ebcc2_50x.jpg?v=1622993718")</f>
        <v/>
      </c>
      <c r="H768">
        <f>_xlfn.IMAGE("https://m.media-amazon.com/images/I/61Q3HtVotbL._AC_UL320_.jpg")</f>
        <v/>
      </c>
      <c r="K768" t="inlineStr">
        <is>
          <t>18.0</t>
        </is>
      </c>
      <c r="L768" t="n">
        <v>18</v>
      </c>
      <c r="M768" s="1" t="inlineStr">
        <is>
          <t>0.00%</t>
        </is>
      </c>
      <c r="N768" t="n">
        <v>4.7</v>
      </c>
      <c r="O768" t="n">
        <v>15</v>
      </c>
      <c r="Q768" t="inlineStr">
        <is>
          <t>InStock</t>
        </is>
      </c>
      <c r="R768" t="inlineStr">
        <is>
          <t>undefined</t>
        </is>
      </c>
      <c r="S768" t="inlineStr">
        <is>
          <t>6760614592697</t>
        </is>
      </c>
    </row>
    <row r="769" ht="75" customHeight="1">
      <c r="A769" s="2">
        <f>HYPERLINK("https://camerareadycosmetics.com/products/dose-of-colors-lip-reveal-lip-balm", "https://camerareadycosmetics.com/products/dose-of-colors-lip-reveal-lip-balm")</f>
        <v/>
      </c>
      <c r="B769" s="2">
        <f>HYPERLINK("https://camerareadycosmetics.com/products/dose-of-colors-lip-reveal-lip-balm", "https://camerareadycosmetics.com/products/dose-of-colors-lip-reveal-lip-balm")</f>
        <v/>
      </c>
      <c r="C769" t="inlineStr">
        <is>
          <t>Lip Reveal Lip Balm</t>
        </is>
      </c>
      <c r="D769" t="inlineStr">
        <is>
          <t>NIVEA Lip Care, Fruit Lip Balm Variety Pack, Tinted Lip Balm, 0.17 Oz, 4 count (Pack of 1)</t>
        </is>
      </c>
      <c r="E769" s="2">
        <f>HYPERLINK("https://www.amazon.com/NIVEA-Lip-Variety-Pack-Flavors/dp/B07Y91BMSK/ref=sr_1_9?keywords=Lip+Reveal+Lip+Balm&amp;qid=1695565769&amp;sr=8-9", "https://www.amazon.com/NIVEA-Lip-Variety-Pack-Flavors/dp/B07Y91BMSK/ref=sr_1_9?keywords=Lip+Reveal+Lip+Balm&amp;qid=1695565769&amp;sr=8-9")</f>
        <v/>
      </c>
      <c r="F769" t="inlineStr">
        <is>
          <t>B07Y91BMSK</t>
        </is>
      </c>
      <c r="G769">
        <f>_xlfn.IMAGE("https://camerareadycosmetics.com/cdn/shop/products/COMPONENT-BOTH_1024x1024_2x_4a4db92d-74d7-4fb9-a19c-75fbec3ebcc2_50x.jpg?v=1622993718")</f>
        <v/>
      </c>
      <c r="H769">
        <f>_xlfn.IMAGE("https://m.media-amazon.com/images/I/71ZxoCxwdVL._AC_UL320_.jpg")</f>
        <v/>
      </c>
      <c r="K769" t="inlineStr">
        <is>
          <t>18.0</t>
        </is>
      </c>
      <c r="L769" t="n">
        <v>9.69</v>
      </c>
      <c r="M769" s="1" t="inlineStr">
        <is>
          <t>-46.17%</t>
        </is>
      </c>
      <c r="N769" t="n">
        <v>4.6</v>
      </c>
      <c r="O769" t="n">
        <v>14576</v>
      </c>
      <c r="Q769" t="inlineStr">
        <is>
          <t>InStock</t>
        </is>
      </c>
      <c r="R769" t="inlineStr">
        <is>
          <t>undefined</t>
        </is>
      </c>
      <c r="S769" t="inlineStr">
        <is>
          <t>6760614592697</t>
        </is>
      </c>
    </row>
    <row r="770" ht="75" customHeight="1">
      <c r="A770" s="2">
        <f>HYPERLINK("https://camerareadycosmetics.com/products/dose-of-colors-lip-reveal-lip-balm", "https://camerareadycosmetics.com/products/dose-of-colors-lip-reveal-lip-balm")</f>
        <v/>
      </c>
      <c r="B770" s="2">
        <f>HYPERLINK("https://camerareadycosmetics.com/products/dose-of-colors-lip-reveal-lip-balm", "https://camerareadycosmetics.com/products/dose-of-colors-lip-reveal-lip-balm")</f>
        <v/>
      </c>
      <c r="C770" t="inlineStr">
        <is>
          <t>Lip Reveal Lip Balm</t>
        </is>
      </c>
      <c r="D770" t="inlineStr">
        <is>
          <t>Pacifica Beauty, Color Quench Tinted Lip Balm, Sugared Fig, Coconut Oil, Cocoa Seed Butter, Vitamin E, Moisturizer, Dry Cracked Skin, Talc / Mineral Oil / Paraben Free, Vegan &amp; Cruelty Free</t>
        </is>
      </c>
      <c r="E770" s="2">
        <f>HYPERLINK("https://www.amazon.com/Pacifica-Beauty-Color-Quench-Tint/dp/B00DLNTYXW/ref=sr_1_8?keywords=Lip+Reveal+Lip+Balm&amp;qid=1695565769&amp;sr=8-8", "https://www.amazon.com/Pacifica-Beauty-Color-Quench-Tint/dp/B00DLNTYXW/ref=sr_1_8?keywords=Lip+Reveal+Lip+Balm&amp;qid=1695565769&amp;sr=8-8")</f>
        <v/>
      </c>
      <c r="F770" t="inlineStr">
        <is>
          <t>B00DLNTYXW</t>
        </is>
      </c>
      <c r="G770">
        <f>_xlfn.IMAGE("https://camerareadycosmetics.com/cdn/shop/products/COMPONENT-BOTH_1024x1024_2x_4a4db92d-74d7-4fb9-a19c-75fbec3ebcc2_50x.jpg?v=1622993718")</f>
        <v/>
      </c>
      <c r="H770">
        <f>_xlfn.IMAGE("https://m.media-amazon.com/images/I/61gGg6aTNKL._AC_UL320_.jpg")</f>
        <v/>
      </c>
      <c r="K770" t="inlineStr">
        <is>
          <t>18.0</t>
        </is>
      </c>
      <c r="L770" t="n">
        <v>3.5</v>
      </c>
      <c r="M770" s="1" t="inlineStr">
        <is>
          <t>-80.56%</t>
        </is>
      </c>
      <c r="N770" t="n">
        <v>4.3</v>
      </c>
      <c r="O770" t="n">
        <v>7132</v>
      </c>
      <c r="Q770" t="inlineStr">
        <is>
          <t>InStock</t>
        </is>
      </c>
      <c r="R770" t="inlineStr">
        <is>
          <t>undefined</t>
        </is>
      </c>
      <c r="S770" t="inlineStr">
        <is>
          <t>6760614592697</t>
        </is>
      </c>
    </row>
    <row r="771" ht="75" customHeight="1">
      <c r="A771" s="2">
        <f>HYPERLINK("https://camerareadycosmetics.com/products/dose-of-colors-lip-reveal-lip-balm", "https://camerareadycosmetics.com/products/dose-of-colors-lip-reveal-lip-balm")</f>
        <v/>
      </c>
      <c r="B771" s="2">
        <f>HYPERLINK("https://camerareadycosmetics.com/products/dose-of-colors-lip-reveal-lip-balm", "https://camerareadycosmetics.com/products/dose-of-colors-lip-reveal-lip-balm")</f>
        <v/>
      </c>
      <c r="C771" t="inlineStr">
        <is>
          <t>Lip Reveal Lip Balm</t>
        </is>
      </c>
      <c r="D771" t="inlineStr">
        <is>
          <t>Pacifica Beauty, Color Quench Tinted Lip Balm, Sugared Fig, Coconut Oil, Cocoa Seed Butter, Vitamin E, Moisturizer, Dry Cracked Skin, Talc / Mineral Oil / Paraben Free, Vegan &amp; Cruelty Free</t>
        </is>
      </c>
      <c r="E771" s="2">
        <f>HYPERLINK("https://www.amazon.com/Pacifica-Beauty-Color-Quench-Tint/dp/B00DLNTYXW/ref=sr_1_8?keywords=Lip+Reveal+Lip+Balm&amp;qid=1695565769&amp;sr=8-8", "https://www.amazon.com/Pacifica-Beauty-Color-Quench-Tint/dp/B00DLNTYXW/ref=sr_1_8?keywords=Lip+Reveal+Lip+Balm&amp;qid=1695565769&amp;sr=8-8")</f>
        <v/>
      </c>
      <c r="F771" t="inlineStr">
        <is>
          <t>B00DLNTYXW</t>
        </is>
      </c>
      <c r="G771">
        <f>_xlfn.IMAGE("https://camerareadycosmetics.com/cdn/shop/products/COMPONENT-BOTH_1024x1024_2x_4a4db92d-74d7-4fb9-a19c-75fbec3ebcc2_50x.jpg?v=1622993718")</f>
        <v/>
      </c>
      <c r="H771">
        <f>_xlfn.IMAGE("https://m.media-amazon.com/images/I/61gGg6aTNKL._AC_UL320_.jpg")</f>
        <v/>
      </c>
      <c r="K771" t="inlineStr">
        <is>
          <t>18.0</t>
        </is>
      </c>
      <c r="L771" t="n">
        <v>3.5</v>
      </c>
      <c r="M771" s="1" t="inlineStr">
        <is>
          <t>-80.56%</t>
        </is>
      </c>
      <c r="N771" t="n">
        <v>4.3</v>
      </c>
      <c r="O771" t="n">
        <v>7132</v>
      </c>
      <c r="Q771" t="inlineStr">
        <is>
          <t>InStock</t>
        </is>
      </c>
      <c r="R771" t="inlineStr">
        <is>
          <t>undefined</t>
        </is>
      </c>
      <c r="S771" t="inlineStr">
        <is>
          <t>6760614592697</t>
        </is>
      </c>
    </row>
    <row r="772" ht="75" customHeight="1">
      <c r="A772" s="2">
        <f>HYPERLINK("https://camerareadycosmetics.com/products/dose-of-colors-lip-set-duo", "https://camerareadycosmetics.com/products/dose-of-colors-lip-set-duo")</f>
        <v/>
      </c>
      <c r="B772" s="2">
        <f>HYPERLINK("https://camerareadycosmetics.com/products/dose-of-colors-lip-set-duo", "https://camerareadycosmetics.com/products/dose-of-colors-lip-set-duo")</f>
        <v/>
      </c>
      <c r="C772" t="inlineStr">
        <is>
          <t>Lip Set Duo</t>
        </is>
      </c>
      <c r="D772" t="inlineStr">
        <is>
          <t>NARS Mini Orgasm Blush and Lip Gloss Duo Set:: Mini Blush in Orgasm and Mini Afterglow Lip Shine in Orgasm</t>
        </is>
      </c>
      <c r="E772" s="2">
        <f>HYPERLINK("https://www.amazon.com/NARS-Mini-Orgasm-Blush-Gloss/dp/B0C27H69NS/ref=sr_1_3?keywords=Lip+Set+Duo&amp;qid=1695565578&amp;sr=8-3", "https://www.amazon.com/NARS-Mini-Orgasm-Blush-Gloss/dp/B0C27H69NS/ref=sr_1_3?keywords=Lip+Set+Duo&amp;qid=1695565578&amp;sr=8-3")</f>
        <v/>
      </c>
      <c r="F772" t="inlineStr">
        <is>
          <t>B0C27H69NS</t>
        </is>
      </c>
      <c r="G772">
        <f>_xlfn.IMAGE("https://camerareadycosmetics.com/cdn/shop/products/Dose_of_Colors_Lip_Set_Duo-CRC_Truffle_50x.jpg?v=1654885309")</f>
        <v/>
      </c>
      <c r="H772">
        <f>_xlfn.IMAGE("https://m.media-amazon.com/images/I/519iiXezRbL._AC_UL320_.jpg")</f>
        <v/>
      </c>
      <c r="K772" t="inlineStr">
        <is>
          <t>29.0</t>
        </is>
      </c>
      <c r="L772" t="n">
        <v>35.95</v>
      </c>
      <c r="M772" s="1" t="inlineStr">
        <is>
          <t>23.97%</t>
        </is>
      </c>
      <c r="N772" t="n">
        <v>4</v>
      </c>
      <c r="O772" t="n">
        <v>2</v>
      </c>
      <c r="Q772" t="inlineStr">
        <is>
          <t>InStock</t>
        </is>
      </c>
      <c r="R772" t="inlineStr">
        <is>
          <t>undefined</t>
        </is>
      </c>
      <c r="S772" t="inlineStr">
        <is>
          <t>7372663259321</t>
        </is>
      </c>
    </row>
    <row r="773" ht="75" customHeight="1">
      <c r="A773" s="2">
        <f>HYPERLINK("https://camerareadycosmetics.com/products/dose-of-colors-lip-set-duo", "https://camerareadycosmetics.com/products/dose-of-colors-lip-set-duo")</f>
        <v/>
      </c>
      <c r="B773" s="2">
        <f>HYPERLINK("https://camerareadycosmetics.com/products/dose-of-colors-lip-set-duo", "https://camerareadycosmetics.com/products/dose-of-colors-lip-set-duo")</f>
        <v/>
      </c>
      <c r="C773" t="inlineStr">
        <is>
          <t>Lip Set Duo</t>
        </is>
      </c>
      <c r="D773" t="inlineStr">
        <is>
          <t>CHARLOTTE TILBURY Mini Pillow Talk Duo Lip Kit Pillow Talk Intense - Travel Size Lip Makeup Set, Mini Lip Cheat Lip Liner and Mini Matte Revolution Lipstick, Long Lasting</t>
        </is>
      </c>
      <c r="E773" s="2">
        <f>HYPERLINK("https://www.amazon.com/Charlotte-Tilbury-Mini-Pillow-Intense/dp/B0927WZ69Q/ref=sr_1_4?keywords=Lip+Set+Duo&amp;qid=1695565578&amp;sr=8-4", "https://www.amazon.com/Charlotte-Tilbury-Mini-Pillow-Intense/dp/B0927WZ69Q/ref=sr_1_4?keywords=Lip+Set+Duo&amp;qid=1695565578&amp;sr=8-4")</f>
        <v/>
      </c>
      <c r="F773" t="inlineStr">
        <is>
          <t>B0927WZ69Q</t>
        </is>
      </c>
      <c r="G773">
        <f>_xlfn.IMAGE("https://camerareadycosmetics.com/cdn/shop/products/Dose_of_Colors_Lip_Set_Duo-CRC_Truffle_50x.jpg?v=1654885309")</f>
        <v/>
      </c>
      <c r="H773">
        <f>_xlfn.IMAGE("https://m.media-amazon.com/images/I/51v9U9cqWmL._AC_UL320_.jpg")</f>
        <v/>
      </c>
      <c r="K773" t="inlineStr">
        <is>
          <t>29.0</t>
        </is>
      </c>
      <c r="L773" t="n">
        <v>31</v>
      </c>
      <c r="M773" s="1" t="inlineStr">
        <is>
          <t>6.90%</t>
        </is>
      </c>
      <c r="N773" t="n">
        <v>4.2</v>
      </c>
      <c r="O773" t="n">
        <v>51</v>
      </c>
      <c r="Q773" t="inlineStr">
        <is>
          <t>InStock</t>
        </is>
      </c>
      <c r="R773" t="inlineStr">
        <is>
          <t>undefined</t>
        </is>
      </c>
      <c r="S773" t="inlineStr">
        <is>
          <t>7372663259321</t>
        </is>
      </c>
    </row>
    <row r="774" ht="75" customHeight="1">
      <c r="A774" s="2">
        <f>HYPERLINK("https://camerareadycosmetics.com/products/dose-of-colors-lip-set-duo", "https://camerareadycosmetics.com/products/dose-of-colors-lip-set-duo")</f>
        <v/>
      </c>
      <c r="B774" s="2">
        <f>HYPERLINK("https://camerareadycosmetics.com/products/dose-of-colors-lip-set-duo", "https://camerareadycosmetics.com/products/dose-of-colors-lip-set-duo")</f>
        <v/>
      </c>
      <c r="C774" t="inlineStr">
        <is>
          <t>Lip Set Duo</t>
        </is>
      </c>
      <c r="D774" t="inlineStr">
        <is>
          <t>Dose of Colors Lip Set Duos (Stone)</t>
        </is>
      </c>
      <c r="E774" s="2">
        <f>HYPERLINK("https://www.amazon.com/Dose-Colors-Lip-Duos-Stone/dp/B0B32Z5T46/ref=sr_1_1?keywords=Lip+Set+Duo&amp;qid=1695565578&amp;sr=8-1", "https://www.amazon.com/Dose-Colors-Lip-Duos-Stone/dp/B0B32Z5T46/ref=sr_1_1?keywords=Lip+Set+Duo&amp;qid=1695565578&amp;sr=8-1")</f>
        <v/>
      </c>
      <c r="F774" t="inlineStr">
        <is>
          <t>B0B32Z5T46</t>
        </is>
      </c>
      <c r="G774">
        <f>_xlfn.IMAGE("https://camerareadycosmetics.com/cdn/shop/products/Dose_of_Colors_Lip_Set_Duo-CRC_Truffle_50x.jpg?v=1654885309")</f>
        <v/>
      </c>
      <c r="H774">
        <f>_xlfn.IMAGE("https://m.media-amazon.com/images/I/61YeExb0j1L._AC_UL320_.jpg")</f>
        <v/>
      </c>
      <c r="K774" t="inlineStr">
        <is>
          <t>29.0</t>
        </is>
      </c>
      <c r="L774" t="n">
        <v>29</v>
      </c>
      <c r="M774" s="1" t="inlineStr">
        <is>
          <t>0.00%</t>
        </is>
      </c>
      <c r="N774" t="n">
        <v>4.3</v>
      </c>
      <c r="O774" t="n">
        <v>40</v>
      </c>
      <c r="Q774" t="inlineStr">
        <is>
          <t>InStock</t>
        </is>
      </c>
      <c r="R774" t="inlineStr">
        <is>
          <t>undefined</t>
        </is>
      </c>
      <c r="S774" t="inlineStr">
        <is>
          <t>7372663259321</t>
        </is>
      </c>
    </row>
    <row r="775" ht="75" customHeight="1">
      <c r="A775" s="2">
        <f>HYPERLINK("https://camerareadycosmetics.com/products/dose-of-colors-lip-set-duo", "https://camerareadycosmetics.com/products/dose-of-colors-lip-set-duo")</f>
        <v/>
      </c>
      <c r="B775" s="2">
        <f>HYPERLINK("https://camerareadycosmetics.com/products/dose-of-colors-lip-set-duo", "https://camerareadycosmetics.com/products/dose-of-colors-lip-set-duo")</f>
        <v/>
      </c>
      <c r="C775" t="inlineStr">
        <is>
          <t>Lip Set Duo</t>
        </is>
      </c>
      <c r="D775" t="inlineStr">
        <is>
          <t>evpct 3Pcs Nude Beige Dark Light Brown Yellow Matte Lipstick and Lip Crayon Lip Liner Stick Pencil duo Makeup Set Long Lasting 24 Hour Waterproof Lip Gloss labiales mate 24 horas originales 08&amp;17&amp;19</t>
        </is>
      </c>
      <c r="E775" s="2">
        <f>HYPERLINK("https://www.amazon.com/evpct-Lipstick-Waterproof-labiales-originales/dp/B0BPK9LRF7/ref=sr_1_7?keywords=Lip+Set+Duo&amp;qid=1695565578&amp;sr=8-7", "https://www.amazon.com/evpct-Lipstick-Waterproof-labiales-originales/dp/B0BPK9LRF7/ref=sr_1_7?keywords=Lip+Set+Duo&amp;qid=1695565578&amp;sr=8-7")</f>
        <v/>
      </c>
      <c r="F775" t="inlineStr">
        <is>
          <t>B0BPK9LRF7</t>
        </is>
      </c>
      <c r="G775">
        <f>_xlfn.IMAGE("https://camerareadycosmetics.com/cdn/shop/products/Dose_of_Colors_Lip_Set_Duo-CRC_Truffle_50x.jpg?v=1654885309")</f>
        <v/>
      </c>
      <c r="H775">
        <f>_xlfn.IMAGE("https://m.media-amazon.com/images/I/61ccJLMi9tL._AC_UL320_.jpg")</f>
        <v/>
      </c>
      <c r="K775" t="inlineStr">
        <is>
          <t>29.0</t>
        </is>
      </c>
      <c r="L775" t="n">
        <v>7.99</v>
      </c>
      <c r="M775" s="1" t="inlineStr">
        <is>
          <t>-72.45%</t>
        </is>
      </c>
      <c r="N775" t="n">
        <v>3.7</v>
      </c>
      <c r="O775" t="n">
        <v>979</v>
      </c>
      <c r="Q775" t="inlineStr">
        <is>
          <t>InStock</t>
        </is>
      </c>
      <c r="R775" t="inlineStr">
        <is>
          <t>undefined</t>
        </is>
      </c>
      <c r="S775" t="inlineStr">
        <is>
          <t>7372663259321</t>
        </is>
      </c>
    </row>
    <row r="776" ht="75" customHeight="1">
      <c r="A776" s="2">
        <f>HYPERLINK("https://camerareadycosmetics.com/products/dose-of-colors-lip-set-duo", "https://camerareadycosmetics.com/products/dose-of-colors-lip-set-duo")</f>
        <v/>
      </c>
      <c r="B776" s="2">
        <f>HYPERLINK("https://camerareadycosmetics.com/products/dose-of-colors-lip-set-duo", "https://camerareadycosmetics.com/products/dose-of-colors-lip-set-duo")</f>
        <v/>
      </c>
      <c r="C776" t="inlineStr">
        <is>
          <t>Lip Set Duo</t>
        </is>
      </c>
      <c r="D776" t="inlineStr">
        <is>
          <t>evpct 3Pcs Nude Beige Dark Light Brown Yellow Matte Lipstick and Lip Crayon Lip Liner Stick Pencil duo Makeup Set Long Lasting 24 Hour Waterproof Lip Gloss labiales mate 24 horas originales 08&amp;17&amp;19</t>
        </is>
      </c>
      <c r="E776" s="2">
        <f>HYPERLINK("https://www.amazon.com/evpct-Lipstick-Waterproof-labiales-originales/dp/B0BPK9LRF7/ref=sr_1_7?keywords=Lip+Set+Duo&amp;qid=1695565578&amp;sr=8-7", "https://www.amazon.com/evpct-Lipstick-Waterproof-labiales-originales/dp/B0BPK9LRF7/ref=sr_1_7?keywords=Lip+Set+Duo&amp;qid=1695565578&amp;sr=8-7")</f>
        <v/>
      </c>
      <c r="F776" t="inlineStr">
        <is>
          <t>B0BPK9LRF7</t>
        </is>
      </c>
      <c r="G776">
        <f>_xlfn.IMAGE("https://camerareadycosmetics.com/cdn/shop/products/Dose_of_Colors_Lip_Set_Duo-CRC_Truffle_50x.jpg?v=1654885309")</f>
        <v/>
      </c>
      <c r="H776">
        <f>_xlfn.IMAGE("https://m.media-amazon.com/images/I/61ccJLMi9tL._AC_UL320_.jpg")</f>
        <v/>
      </c>
      <c r="K776" t="inlineStr">
        <is>
          <t>29.0</t>
        </is>
      </c>
      <c r="L776" t="n">
        <v>7.99</v>
      </c>
      <c r="M776" s="1" t="inlineStr">
        <is>
          <t>-72.45%</t>
        </is>
      </c>
      <c r="N776" t="n">
        <v>3.7</v>
      </c>
      <c r="O776" t="n">
        <v>979</v>
      </c>
      <c r="Q776" t="inlineStr">
        <is>
          <t>InStock</t>
        </is>
      </c>
      <c r="R776" t="inlineStr">
        <is>
          <t>undefined</t>
        </is>
      </c>
      <c r="S776" t="inlineStr">
        <is>
          <t>7372663259321</t>
        </is>
      </c>
    </row>
    <row r="777" ht="75" customHeight="1">
      <c r="A777" s="2">
        <f>HYPERLINK("https://camerareadycosmetics.com/products/dose-of-colors-liquid-matte-lipstick", "https://camerareadycosmetics.com/products/dose-of-colors-liquid-matte-lipstick")</f>
        <v/>
      </c>
      <c r="B777" s="2">
        <f>HYPERLINK("https://camerareadycosmetics.com/products/dose-of-colors-liquid-matte-lipstick", "https://camerareadycosmetics.com/products/dose-of-colors-liquid-matte-lipstick")</f>
        <v/>
      </c>
      <c r="C777" t="inlineStr">
        <is>
          <t>Liquid Matte Lipstick</t>
        </is>
      </c>
      <c r="D777" t="inlineStr">
        <is>
          <t>BestLand 6Pcs Matte Liquid Lipstick Makeup Set, Matte liquid Long-Lasting Wear Non-Stick Cup Not Fade Waterproof Lip Gloss (Set A)</t>
        </is>
      </c>
      <c r="E777" s="2">
        <f>HYPERLINK("https://www.amazon.com/Liquid-Lipstick-Long-Lasting-Non-Stick-Waterproof/dp/B083QNQQP9/ref=sr_1_8?keywords=Liquid+Matte+Lipstick&amp;qid=1695565435&amp;sr=8-8", "https://www.amazon.com/Liquid-Lipstick-Long-Lasting-Non-Stick-Waterproof/dp/B083QNQQP9/ref=sr_1_8?keywords=Liquid+Matte+Lipstick&amp;qid=1695565435&amp;sr=8-8")</f>
        <v/>
      </c>
      <c r="F777" t="inlineStr">
        <is>
          <t>B083QNQQP9</t>
        </is>
      </c>
      <c r="G777">
        <f>_xlfn.IMAGE("https://camerareadycosmetics.com/cdn/shop/products/OLD-FLAME_50x.jpg?v=1672929819")</f>
        <v/>
      </c>
      <c r="H777">
        <f>_xlfn.IMAGE("https://m.media-amazon.com/images/I/61YVyDv6rbL._AC_UL320_.jpg")</f>
        <v/>
      </c>
      <c r="K777" t="inlineStr">
        <is>
          <t>19.0</t>
        </is>
      </c>
      <c r="L777" t="n">
        <v>9.99</v>
      </c>
      <c r="M777" s="1" t="inlineStr">
        <is>
          <t>-47.42%</t>
        </is>
      </c>
      <c r="N777" t="n">
        <v>3.9</v>
      </c>
      <c r="O777" t="n">
        <v>38632</v>
      </c>
      <c r="Q777" t="inlineStr">
        <is>
          <t>InStock</t>
        </is>
      </c>
      <c r="R777" t="inlineStr">
        <is>
          <t>undefined</t>
        </is>
      </c>
      <c r="S777" t="inlineStr">
        <is>
          <t>6764533219513</t>
        </is>
      </c>
    </row>
    <row r="778" ht="75" customHeight="1">
      <c r="A778" s="2">
        <f>HYPERLINK("https://camerareadycosmetics.com/products/dose-of-colors-liquid-matte-lipstick", "https://camerareadycosmetics.com/products/dose-of-colors-liquid-matte-lipstick")</f>
        <v/>
      </c>
      <c r="B778" s="2">
        <f>HYPERLINK("https://camerareadycosmetics.com/products/dose-of-colors-liquid-matte-lipstick", "https://camerareadycosmetics.com/products/dose-of-colors-liquid-matte-lipstick")</f>
        <v/>
      </c>
      <c r="C778" t="inlineStr">
        <is>
          <t>Liquid Matte Lipstick</t>
        </is>
      </c>
      <c r="D778" t="inlineStr">
        <is>
          <t>QiBest 7Pcs Matte Liquid Lipstick + 1Pcs Lip Plumper Makeup Set Kit, Pigmented Long Lasting Lip Gloss Set, Velvet Waterproof Lip Makeup Gift Sets for Girls and Women</t>
        </is>
      </c>
      <c r="E778" s="2">
        <f>HYPERLINK("https://www.amazon.com/Lipstick-Plumper-Waterproof-Pigmented-Halloween/dp/B089FBPMC6/ref=sr_1_4?keywords=Liquid+Matte+Lipstick&amp;qid=1695565435&amp;sr=8-4", "https://www.amazon.com/Lipstick-Plumper-Waterproof-Pigmented-Halloween/dp/B089FBPMC6/ref=sr_1_4?keywords=Liquid+Matte+Lipstick&amp;qid=1695565435&amp;sr=8-4")</f>
        <v/>
      </c>
      <c r="F778" t="inlineStr">
        <is>
          <t>B089FBPMC6</t>
        </is>
      </c>
      <c r="G778">
        <f>_xlfn.IMAGE("https://camerareadycosmetics.com/cdn/shop/products/OLD-FLAME_50x.jpg?v=1672929819")</f>
        <v/>
      </c>
      <c r="H778">
        <f>_xlfn.IMAGE("https://m.media-amazon.com/images/I/71VLJZfXa3L._AC_UL320_.jpg")</f>
        <v/>
      </c>
      <c r="K778" t="inlineStr">
        <is>
          <t>19.0</t>
        </is>
      </c>
      <c r="L778" t="n">
        <v>8.99</v>
      </c>
      <c r="M778" s="1" t="inlineStr">
        <is>
          <t>-52.68%</t>
        </is>
      </c>
      <c r="N778" t="n">
        <v>4.2</v>
      </c>
      <c r="O778" t="n">
        <v>23914</v>
      </c>
      <c r="Q778" t="inlineStr">
        <is>
          <t>InStock</t>
        </is>
      </c>
      <c r="R778" t="inlineStr">
        <is>
          <t>undefined</t>
        </is>
      </c>
      <c r="S778" t="inlineStr">
        <is>
          <t>6764533219513</t>
        </is>
      </c>
    </row>
    <row r="779" ht="75" customHeight="1">
      <c r="A779" s="2">
        <f>HYPERLINK("https://camerareadycosmetics.com/products/dose-of-colors-liquid-matte-lipstick", "https://camerareadycosmetics.com/products/dose-of-colors-liquid-matte-lipstick")</f>
        <v/>
      </c>
      <c r="B779" s="2">
        <f>HYPERLINK("https://camerareadycosmetics.com/products/dose-of-colors-liquid-matte-lipstick", "https://camerareadycosmetics.com/products/dose-of-colors-liquid-matte-lipstick")</f>
        <v/>
      </c>
      <c r="C779" t="inlineStr">
        <is>
          <t>Liquid Matte Lipstick</t>
        </is>
      </c>
      <c r="D779" t="inlineStr">
        <is>
          <t>evpct CmaaDu 6Pcs Lipstick Matte Liquid Lipstick Lipgloss Set for Women labiales mate 24 horas originales matte larga duracion 24 Deep Red Original 24 Hour Lipstick Lip Stain Long Lasting Waterproof</t>
        </is>
      </c>
      <c r="E779" s="2">
        <f>HYPERLINK("https://www.amazon.com/lipstick-Lipstick-Waterproof-Lipgloss-Cosmetics/dp/B08SWHKGMF/ref=sr_1_7?keywords=Liquid+Matte+Lipstick&amp;qid=1695565435&amp;sr=8-7", "https://www.amazon.com/lipstick-Lipstick-Waterproof-Lipgloss-Cosmetics/dp/B08SWHKGMF/ref=sr_1_7?keywords=Liquid+Matte+Lipstick&amp;qid=1695565435&amp;sr=8-7")</f>
        <v/>
      </c>
      <c r="F779" t="inlineStr">
        <is>
          <t>B08SWHKGMF</t>
        </is>
      </c>
      <c r="G779">
        <f>_xlfn.IMAGE("https://camerareadycosmetics.com/cdn/shop/products/OLD-FLAME_50x.jpg?v=1672929819")</f>
        <v/>
      </c>
      <c r="H779">
        <f>_xlfn.IMAGE("https://m.media-amazon.com/images/I/61VRFHm+OBL._AC_UL320_.jpg")</f>
        <v/>
      </c>
      <c r="K779" t="inlineStr">
        <is>
          <t>19.0</t>
        </is>
      </c>
      <c r="L779" t="n">
        <v>6.99</v>
      </c>
      <c r="M779" s="1" t="inlineStr">
        <is>
          <t>-63.21%</t>
        </is>
      </c>
      <c r="N779" t="n">
        <v>4</v>
      </c>
      <c r="O779" t="n">
        <v>11446</v>
      </c>
      <c r="Q779" t="inlineStr">
        <is>
          <t>InStock</t>
        </is>
      </c>
      <c r="R779" t="inlineStr">
        <is>
          <t>undefined</t>
        </is>
      </c>
      <c r="S779" t="inlineStr">
        <is>
          <t>6764533219513</t>
        </is>
      </c>
    </row>
    <row r="780" ht="75" customHeight="1">
      <c r="A780" s="2">
        <f>HYPERLINK("https://camerareadycosmetics.com/products/dose-of-colors-liquid-matte-lipstick", "https://camerareadycosmetics.com/products/dose-of-colors-liquid-matte-lipstick")</f>
        <v/>
      </c>
      <c r="B780" s="2">
        <f>HYPERLINK("https://camerareadycosmetics.com/products/dose-of-colors-liquid-matte-lipstick", "https://camerareadycosmetics.com/products/dose-of-colors-liquid-matte-lipstick")</f>
        <v/>
      </c>
      <c r="C780" t="inlineStr">
        <is>
          <t>Liquid Matte Lipstick</t>
        </is>
      </c>
      <c r="D780" t="inlineStr">
        <is>
          <t>NYX PROFESSIONAL MAKEUP Soft Matte Lip Cream, Lightweight Liquid Lipstick - Abu Dhabi (Deep Rose-Beige)</t>
        </is>
      </c>
      <c r="E780" s="2">
        <f>HYPERLINK("https://www.amazon.com/NYX-Soft-Matte-Cream-Dhabi/dp/B004LXJOEK/ref=sr_1_5?keywords=Liquid+Matte+Lipstick&amp;qid=1695565435&amp;sr=8-5", "https://www.amazon.com/NYX-Soft-Matte-Cream-Dhabi/dp/B004LXJOEK/ref=sr_1_5?keywords=Liquid+Matte+Lipstick&amp;qid=1695565435&amp;sr=8-5")</f>
        <v/>
      </c>
      <c r="F780" t="inlineStr">
        <is>
          <t>B004LXJOEK</t>
        </is>
      </c>
      <c r="G780">
        <f>_xlfn.IMAGE("https://camerareadycosmetics.com/cdn/shop/products/OLD-FLAME_50x.jpg?v=1672929819")</f>
        <v/>
      </c>
      <c r="H780">
        <f>_xlfn.IMAGE("https://m.media-amazon.com/images/I/61tiMiLR4ES._AC_UL320_.jpg")</f>
        <v/>
      </c>
      <c r="K780" t="inlineStr">
        <is>
          <t>19.0</t>
        </is>
      </c>
      <c r="L780" t="n">
        <v>6.49</v>
      </c>
      <c r="M780" s="1" t="inlineStr">
        <is>
          <t>-65.84%</t>
        </is>
      </c>
      <c r="N780" t="n">
        <v>4.3</v>
      </c>
      <c r="O780" t="n">
        <v>39337</v>
      </c>
      <c r="Q780" t="inlineStr">
        <is>
          <t>InStock</t>
        </is>
      </c>
      <c r="R780" t="inlineStr">
        <is>
          <t>undefined</t>
        </is>
      </c>
      <c r="S780" t="inlineStr">
        <is>
          <t>6764533219513</t>
        </is>
      </c>
    </row>
    <row r="781" ht="75" customHeight="1">
      <c r="A781" s="2">
        <f>HYPERLINK("https://camerareadycosmetics.com/products/dose-of-colors-liquid-matte-lipstick", "https://camerareadycosmetics.com/products/dose-of-colors-liquid-matte-lipstick")</f>
        <v/>
      </c>
      <c r="B781" s="2">
        <f>HYPERLINK("https://camerareadycosmetics.com/products/dose-of-colors-liquid-matte-lipstick", "https://camerareadycosmetics.com/products/dose-of-colors-liquid-matte-lipstick")</f>
        <v/>
      </c>
      <c r="C781" t="inlineStr">
        <is>
          <t>Liquid Matte Lipstick</t>
        </is>
      </c>
      <c r="D781" t="inlineStr">
        <is>
          <t>Ruby Kisses Forever Matte Liquid Lipstick - RFML13 (Choco Craze)</t>
        </is>
      </c>
      <c r="E781" s="2">
        <f>HYPERLINK("https://www.amazon.com/Ruby-Kisses-Forever-Liquid-Lipstick/dp/B074NJBLDD/ref=sr_1_2?keywords=Liquid+Matte+Lipstick&amp;qid=1695565435&amp;sr=8-2", "https://www.amazon.com/Ruby-Kisses-Forever-Liquid-Lipstick/dp/B074NJBLDD/ref=sr_1_2?keywords=Liquid+Matte+Lipstick&amp;qid=1695565435&amp;sr=8-2")</f>
        <v/>
      </c>
      <c r="F781" t="inlineStr">
        <is>
          <t>B074NJBLDD</t>
        </is>
      </c>
      <c r="G781">
        <f>_xlfn.IMAGE("https://camerareadycosmetics.com/cdn/shop/products/OLD-FLAME_50x.jpg?v=1672929819")</f>
        <v/>
      </c>
      <c r="H781">
        <f>_xlfn.IMAGE("https://m.media-amazon.com/images/I/719R8Mju25L._AC_UL320_.jpg")</f>
        <v/>
      </c>
      <c r="K781" t="inlineStr">
        <is>
          <t>19.0</t>
        </is>
      </c>
      <c r="L781" t="n">
        <v>4.99</v>
      </c>
      <c r="M781" s="1" t="inlineStr">
        <is>
          <t>-73.74%</t>
        </is>
      </c>
      <c r="N781" t="n">
        <v>4.4</v>
      </c>
      <c r="O781" t="n">
        <v>484</v>
      </c>
      <c r="Q781" t="inlineStr">
        <is>
          <t>InStock</t>
        </is>
      </c>
      <c r="R781" t="inlineStr">
        <is>
          <t>undefined</t>
        </is>
      </c>
      <c r="S781" t="inlineStr">
        <is>
          <t>6764533219513</t>
        </is>
      </c>
    </row>
    <row r="782" ht="75" customHeight="1">
      <c r="A782" s="2">
        <f>HYPERLINK("https://camerareadycosmetics.com/products/dose-of-colors-liquid-matte-lipstick", "https://camerareadycosmetics.com/products/dose-of-colors-liquid-matte-lipstick")</f>
        <v/>
      </c>
      <c r="B782" s="2">
        <f>HYPERLINK("https://camerareadycosmetics.com/products/dose-of-colors-liquid-matte-lipstick", "https://camerareadycosmetics.com/products/dose-of-colors-liquid-matte-lipstick")</f>
        <v/>
      </c>
      <c r="C782" t="inlineStr">
        <is>
          <t>Liquid Matte Lipstick</t>
        </is>
      </c>
      <c r="D782" t="inlineStr">
        <is>
          <t>NYX PROFESSIONAL MAKEUP Lip Lingerie XXL Matte Liquid Lipstick - Unhooked (Grey Toned Beige)</t>
        </is>
      </c>
      <c r="E782" s="2">
        <f>HYPERLINK("https://www.amazon.com/NYX-PROFESSIONAL-MAKEUP-Lingerie-Lipstick/dp/B08WBKC94P/ref=sr_1_3?keywords=Liquid+Matte+Lipstick&amp;qid=1695565435&amp;sr=8-3", "https://www.amazon.com/NYX-PROFESSIONAL-MAKEUP-Lingerie-Lipstick/dp/B08WBKC94P/ref=sr_1_3?keywords=Liquid+Matte+Lipstick&amp;qid=1695565435&amp;sr=8-3")</f>
        <v/>
      </c>
      <c r="F782" t="inlineStr">
        <is>
          <t>B08WBKC94P</t>
        </is>
      </c>
      <c r="G782">
        <f>_xlfn.IMAGE("https://camerareadycosmetics.com/cdn/shop/products/OLD-FLAME_50x.jpg?v=1672929819")</f>
        <v/>
      </c>
      <c r="H782">
        <f>_xlfn.IMAGE("https://m.media-amazon.com/images/I/711nzs6XnRL._AC_UL320_.jpg")</f>
        <v/>
      </c>
      <c r="K782" t="inlineStr">
        <is>
          <t>19.0</t>
        </is>
      </c>
      <c r="L782" t="n">
        <v>3.9</v>
      </c>
      <c r="M782" s="1" t="inlineStr">
        <is>
          <t>-79.47%</t>
        </is>
      </c>
      <c r="N782" t="n">
        <v>4.3</v>
      </c>
      <c r="O782" t="n">
        <v>10247</v>
      </c>
      <c r="Q782" t="inlineStr">
        <is>
          <t>InStock</t>
        </is>
      </c>
      <c r="R782" t="inlineStr">
        <is>
          <t>undefined</t>
        </is>
      </c>
      <c r="S782" t="inlineStr">
        <is>
          <t>6764533219513</t>
        </is>
      </c>
    </row>
    <row r="783" ht="75" customHeight="1">
      <c r="A783" s="2">
        <f>HYPERLINK("https://camerareadycosmetics.com/products/dose-of-colors-liquid-matte-lipstick", "https://camerareadycosmetics.com/products/dose-of-colors-liquid-matte-lipstick")</f>
        <v/>
      </c>
      <c r="B783" s="2">
        <f>HYPERLINK("https://camerareadycosmetics.com/products/dose-of-colors-liquid-matte-lipstick", "https://camerareadycosmetics.com/products/dose-of-colors-liquid-matte-lipstick")</f>
        <v/>
      </c>
      <c r="C783" t="inlineStr">
        <is>
          <t>Liquid Matte Lipstick</t>
        </is>
      </c>
      <c r="D783" t="inlineStr">
        <is>
          <t>BestLand 6Pcs Matte Liquid Lipstick Makeup Set, Matte liquid Long-Lasting Wear Non-Stick Cup Not Fade Waterproof Lip Gloss (Set A)</t>
        </is>
      </c>
      <c r="E783" s="2">
        <f>HYPERLINK("https://www.amazon.com/Liquid-Lipstick-Long-Lasting-Non-Stick-Waterproof/dp/B083QNQQP9/ref=sr_1_8?keywords=Liquid+Matte+Lipstick&amp;qid=1695565435&amp;sr=8-8", "https://www.amazon.com/Liquid-Lipstick-Long-Lasting-Non-Stick-Waterproof/dp/B083QNQQP9/ref=sr_1_8?keywords=Liquid+Matte+Lipstick&amp;qid=1695565435&amp;sr=8-8")</f>
        <v/>
      </c>
      <c r="F783" t="inlineStr">
        <is>
          <t>B083QNQQP9</t>
        </is>
      </c>
      <c r="G783">
        <f>_xlfn.IMAGE("https://camerareadycosmetics.com/cdn/shop/products/OLD-FLAME_50x.jpg?v=1672929819")</f>
        <v/>
      </c>
      <c r="H783">
        <f>_xlfn.IMAGE("https://m.media-amazon.com/images/I/61YVyDv6rbL._AC_UL320_.jpg")</f>
        <v/>
      </c>
      <c r="K783" t="inlineStr">
        <is>
          <t>19.0</t>
        </is>
      </c>
      <c r="L783" t="n">
        <v>9.99</v>
      </c>
      <c r="M783" s="1" t="inlineStr">
        <is>
          <t>-47.42%</t>
        </is>
      </c>
      <c r="N783" t="n">
        <v>3.9</v>
      </c>
      <c r="O783" t="n">
        <v>38632</v>
      </c>
      <c r="Q783" t="inlineStr">
        <is>
          <t>InStock</t>
        </is>
      </c>
      <c r="R783" t="inlineStr">
        <is>
          <t>undefined</t>
        </is>
      </c>
      <c r="S783" t="inlineStr">
        <is>
          <t>6764533219513</t>
        </is>
      </c>
    </row>
    <row r="784" ht="75" customHeight="1">
      <c r="A784" s="2">
        <f>HYPERLINK("https://camerareadycosmetics.com/products/dose-of-colors-liquid-matte-lipstick", "https://camerareadycosmetics.com/products/dose-of-colors-liquid-matte-lipstick")</f>
        <v/>
      </c>
      <c r="B784" s="2">
        <f>HYPERLINK("https://camerareadycosmetics.com/products/dose-of-colors-liquid-matte-lipstick", "https://camerareadycosmetics.com/products/dose-of-colors-liquid-matte-lipstick")</f>
        <v/>
      </c>
      <c r="C784" t="inlineStr">
        <is>
          <t>Liquid Matte Lipstick</t>
        </is>
      </c>
      <c r="D784" t="inlineStr">
        <is>
          <t>QiBest 7Pcs Matte Liquid Lipstick + 1Pcs Lip Plumper Makeup Set Kit, Pigmented Long Lasting Lip Gloss Set, Velvet Waterproof Lip Makeup Gift Sets for Girls and Women</t>
        </is>
      </c>
      <c r="E784" s="2">
        <f>HYPERLINK("https://www.amazon.com/Lipstick-Plumper-Waterproof-Pigmented-Halloween/dp/B089FBPMC6/ref=sr_1_4?keywords=Liquid+Matte+Lipstick&amp;qid=1695565435&amp;sr=8-4", "https://www.amazon.com/Lipstick-Plumper-Waterproof-Pigmented-Halloween/dp/B089FBPMC6/ref=sr_1_4?keywords=Liquid+Matte+Lipstick&amp;qid=1695565435&amp;sr=8-4")</f>
        <v/>
      </c>
      <c r="F784" t="inlineStr">
        <is>
          <t>B089FBPMC6</t>
        </is>
      </c>
      <c r="G784">
        <f>_xlfn.IMAGE("https://camerareadycosmetics.com/cdn/shop/products/OLD-FLAME_50x.jpg?v=1672929819")</f>
        <v/>
      </c>
      <c r="H784">
        <f>_xlfn.IMAGE("https://m.media-amazon.com/images/I/71VLJZfXa3L._AC_UL320_.jpg")</f>
        <v/>
      </c>
      <c r="K784" t="inlineStr">
        <is>
          <t>19.0</t>
        </is>
      </c>
      <c r="L784" t="n">
        <v>8.99</v>
      </c>
      <c r="M784" s="1" t="inlineStr">
        <is>
          <t>-52.68%</t>
        </is>
      </c>
      <c r="N784" t="n">
        <v>4.2</v>
      </c>
      <c r="O784" t="n">
        <v>23914</v>
      </c>
      <c r="Q784" t="inlineStr">
        <is>
          <t>InStock</t>
        </is>
      </c>
      <c r="R784" t="inlineStr">
        <is>
          <t>undefined</t>
        </is>
      </c>
      <c r="S784" t="inlineStr">
        <is>
          <t>6764533219513</t>
        </is>
      </c>
    </row>
    <row r="785" ht="75" customHeight="1">
      <c r="A785" s="2">
        <f>HYPERLINK("https://camerareadycosmetics.com/products/dose-of-colors-liquid-matte-lipstick", "https://camerareadycosmetics.com/products/dose-of-colors-liquid-matte-lipstick")</f>
        <v/>
      </c>
      <c r="B785" s="2">
        <f>HYPERLINK("https://camerareadycosmetics.com/products/dose-of-colors-liquid-matte-lipstick", "https://camerareadycosmetics.com/products/dose-of-colors-liquid-matte-lipstick")</f>
        <v/>
      </c>
      <c r="C785" t="inlineStr">
        <is>
          <t>Liquid Matte Lipstick</t>
        </is>
      </c>
      <c r="D785" t="inlineStr">
        <is>
          <t>evpct CmaaDu 6Pcs Lipstick Matte Liquid Lipstick Lipgloss Set for Women labiales mate 24 horas originales matte larga duracion 24 Deep Red Original 24 Hour Lipstick Lip Stain Long Lasting Waterproof</t>
        </is>
      </c>
      <c r="E785" s="2">
        <f>HYPERLINK("https://www.amazon.com/lipstick-Lipstick-Waterproof-Lipgloss-Cosmetics/dp/B08SWHKGMF/ref=sr_1_7?keywords=Liquid+Matte+Lipstick&amp;qid=1695565435&amp;sr=8-7", "https://www.amazon.com/lipstick-Lipstick-Waterproof-Lipgloss-Cosmetics/dp/B08SWHKGMF/ref=sr_1_7?keywords=Liquid+Matte+Lipstick&amp;qid=1695565435&amp;sr=8-7")</f>
        <v/>
      </c>
      <c r="F785" t="inlineStr">
        <is>
          <t>B08SWHKGMF</t>
        </is>
      </c>
      <c r="G785">
        <f>_xlfn.IMAGE("https://camerareadycosmetics.com/cdn/shop/products/OLD-FLAME_50x.jpg?v=1672929819")</f>
        <v/>
      </c>
      <c r="H785">
        <f>_xlfn.IMAGE("https://m.media-amazon.com/images/I/61VRFHm+OBL._AC_UL320_.jpg")</f>
        <v/>
      </c>
      <c r="K785" t="inlineStr">
        <is>
          <t>19.0</t>
        </is>
      </c>
      <c r="L785" t="n">
        <v>6.99</v>
      </c>
      <c r="M785" s="1" t="inlineStr">
        <is>
          <t>-63.21%</t>
        </is>
      </c>
      <c r="N785" t="n">
        <v>4</v>
      </c>
      <c r="O785" t="n">
        <v>11446</v>
      </c>
      <c r="Q785" t="inlineStr">
        <is>
          <t>InStock</t>
        </is>
      </c>
      <c r="R785" t="inlineStr">
        <is>
          <t>undefined</t>
        </is>
      </c>
      <c r="S785" t="inlineStr">
        <is>
          <t>6764533219513</t>
        </is>
      </c>
    </row>
    <row r="786" ht="75" customHeight="1">
      <c r="A786" s="2">
        <f>HYPERLINK("https://camerareadycosmetics.com/products/dose-of-colors-liquid-matte-lipstick", "https://camerareadycosmetics.com/products/dose-of-colors-liquid-matte-lipstick")</f>
        <v/>
      </c>
      <c r="B786" s="2">
        <f>HYPERLINK("https://camerareadycosmetics.com/products/dose-of-colors-liquid-matte-lipstick", "https://camerareadycosmetics.com/products/dose-of-colors-liquid-matte-lipstick")</f>
        <v/>
      </c>
      <c r="C786" t="inlineStr">
        <is>
          <t>Liquid Matte Lipstick</t>
        </is>
      </c>
      <c r="D786" t="inlineStr">
        <is>
          <t>NYX PROFESSIONAL MAKEUP Soft Matte Lip Cream, Lightweight Liquid Lipstick - Abu Dhabi (Deep Rose-Beige)</t>
        </is>
      </c>
      <c r="E786" s="2">
        <f>HYPERLINK("https://www.amazon.com/NYX-Soft-Matte-Cream-Dhabi/dp/B004LXJOEK/ref=sr_1_5?keywords=Liquid+Matte+Lipstick&amp;qid=1695565435&amp;sr=8-5", "https://www.amazon.com/NYX-Soft-Matte-Cream-Dhabi/dp/B004LXJOEK/ref=sr_1_5?keywords=Liquid+Matte+Lipstick&amp;qid=1695565435&amp;sr=8-5")</f>
        <v/>
      </c>
      <c r="F786" t="inlineStr">
        <is>
          <t>B004LXJOEK</t>
        </is>
      </c>
      <c r="G786">
        <f>_xlfn.IMAGE("https://camerareadycosmetics.com/cdn/shop/products/OLD-FLAME_50x.jpg?v=1672929819")</f>
        <v/>
      </c>
      <c r="H786">
        <f>_xlfn.IMAGE("https://m.media-amazon.com/images/I/61tiMiLR4ES._AC_UL320_.jpg")</f>
        <v/>
      </c>
      <c r="K786" t="inlineStr">
        <is>
          <t>19.0</t>
        </is>
      </c>
      <c r="L786" t="n">
        <v>6.49</v>
      </c>
      <c r="M786" s="1" t="inlineStr">
        <is>
          <t>-65.84%</t>
        </is>
      </c>
      <c r="N786" t="n">
        <v>4.3</v>
      </c>
      <c r="O786" t="n">
        <v>39337</v>
      </c>
      <c r="Q786" t="inlineStr">
        <is>
          <t>InStock</t>
        </is>
      </c>
      <c r="R786" t="inlineStr">
        <is>
          <t>undefined</t>
        </is>
      </c>
      <c r="S786" t="inlineStr">
        <is>
          <t>6764533219513</t>
        </is>
      </c>
    </row>
    <row r="787" ht="75" customHeight="1">
      <c r="A787" s="2">
        <f>HYPERLINK("https://camerareadycosmetics.com/products/dose-of-colors-liquid-matte-lipstick", "https://camerareadycosmetics.com/products/dose-of-colors-liquid-matte-lipstick")</f>
        <v/>
      </c>
      <c r="B787" s="2">
        <f>HYPERLINK("https://camerareadycosmetics.com/products/dose-of-colors-liquid-matte-lipstick", "https://camerareadycosmetics.com/products/dose-of-colors-liquid-matte-lipstick")</f>
        <v/>
      </c>
      <c r="C787" t="inlineStr">
        <is>
          <t>Liquid Matte Lipstick</t>
        </is>
      </c>
      <c r="D787" t="inlineStr">
        <is>
          <t>Ruby Kisses Forever Matte Liquid Lipstick - RFML13 (Choco Craze)</t>
        </is>
      </c>
      <c r="E787" s="2">
        <f>HYPERLINK("https://www.amazon.com/Ruby-Kisses-Forever-Liquid-Lipstick/dp/B074NJBLDD/ref=sr_1_2?keywords=Liquid+Matte+Lipstick&amp;qid=1695565435&amp;sr=8-2", "https://www.amazon.com/Ruby-Kisses-Forever-Liquid-Lipstick/dp/B074NJBLDD/ref=sr_1_2?keywords=Liquid+Matte+Lipstick&amp;qid=1695565435&amp;sr=8-2")</f>
        <v/>
      </c>
      <c r="F787" t="inlineStr">
        <is>
          <t>B074NJBLDD</t>
        </is>
      </c>
      <c r="G787">
        <f>_xlfn.IMAGE("https://camerareadycosmetics.com/cdn/shop/products/OLD-FLAME_50x.jpg?v=1672929819")</f>
        <v/>
      </c>
      <c r="H787">
        <f>_xlfn.IMAGE("https://m.media-amazon.com/images/I/719R8Mju25L._AC_UL320_.jpg")</f>
        <v/>
      </c>
      <c r="K787" t="inlineStr">
        <is>
          <t>19.0</t>
        </is>
      </c>
      <c r="L787" t="n">
        <v>4.99</v>
      </c>
      <c r="M787" s="1" t="inlineStr">
        <is>
          <t>-73.74%</t>
        </is>
      </c>
      <c r="N787" t="n">
        <v>4.4</v>
      </c>
      <c r="O787" t="n">
        <v>484</v>
      </c>
      <c r="Q787" t="inlineStr">
        <is>
          <t>InStock</t>
        </is>
      </c>
      <c r="R787" t="inlineStr">
        <is>
          <t>undefined</t>
        </is>
      </c>
      <c r="S787" t="inlineStr">
        <is>
          <t>6764533219513</t>
        </is>
      </c>
    </row>
    <row r="788" ht="75" customHeight="1">
      <c r="A788" s="2">
        <f>HYPERLINK("https://camerareadycosmetics.com/products/dose-of-colors-liquid-matte-lipstick", "https://camerareadycosmetics.com/products/dose-of-colors-liquid-matte-lipstick")</f>
        <v/>
      </c>
      <c r="B788" s="2">
        <f>HYPERLINK("https://camerareadycosmetics.com/products/dose-of-colors-liquid-matte-lipstick", "https://camerareadycosmetics.com/products/dose-of-colors-liquid-matte-lipstick")</f>
        <v/>
      </c>
      <c r="C788" t="inlineStr">
        <is>
          <t>Liquid Matte Lipstick</t>
        </is>
      </c>
      <c r="D788" t="inlineStr">
        <is>
          <t>NYX PROFESSIONAL MAKEUP Lip Lingerie XXL Matte Liquid Lipstick - Unhooked (Grey Toned Beige)</t>
        </is>
      </c>
      <c r="E788" s="2">
        <f>HYPERLINK("https://www.amazon.com/NYX-PROFESSIONAL-MAKEUP-Lingerie-Lipstick/dp/B08WBKC94P/ref=sr_1_3?keywords=Liquid+Matte+Lipstick&amp;qid=1695565435&amp;sr=8-3", "https://www.amazon.com/NYX-PROFESSIONAL-MAKEUP-Lingerie-Lipstick/dp/B08WBKC94P/ref=sr_1_3?keywords=Liquid+Matte+Lipstick&amp;qid=1695565435&amp;sr=8-3")</f>
        <v/>
      </c>
      <c r="F788" t="inlineStr">
        <is>
          <t>B08WBKC94P</t>
        </is>
      </c>
      <c r="G788">
        <f>_xlfn.IMAGE("https://camerareadycosmetics.com/cdn/shop/products/OLD-FLAME_50x.jpg?v=1672929819")</f>
        <v/>
      </c>
      <c r="H788">
        <f>_xlfn.IMAGE("https://m.media-amazon.com/images/I/711nzs6XnRL._AC_UL320_.jpg")</f>
        <v/>
      </c>
      <c r="K788" t="inlineStr">
        <is>
          <t>19.0</t>
        </is>
      </c>
      <c r="L788" t="n">
        <v>3.9</v>
      </c>
      <c r="M788" s="1" t="inlineStr">
        <is>
          <t>-79.47%</t>
        </is>
      </c>
      <c r="N788" t="n">
        <v>4.3</v>
      </c>
      <c r="O788" t="n">
        <v>10247</v>
      </c>
      <c r="Q788" t="inlineStr">
        <is>
          <t>InStock</t>
        </is>
      </c>
      <c r="R788" t="inlineStr">
        <is>
          <t>undefined</t>
        </is>
      </c>
      <c r="S788" t="inlineStr">
        <is>
          <t>6764533219513</t>
        </is>
      </c>
    </row>
    <row r="789" ht="75" customHeight="1">
      <c r="A789" s="2">
        <f>HYPERLINK("https://camerareadycosmetics.com/products/dose-of-colors-nude-rose-lip-liner", "https://camerareadycosmetics.com/products/dose-of-colors-nude-rose-lip-liner")</f>
        <v/>
      </c>
      <c r="B789" s="2">
        <f>HYPERLINK("https://camerareadycosmetics.com/products/dose-of-colors-nude-rose-lip-liner", "https://camerareadycosmetics.com/products/dose-of-colors-nude-rose-lip-liner")</f>
        <v/>
      </c>
      <c r="C789" t="inlineStr">
        <is>
          <t>Nude Rose Lip Liner</t>
        </is>
      </c>
      <c r="D789" t="inlineStr">
        <is>
          <t>Dose of Colors 10 YRS Birthday Collection Nude Rose Lip Liner</t>
        </is>
      </c>
      <c r="E789" s="2">
        <f>HYPERLINK("https://www.amazon.com/Dose-Colors-Birthday-Collection-Liner/dp/B0C5Y4MHJV/ref=sr_1_6?keywords=Nude+Rose+Lip+Liner&amp;qid=1695565789&amp;sr=8-6", "https://www.amazon.com/Dose-Colors-Birthday-Collection-Liner/dp/B0C5Y4MHJV/ref=sr_1_6?keywords=Nude+Rose+Lip+Liner&amp;qid=1695565789&amp;sr=8-6")</f>
        <v/>
      </c>
      <c r="F789" t="inlineStr">
        <is>
          <t>B0C5Y4MHJV</t>
        </is>
      </c>
      <c r="G789">
        <f>_xlfn.IMAGE("https://camerareadycosmetics.com/cdn/shop/files/NUDEROSELIPLINER_1024x1024_2x-_1_1_50x.jpg?v=1684470441")</f>
        <v/>
      </c>
      <c r="H789">
        <f>_xlfn.IMAGE("https://m.media-amazon.com/images/I/61pYWBbztCL._AC_UL320_.jpg")</f>
        <v/>
      </c>
      <c r="K789" t="inlineStr">
        <is>
          <t>18.0</t>
        </is>
      </c>
      <c r="L789" t="n">
        <v>18</v>
      </c>
      <c r="M789" s="1" t="inlineStr">
        <is>
          <t>0.00%</t>
        </is>
      </c>
      <c r="N789" t="n">
        <v>4</v>
      </c>
      <c r="O789" t="n">
        <v>26</v>
      </c>
      <c r="Q789" t="inlineStr">
        <is>
          <t>InStock</t>
        </is>
      </c>
      <c r="R789" t="inlineStr">
        <is>
          <t>18.0</t>
        </is>
      </c>
      <c r="S789" t="inlineStr">
        <is>
          <t>7592270495929</t>
        </is>
      </c>
    </row>
    <row r="790" ht="75" customHeight="1">
      <c r="A790" s="2">
        <f>HYPERLINK("https://camerareadycosmetics.com/products/dose-of-colors-nude-rose-lip-liner", "https://camerareadycosmetics.com/products/dose-of-colors-nude-rose-lip-liner")</f>
        <v/>
      </c>
      <c r="B790" s="2">
        <f>HYPERLINK("https://camerareadycosmetics.com/products/dose-of-colors-nude-rose-lip-liner", "https://camerareadycosmetics.com/products/dose-of-colors-nude-rose-lip-liner")</f>
        <v/>
      </c>
      <c r="C790" t="inlineStr">
        <is>
          <t>Nude Rose Lip Liner</t>
        </is>
      </c>
      <c r="D790" t="inlineStr">
        <is>
          <t>L’Oréal Paris Age Perfect Anti-Feathering Lip Liner, Nude Pink</t>
        </is>
      </c>
      <c r="E790" s="2">
        <f>HYPERLINK("https://www.amazon.com/LOreal-Paris-Perfect-Anti-Feathering-Liner/dp/B07Z9WQ65H/ref=sr_1_10?keywords=Nude+Rose+Lip+Liner&amp;qid=1695565789&amp;sr=8-10", "https://www.amazon.com/LOreal-Paris-Perfect-Anti-Feathering-Liner/dp/B07Z9WQ65H/ref=sr_1_10?keywords=Nude+Rose+Lip+Liner&amp;qid=1695565789&amp;sr=8-10")</f>
        <v/>
      </c>
      <c r="F790" t="inlineStr">
        <is>
          <t>B07Z9WQ65H</t>
        </is>
      </c>
      <c r="G790">
        <f>_xlfn.IMAGE("https://camerareadycosmetics.com/cdn/shop/files/NUDEROSELIPLINER_1024x1024_2x-_1_1_50x.jpg?v=1684470441")</f>
        <v/>
      </c>
      <c r="H790">
        <f>_xlfn.IMAGE("https://m.media-amazon.com/images/I/61vjKWdjWJL._AC_UL320_.jpg")</f>
        <v/>
      </c>
      <c r="K790" t="inlineStr">
        <is>
          <t>18.0</t>
        </is>
      </c>
      <c r="L790" t="n">
        <v>12.12</v>
      </c>
      <c r="M790" s="1" t="inlineStr">
        <is>
          <t>-32.67%</t>
        </is>
      </c>
      <c r="N790" t="n">
        <v>3.6</v>
      </c>
      <c r="O790" t="n">
        <v>1423</v>
      </c>
      <c r="Q790" t="inlineStr">
        <is>
          <t>InStock</t>
        </is>
      </c>
      <c r="R790" t="inlineStr">
        <is>
          <t>18.0</t>
        </is>
      </c>
      <c r="S790" t="inlineStr">
        <is>
          <t>7592270495929</t>
        </is>
      </c>
    </row>
    <row r="791" ht="75" customHeight="1">
      <c r="A791" s="2">
        <f>HYPERLINK("https://camerareadycosmetics.com/products/dose-of-colors-nude-rose-lip-liner", "https://camerareadycosmetics.com/products/dose-of-colors-nude-rose-lip-liner")</f>
        <v/>
      </c>
      <c r="B791" s="2">
        <f>HYPERLINK("https://camerareadycosmetics.com/products/dose-of-colors-nude-rose-lip-liner", "https://camerareadycosmetics.com/products/dose-of-colors-nude-rose-lip-liner")</f>
        <v/>
      </c>
      <c r="C791" t="inlineStr">
        <is>
          <t>Nude Rose Lip Liner</t>
        </is>
      </c>
      <c r="D791" t="inlineStr">
        <is>
          <t>BestLand 12Pcs Matte Liquid Lipstick + Lip Liner Pens Set, One Step Lips Makeup Kits Pigment Velvety Nude Lip Stain Waterproof Long Wear Lip Gloss Make up Gift Set (Set A)</t>
        </is>
      </c>
      <c r="E791" s="2">
        <f>HYPERLINK("https://www.amazon.com/Liquid-Lipstick-Pigment-Velvety-Waterproof/dp/B095Y7JG32/ref=sr_1_8?keywords=Nude+Rose+Lip+Liner&amp;qid=1695565789&amp;sr=8-8", "https://www.amazon.com/Liquid-Lipstick-Pigment-Velvety-Waterproof/dp/B095Y7JG32/ref=sr_1_8?keywords=Nude+Rose+Lip+Liner&amp;qid=1695565789&amp;sr=8-8")</f>
        <v/>
      </c>
      <c r="F791" t="inlineStr">
        <is>
          <t>B095Y7JG32</t>
        </is>
      </c>
      <c r="G791">
        <f>_xlfn.IMAGE("https://camerareadycosmetics.com/cdn/shop/files/NUDEROSELIPLINER_1024x1024_2x-_1_1_50x.jpg?v=1684470441")</f>
        <v/>
      </c>
      <c r="H791">
        <f>_xlfn.IMAGE("https://m.media-amazon.com/images/I/71G7RppD3yL._AC_UL320_.jpg")</f>
        <v/>
      </c>
      <c r="K791" t="inlineStr">
        <is>
          <t>18.0</t>
        </is>
      </c>
      <c r="L791" t="n">
        <v>9.99</v>
      </c>
      <c r="M791" s="1" t="inlineStr">
        <is>
          <t>-44.50%</t>
        </is>
      </c>
      <c r="N791" t="n">
        <v>3.9</v>
      </c>
      <c r="O791" t="n">
        <v>11874</v>
      </c>
      <c r="Q791" t="inlineStr">
        <is>
          <t>InStock</t>
        </is>
      </c>
      <c r="R791" t="inlineStr">
        <is>
          <t>18.0</t>
        </is>
      </c>
      <c r="S791" t="inlineStr">
        <is>
          <t>7592270495929</t>
        </is>
      </c>
    </row>
    <row r="792" ht="75" customHeight="1">
      <c r="A792" s="2">
        <f>HYPERLINK("https://camerareadycosmetics.com/products/dose-of-colors-nude-rose-lip-liner", "https://camerareadycosmetics.com/products/dose-of-colors-nude-rose-lip-liner")</f>
        <v/>
      </c>
      <c r="B792" s="2">
        <f>HYPERLINK("https://camerareadycosmetics.com/products/dose-of-colors-nude-rose-lip-liner", "https://camerareadycosmetics.com/products/dose-of-colors-nude-rose-lip-liner")</f>
        <v/>
      </c>
      <c r="C792" t="inlineStr">
        <is>
          <t>Nude Rose Lip Liner</t>
        </is>
      </c>
      <c r="D792" t="inlineStr">
        <is>
          <t>Maybelline New York Color Sensational Shaping Lip Liner with Self-Sharpening Tip, Purely Nude, Nude, 1 Count</t>
        </is>
      </c>
      <c r="E792" s="2">
        <f>HYPERLINK("https://www.amazon.com/Maybelline-Makeup-Sensational-Shaping-Purely/dp/B01M1NBP7D/ref=sr_1_9?keywords=Nude+Rose+Lip+Liner&amp;qid=1695565789&amp;sr=8-9", "https://www.amazon.com/Maybelline-Makeup-Sensational-Shaping-Purely/dp/B01M1NBP7D/ref=sr_1_9?keywords=Nude+Rose+Lip+Liner&amp;qid=1695565789&amp;sr=8-9")</f>
        <v/>
      </c>
      <c r="F792" t="inlineStr">
        <is>
          <t>B01M1NBP7D</t>
        </is>
      </c>
      <c r="G792">
        <f>_xlfn.IMAGE("https://camerareadycosmetics.com/cdn/shop/files/NUDEROSELIPLINER_1024x1024_2x-_1_1_50x.jpg?v=1684470441")</f>
        <v/>
      </c>
      <c r="H792">
        <f>_xlfn.IMAGE("https://m.media-amazon.com/images/I/716zs0grTrL._AC_UL320_.jpg")</f>
        <v/>
      </c>
      <c r="K792" t="inlineStr">
        <is>
          <t>18.0</t>
        </is>
      </c>
      <c r="L792" t="n">
        <v>6.98</v>
      </c>
      <c r="M792" s="1" t="inlineStr">
        <is>
          <t>-61.22%</t>
        </is>
      </c>
      <c r="N792" t="n">
        <v>4.4</v>
      </c>
      <c r="O792" t="n">
        <v>323</v>
      </c>
      <c r="Q792" t="inlineStr">
        <is>
          <t>InStock</t>
        </is>
      </c>
      <c r="R792" t="inlineStr">
        <is>
          <t>18.0</t>
        </is>
      </c>
      <c r="S792" t="inlineStr">
        <is>
          <t>7592270495929</t>
        </is>
      </c>
    </row>
    <row r="793" ht="75" customHeight="1">
      <c r="A793" s="2">
        <f>HYPERLINK("https://camerareadycosmetics.com/products/dose-of-colors-nude-rose-lip-liner", "https://camerareadycosmetics.com/products/dose-of-colors-nude-rose-lip-liner")</f>
        <v/>
      </c>
      <c r="B793" s="2">
        <f>HYPERLINK("https://camerareadycosmetics.com/products/dose-of-colors-nude-rose-lip-liner", "https://camerareadycosmetics.com/products/dose-of-colors-nude-rose-lip-liner")</f>
        <v/>
      </c>
      <c r="C793" t="inlineStr">
        <is>
          <t>Nude Rose Lip Liner</t>
        </is>
      </c>
      <c r="D793" t="inlineStr">
        <is>
          <t>Maybelline New York Color Sensational Shaping Lip Liner with Self-Sharpening Tip, Dusty Rose, Nude Pink, 1 Count</t>
        </is>
      </c>
      <c r="E793" s="2">
        <f>HYPERLINK("https://www.amazon.com/Maybelline-Makeup-Color-Sensational-Shaping/dp/B01LXFQNQS/ref=sr_1_1?keywords=Nude+Rose+Lip+Liner&amp;qid=1695565789&amp;sr=8-1", "https://www.amazon.com/Maybelline-Makeup-Color-Sensational-Shaping/dp/B01LXFQNQS/ref=sr_1_1?keywords=Nude+Rose+Lip+Liner&amp;qid=1695565789&amp;sr=8-1")</f>
        <v/>
      </c>
      <c r="F793" t="inlineStr">
        <is>
          <t>B01LXFQNQS</t>
        </is>
      </c>
      <c r="G793">
        <f>_xlfn.IMAGE("https://camerareadycosmetics.com/cdn/shop/files/NUDEROSELIPLINER_1024x1024_2x-_1_1_50x.jpg?v=1684470441")</f>
        <v/>
      </c>
      <c r="H793">
        <f>_xlfn.IMAGE("https://m.media-amazon.com/images/I/51-2TLTTnJL._AC_UL320_.jpg")</f>
        <v/>
      </c>
      <c r="K793" t="inlineStr">
        <is>
          <t>18.0</t>
        </is>
      </c>
      <c r="L793" t="n">
        <v>6.37</v>
      </c>
      <c r="M793" s="1" t="inlineStr">
        <is>
          <t>-64.61%</t>
        </is>
      </c>
      <c r="N793" t="n">
        <v>4.4</v>
      </c>
      <c r="O793" t="n">
        <v>10544</v>
      </c>
      <c r="Q793" t="inlineStr">
        <is>
          <t>InStock</t>
        </is>
      </c>
      <c r="R793" t="inlineStr">
        <is>
          <t>18.0</t>
        </is>
      </c>
      <c r="S793" t="inlineStr">
        <is>
          <t>7592270495929</t>
        </is>
      </c>
    </row>
    <row r="794" ht="75" customHeight="1">
      <c r="A794" s="2">
        <f>HYPERLINK("https://camerareadycosmetics.com/products/dose-of-colors-nude-rose-lip-liner", "https://camerareadycosmetics.com/products/dose-of-colors-nude-rose-lip-liner")</f>
        <v/>
      </c>
      <c r="B794" s="2">
        <f>HYPERLINK("https://camerareadycosmetics.com/products/dose-of-colors-nude-rose-lip-liner", "https://camerareadycosmetics.com/products/dose-of-colors-nude-rose-lip-liner")</f>
        <v/>
      </c>
      <c r="C794" t="inlineStr">
        <is>
          <t>Nude Rose Lip Liner</t>
        </is>
      </c>
      <c r="D794" t="inlineStr">
        <is>
          <t>Rimmel Lasting Finish 8HR Lip Liner, 760 90s Nude, Pack of 1</t>
        </is>
      </c>
      <c r="E794" s="2">
        <f>HYPERLINK("https://www.amazon.com/Rimmel-Lasting-Finish-Liner-Nude/dp/B08CFMTMK6/ref=sr_1_3?keywords=Nude+Rose+Lip+Liner&amp;qid=1695565789&amp;sr=8-3", "https://www.amazon.com/Rimmel-Lasting-Finish-Liner-Nude/dp/B08CFMTMK6/ref=sr_1_3?keywords=Nude+Rose+Lip+Liner&amp;qid=1695565789&amp;sr=8-3")</f>
        <v/>
      </c>
      <c r="F794" t="inlineStr">
        <is>
          <t>B08CFMTMK6</t>
        </is>
      </c>
      <c r="G794">
        <f>_xlfn.IMAGE("https://camerareadycosmetics.com/cdn/shop/files/NUDEROSELIPLINER_1024x1024_2x-_1_1_50x.jpg?v=1684470441")</f>
        <v/>
      </c>
      <c r="H794">
        <f>_xlfn.IMAGE("https://m.media-amazon.com/images/I/61b5jZ1ZBBL._AC_UL320_.jpg")</f>
        <v/>
      </c>
      <c r="K794" t="inlineStr">
        <is>
          <t>18.0</t>
        </is>
      </c>
      <c r="L794" t="n">
        <v>5.99</v>
      </c>
      <c r="M794" s="1" t="inlineStr">
        <is>
          <t>-66.72%</t>
        </is>
      </c>
      <c r="N794" t="n">
        <v>4.5</v>
      </c>
      <c r="O794" t="n">
        <v>5769</v>
      </c>
      <c r="Q794" t="inlineStr">
        <is>
          <t>InStock</t>
        </is>
      </c>
      <c r="R794" t="inlineStr">
        <is>
          <t>18.0</t>
        </is>
      </c>
      <c r="S794" t="inlineStr">
        <is>
          <t>7592270495929</t>
        </is>
      </c>
    </row>
    <row r="795" ht="75" customHeight="1">
      <c r="A795" s="2">
        <f>HYPERLINK("https://camerareadycosmetics.com/products/dose-of-colors-nude-rose-lip-liner", "https://camerareadycosmetics.com/products/dose-of-colors-nude-rose-lip-liner")</f>
        <v/>
      </c>
      <c r="B795" s="2">
        <f>HYPERLINK("https://camerareadycosmetics.com/products/dose-of-colors-nude-rose-lip-liner", "https://camerareadycosmetics.com/products/dose-of-colors-nude-rose-lip-liner")</f>
        <v/>
      </c>
      <c r="C795" t="inlineStr">
        <is>
          <t>Nude Rose Lip Liner</t>
        </is>
      </c>
      <c r="D795" t="inlineStr">
        <is>
          <t>NYX PROFESSIONAL MAKEUP Slide On Lip Pencil, Lip Liner - Bedrose (Soft Nude Pink With Mauve Undertone)</t>
        </is>
      </c>
      <c r="E795" s="2">
        <f>HYPERLINK("https://www.amazon.com/NYX-PROFESSIONAL-MAKEUP-Pencil-Bedrose/dp/B015D8YKSG/ref=sr_1_7?keywords=Nude+Rose+Lip+Liner&amp;qid=1695565789&amp;sr=8-7", "https://www.amazon.com/NYX-PROFESSIONAL-MAKEUP-Pencil-Bedrose/dp/B015D8YKSG/ref=sr_1_7?keywords=Nude+Rose+Lip+Liner&amp;qid=1695565789&amp;sr=8-7")</f>
        <v/>
      </c>
      <c r="F795" t="inlineStr">
        <is>
          <t>B015D8YKSG</t>
        </is>
      </c>
      <c r="G795">
        <f>_xlfn.IMAGE("https://camerareadycosmetics.com/cdn/shop/files/NUDEROSELIPLINER_1024x1024_2x-_1_1_50x.jpg?v=1684470441")</f>
        <v/>
      </c>
      <c r="H795">
        <f>_xlfn.IMAGE("https://m.media-amazon.com/images/I/51rXywJbQeL._AC_UL320_.jpg")</f>
        <v/>
      </c>
      <c r="K795" t="inlineStr">
        <is>
          <t>18.0</t>
        </is>
      </c>
      <c r="L795" t="n">
        <v>5.45</v>
      </c>
      <c r="M795" s="1" t="inlineStr">
        <is>
          <t>-69.72%</t>
        </is>
      </c>
      <c r="N795" t="n">
        <v>4.3</v>
      </c>
      <c r="O795" t="n">
        <v>4247</v>
      </c>
      <c r="Q795" t="inlineStr">
        <is>
          <t>InStock</t>
        </is>
      </c>
      <c r="R795" t="inlineStr">
        <is>
          <t>18.0</t>
        </is>
      </c>
      <c r="S795" t="inlineStr">
        <is>
          <t>7592270495929</t>
        </is>
      </c>
    </row>
    <row r="796" ht="75" customHeight="1">
      <c r="A796" s="2">
        <f>HYPERLINK("https://camerareadycosmetics.com/products/dose-of-colors-nude-rose-lip-liner", "https://camerareadycosmetics.com/products/dose-of-colors-nude-rose-lip-liner")</f>
        <v/>
      </c>
      <c r="B796" s="2">
        <f>HYPERLINK("https://camerareadycosmetics.com/products/dose-of-colors-nude-rose-lip-liner", "https://camerareadycosmetics.com/products/dose-of-colors-nude-rose-lip-liner")</f>
        <v/>
      </c>
      <c r="C796" t="inlineStr">
        <is>
          <t>Nude Rose Lip Liner</t>
        </is>
      </c>
      <c r="D796" t="inlineStr">
        <is>
          <t>Rimmel Lasting Finish 1000 Kisses Lip Liner, Spiced Nude, 0.04 Fluid Ounce</t>
        </is>
      </c>
      <c r="E796" s="2">
        <f>HYPERLINK("https://www.amazon.com/Rimmel-Lasting-Finish-Kisses-Spiced/dp/B01MU3AHA0/ref=sr_1_4?keywords=Nude+Rose+Lip+Liner&amp;qid=1695565789&amp;sr=8-4", "https://www.amazon.com/Rimmel-Lasting-Finish-Kisses-Spiced/dp/B01MU3AHA0/ref=sr_1_4?keywords=Nude+Rose+Lip+Liner&amp;qid=1695565789&amp;sr=8-4")</f>
        <v/>
      </c>
      <c r="F796" t="inlineStr">
        <is>
          <t>B01MU3AHA0</t>
        </is>
      </c>
      <c r="G796">
        <f>_xlfn.IMAGE("https://camerareadycosmetics.com/cdn/shop/files/NUDEROSELIPLINER_1024x1024_2x-_1_1_50x.jpg?v=1684470441")</f>
        <v/>
      </c>
      <c r="H796">
        <f>_xlfn.IMAGE("https://m.media-amazon.com/images/I/51bLtXunv5L._AC_UL320_.jpg")</f>
        <v/>
      </c>
      <c r="K796" t="inlineStr">
        <is>
          <t>18.0</t>
        </is>
      </c>
      <c r="L796" t="n">
        <v>5</v>
      </c>
      <c r="M796" s="1" t="inlineStr">
        <is>
          <t>-72.22%</t>
        </is>
      </c>
      <c r="N796" t="n">
        <v>4.5</v>
      </c>
      <c r="O796" t="n">
        <v>5351</v>
      </c>
      <c r="Q796" t="inlineStr">
        <is>
          <t>InStock</t>
        </is>
      </c>
      <c r="R796" t="inlineStr">
        <is>
          <t>18.0</t>
        </is>
      </c>
      <c r="S796" t="inlineStr">
        <is>
          <t>7592270495929</t>
        </is>
      </c>
    </row>
    <row r="797" ht="75" customHeight="1">
      <c r="A797" s="2">
        <f>HYPERLINK("https://camerareadycosmetics.com/products/dose-of-colors-nude-rose-lip-liner", "https://camerareadycosmetics.com/products/dose-of-colors-nude-rose-lip-liner")</f>
        <v/>
      </c>
      <c r="B797" s="2">
        <f>HYPERLINK("https://camerareadycosmetics.com/products/dose-of-colors-nude-rose-lip-liner", "https://camerareadycosmetics.com/products/dose-of-colors-nude-rose-lip-liner")</f>
        <v/>
      </c>
      <c r="C797" t="inlineStr">
        <is>
          <t>Nude Rose Lip Liner</t>
        </is>
      </c>
      <c r="D797" t="inlineStr">
        <is>
          <t>Maybelline New York Color Sensational Shaping Lip Liner with Self-Sharpening Tip, Purely Nude, Nude, 1 Count</t>
        </is>
      </c>
      <c r="E797" s="2">
        <f>HYPERLINK("https://www.amazon.com/Maybelline-Makeup-Sensational-Shaping-Purely/dp/B01M1NBP7D/ref=sr_1_9?keywords=Nude+Rose+Lip+Liner&amp;qid=1695565789&amp;sr=8-9", "https://www.amazon.com/Maybelline-Makeup-Sensational-Shaping-Purely/dp/B01M1NBP7D/ref=sr_1_9?keywords=Nude+Rose+Lip+Liner&amp;qid=1695565789&amp;sr=8-9")</f>
        <v/>
      </c>
      <c r="F797" t="inlineStr">
        <is>
          <t>B01M1NBP7D</t>
        </is>
      </c>
      <c r="G797">
        <f>_xlfn.IMAGE("https://camerareadycosmetics.com/cdn/shop/files/NUDEROSELIPLINER_1024x1024_2x-_1_1_50x.jpg?v=1684470441")</f>
        <v/>
      </c>
      <c r="H797">
        <f>_xlfn.IMAGE("https://m.media-amazon.com/images/I/716zs0grTrL._AC_UL320_.jpg")</f>
        <v/>
      </c>
      <c r="K797" t="inlineStr">
        <is>
          <t>18.0</t>
        </is>
      </c>
      <c r="L797" t="n">
        <v>6.98</v>
      </c>
      <c r="M797" s="1" t="inlineStr">
        <is>
          <t>-61.22%</t>
        </is>
      </c>
      <c r="N797" t="n">
        <v>4.4</v>
      </c>
      <c r="O797" t="n">
        <v>323</v>
      </c>
      <c r="Q797" t="inlineStr">
        <is>
          <t>InStock</t>
        </is>
      </c>
      <c r="R797" t="inlineStr">
        <is>
          <t>18.0</t>
        </is>
      </c>
      <c r="S797" t="inlineStr">
        <is>
          <t>7592270495929</t>
        </is>
      </c>
    </row>
    <row r="798" ht="75" customHeight="1">
      <c r="A798" s="2">
        <f>HYPERLINK("https://camerareadycosmetics.com/products/dose-of-colors-nude-rose-lip-liner", "https://camerareadycosmetics.com/products/dose-of-colors-nude-rose-lip-liner")</f>
        <v/>
      </c>
      <c r="B798" s="2">
        <f>HYPERLINK("https://camerareadycosmetics.com/products/dose-of-colors-nude-rose-lip-liner", "https://camerareadycosmetics.com/products/dose-of-colors-nude-rose-lip-liner")</f>
        <v/>
      </c>
      <c r="C798" t="inlineStr">
        <is>
          <t>Nude Rose Lip Liner</t>
        </is>
      </c>
      <c r="D798" t="inlineStr">
        <is>
          <t>Maybelline New York Color Sensational Shaping Lip Liner with Self-Sharpening Tip, Dusty Rose, Nude Pink, 1 Count</t>
        </is>
      </c>
      <c r="E798" s="2">
        <f>HYPERLINK("https://www.amazon.com/Maybelline-Makeup-Color-Sensational-Shaping/dp/B01LXFQNQS/ref=sr_1_1?keywords=Nude+Rose+Lip+Liner&amp;qid=1695565789&amp;sr=8-1", "https://www.amazon.com/Maybelline-Makeup-Color-Sensational-Shaping/dp/B01LXFQNQS/ref=sr_1_1?keywords=Nude+Rose+Lip+Liner&amp;qid=1695565789&amp;sr=8-1")</f>
        <v/>
      </c>
      <c r="F798" t="inlineStr">
        <is>
          <t>B01LXFQNQS</t>
        </is>
      </c>
      <c r="G798">
        <f>_xlfn.IMAGE("https://camerareadycosmetics.com/cdn/shop/files/NUDEROSELIPLINER_1024x1024_2x-_1_1_50x.jpg?v=1684470441")</f>
        <v/>
      </c>
      <c r="H798">
        <f>_xlfn.IMAGE("https://m.media-amazon.com/images/I/51-2TLTTnJL._AC_UL320_.jpg")</f>
        <v/>
      </c>
      <c r="K798" t="inlineStr">
        <is>
          <t>18.0</t>
        </is>
      </c>
      <c r="L798" t="n">
        <v>6.37</v>
      </c>
      <c r="M798" s="1" t="inlineStr">
        <is>
          <t>-64.61%</t>
        </is>
      </c>
      <c r="N798" t="n">
        <v>4.4</v>
      </c>
      <c r="O798" t="n">
        <v>10544</v>
      </c>
      <c r="Q798" t="inlineStr">
        <is>
          <t>InStock</t>
        </is>
      </c>
      <c r="R798" t="inlineStr">
        <is>
          <t>18.0</t>
        </is>
      </c>
      <c r="S798" t="inlineStr">
        <is>
          <t>7592270495929</t>
        </is>
      </c>
    </row>
    <row r="799" ht="75" customHeight="1">
      <c r="A799" s="2">
        <f>HYPERLINK("https://camerareadycosmetics.com/products/dose-of-colors-nude-rose-lip-liner", "https://camerareadycosmetics.com/products/dose-of-colors-nude-rose-lip-liner")</f>
        <v/>
      </c>
      <c r="B799" s="2">
        <f>HYPERLINK("https://camerareadycosmetics.com/products/dose-of-colors-nude-rose-lip-liner", "https://camerareadycosmetics.com/products/dose-of-colors-nude-rose-lip-liner")</f>
        <v/>
      </c>
      <c r="C799" t="inlineStr">
        <is>
          <t>Nude Rose Lip Liner</t>
        </is>
      </c>
      <c r="D799" t="inlineStr">
        <is>
          <t>Rimmel Lasting Finish 8HR Lip Liner, 760 90s Nude, Pack of 1</t>
        </is>
      </c>
      <c r="E799" s="2">
        <f>HYPERLINK("https://www.amazon.com/Rimmel-Lasting-Finish-Liner-Nude/dp/B08CFMTMK6/ref=sr_1_3?keywords=Nude+Rose+Lip+Liner&amp;qid=1695565789&amp;sr=8-3", "https://www.amazon.com/Rimmel-Lasting-Finish-Liner-Nude/dp/B08CFMTMK6/ref=sr_1_3?keywords=Nude+Rose+Lip+Liner&amp;qid=1695565789&amp;sr=8-3")</f>
        <v/>
      </c>
      <c r="F799" t="inlineStr">
        <is>
          <t>B08CFMTMK6</t>
        </is>
      </c>
      <c r="G799">
        <f>_xlfn.IMAGE("https://camerareadycosmetics.com/cdn/shop/files/NUDEROSELIPLINER_1024x1024_2x-_1_1_50x.jpg?v=1684470441")</f>
        <v/>
      </c>
      <c r="H799">
        <f>_xlfn.IMAGE("https://m.media-amazon.com/images/I/61b5jZ1ZBBL._AC_UL320_.jpg")</f>
        <v/>
      </c>
      <c r="K799" t="inlineStr">
        <is>
          <t>18.0</t>
        </is>
      </c>
      <c r="L799" t="n">
        <v>5.99</v>
      </c>
      <c r="M799" s="1" t="inlineStr">
        <is>
          <t>-66.72%</t>
        </is>
      </c>
      <c r="N799" t="n">
        <v>4.5</v>
      </c>
      <c r="O799" t="n">
        <v>5769</v>
      </c>
      <c r="Q799" t="inlineStr">
        <is>
          <t>InStock</t>
        </is>
      </c>
      <c r="R799" t="inlineStr">
        <is>
          <t>18.0</t>
        </is>
      </c>
      <c r="S799" t="inlineStr">
        <is>
          <t>7592270495929</t>
        </is>
      </c>
    </row>
    <row r="800" ht="75" customHeight="1">
      <c r="A800" s="2">
        <f>HYPERLINK("https://camerareadycosmetics.com/products/dose-of-colors-nude-rose-lip-liner", "https://camerareadycosmetics.com/products/dose-of-colors-nude-rose-lip-liner")</f>
        <v/>
      </c>
      <c r="B800" s="2">
        <f>HYPERLINK("https://camerareadycosmetics.com/products/dose-of-colors-nude-rose-lip-liner", "https://camerareadycosmetics.com/products/dose-of-colors-nude-rose-lip-liner")</f>
        <v/>
      </c>
      <c r="C800" t="inlineStr">
        <is>
          <t>Nude Rose Lip Liner</t>
        </is>
      </c>
      <c r="D800" t="inlineStr">
        <is>
          <t>NYX PROFESSIONAL MAKEUP Slide On Lip Pencil, Lip Liner - Bedrose (Soft Nude Pink With Mauve Undertone)</t>
        </is>
      </c>
      <c r="E800" s="2">
        <f>HYPERLINK("https://www.amazon.com/NYX-PROFESSIONAL-MAKEUP-Pencil-Bedrose/dp/B015D8YKSG/ref=sr_1_7?keywords=Nude+Rose+Lip+Liner&amp;qid=1695565789&amp;sr=8-7", "https://www.amazon.com/NYX-PROFESSIONAL-MAKEUP-Pencil-Bedrose/dp/B015D8YKSG/ref=sr_1_7?keywords=Nude+Rose+Lip+Liner&amp;qid=1695565789&amp;sr=8-7")</f>
        <v/>
      </c>
      <c r="F800" t="inlineStr">
        <is>
          <t>B015D8YKSG</t>
        </is>
      </c>
      <c r="G800">
        <f>_xlfn.IMAGE("https://camerareadycosmetics.com/cdn/shop/files/NUDEROSELIPLINER_1024x1024_2x-_1_1_50x.jpg?v=1684470441")</f>
        <v/>
      </c>
      <c r="H800">
        <f>_xlfn.IMAGE("https://m.media-amazon.com/images/I/51rXywJbQeL._AC_UL320_.jpg")</f>
        <v/>
      </c>
      <c r="K800" t="inlineStr">
        <is>
          <t>18.0</t>
        </is>
      </c>
      <c r="L800" t="n">
        <v>5.45</v>
      </c>
      <c r="M800" s="1" t="inlineStr">
        <is>
          <t>-69.72%</t>
        </is>
      </c>
      <c r="N800" t="n">
        <v>4.3</v>
      </c>
      <c r="O800" t="n">
        <v>4247</v>
      </c>
      <c r="Q800" t="inlineStr">
        <is>
          <t>InStock</t>
        </is>
      </c>
      <c r="R800" t="inlineStr">
        <is>
          <t>18.0</t>
        </is>
      </c>
      <c r="S800" t="inlineStr">
        <is>
          <t>7592270495929</t>
        </is>
      </c>
    </row>
    <row r="801" ht="75" customHeight="1">
      <c r="A801" s="2">
        <f>HYPERLINK("https://camerareadycosmetics.com/products/dose-of-colors-nude-rose-lip-liner", "https://camerareadycosmetics.com/products/dose-of-colors-nude-rose-lip-liner")</f>
        <v/>
      </c>
      <c r="B801" s="2">
        <f>HYPERLINK("https://camerareadycosmetics.com/products/dose-of-colors-nude-rose-lip-liner", "https://camerareadycosmetics.com/products/dose-of-colors-nude-rose-lip-liner")</f>
        <v/>
      </c>
      <c r="C801" t="inlineStr">
        <is>
          <t>Nude Rose Lip Liner</t>
        </is>
      </c>
      <c r="D801" t="inlineStr">
        <is>
          <t>Rimmel Lasting Finish 1000 Kisses Lip Liner, Spiced Nude, 0.04 Fluid Ounce</t>
        </is>
      </c>
      <c r="E801" s="2">
        <f>HYPERLINK("https://www.amazon.com/Rimmel-Lasting-Finish-Kisses-Spiced/dp/B01MU3AHA0/ref=sr_1_4?keywords=Nude+Rose+Lip+Liner&amp;qid=1695565789&amp;sr=8-4", "https://www.amazon.com/Rimmel-Lasting-Finish-Kisses-Spiced/dp/B01MU3AHA0/ref=sr_1_4?keywords=Nude+Rose+Lip+Liner&amp;qid=1695565789&amp;sr=8-4")</f>
        <v/>
      </c>
      <c r="F801" t="inlineStr">
        <is>
          <t>B01MU3AHA0</t>
        </is>
      </c>
      <c r="G801">
        <f>_xlfn.IMAGE("https://camerareadycosmetics.com/cdn/shop/files/NUDEROSELIPLINER_1024x1024_2x-_1_1_50x.jpg?v=1684470441")</f>
        <v/>
      </c>
      <c r="H801">
        <f>_xlfn.IMAGE("https://m.media-amazon.com/images/I/51bLtXunv5L._AC_UL320_.jpg")</f>
        <v/>
      </c>
      <c r="K801" t="inlineStr">
        <is>
          <t>18.0</t>
        </is>
      </c>
      <c r="L801" t="n">
        <v>5</v>
      </c>
      <c r="M801" s="1" t="inlineStr">
        <is>
          <t>-72.22%</t>
        </is>
      </c>
      <c r="N801" t="n">
        <v>4.5</v>
      </c>
      <c r="O801" t="n">
        <v>5351</v>
      </c>
      <c r="Q801" t="inlineStr">
        <is>
          <t>InStock</t>
        </is>
      </c>
      <c r="R801" t="inlineStr">
        <is>
          <t>18.0</t>
        </is>
      </c>
      <c r="S801" t="inlineStr">
        <is>
          <t>7592270495929</t>
        </is>
      </c>
    </row>
    <row r="802" ht="75" customHeight="1">
      <c r="A802" s="2">
        <f>HYPERLINK("https://camerareadycosmetics.com/products/dose-of-colors-nude-rose-liquid-matte-lipstick", "https://camerareadycosmetics.com/products/dose-of-colors-nude-rose-liquid-matte-lipstick")</f>
        <v/>
      </c>
      <c r="B802" s="2">
        <f>HYPERLINK("https://camerareadycosmetics.com/products/dose-of-colors-nude-rose-liquid-matte-lipstick", "https://camerareadycosmetics.com/products/dose-of-colors-nude-rose-liquid-matte-lipstick")</f>
        <v/>
      </c>
      <c r="C802" t="inlineStr">
        <is>
          <t>Nude Rose Liquid Matte Lipstick</t>
        </is>
      </c>
      <c r="D802" t="inlineStr">
        <is>
          <t>Dose of Colors 10 YRS Birthday Collection Nude Rose Liquid Matte Lipstick</t>
        </is>
      </c>
      <c r="E802" s="2">
        <f>HYPERLINK("https://www.amazon.com/Dose-Colors-Birthday-Collection-Lipstick/dp/B0C5Y3LNZL/ref=sr_1_1?keywords=Nude+Rose+Liquid+Matte+Lipstick&amp;qid=1695565748&amp;sr=8-1", "https://www.amazon.com/Dose-Colors-Birthday-Collection-Lipstick/dp/B0C5Y3LNZL/ref=sr_1_1?keywords=Nude+Rose+Liquid+Matte+Lipstick&amp;qid=1695565748&amp;sr=8-1")</f>
        <v/>
      </c>
      <c r="F802" t="inlineStr">
        <is>
          <t>B0C5Y3LNZL</t>
        </is>
      </c>
      <c r="G802">
        <f>_xlfn.IMAGE("https://camerareadycosmetics.com/cdn/shop/files/NUDEROSELML_1024x1024_2x_1_50x.jpg?v=1684468713")</f>
        <v/>
      </c>
      <c r="H802">
        <f>_xlfn.IMAGE("https://m.media-amazon.com/images/I/71yeE+GVdML._AC_UL320_.jpg")</f>
        <v/>
      </c>
      <c r="K802" t="inlineStr">
        <is>
          <t>20.0</t>
        </is>
      </c>
      <c r="L802" t="n">
        <v>20</v>
      </c>
      <c r="M802" s="1" t="inlineStr">
        <is>
          <t>0.00%</t>
        </is>
      </c>
      <c r="N802" t="n">
        <v>3.9</v>
      </c>
      <c r="O802" t="n">
        <v>5</v>
      </c>
      <c r="Q802" t="inlineStr">
        <is>
          <t>InStock</t>
        </is>
      </c>
      <c r="R802" t="inlineStr">
        <is>
          <t>undefined</t>
        </is>
      </c>
      <c r="S802" t="inlineStr">
        <is>
          <t>7592269480121</t>
        </is>
      </c>
    </row>
    <row r="803" ht="75" customHeight="1">
      <c r="A803" s="2">
        <f>HYPERLINK("https://camerareadycosmetics.com/products/dose-of-colors-nude-rose-liquid-matte-lipstick", "https://camerareadycosmetics.com/products/dose-of-colors-nude-rose-liquid-matte-lipstick")</f>
        <v/>
      </c>
      <c r="B803" s="2">
        <f>HYPERLINK("https://camerareadycosmetics.com/products/dose-of-colors-nude-rose-liquid-matte-lipstick", "https://camerareadycosmetics.com/products/dose-of-colors-nude-rose-liquid-matte-lipstick")</f>
        <v/>
      </c>
      <c r="C803" t="inlineStr">
        <is>
          <t>Nude Rose Liquid Matte Lipstick</t>
        </is>
      </c>
      <c r="D803" t="inlineStr">
        <is>
          <t>Matte Liquid Lipstick | Dusty Rose Lip Color - Best Pink Nude Lipstick, Vegan, Cruelty-free, (Berry Nude)</t>
        </is>
      </c>
      <c r="E803" s="2">
        <f>HYPERLINK("https://www.amazon.com/Berry-Nude-Matte-Liquid-Lipstick/dp/B07KMJM8Y8/ref=sr_1_8?keywords=Nude+Rose+Liquid+Matte+Lipstick&amp;qid=1695565748&amp;sr=8-8", "https://www.amazon.com/Berry-Nude-Matte-Liquid-Lipstick/dp/B07KMJM8Y8/ref=sr_1_8?keywords=Nude+Rose+Liquid+Matte+Lipstick&amp;qid=1695565748&amp;sr=8-8")</f>
        <v/>
      </c>
      <c r="F803" t="inlineStr">
        <is>
          <t>B07KMJM8Y8</t>
        </is>
      </c>
      <c r="G803">
        <f>_xlfn.IMAGE("https://camerareadycosmetics.com/cdn/shop/files/NUDEROSELML_1024x1024_2x_1_50x.jpg?v=1684468713")</f>
        <v/>
      </c>
      <c r="H803">
        <f>_xlfn.IMAGE("https://m.media-amazon.com/images/I/61U9GH0krAL._AC_UL320_.jpg")</f>
        <v/>
      </c>
      <c r="K803" t="inlineStr">
        <is>
          <t>20.0</t>
        </is>
      </c>
      <c r="L803" t="n">
        <v>17</v>
      </c>
      <c r="M803" s="1" t="inlineStr">
        <is>
          <t>-15.00%</t>
        </is>
      </c>
      <c r="N803" t="n">
        <v>4.2</v>
      </c>
      <c r="O803" t="n">
        <v>599</v>
      </c>
      <c r="Q803" t="inlineStr">
        <is>
          <t>InStock</t>
        </is>
      </c>
      <c r="R803" t="inlineStr">
        <is>
          <t>undefined</t>
        </is>
      </c>
      <c r="S803" t="inlineStr">
        <is>
          <t>7592269480121</t>
        </is>
      </c>
    </row>
    <row r="804" ht="75" customHeight="1">
      <c r="A804" s="2">
        <f>HYPERLINK("https://camerareadycosmetics.com/products/dose-of-colors-nude-rose-liquid-matte-lipstick", "https://camerareadycosmetics.com/products/dose-of-colors-nude-rose-liquid-matte-lipstick")</f>
        <v/>
      </c>
      <c r="B804" s="2">
        <f>HYPERLINK("https://camerareadycosmetics.com/products/dose-of-colors-nude-rose-liquid-matte-lipstick", "https://camerareadycosmetics.com/products/dose-of-colors-nude-rose-liquid-matte-lipstick")</f>
        <v/>
      </c>
      <c r="C804" t="inlineStr">
        <is>
          <t>Nude Rose Liquid Matte Lipstick</t>
        </is>
      </c>
      <c r="D804" t="inlineStr">
        <is>
          <t>Oulac Matte Liquid Pink Nude Lipstick for Women, Long Lasting Lipstick Waterproof Lip Stain, No Transfer, Creamy High Pigmented Formula with Rose Oil, Vegan &amp; Cruelty-Free, Coral Pink M11</t>
        </is>
      </c>
      <c r="E804" s="2">
        <f>HYPERLINK("https://www.amazon.com/Oulac-Kissproof-Matte-Liquid-Lipstick/dp/B09ZQPLDX8/ref=sr_1_6?keywords=Nude+Rose+Liquid+Matte+Lipstick&amp;qid=1695565748&amp;sr=8-6", "https://www.amazon.com/Oulac-Kissproof-Matte-Liquid-Lipstick/dp/B09ZQPLDX8/ref=sr_1_6?keywords=Nude+Rose+Liquid+Matte+Lipstick&amp;qid=1695565748&amp;sr=8-6")</f>
        <v/>
      </c>
      <c r="F804" t="inlineStr">
        <is>
          <t>B09ZQPLDX8</t>
        </is>
      </c>
      <c r="G804">
        <f>_xlfn.IMAGE("https://camerareadycosmetics.com/cdn/shop/files/NUDEROSELML_1024x1024_2x_1_50x.jpg?v=1684468713")</f>
        <v/>
      </c>
      <c r="H804">
        <f>_xlfn.IMAGE("https://m.media-amazon.com/images/I/719R018NCnL._AC_UL320_.jpg")</f>
        <v/>
      </c>
      <c r="K804" t="inlineStr">
        <is>
          <t>20.0</t>
        </is>
      </c>
      <c r="L804" t="n">
        <v>12.99</v>
      </c>
      <c r="M804" s="1" t="inlineStr">
        <is>
          <t>-35.05%</t>
        </is>
      </c>
      <c r="N804" t="n">
        <v>3.9</v>
      </c>
      <c r="O804" t="n">
        <v>1459</v>
      </c>
      <c r="Q804" t="inlineStr">
        <is>
          <t>InStock</t>
        </is>
      </c>
      <c r="R804" t="inlineStr">
        <is>
          <t>undefined</t>
        </is>
      </c>
      <c r="S804" t="inlineStr">
        <is>
          <t>7592269480121</t>
        </is>
      </c>
    </row>
    <row r="805" ht="75" customHeight="1">
      <c r="A805" s="2">
        <f>HYPERLINK("https://camerareadycosmetics.com/products/dose-of-colors-nude-rose-liquid-matte-lipstick", "https://camerareadycosmetics.com/products/dose-of-colors-nude-rose-liquid-matte-lipstick")</f>
        <v/>
      </c>
      <c r="B805" s="2">
        <f>HYPERLINK("https://camerareadycosmetics.com/products/dose-of-colors-nude-rose-liquid-matte-lipstick", "https://camerareadycosmetics.com/products/dose-of-colors-nude-rose-liquid-matte-lipstick")</f>
        <v/>
      </c>
      <c r="C805" t="inlineStr">
        <is>
          <t>Nude Rose Liquid Matte Lipstick</t>
        </is>
      </c>
      <c r="D805" t="inlineStr">
        <is>
          <t>NYX PROFESSIONAL MAKEUP Soft Matte Lip Cream, Lightweight Liquid Lipstick - Beijing (Light Dusty Rose)</t>
        </is>
      </c>
      <c r="E805" s="2">
        <f>HYPERLINK("https://www.amazon.com/NYX-PROFESSIONAL-MAKEUP-Lipstick-Beijing/dp/B07BR2JDXZ/ref=sr_1_5?keywords=Nude+Rose+Liquid+Matte+Lipstick&amp;qid=1695565748&amp;sr=8-5", "https://www.amazon.com/NYX-PROFESSIONAL-MAKEUP-Lipstick-Beijing/dp/B07BR2JDXZ/ref=sr_1_5?keywords=Nude+Rose+Liquid+Matte+Lipstick&amp;qid=1695565748&amp;sr=8-5")</f>
        <v/>
      </c>
      <c r="F805" t="inlineStr">
        <is>
          <t>B07BR2JDXZ</t>
        </is>
      </c>
      <c r="G805">
        <f>_xlfn.IMAGE("https://camerareadycosmetics.com/cdn/shop/files/NUDEROSELML_1024x1024_2x_1_50x.jpg?v=1684468713")</f>
        <v/>
      </c>
      <c r="H805">
        <f>_xlfn.IMAGE("https://m.media-amazon.com/images/I/61MrnDJOQOS._AC_UL320_.jpg")</f>
        <v/>
      </c>
      <c r="K805" t="inlineStr">
        <is>
          <t>20.0</t>
        </is>
      </c>
      <c r="L805" t="n">
        <v>12.4</v>
      </c>
      <c r="M805" s="1" t="inlineStr">
        <is>
          <t>-38.00%</t>
        </is>
      </c>
      <c r="N805" t="n">
        <v>4.3</v>
      </c>
      <c r="O805" t="n">
        <v>39337</v>
      </c>
      <c r="Q805" t="inlineStr">
        <is>
          <t>InStock</t>
        </is>
      </c>
      <c r="R805" t="inlineStr">
        <is>
          <t>undefined</t>
        </is>
      </c>
      <c r="S805" t="inlineStr">
        <is>
          <t>7592269480121</t>
        </is>
      </c>
    </row>
    <row r="806" ht="75" customHeight="1">
      <c r="A806" s="2">
        <f>HYPERLINK("https://camerareadycosmetics.com/products/dose-of-colors-nude-rose-liquid-matte-lipstick", "https://camerareadycosmetics.com/products/dose-of-colors-nude-rose-liquid-matte-lipstick")</f>
        <v/>
      </c>
      <c r="B806" s="2">
        <f>HYPERLINK("https://camerareadycosmetics.com/products/dose-of-colors-nude-rose-liquid-matte-lipstick", "https://camerareadycosmetics.com/products/dose-of-colors-nude-rose-liquid-matte-lipstick")</f>
        <v/>
      </c>
      <c r="C806" t="inlineStr">
        <is>
          <t>Nude Rose Liquid Matte Lipstick</t>
        </is>
      </c>
      <c r="D806" t="inlineStr">
        <is>
          <t>evpct 6Pcs Peony Flower Liquid Matte Lipstick Set Dark Ruby Light Brown Rose red Mauve Nude Pink beige Matte Lipsticks Lip Stain Set for Women Long Lasting Waterproof labiales matte larga duracion 24</t>
        </is>
      </c>
      <c r="E806" s="2">
        <f>HYPERLINK("https://www.amazon.com/evpct-Lipstick-Lipsticks-Waterproof-labiales/dp/B0C6D1VY1H/ref=sr_1_7?keywords=Nude+Rose+Liquid+Matte+Lipstick&amp;qid=1695565748&amp;sr=8-7", "https://www.amazon.com/evpct-Lipstick-Lipsticks-Waterproof-labiales/dp/B0C6D1VY1H/ref=sr_1_7?keywords=Nude+Rose+Liquid+Matte+Lipstick&amp;qid=1695565748&amp;sr=8-7")</f>
        <v/>
      </c>
      <c r="F806" t="inlineStr">
        <is>
          <t>B0C6D1VY1H</t>
        </is>
      </c>
      <c r="G806">
        <f>_xlfn.IMAGE("https://camerareadycosmetics.com/cdn/shop/files/NUDEROSELML_1024x1024_2x_1_50x.jpg?v=1684468713")</f>
        <v/>
      </c>
      <c r="H806">
        <f>_xlfn.IMAGE("https://m.media-amazon.com/images/I/61Buo4AquwL._AC_UL320_.jpg")</f>
        <v/>
      </c>
      <c r="K806" t="inlineStr">
        <is>
          <t>20.0</t>
        </is>
      </c>
      <c r="L806" t="n">
        <v>9.99</v>
      </c>
      <c r="M806" s="1" t="inlineStr">
        <is>
          <t>-50.05%</t>
        </is>
      </c>
      <c r="N806" t="n">
        <v>3.9</v>
      </c>
      <c r="O806" t="n">
        <v>1858</v>
      </c>
      <c r="Q806" t="inlineStr">
        <is>
          <t>InStock</t>
        </is>
      </c>
      <c r="R806" t="inlineStr">
        <is>
          <t>undefined</t>
        </is>
      </c>
      <c r="S806" t="inlineStr">
        <is>
          <t>7592269480121</t>
        </is>
      </c>
    </row>
    <row r="807" ht="75" customHeight="1">
      <c r="A807" s="2">
        <f>HYPERLINK("https://camerareadycosmetics.com/products/dose-of-colors-nude-rose-liquid-matte-lipstick", "https://camerareadycosmetics.com/products/dose-of-colors-nude-rose-liquid-matte-lipstick")</f>
        <v/>
      </c>
      <c r="B807" s="2">
        <f>HYPERLINK("https://camerareadycosmetics.com/products/dose-of-colors-nude-rose-liquid-matte-lipstick", "https://camerareadycosmetics.com/products/dose-of-colors-nude-rose-liquid-matte-lipstick")</f>
        <v/>
      </c>
      <c r="C807" t="inlineStr">
        <is>
          <t>Nude Rose Liquid Matte Lipstick</t>
        </is>
      </c>
      <c r="D807" t="inlineStr">
        <is>
          <t>NYX PROFESSIONAL MAKEUP Lip Lingerie XXL Matte Liquid Lipstick - Candela Babe (Warm Rose Nude)</t>
        </is>
      </c>
      <c r="E807" s="2">
        <f>HYPERLINK("https://www.amazon.com/NYX-PROFESSIONAL-MAKEUP-Lingerie-Lipstick/dp/B09V7XQ4KZ/ref=sr_1_2?keywords=Nude+Rose+Liquid+Matte+Lipstick&amp;qid=1695565748&amp;sr=8-2", "https://www.amazon.com/NYX-PROFESSIONAL-MAKEUP-Lingerie-Lipstick/dp/B09V7XQ4KZ/ref=sr_1_2?keywords=Nude+Rose+Liquid+Matte+Lipstick&amp;qid=1695565748&amp;sr=8-2")</f>
        <v/>
      </c>
      <c r="F807" t="inlineStr">
        <is>
          <t>B09V7XQ4KZ</t>
        </is>
      </c>
      <c r="G807">
        <f>_xlfn.IMAGE("https://camerareadycosmetics.com/cdn/shop/files/NUDEROSELML_1024x1024_2x_1_50x.jpg?v=1684468713")</f>
        <v/>
      </c>
      <c r="H807">
        <f>_xlfn.IMAGE("https://m.media-amazon.com/images/I/71mWk0KIw7L._AC_UL320_.jpg")</f>
        <v/>
      </c>
      <c r="K807" t="inlineStr">
        <is>
          <t>20.0</t>
        </is>
      </c>
      <c r="L807" t="n">
        <v>9.970000000000001</v>
      </c>
      <c r="M807" s="1" t="inlineStr">
        <is>
          <t>-50.15%</t>
        </is>
      </c>
      <c r="N807" t="n">
        <v>4.3</v>
      </c>
      <c r="O807" t="n">
        <v>10247</v>
      </c>
      <c r="Q807" t="inlineStr">
        <is>
          <t>InStock</t>
        </is>
      </c>
      <c r="R807" t="inlineStr">
        <is>
          <t>undefined</t>
        </is>
      </c>
      <c r="S807" t="inlineStr">
        <is>
          <t>7592269480121</t>
        </is>
      </c>
    </row>
    <row r="808" ht="75" customHeight="1">
      <c r="A808" s="2">
        <f>HYPERLINK("https://camerareadycosmetics.com/products/dose-of-colors-nude-rose-liquid-matte-lipstick", "https://camerareadycosmetics.com/products/dose-of-colors-nude-rose-liquid-matte-lipstick")</f>
        <v/>
      </c>
      <c r="B808" s="2">
        <f>HYPERLINK("https://camerareadycosmetics.com/products/dose-of-colors-nude-rose-liquid-matte-lipstick", "https://camerareadycosmetics.com/products/dose-of-colors-nude-rose-liquid-matte-lipstick")</f>
        <v/>
      </c>
      <c r="C808" t="inlineStr">
        <is>
          <t>Nude Rose Liquid Matte Lipstick</t>
        </is>
      </c>
      <c r="D808" t="inlineStr">
        <is>
          <t>2pcs Matte Deep Rose-Beige Lip Liner and Lipstick Makeup Set,Nude matte Liquid Brown Lipstick 24H and Lip Liner Set Matt Liquid Lips Make Up Waterproof Long Lasting Lipstick Matte Kit（#25）</t>
        </is>
      </c>
      <c r="E808" s="2">
        <f>HYPERLINK("https://www.amazon.com/Rose-Beige-Lipstick-Makeup-Waterproof-Lasting/dp/B0BBDWTRYN/ref=sr_1_3?keywords=Nude+Rose+Liquid+Matte+Lipstick&amp;qid=1695565748&amp;sr=8-3", "https://www.amazon.com/Rose-Beige-Lipstick-Makeup-Waterproof-Lasting/dp/B0BBDWTRYN/ref=sr_1_3?keywords=Nude+Rose+Liquid+Matte+Lipstick&amp;qid=1695565748&amp;sr=8-3")</f>
        <v/>
      </c>
      <c r="F808" t="inlineStr">
        <is>
          <t>B0BBDWTRYN</t>
        </is>
      </c>
      <c r="G808">
        <f>_xlfn.IMAGE("https://camerareadycosmetics.com/cdn/shop/files/NUDEROSELML_1024x1024_2x_1_50x.jpg?v=1684468713")</f>
        <v/>
      </c>
      <c r="H808">
        <f>_xlfn.IMAGE("https://m.media-amazon.com/images/I/51gRG62QNfL._AC_UL320_.jpg")</f>
        <v/>
      </c>
      <c r="K808" t="inlineStr">
        <is>
          <t>20.0</t>
        </is>
      </c>
      <c r="L808" t="n">
        <v>6.99</v>
      </c>
      <c r="M808" s="1" t="inlineStr">
        <is>
          <t>-65.05%</t>
        </is>
      </c>
      <c r="N808" t="n">
        <v>3.8</v>
      </c>
      <c r="O808" t="n">
        <v>1781</v>
      </c>
      <c r="Q808" t="inlineStr">
        <is>
          <t>InStock</t>
        </is>
      </c>
      <c r="R808" t="inlineStr">
        <is>
          <t>undefined</t>
        </is>
      </c>
      <c r="S808" t="inlineStr">
        <is>
          <t>7592269480121</t>
        </is>
      </c>
    </row>
    <row r="809" ht="75" customHeight="1">
      <c r="A809" s="2">
        <f>HYPERLINK("https://camerareadycosmetics.com/products/dose-of-colors-nude-rose-liquid-matte-lipstick", "https://camerareadycosmetics.com/products/dose-of-colors-nude-rose-liquid-matte-lipstick")</f>
        <v/>
      </c>
      <c r="B809" s="2">
        <f>HYPERLINK("https://camerareadycosmetics.com/products/dose-of-colors-nude-rose-liquid-matte-lipstick", "https://camerareadycosmetics.com/products/dose-of-colors-nude-rose-liquid-matte-lipstick")</f>
        <v/>
      </c>
      <c r="C809" t="inlineStr">
        <is>
          <t>Nude Rose Liquid Matte Lipstick</t>
        </is>
      </c>
      <c r="D809" t="inlineStr">
        <is>
          <t>ROSE GOLD 2 In 1 Matte Lipstick &amp; Liquid Lipstick, Matte Finish, Nude, Full Color Lipstick, Long Lasting Waterproof Velvet Lip Gloss (14)</t>
        </is>
      </c>
      <c r="E809" s="2">
        <f>HYPERLINK("https://www.amazon.com/Lipstick-Liquid-Finish-Lasting-Waterproof/dp/B0B2RBPQ2X/ref=sr_1_9?keywords=Nude+Rose+Liquid+Matte+Lipstick&amp;qid=1695565748&amp;sr=8-9", "https://www.amazon.com/Lipstick-Liquid-Finish-Lasting-Waterproof/dp/B0B2RBPQ2X/ref=sr_1_9?keywords=Nude+Rose+Liquid+Matte+Lipstick&amp;qid=1695565748&amp;sr=8-9")</f>
        <v/>
      </c>
      <c r="F809" t="inlineStr">
        <is>
          <t>B0B2RBPQ2X</t>
        </is>
      </c>
      <c r="G809">
        <f>_xlfn.IMAGE("https://camerareadycosmetics.com/cdn/shop/files/NUDEROSELML_1024x1024_2x_1_50x.jpg?v=1684468713")</f>
        <v/>
      </c>
      <c r="H809">
        <f>_xlfn.IMAGE("https://m.media-amazon.com/images/I/61BhQLb8tyL._AC_UL320_.jpg")</f>
        <v/>
      </c>
      <c r="K809" t="inlineStr">
        <is>
          <t>20.0</t>
        </is>
      </c>
      <c r="L809" t="n">
        <v>5.59</v>
      </c>
      <c r="M809" s="1" t="inlineStr">
        <is>
          <t>-72.05%</t>
        </is>
      </c>
      <c r="N809" t="n">
        <v>3.9</v>
      </c>
      <c r="O809" t="n">
        <v>281</v>
      </c>
      <c r="Q809" t="inlineStr">
        <is>
          <t>InStock</t>
        </is>
      </c>
      <c r="R809" t="inlineStr">
        <is>
          <t>undefined</t>
        </is>
      </c>
      <c r="S809" t="inlineStr">
        <is>
          <t>7592269480121</t>
        </is>
      </c>
    </row>
    <row r="810" ht="75" customHeight="1">
      <c r="A810" s="2">
        <f>HYPERLINK("https://camerareadycosmetics.com/products/dose-of-colors-nude-rose-liquid-matte-lipstick", "https://camerareadycosmetics.com/products/dose-of-colors-nude-rose-liquid-matte-lipstick")</f>
        <v/>
      </c>
      <c r="B810" s="2">
        <f>HYPERLINK("https://camerareadycosmetics.com/products/dose-of-colors-nude-rose-liquid-matte-lipstick", "https://camerareadycosmetics.com/products/dose-of-colors-nude-rose-liquid-matte-lipstick")</f>
        <v/>
      </c>
      <c r="C810" t="inlineStr">
        <is>
          <t>Nude Rose Liquid Matte Lipstick</t>
        </is>
      </c>
      <c r="D810" t="inlineStr">
        <is>
          <t>ROSE GOLD 2 In 1 Matte Lipstick &amp; Liquid Lipstick, Full Color Lip Gloss, Matte Finish, Nude, Long Wear Waterproof Velvet Lipstick (03)</t>
        </is>
      </c>
      <c r="E810" s="2">
        <f>HYPERLINK("https://www.amazon.com/KUAILEGO-Lipstick-Liquid-Finish-Waterproof/dp/B0BDM3DHHH/ref=sr_1_10?keywords=Nude+Rose+Liquid+Matte+Lipstick&amp;qid=1695565748&amp;sr=8-10", "https://www.amazon.com/KUAILEGO-Lipstick-Liquid-Finish-Waterproof/dp/B0BDM3DHHH/ref=sr_1_10?keywords=Nude+Rose+Liquid+Matte+Lipstick&amp;qid=1695565748&amp;sr=8-10")</f>
        <v/>
      </c>
      <c r="F810" t="inlineStr">
        <is>
          <t>B0BDM3DHHH</t>
        </is>
      </c>
      <c r="G810">
        <f>_xlfn.IMAGE("https://camerareadycosmetics.com/cdn/shop/files/NUDEROSELML_1024x1024_2x_1_50x.jpg?v=1684468713")</f>
        <v/>
      </c>
      <c r="H810">
        <f>_xlfn.IMAGE("https://m.media-amazon.com/images/I/61nIcHYNvdL._AC_UL320_.jpg")</f>
        <v/>
      </c>
      <c r="K810" t="inlineStr">
        <is>
          <t>20.0</t>
        </is>
      </c>
      <c r="L810" t="n">
        <v>5.59</v>
      </c>
      <c r="M810" s="1" t="inlineStr">
        <is>
          <t>-72.05%</t>
        </is>
      </c>
      <c r="N810" t="n">
        <v>3.7</v>
      </c>
      <c r="O810" t="n">
        <v>157</v>
      </c>
      <c r="Q810" t="inlineStr">
        <is>
          <t>InStock</t>
        </is>
      </c>
      <c r="R810" t="inlineStr">
        <is>
          <t>undefined</t>
        </is>
      </c>
      <c r="S810" t="inlineStr">
        <is>
          <t>7592269480121</t>
        </is>
      </c>
    </row>
    <row r="811" ht="75" customHeight="1">
      <c r="A811" s="2">
        <f>HYPERLINK("https://camerareadycosmetics.com/products/dose-of-colors-nude-rose-liquid-matte-lipstick", "https://camerareadycosmetics.com/products/dose-of-colors-nude-rose-liquid-matte-lipstick")</f>
        <v/>
      </c>
      <c r="B811" s="2">
        <f>HYPERLINK("https://camerareadycosmetics.com/products/dose-of-colors-nude-rose-liquid-matte-lipstick", "https://camerareadycosmetics.com/products/dose-of-colors-nude-rose-liquid-matte-lipstick")</f>
        <v/>
      </c>
      <c r="C811" t="inlineStr">
        <is>
          <t>Nude Rose Liquid Matte Lipstick</t>
        </is>
      </c>
      <c r="D811" t="inlineStr">
        <is>
          <t>evpct 6Pcs Peony Flower Liquid Matte Lipstick Set Dark Ruby Light Brown Rose red Mauve Nude Pink beige Matte Lipsticks Lip Stain Set for Women Long Lasting Waterproof labiales matte larga duracion 24</t>
        </is>
      </c>
      <c r="E811" s="2">
        <f>HYPERLINK("https://www.amazon.com/evpct-Lipstick-Lipsticks-Waterproof-labiales/dp/B0C6D1VY1H/ref=sr_1_7?keywords=Nude+Rose+Liquid+Matte+Lipstick&amp;qid=1695565748&amp;sr=8-7", "https://www.amazon.com/evpct-Lipstick-Lipsticks-Waterproof-labiales/dp/B0C6D1VY1H/ref=sr_1_7?keywords=Nude+Rose+Liquid+Matte+Lipstick&amp;qid=1695565748&amp;sr=8-7")</f>
        <v/>
      </c>
      <c r="F811" t="inlineStr">
        <is>
          <t>B0C6D1VY1H</t>
        </is>
      </c>
      <c r="G811">
        <f>_xlfn.IMAGE("https://camerareadycosmetics.com/cdn/shop/files/NUDEROSELML_1024x1024_2x_1_50x.jpg?v=1684468713")</f>
        <v/>
      </c>
      <c r="H811">
        <f>_xlfn.IMAGE("https://m.media-amazon.com/images/I/61Buo4AquwL._AC_UL320_.jpg")</f>
        <v/>
      </c>
      <c r="K811" t="inlineStr">
        <is>
          <t>20.0</t>
        </is>
      </c>
      <c r="L811" t="n">
        <v>9.99</v>
      </c>
      <c r="M811" s="1" t="inlineStr">
        <is>
          <t>-50.05%</t>
        </is>
      </c>
      <c r="N811" t="n">
        <v>3.9</v>
      </c>
      <c r="O811" t="n">
        <v>1858</v>
      </c>
      <c r="Q811" t="inlineStr">
        <is>
          <t>InStock</t>
        </is>
      </c>
      <c r="R811" t="inlineStr">
        <is>
          <t>undefined</t>
        </is>
      </c>
      <c r="S811" t="inlineStr">
        <is>
          <t>7592269480121</t>
        </is>
      </c>
    </row>
    <row r="812" ht="75" customHeight="1">
      <c r="A812" s="2">
        <f>HYPERLINK("https://camerareadycosmetics.com/products/dose-of-colors-nude-rose-liquid-matte-lipstick", "https://camerareadycosmetics.com/products/dose-of-colors-nude-rose-liquid-matte-lipstick")</f>
        <v/>
      </c>
      <c r="B812" s="2">
        <f>HYPERLINK("https://camerareadycosmetics.com/products/dose-of-colors-nude-rose-liquid-matte-lipstick", "https://camerareadycosmetics.com/products/dose-of-colors-nude-rose-liquid-matte-lipstick")</f>
        <v/>
      </c>
      <c r="C812" t="inlineStr">
        <is>
          <t>Nude Rose Liquid Matte Lipstick</t>
        </is>
      </c>
      <c r="D812" t="inlineStr">
        <is>
          <t>NYX PROFESSIONAL MAKEUP Lip Lingerie XXL Matte Liquid Lipstick - Candela Babe (Warm Rose Nude)</t>
        </is>
      </c>
      <c r="E812" s="2">
        <f>HYPERLINK("https://www.amazon.com/NYX-PROFESSIONAL-MAKEUP-Lingerie-Lipstick/dp/B09V7XQ4KZ/ref=sr_1_2?keywords=Nude+Rose+Liquid+Matte+Lipstick&amp;qid=1695565748&amp;sr=8-2", "https://www.amazon.com/NYX-PROFESSIONAL-MAKEUP-Lingerie-Lipstick/dp/B09V7XQ4KZ/ref=sr_1_2?keywords=Nude+Rose+Liquid+Matte+Lipstick&amp;qid=1695565748&amp;sr=8-2")</f>
        <v/>
      </c>
      <c r="F812" t="inlineStr">
        <is>
          <t>B09V7XQ4KZ</t>
        </is>
      </c>
      <c r="G812">
        <f>_xlfn.IMAGE("https://camerareadycosmetics.com/cdn/shop/files/NUDEROSELML_1024x1024_2x_1_50x.jpg?v=1684468713")</f>
        <v/>
      </c>
      <c r="H812">
        <f>_xlfn.IMAGE("https://m.media-amazon.com/images/I/71mWk0KIw7L._AC_UL320_.jpg")</f>
        <v/>
      </c>
      <c r="K812" t="inlineStr">
        <is>
          <t>20.0</t>
        </is>
      </c>
      <c r="L812" t="n">
        <v>9.970000000000001</v>
      </c>
      <c r="M812" s="1" t="inlineStr">
        <is>
          <t>-50.15%</t>
        </is>
      </c>
      <c r="N812" t="n">
        <v>4.3</v>
      </c>
      <c r="O812" t="n">
        <v>10247</v>
      </c>
      <c r="Q812" t="inlineStr">
        <is>
          <t>InStock</t>
        </is>
      </c>
      <c r="R812" t="inlineStr">
        <is>
          <t>undefined</t>
        </is>
      </c>
      <c r="S812" t="inlineStr">
        <is>
          <t>7592269480121</t>
        </is>
      </c>
    </row>
    <row r="813" ht="75" customHeight="1">
      <c r="A813" s="2">
        <f>HYPERLINK("https://camerareadycosmetics.com/products/dose-of-colors-nude-rose-liquid-matte-lipstick", "https://camerareadycosmetics.com/products/dose-of-colors-nude-rose-liquid-matte-lipstick")</f>
        <v/>
      </c>
      <c r="B813" s="2">
        <f>HYPERLINK("https://camerareadycosmetics.com/products/dose-of-colors-nude-rose-liquid-matte-lipstick", "https://camerareadycosmetics.com/products/dose-of-colors-nude-rose-liquid-matte-lipstick")</f>
        <v/>
      </c>
      <c r="C813" t="inlineStr">
        <is>
          <t>Nude Rose Liquid Matte Lipstick</t>
        </is>
      </c>
      <c r="D813" t="inlineStr">
        <is>
          <t>2pcs Matte Deep Rose-Beige Lip Liner and Lipstick Makeup Set,Nude matte Liquid Brown Lipstick 24H and Lip Liner Set Matt Liquid Lips Make Up Waterproof Long Lasting Lipstick Matte Kit（#25）</t>
        </is>
      </c>
      <c r="E813" s="2">
        <f>HYPERLINK("https://www.amazon.com/Rose-Beige-Lipstick-Makeup-Waterproof-Lasting/dp/B0BBDWTRYN/ref=sr_1_3?keywords=Nude+Rose+Liquid+Matte+Lipstick&amp;qid=1695565748&amp;sr=8-3", "https://www.amazon.com/Rose-Beige-Lipstick-Makeup-Waterproof-Lasting/dp/B0BBDWTRYN/ref=sr_1_3?keywords=Nude+Rose+Liquid+Matte+Lipstick&amp;qid=1695565748&amp;sr=8-3")</f>
        <v/>
      </c>
      <c r="F813" t="inlineStr">
        <is>
          <t>B0BBDWTRYN</t>
        </is>
      </c>
      <c r="G813">
        <f>_xlfn.IMAGE("https://camerareadycosmetics.com/cdn/shop/files/NUDEROSELML_1024x1024_2x_1_50x.jpg?v=1684468713")</f>
        <v/>
      </c>
      <c r="H813">
        <f>_xlfn.IMAGE("https://m.media-amazon.com/images/I/51gRG62QNfL._AC_UL320_.jpg")</f>
        <v/>
      </c>
      <c r="K813" t="inlineStr">
        <is>
          <t>20.0</t>
        </is>
      </c>
      <c r="L813" t="n">
        <v>6.99</v>
      </c>
      <c r="M813" s="1" t="inlineStr">
        <is>
          <t>-65.05%</t>
        </is>
      </c>
      <c r="N813" t="n">
        <v>3.8</v>
      </c>
      <c r="O813" t="n">
        <v>1781</v>
      </c>
      <c r="Q813" t="inlineStr">
        <is>
          <t>InStock</t>
        </is>
      </c>
      <c r="R813" t="inlineStr">
        <is>
          <t>undefined</t>
        </is>
      </c>
      <c r="S813" t="inlineStr">
        <is>
          <t>7592269480121</t>
        </is>
      </c>
    </row>
    <row r="814" ht="75" customHeight="1">
      <c r="A814" s="2">
        <f>HYPERLINK("https://camerareadycosmetics.com/products/dose-of-colors-nude-rose-liquid-matte-lipstick", "https://camerareadycosmetics.com/products/dose-of-colors-nude-rose-liquid-matte-lipstick")</f>
        <v/>
      </c>
      <c r="B814" s="2">
        <f>HYPERLINK("https://camerareadycosmetics.com/products/dose-of-colors-nude-rose-liquid-matte-lipstick", "https://camerareadycosmetics.com/products/dose-of-colors-nude-rose-liquid-matte-lipstick")</f>
        <v/>
      </c>
      <c r="C814" t="inlineStr">
        <is>
          <t>Nude Rose Liquid Matte Lipstick</t>
        </is>
      </c>
      <c r="D814" t="inlineStr">
        <is>
          <t>ROSE GOLD 2 In 1 Matte Lipstick &amp; Liquid Lipstick, Matte Finish, Nude, Full Color Lipstick, Long Lasting Waterproof Velvet Lip Gloss (14)</t>
        </is>
      </c>
      <c r="E814" s="2">
        <f>HYPERLINK("https://www.amazon.com/Lipstick-Liquid-Finish-Lasting-Waterproof/dp/B0B2RBPQ2X/ref=sr_1_9?keywords=Nude+Rose+Liquid+Matte+Lipstick&amp;qid=1695565748&amp;sr=8-9", "https://www.amazon.com/Lipstick-Liquid-Finish-Lasting-Waterproof/dp/B0B2RBPQ2X/ref=sr_1_9?keywords=Nude+Rose+Liquid+Matte+Lipstick&amp;qid=1695565748&amp;sr=8-9")</f>
        <v/>
      </c>
      <c r="F814" t="inlineStr">
        <is>
          <t>B0B2RBPQ2X</t>
        </is>
      </c>
      <c r="G814">
        <f>_xlfn.IMAGE("https://camerareadycosmetics.com/cdn/shop/files/NUDEROSELML_1024x1024_2x_1_50x.jpg?v=1684468713")</f>
        <v/>
      </c>
      <c r="H814">
        <f>_xlfn.IMAGE("https://m.media-amazon.com/images/I/61BhQLb8tyL._AC_UL320_.jpg")</f>
        <v/>
      </c>
      <c r="K814" t="inlineStr">
        <is>
          <t>20.0</t>
        </is>
      </c>
      <c r="L814" t="n">
        <v>5.59</v>
      </c>
      <c r="M814" s="1" t="inlineStr">
        <is>
          <t>-72.05%</t>
        </is>
      </c>
      <c r="N814" t="n">
        <v>3.9</v>
      </c>
      <c r="O814" t="n">
        <v>281</v>
      </c>
      <c r="Q814" t="inlineStr">
        <is>
          <t>InStock</t>
        </is>
      </c>
      <c r="R814" t="inlineStr">
        <is>
          <t>undefined</t>
        </is>
      </c>
      <c r="S814" t="inlineStr">
        <is>
          <t>7592269480121</t>
        </is>
      </c>
    </row>
    <row r="815" ht="75" customHeight="1">
      <c r="A815" s="2">
        <f>HYPERLINK("https://camerareadycosmetics.com/products/dose-of-colors-nude-rose-liquid-matte-lipstick", "https://camerareadycosmetics.com/products/dose-of-colors-nude-rose-liquid-matte-lipstick")</f>
        <v/>
      </c>
      <c r="B815" s="2">
        <f>HYPERLINK("https://camerareadycosmetics.com/products/dose-of-colors-nude-rose-liquid-matte-lipstick", "https://camerareadycosmetics.com/products/dose-of-colors-nude-rose-liquid-matte-lipstick")</f>
        <v/>
      </c>
      <c r="C815" t="inlineStr">
        <is>
          <t>Nude Rose Liquid Matte Lipstick</t>
        </is>
      </c>
      <c r="D815" t="inlineStr">
        <is>
          <t>ROSE GOLD 2 In 1 Matte Lipstick &amp; Liquid Lipstick, Full Color Lip Gloss, Matte Finish, Nude, Long Wear Waterproof Velvet Lipstick (03)</t>
        </is>
      </c>
      <c r="E815" s="2">
        <f>HYPERLINK("https://www.amazon.com/KUAILEGO-Lipstick-Liquid-Finish-Waterproof/dp/B0BDM3DHHH/ref=sr_1_10?keywords=Nude+Rose+Liquid+Matte+Lipstick&amp;qid=1695565748&amp;sr=8-10", "https://www.amazon.com/KUAILEGO-Lipstick-Liquid-Finish-Waterproof/dp/B0BDM3DHHH/ref=sr_1_10?keywords=Nude+Rose+Liquid+Matte+Lipstick&amp;qid=1695565748&amp;sr=8-10")</f>
        <v/>
      </c>
      <c r="F815" t="inlineStr">
        <is>
          <t>B0BDM3DHHH</t>
        </is>
      </c>
      <c r="G815">
        <f>_xlfn.IMAGE("https://camerareadycosmetics.com/cdn/shop/files/NUDEROSELML_1024x1024_2x_1_50x.jpg?v=1684468713")</f>
        <v/>
      </c>
      <c r="H815">
        <f>_xlfn.IMAGE("https://m.media-amazon.com/images/I/61nIcHYNvdL._AC_UL320_.jpg")</f>
        <v/>
      </c>
      <c r="K815" t="inlineStr">
        <is>
          <t>20.0</t>
        </is>
      </c>
      <c r="L815" t="n">
        <v>5.59</v>
      </c>
      <c r="M815" s="1" t="inlineStr">
        <is>
          <t>-72.05%</t>
        </is>
      </c>
      <c r="N815" t="n">
        <v>3.7</v>
      </c>
      <c r="O815" t="n">
        <v>157</v>
      </c>
      <c r="Q815" t="inlineStr">
        <is>
          <t>InStock</t>
        </is>
      </c>
      <c r="R815" t="inlineStr">
        <is>
          <t>undefined</t>
        </is>
      </c>
      <c r="S815" t="inlineStr">
        <is>
          <t>7592269480121</t>
        </is>
      </c>
    </row>
    <row r="816" ht="75" customHeight="1">
      <c r="A816" s="2">
        <f>HYPERLINK("https://camerareadycosmetics.com/products/dose-of-colors-pretty-cool-eyeshadow-palette", "https://camerareadycosmetics.com/products/dose-of-colors-pretty-cool-eyeshadow-palette")</f>
        <v/>
      </c>
      <c r="B816" s="2">
        <f>HYPERLINK("https://camerareadycosmetics.com/products/dose-of-colors-pretty-cool-eyeshadow-palette", "https://camerareadycosmetics.com/products/dose-of-colors-pretty-cool-eyeshadow-palette")</f>
        <v/>
      </c>
      <c r="C816" t="inlineStr">
        <is>
          <t>Pretty Cool Eyeshadow Palette</t>
        </is>
      </c>
      <c r="D816" t="inlineStr">
        <is>
          <t>Dose of Colors - Eyeshadow Palette - Pretty Cool</t>
        </is>
      </c>
      <c r="E816" s="2">
        <f>HYPERLINK("https://www.amazon.com/Dose-Colors-Eyeshadow-Palette-Pretty/dp/B08KQ8XHR8/ref=sr_1_1?keywords=Pretty+Cool+Eyeshadow+Palette&amp;qid=1695565629&amp;sr=8-1", "https://www.amazon.com/Dose-Colors-Eyeshadow-Palette-Pretty/dp/B08KQ8XHR8/ref=sr_1_1?keywords=Pretty+Cool+Eyeshadow+Palette&amp;qid=1695565629&amp;sr=8-1")</f>
        <v/>
      </c>
      <c r="F816" t="inlineStr">
        <is>
          <t>B08KQ8XHR8</t>
        </is>
      </c>
      <c r="G816">
        <f>_xlfn.IMAGE("https://camerareadycosmetics.com/cdn/shop/products/PRETTY-COOL_50x.jpg?v=1623160176")</f>
        <v/>
      </c>
      <c r="H816">
        <f>_xlfn.IMAGE("https://m.media-amazon.com/images/I/81X9wRD2bVL._AC_UL320_.jpg")</f>
        <v/>
      </c>
      <c r="K816" t="inlineStr">
        <is>
          <t>32.0</t>
        </is>
      </c>
      <c r="L816" t="n">
        <v>32</v>
      </c>
      <c r="M816" s="1" t="inlineStr">
        <is>
          <t>0.00%</t>
        </is>
      </c>
      <c r="N816" t="n">
        <v>4.4</v>
      </c>
      <c r="O816" t="n">
        <v>99</v>
      </c>
      <c r="Q816" t="inlineStr">
        <is>
          <t>InStock</t>
        </is>
      </c>
      <c r="R816" t="inlineStr">
        <is>
          <t>undefined</t>
        </is>
      </c>
      <c r="S816" t="inlineStr">
        <is>
          <t>6764278743225</t>
        </is>
      </c>
    </row>
    <row r="817" ht="75" customHeight="1">
      <c r="A817" s="2">
        <f>HYPERLINK("https://camerareadycosmetics.com/products/dose-of-colors-pretty-cool-eyeshadow-palette", "https://camerareadycosmetics.com/products/dose-of-colors-pretty-cool-eyeshadow-palette")</f>
        <v/>
      </c>
      <c r="B817" s="2">
        <f>HYPERLINK("https://camerareadycosmetics.com/products/dose-of-colors-pretty-cool-eyeshadow-palette", "https://camerareadycosmetics.com/products/dose-of-colors-pretty-cool-eyeshadow-palette")</f>
        <v/>
      </c>
      <c r="C817" t="inlineStr">
        <is>
          <t>Pretty Cool Eyeshadow Palette</t>
        </is>
      </c>
      <c r="D817" t="inlineStr">
        <is>
          <t>IT Cosmetics Naturally Pretty Essentials - Luxe Eyeshadow Palette - Travel Size - 6 Matte Shades &amp; 1 Transforming Satin Shade - With Anti-Aging Hydrolyzed Collagen, Silk &amp; Peptides - 0.092 oz</t>
        </is>
      </c>
      <c r="E817" s="2">
        <f>HYPERLINK("https://www.amazon.com/COSMETICS-Naturally-Essentials-Transforming-Eyeshadow/dp/B01DZ2ZR8E/ref=sr_1_10?keywords=Pretty+Cool+Eyeshadow+Palette&amp;qid=1695565629&amp;sr=8-10", "https://www.amazon.com/COSMETICS-Naturally-Essentials-Transforming-Eyeshadow/dp/B01DZ2ZR8E/ref=sr_1_10?keywords=Pretty+Cool+Eyeshadow+Palette&amp;qid=1695565629&amp;sr=8-10")</f>
        <v/>
      </c>
      <c r="F817" t="inlineStr">
        <is>
          <t>B01DZ2ZR8E</t>
        </is>
      </c>
      <c r="G817">
        <f>_xlfn.IMAGE("https://camerareadycosmetics.com/cdn/shop/products/PRETTY-COOL_50x.jpg?v=1623160176")</f>
        <v/>
      </c>
      <c r="H817">
        <f>_xlfn.IMAGE("https://m.media-amazon.com/images/I/612dDtM-4DS._AC_UL320_.jpg")</f>
        <v/>
      </c>
      <c r="K817" t="inlineStr">
        <is>
          <t>32.0</t>
        </is>
      </c>
      <c r="L817" t="n">
        <v>29</v>
      </c>
      <c r="M817" s="1" t="inlineStr">
        <is>
          <t>-9.38%</t>
        </is>
      </c>
      <c r="N817" t="n">
        <v>4.6</v>
      </c>
      <c r="O817" t="n">
        <v>758</v>
      </c>
      <c r="Q817" t="inlineStr">
        <is>
          <t>InStock</t>
        </is>
      </c>
      <c r="R817" t="inlineStr">
        <is>
          <t>undefined</t>
        </is>
      </c>
      <c r="S817" t="inlineStr">
        <is>
          <t>6764278743225</t>
        </is>
      </c>
    </row>
    <row r="818" ht="75" customHeight="1">
      <c r="A818" s="2">
        <f>HYPERLINK("https://camerareadycosmetics.com/products/dose-of-colors-pretty-cool-eyeshadow-palette", "https://camerareadycosmetics.com/products/dose-of-colors-pretty-cool-eyeshadow-palette")</f>
        <v/>
      </c>
      <c r="B818" s="2">
        <f>HYPERLINK("https://camerareadycosmetics.com/products/dose-of-colors-pretty-cool-eyeshadow-palette", "https://camerareadycosmetics.com/products/dose-of-colors-pretty-cool-eyeshadow-palette")</f>
        <v/>
      </c>
      <c r="C818" t="inlineStr">
        <is>
          <t>Pretty Cool Eyeshadow Palette</t>
        </is>
      </c>
      <c r="D818" t="inlineStr">
        <is>
          <t>DE'LANCI Grey Smokey Eyeshadow Palette, 16 Colors Black White Violet Smoky Eye Shadow Pallet, Matte Shimmer Neutral Sliver Glitter Shades Pallets, High Pigment Cool Tone Eye Makeup Palette Talc Free</t>
        </is>
      </c>
      <c r="E818" s="2">
        <f>HYPERLINK("https://www.amazon.com/DELANCI-Eyeshadow-Palette-Shimmer-Neutral/dp/B0C1YJFBGX/ref=sr_1_8?keywords=Pretty+Cool+Eyeshadow+Palette&amp;qid=1695565629&amp;sr=8-8", "https://www.amazon.com/DELANCI-Eyeshadow-Palette-Shimmer-Neutral/dp/B0C1YJFBGX/ref=sr_1_8?keywords=Pretty+Cool+Eyeshadow+Palette&amp;qid=1695565629&amp;sr=8-8")</f>
        <v/>
      </c>
      <c r="F818" t="inlineStr">
        <is>
          <t>B0C1YJFBGX</t>
        </is>
      </c>
      <c r="G818">
        <f>_xlfn.IMAGE("https://camerareadycosmetics.com/cdn/shop/products/PRETTY-COOL_50x.jpg?v=1623160176")</f>
        <v/>
      </c>
      <c r="H818">
        <f>_xlfn.IMAGE("https://m.media-amazon.com/images/I/71CTImkjviL._AC_UL320_.jpg")</f>
        <v/>
      </c>
      <c r="K818" t="inlineStr">
        <is>
          <t>32.0</t>
        </is>
      </c>
      <c r="L818" t="n">
        <v>9.99</v>
      </c>
      <c r="M818" s="1" t="inlineStr">
        <is>
          <t>-68.78%</t>
        </is>
      </c>
      <c r="N818" t="n">
        <v>4.4</v>
      </c>
      <c r="O818" t="n">
        <v>9</v>
      </c>
      <c r="Q818" t="inlineStr">
        <is>
          <t>InStock</t>
        </is>
      </c>
      <c r="R818" t="inlineStr">
        <is>
          <t>undefined</t>
        </is>
      </c>
      <c r="S818" t="inlineStr">
        <is>
          <t>6764278743225</t>
        </is>
      </c>
    </row>
    <row r="819" ht="75" customHeight="1">
      <c r="A819" s="2">
        <f>HYPERLINK("https://camerareadycosmetics.com/products/dose-of-colors-pretty-cool-eyeshadow-palette", "https://camerareadycosmetics.com/products/dose-of-colors-pretty-cool-eyeshadow-palette")</f>
        <v/>
      </c>
      <c r="B819" s="2">
        <f>HYPERLINK("https://camerareadycosmetics.com/products/dose-of-colors-pretty-cool-eyeshadow-palette", "https://camerareadycosmetics.com/products/dose-of-colors-pretty-cool-eyeshadow-palette")</f>
        <v/>
      </c>
      <c r="C819" t="inlineStr">
        <is>
          <t>Pretty Cool Eyeshadow Palette</t>
        </is>
      </c>
      <c r="D819" t="inlineStr">
        <is>
          <t>Smokey Eye Neutral Eyeshadow Palette - 12 Highly Pigmented Cool Toned Shimmer Matte Colors For Professional Everyday Nude Looks - Travel Size Eye Shadow Makeup Palette With Mirror</t>
        </is>
      </c>
      <c r="E819" s="2">
        <f>HYPERLINK("https://www.amazon.com/Lamora-Cold-Smokey-Eyeshadow-Palette/dp/B09DGFQB81/ref=sr_1_3?keywords=Pretty+Cool+Eyeshadow+Palette&amp;qid=1695565629&amp;sr=8-3", "https://www.amazon.com/Lamora-Cold-Smokey-Eyeshadow-Palette/dp/B09DGFQB81/ref=sr_1_3?keywords=Pretty+Cool+Eyeshadow+Palette&amp;qid=1695565629&amp;sr=8-3")</f>
        <v/>
      </c>
      <c r="F819" t="inlineStr">
        <is>
          <t>B09DGFQB81</t>
        </is>
      </c>
      <c r="G819">
        <f>_xlfn.IMAGE("https://camerareadycosmetics.com/cdn/shop/products/PRETTY-COOL_50x.jpg?v=1623160176")</f>
        <v/>
      </c>
      <c r="H819">
        <f>_xlfn.IMAGE("https://m.media-amazon.com/images/I/81T-OVjGJ6L._AC_UL320_.jpg")</f>
        <v/>
      </c>
      <c r="K819" t="inlineStr">
        <is>
          <t>32.0</t>
        </is>
      </c>
      <c r="L819" t="n">
        <v>9.99</v>
      </c>
      <c r="M819" s="1" t="inlineStr">
        <is>
          <t>-68.78%</t>
        </is>
      </c>
      <c r="N819" t="n">
        <v>4.6</v>
      </c>
      <c r="O819" t="n">
        <v>467</v>
      </c>
      <c r="Q819" t="inlineStr">
        <is>
          <t>InStock</t>
        </is>
      </c>
      <c r="R819" t="inlineStr">
        <is>
          <t>undefined</t>
        </is>
      </c>
      <c r="S819" t="inlineStr">
        <is>
          <t>6764278743225</t>
        </is>
      </c>
    </row>
    <row r="820" ht="75" customHeight="1">
      <c r="A820" s="2">
        <f>HYPERLINK("https://camerareadycosmetics.com/products/dose-of-colors-pretty-cool-eyeshadow-palette", "https://camerareadycosmetics.com/products/dose-of-colors-pretty-cool-eyeshadow-palette")</f>
        <v/>
      </c>
      <c r="B820" s="2">
        <f>HYPERLINK("https://camerareadycosmetics.com/products/dose-of-colors-pretty-cool-eyeshadow-palette", "https://camerareadycosmetics.com/products/dose-of-colors-pretty-cool-eyeshadow-palette")</f>
        <v/>
      </c>
      <c r="C820" t="inlineStr">
        <is>
          <t>Pretty Cool Eyeshadow Palette</t>
        </is>
      </c>
      <c r="D820" t="inlineStr">
        <is>
          <t>Go Ho 10 Colors Eyeshadow Palette,Matte&amp;Glitter Eyeshadow Makeup,High Pigmented Shades,Naturing-Looking, High Pigment Waterproof Cool Eye Eyeshadow Palette,14 Midsummer Dream</t>
        </is>
      </c>
      <c r="E820" s="2">
        <f>HYPERLINK("https://www.amazon.com/Go-Ho-Eyeshadow-Naturing-Looking-Waterproof/dp/B0BV739HPW/ref=sr_1_9?keywords=Pretty+Cool+Eyeshadow+Palette&amp;qid=1695565629&amp;sr=8-9", "https://www.amazon.com/Go-Ho-Eyeshadow-Naturing-Looking-Waterproof/dp/B0BV739HPW/ref=sr_1_9?keywords=Pretty+Cool+Eyeshadow+Palette&amp;qid=1695565629&amp;sr=8-9")</f>
        <v/>
      </c>
      <c r="F820" t="inlineStr">
        <is>
          <t>B0BV739HPW</t>
        </is>
      </c>
      <c r="G820">
        <f>_xlfn.IMAGE("https://camerareadycosmetics.com/cdn/shop/products/PRETTY-COOL_50x.jpg?v=1623160176")</f>
        <v/>
      </c>
      <c r="H820">
        <f>_xlfn.IMAGE("https://m.media-amazon.com/images/I/61V3nWDzZiL._AC_UL320_.jpg")</f>
        <v/>
      </c>
      <c r="K820" t="inlineStr">
        <is>
          <t>32.0</t>
        </is>
      </c>
      <c r="L820" t="n">
        <v>6.99</v>
      </c>
      <c r="M820" s="1" t="inlineStr">
        <is>
          <t>-78.16%</t>
        </is>
      </c>
      <c r="N820" t="n">
        <v>4.4</v>
      </c>
      <c r="O820" t="n">
        <v>998</v>
      </c>
      <c r="Q820" t="inlineStr">
        <is>
          <t>InStock</t>
        </is>
      </c>
      <c r="R820" t="inlineStr">
        <is>
          <t>undefined</t>
        </is>
      </c>
      <c r="S820" t="inlineStr">
        <is>
          <t>6764278743225</t>
        </is>
      </c>
    </row>
    <row r="821" ht="75" customHeight="1">
      <c r="A821" s="2">
        <f>HYPERLINK("https://camerareadycosmetics.com/products/dose-of-colors-pretty-cool-eyeshadow-palette", "https://camerareadycosmetics.com/products/dose-of-colors-pretty-cool-eyeshadow-palette")</f>
        <v/>
      </c>
      <c r="B821" s="2">
        <f>HYPERLINK("https://camerareadycosmetics.com/products/dose-of-colors-pretty-cool-eyeshadow-palette", "https://camerareadycosmetics.com/products/dose-of-colors-pretty-cool-eyeshadow-palette")</f>
        <v/>
      </c>
      <c r="C821" t="inlineStr">
        <is>
          <t>Pretty Cool Eyeshadow Palette</t>
        </is>
      </c>
      <c r="D821" t="inlineStr">
        <is>
          <t>Go Ho 10 Colors Eyeshadow Palette Makeup,All Matte Naked Eyeshadow Palette for Older Women,Highly Pigmented Blendable Shades Nude Eye Shadow,Waterproof Cool-tone Eyeshadow Palette,Sweet Mint 04</t>
        </is>
      </c>
      <c r="E821" s="2">
        <f>HYPERLINK("https://www.amazon.com/Go-Ho-Eyeshadow-Naturing-Looking-Waterproof/dp/B09Q35HJKY/ref=sr_1_4?keywords=Pretty+Cool+Eyeshadow+Palette&amp;qid=1695565629&amp;sr=8-4", "https://www.amazon.com/Go-Ho-Eyeshadow-Naturing-Looking-Waterproof/dp/B09Q35HJKY/ref=sr_1_4?keywords=Pretty+Cool+Eyeshadow+Palette&amp;qid=1695565629&amp;sr=8-4")</f>
        <v/>
      </c>
      <c r="F821" t="inlineStr">
        <is>
          <t>B09Q35HJKY</t>
        </is>
      </c>
      <c r="G821">
        <f>_xlfn.IMAGE("https://camerareadycosmetics.com/cdn/shop/products/PRETTY-COOL_50x.jpg?v=1623160176")</f>
        <v/>
      </c>
      <c r="H821">
        <f>_xlfn.IMAGE("https://m.media-amazon.com/images/I/51MC6sRr7SL._AC_UL320_.jpg")</f>
        <v/>
      </c>
      <c r="K821" t="inlineStr">
        <is>
          <t>32.0</t>
        </is>
      </c>
      <c r="L821" t="n">
        <v>6.88</v>
      </c>
      <c r="M821" s="1" t="inlineStr">
        <is>
          <t>-78.50%</t>
        </is>
      </c>
      <c r="N821" t="n">
        <v>4.4</v>
      </c>
      <c r="O821" t="n">
        <v>185</v>
      </c>
      <c r="Q821" t="inlineStr">
        <is>
          <t>InStock</t>
        </is>
      </c>
      <c r="R821" t="inlineStr">
        <is>
          <t>undefined</t>
        </is>
      </c>
      <c r="S821" t="inlineStr">
        <is>
          <t>6764278743225</t>
        </is>
      </c>
    </row>
    <row r="822" ht="75" customHeight="1">
      <c r="A822" s="2">
        <f>HYPERLINK("https://camerareadycosmetics.com/products/dose-of-colors-pretty-cool-eyeshadow-palette", "https://camerareadycosmetics.com/products/dose-of-colors-pretty-cool-eyeshadow-palette")</f>
        <v/>
      </c>
      <c r="B822" s="2">
        <f>HYPERLINK("https://camerareadycosmetics.com/products/dose-of-colors-pretty-cool-eyeshadow-palette", "https://camerareadycosmetics.com/products/dose-of-colors-pretty-cool-eyeshadow-palette")</f>
        <v/>
      </c>
      <c r="C822" t="inlineStr">
        <is>
          <t>Pretty Cool Eyeshadow Palette</t>
        </is>
      </c>
      <c r="D822" t="inlineStr">
        <is>
          <t>DE'LANCI Grey Smokey Eyeshadow Palette, 16 Colors Black White Violet Smoky Eye Shadow Pallet, Matte Shimmer Neutral Sliver Glitter Shades Pallets, High Pigment Cool Tone Eye Makeup Palette Talc Free</t>
        </is>
      </c>
      <c r="E822" s="2">
        <f>HYPERLINK("https://www.amazon.com/DELANCI-Eyeshadow-Palette-Shimmer-Neutral/dp/B0C1YJFBGX/ref=sr_1_8?keywords=Pretty+Cool+Eyeshadow+Palette&amp;qid=1695565629&amp;sr=8-8", "https://www.amazon.com/DELANCI-Eyeshadow-Palette-Shimmer-Neutral/dp/B0C1YJFBGX/ref=sr_1_8?keywords=Pretty+Cool+Eyeshadow+Palette&amp;qid=1695565629&amp;sr=8-8")</f>
        <v/>
      </c>
      <c r="F822" t="inlineStr">
        <is>
          <t>B0C1YJFBGX</t>
        </is>
      </c>
      <c r="G822">
        <f>_xlfn.IMAGE("https://camerareadycosmetics.com/cdn/shop/products/PRETTY-COOL_50x.jpg?v=1623160176")</f>
        <v/>
      </c>
      <c r="H822">
        <f>_xlfn.IMAGE("https://m.media-amazon.com/images/I/71CTImkjviL._AC_UL320_.jpg")</f>
        <v/>
      </c>
      <c r="K822" t="inlineStr">
        <is>
          <t>32.0</t>
        </is>
      </c>
      <c r="L822" t="n">
        <v>9.99</v>
      </c>
      <c r="M822" s="1" t="inlineStr">
        <is>
          <t>-68.78%</t>
        </is>
      </c>
      <c r="N822" t="n">
        <v>4.4</v>
      </c>
      <c r="O822" t="n">
        <v>9</v>
      </c>
      <c r="Q822" t="inlineStr">
        <is>
          <t>InStock</t>
        </is>
      </c>
      <c r="R822" t="inlineStr">
        <is>
          <t>undefined</t>
        </is>
      </c>
      <c r="S822" t="inlineStr">
        <is>
          <t>6764278743225</t>
        </is>
      </c>
    </row>
    <row r="823" ht="75" customHeight="1">
      <c r="A823" s="2">
        <f>HYPERLINK("https://camerareadycosmetics.com/products/dose-of-colors-pretty-cool-eyeshadow-palette", "https://camerareadycosmetics.com/products/dose-of-colors-pretty-cool-eyeshadow-palette")</f>
        <v/>
      </c>
      <c r="B823" s="2">
        <f>HYPERLINK("https://camerareadycosmetics.com/products/dose-of-colors-pretty-cool-eyeshadow-palette", "https://camerareadycosmetics.com/products/dose-of-colors-pretty-cool-eyeshadow-palette")</f>
        <v/>
      </c>
      <c r="C823" t="inlineStr">
        <is>
          <t>Pretty Cool Eyeshadow Palette</t>
        </is>
      </c>
      <c r="D823" t="inlineStr">
        <is>
          <t>Smokey Eye Neutral Eyeshadow Palette - 12 Highly Pigmented Cool Toned Shimmer Matte Colors For Professional Everyday Nude Looks - Travel Size Eye Shadow Makeup Palette With Mirror</t>
        </is>
      </c>
      <c r="E823" s="2">
        <f>HYPERLINK("https://www.amazon.com/Lamora-Cold-Smokey-Eyeshadow-Palette/dp/B09DGFQB81/ref=sr_1_3?keywords=Pretty+Cool+Eyeshadow+Palette&amp;qid=1695565629&amp;sr=8-3", "https://www.amazon.com/Lamora-Cold-Smokey-Eyeshadow-Palette/dp/B09DGFQB81/ref=sr_1_3?keywords=Pretty+Cool+Eyeshadow+Palette&amp;qid=1695565629&amp;sr=8-3")</f>
        <v/>
      </c>
      <c r="F823" t="inlineStr">
        <is>
          <t>B09DGFQB81</t>
        </is>
      </c>
      <c r="G823">
        <f>_xlfn.IMAGE("https://camerareadycosmetics.com/cdn/shop/products/PRETTY-COOL_50x.jpg?v=1623160176")</f>
        <v/>
      </c>
      <c r="H823">
        <f>_xlfn.IMAGE("https://m.media-amazon.com/images/I/81T-OVjGJ6L._AC_UL320_.jpg")</f>
        <v/>
      </c>
      <c r="K823" t="inlineStr">
        <is>
          <t>32.0</t>
        </is>
      </c>
      <c r="L823" t="n">
        <v>9.99</v>
      </c>
      <c r="M823" s="1" t="inlineStr">
        <is>
          <t>-68.78%</t>
        </is>
      </c>
      <c r="N823" t="n">
        <v>4.6</v>
      </c>
      <c r="O823" t="n">
        <v>467</v>
      </c>
      <c r="Q823" t="inlineStr">
        <is>
          <t>InStock</t>
        </is>
      </c>
      <c r="R823" t="inlineStr">
        <is>
          <t>undefined</t>
        </is>
      </c>
      <c r="S823" t="inlineStr">
        <is>
          <t>6764278743225</t>
        </is>
      </c>
    </row>
    <row r="824" ht="75" customHeight="1">
      <c r="A824" s="2">
        <f>HYPERLINK("https://camerareadycosmetics.com/products/dose-of-colors-pretty-cool-eyeshadow-palette", "https://camerareadycosmetics.com/products/dose-of-colors-pretty-cool-eyeshadow-palette")</f>
        <v/>
      </c>
      <c r="B824" s="2">
        <f>HYPERLINK("https://camerareadycosmetics.com/products/dose-of-colors-pretty-cool-eyeshadow-palette", "https://camerareadycosmetics.com/products/dose-of-colors-pretty-cool-eyeshadow-palette")</f>
        <v/>
      </c>
      <c r="C824" t="inlineStr">
        <is>
          <t>Pretty Cool Eyeshadow Palette</t>
        </is>
      </c>
      <c r="D824" t="inlineStr">
        <is>
          <t>Go Ho 10 Colors Eyeshadow Palette,Matte&amp;Glitter Eyeshadow Makeup,High Pigmented Shades,Naturing-Looking, High Pigment Waterproof Cool Eye Eyeshadow Palette,14 Midsummer Dream</t>
        </is>
      </c>
      <c r="E824" s="2">
        <f>HYPERLINK("https://www.amazon.com/Go-Ho-Eyeshadow-Naturing-Looking-Waterproof/dp/B0BV739HPW/ref=sr_1_9?keywords=Pretty+Cool+Eyeshadow+Palette&amp;qid=1695565629&amp;sr=8-9", "https://www.amazon.com/Go-Ho-Eyeshadow-Naturing-Looking-Waterproof/dp/B0BV739HPW/ref=sr_1_9?keywords=Pretty+Cool+Eyeshadow+Palette&amp;qid=1695565629&amp;sr=8-9")</f>
        <v/>
      </c>
      <c r="F824" t="inlineStr">
        <is>
          <t>B0BV739HPW</t>
        </is>
      </c>
      <c r="G824">
        <f>_xlfn.IMAGE("https://camerareadycosmetics.com/cdn/shop/products/PRETTY-COOL_50x.jpg?v=1623160176")</f>
        <v/>
      </c>
      <c r="H824">
        <f>_xlfn.IMAGE("https://m.media-amazon.com/images/I/61V3nWDzZiL._AC_UL320_.jpg")</f>
        <v/>
      </c>
      <c r="K824" t="inlineStr">
        <is>
          <t>32.0</t>
        </is>
      </c>
      <c r="L824" t="n">
        <v>6.99</v>
      </c>
      <c r="M824" s="1" t="inlineStr">
        <is>
          <t>-78.16%</t>
        </is>
      </c>
      <c r="N824" t="n">
        <v>4.4</v>
      </c>
      <c r="O824" t="n">
        <v>998</v>
      </c>
      <c r="Q824" t="inlineStr">
        <is>
          <t>InStock</t>
        </is>
      </c>
      <c r="R824" t="inlineStr">
        <is>
          <t>undefined</t>
        </is>
      </c>
      <c r="S824" t="inlineStr">
        <is>
          <t>6764278743225</t>
        </is>
      </c>
    </row>
    <row r="825" ht="75" customHeight="1">
      <c r="A825" s="2">
        <f>HYPERLINK("https://camerareadycosmetics.com/products/dose-of-colors-pretty-cool-eyeshadow-palette", "https://camerareadycosmetics.com/products/dose-of-colors-pretty-cool-eyeshadow-palette")</f>
        <v/>
      </c>
      <c r="B825" s="2">
        <f>HYPERLINK("https://camerareadycosmetics.com/products/dose-of-colors-pretty-cool-eyeshadow-palette", "https://camerareadycosmetics.com/products/dose-of-colors-pretty-cool-eyeshadow-palette")</f>
        <v/>
      </c>
      <c r="C825" t="inlineStr">
        <is>
          <t>Pretty Cool Eyeshadow Palette</t>
        </is>
      </c>
      <c r="D825" t="inlineStr">
        <is>
          <t>Go Ho 10 Colors Eyeshadow Palette Makeup,All Matte Naked Eyeshadow Palette for Older Women,Highly Pigmented Blendable Shades Nude Eye Shadow,Waterproof Cool-tone Eyeshadow Palette,Sweet Mint 04</t>
        </is>
      </c>
      <c r="E825" s="2">
        <f>HYPERLINK("https://www.amazon.com/Go-Ho-Eyeshadow-Naturing-Looking-Waterproof/dp/B09Q35HJKY/ref=sr_1_4?keywords=Pretty+Cool+Eyeshadow+Palette&amp;qid=1695565629&amp;sr=8-4", "https://www.amazon.com/Go-Ho-Eyeshadow-Naturing-Looking-Waterproof/dp/B09Q35HJKY/ref=sr_1_4?keywords=Pretty+Cool+Eyeshadow+Palette&amp;qid=1695565629&amp;sr=8-4")</f>
        <v/>
      </c>
      <c r="F825" t="inlineStr">
        <is>
          <t>B09Q35HJKY</t>
        </is>
      </c>
      <c r="G825">
        <f>_xlfn.IMAGE("https://camerareadycosmetics.com/cdn/shop/products/PRETTY-COOL_50x.jpg?v=1623160176")</f>
        <v/>
      </c>
      <c r="H825">
        <f>_xlfn.IMAGE("https://m.media-amazon.com/images/I/51MC6sRr7SL._AC_UL320_.jpg")</f>
        <v/>
      </c>
      <c r="K825" t="inlineStr">
        <is>
          <t>32.0</t>
        </is>
      </c>
      <c r="L825" t="n">
        <v>6.88</v>
      </c>
      <c r="M825" s="1" t="inlineStr">
        <is>
          <t>-78.50%</t>
        </is>
      </c>
      <c r="N825" t="n">
        <v>4.4</v>
      </c>
      <c r="O825" t="n">
        <v>185</v>
      </c>
      <c r="Q825" t="inlineStr">
        <is>
          <t>InStock</t>
        </is>
      </c>
      <c r="R825" t="inlineStr">
        <is>
          <t>undefined</t>
        </is>
      </c>
      <c r="S825" t="inlineStr">
        <is>
          <t>6764278743225</t>
        </is>
      </c>
    </row>
    <row r="826" ht="75" customHeight="1">
      <c r="A826" s="2">
        <f>HYPERLINK("https://camerareadycosmetics.com/products/dose-of-colors-sassy-siennas-eyeshadow-palette", "https://camerareadycosmetics.com/products/dose-of-colors-sassy-siennas-eyeshadow-palette")</f>
        <v/>
      </c>
      <c r="B826" s="2">
        <f>HYPERLINK("https://camerareadycosmetics.com/products/dose-of-colors-sassy-siennas-eyeshadow-palette", "https://camerareadycosmetics.com/products/dose-of-colors-sassy-siennas-eyeshadow-palette")</f>
        <v/>
      </c>
      <c r="C826" t="inlineStr">
        <is>
          <t>Sassy Siennas Eyeshadow Palette</t>
        </is>
      </c>
      <c r="D826" t="inlineStr">
        <is>
          <t>Dose of Colors - Eyeshadow Palette - Sassy Siennas</t>
        </is>
      </c>
      <c r="E826" s="2">
        <f>HYPERLINK("https://www.amazon.com/Dose-Colors-Eyeshadow-Palette-Siennas/dp/B08KQ8ZBH2/ref=sr_1_1?keywords=Sassy+Siennas+Eyeshadow+Palette&amp;qid=1695565725&amp;sr=8-1", "https://www.amazon.com/Dose-Colors-Eyeshadow-Palette-Siennas/dp/B08KQ8ZBH2/ref=sr_1_1?keywords=Sassy+Siennas+Eyeshadow+Palette&amp;qid=1695565725&amp;sr=8-1")</f>
        <v/>
      </c>
      <c r="F826" t="inlineStr">
        <is>
          <t>B08KQ8ZBH2</t>
        </is>
      </c>
      <c r="G826">
        <f>_xlfn.IMAGE("https://camerareadycosmetics.com/cdn/shop/products/SASSY-SIENNAS_50x.jpg?v=1688674897")</f>
        <v/>
      </c>
      <c r="H826">
        <f>_xlfn.IMAGE("https://m.media-amazon.com/images/I/81Emk9RY64L._AC_UL320_.jpg")</f>
        <v/>
      </c>
      <c r="K826" t="inlineStr">
        <is>
          <t>32.0</t>
        </is>
      </c>
      <c r="L826" t="n">
        <v>32</v>
      </c>
      <c r="M826" s="1" t="inlineStr">
        <is>
          <t>0.00%</t>
        </is>
      </c>
      <c r="N826" t="n">
        <v>4.6</v>
      </c>
      <c r="O826" t="n">
        <v>21</v>
      </c>
      <c r="Q826" t="inlineStr">
        <is>
          <t>InStock</t>
        </is>
      </c>
      <c r="R826" t="inlineStr">
        <is>
          <t>undefined</t>
        </is>
      </c>
      <c r="S826" t="inlineStr">
        <is>
          <t>6764263604409</t>
        </is>
      </c>
    </row>
    <row r="827" ht="75" customHeight="1">
      <c r="A827" s="2">
        <f>HYPERLINK("https://camerareadycosmetics.com/products/dose-of-colors-sassy-siennas-eyeshadow-palette", "https://camerareadycosmetics.com/products/dose-of-colors-sassy-siennas-eyeshadow-palette")</f>
        <v/>
      </c>
      <c r="B827" s="2">
        <f>HYPERLINK("https://camerareadycosmetics.com/products/dose-of-colors-sassy-siennas-eyeshadow-palette", "https://camerareadycosmetics.com/products/dose-of-colors-sassy-siennas-eyeshadow-palette")</f>
        <v/>
      </c>
      <c r="C827" t="inlineStr">
        <is>
          <t>Sassy Siennas Eyeshadow Palette</t>
        </is>
      </c>
      <c r="D827" t="inlineStr">
        <is>
          <t>Profusion Cosmetics 21 Shade Eyeshadow Palette - Long-lasting Cruelty-free Bright Pigmented shades Palette Collection &amp; Brush, Siennas</t>
        </is>
      </c>
      <c r="E827" s="2">
        <f>HYPERLINK("https://www.amazon.com/Profusion-Cosmetics-Eyeshadow-Palette-Collection/dp/B07N8ZHTXX/ref=sr_1_2?keywords=Sassy+Siennas+Eyeshadow+Palette&amp;qid=1695565725&amp;sr=8-2", "https://www.amazon.com/Profusion-Cosmetics-Eyeshadow-Palette-Collection/dp/B07N8ZHTXX/ref=sr_1_2?keywords=Sassy+Siennas+Eyeshadow+Palette&amp;qid=1695565725&amp;sr=8-2")</f>
        <v/>
      </c>
      <c r="F827" t="inlineStr">
        <is>
          <t>B07N8ZHTXX</t>
        </is>
      </c>
      <c r="G827">
        <f>_xlfn.IMAGE("https://camerareadycosmetics.com/cdn/shop/products/SASSY-SIENNAS_50x.jpg?v=1688674897")</f>
        <v/>
      </c>
      <c r="H827">
        <f>_xlfn.IMAGE("https://m.media-amazon.com/images/I/81jLAd1yDdL._AC_UL320_.jpg")</f>
        <v/>
      </c>
      <c r="K827" t="inlineStr">
        <is>
          <t>32.0</t>
        </is>
      </c>
      <c r="L827" t="n">
        <v>18.46</v>
      </c>
      <c r="M827" s="1" t="inlineStr">
        <is>
          <t>-42.31%</t>
        </is>
      </c>
      <c r="N827" t="n">
        <v>4.6</v>
      </c>
      <c r="O827" t="n">
        <v>327</v>
      </c>
      <c r="Q827" t="inlineStr">
        <is>
          <t>InStock</t>
        </is>
      </c>
      <c r="R827" t="inlineStr">
        <is>
          <t>undefined</t>
        </is>
      </c>
      <c r="S827" t="inlineStr">
        <is>
          <t>6764263604409</t>
        </is>
      </c>
    </row>
    <row r="828" ht="75" customHeight="1">
      <c r="A828" s="2">
        <f>HYPERLINK("https://camerareadycosmetics.com/products/dose-of-colors-shes-a-10-eyeshadow-palette", "https://camerareadycosmetics.com/products/dose-of-colors-shes-a-10-eyeshadow-palette")</f>
        <v/>
      </c>
      <c r="B828" s="2">
        <f>HYPERLINK("https://camerareadycosmetics.com/products/dose-of-colors-shes-a-10-eyeshadow-palette", "https://camerareadycosmetics.com/products/dose-of-colors-shes-a-10-eyeshadow-palette")</f>
        <v/>
      </c>
      <c r="C828" t="inlineStr">
        <is>
          <t>She's A 10 Eyeshadow Palette</t>
        </is>
      </c>
      <c r="D828" t="inlineStr">
        <is>
          <t>Dose of Colors 10 YRS Birthday Collection She's a 10 Eyeshadow Palette</t>
        </is>
      </c>
      <c r="E828" s="2">
        <f>HYPERLINK("https://www.amazon.com/Dose-Colors-Birthday-Collection-Eyeshadow/dp/B0C5PKG3MW/ref=sr_1_1?keywords=she%27s+a+10+eyeshadow+palette&amp;qid=1695565752&amp;sr=8-1", "https://www.amazon.com/Dose-Colors-Birthday-Collection-Eyeshadow/dp/B0C5PKG3MW/ref=sr_1_1?keywords=she%27s+a+10+eyeshadow+palette&amp;qid=1695565752&amp;sr=8-1")</f>
        <v/>
      </c>
      <c r="F828" t="inlineStr">
        <is>
          <t>B0C5PKG3MW</t>
        </is>
      </c>
      <c r="G828">
        <f>_xlfn.IMAGE("https://camerareadycosmetics.com/cdn/shop/files/SHE_SA10PALETTE_1024x1024_2x_633e9227-d70c-41c3-9cd0-50a39128a006_50x.jpg?v=1684464376")</f>
        <v/>
      </c>
      <c r="H828">
        <f>_xlfn.IMAGE("https://m.media-amazon.com/images/I/71nI9Lxx3LL._AC_UL320_.jpg")</f>
        <v/>
      </c>
      <c r="K828" t="inlineStr">
        <is>
          <t>52.0</t>
        </is>
      </c>
      <c r="L828" t="n">
        <v>52</v>
      </c>
      <c r="M828" s="1" t="inlineStr">
        <is>
          <t>0.00%</t>
        </is>
      </c>
      <c r="N828" t="n">
        <v>4.6</v>
      </c>
      <c r="O828" t="n">
        <v>25</v>
      </c>
      <c r="Q828" t="inlineStr">
        <is>
          <t>InStock</t>
        </is>
      </c>
      <c r="R828" t="inlineStr">
        <is>
          <t>undefined</t>
        </is>
      </c>
      <c r="S828" t="inlineStr">
        <is>
          <t>7592265154745</t>
        </is>
      </c>
    </row>
    <row r="829" ht="75" customHeight="1">
      <c r="A829" s="2">
        <f>HYPERLINK("https://camerareadycosmetics.com/products/dose-of-colors-shes-a-10-eyeshadow-palette", "https://camerareadycosmetics.com/products/dose-of-colors-shes-a-10-eyeshadow-palette")</f>
        <v/>
      </c>
      <c r="B829" s="2">
        <f>HYPERLINK("https://camerareadycosmetics.com/products/dose-of-colors-shes-a-10-eyeshadow-palette", "https://camerareadycosmetics.com/products/dose-of-colors-shes-a-10-eyeshadow-palette")</f>
        <v/>
      </c>
      <c r="C829" t="inlineStr">
        <is>
          <t>She's A 10 Eyeshadow Palette</t>
        </is>
      </c>
      <c r="D829" t="inlineStr">
        <is>
          <t>wet n wild Color Icon Eyeshadow 10 Pan Palette Comfort Zone, 0.3 ounce with Color Icon Eyeshadow 10 Pan Palette, Nude Awakening</t>
        </is>
      </c>
      <c r="E829" s="2">
        <f>HYPERLINK("https://www.amazon.com/Wet-Eyeshadow-Palette-Comfort-Awakening/dp/B08RB46GWC/ref=sr_1_3?keywords=she%27s+a+10+eyeshadow+palette&amp;qid=1695565752&amp;sr=8-3", "https://www.amazon.com/Wet-Eyeshadow-Palette-Comfort-Awakening/dp/B08RB46GWC/ref=sr_1_3?keywords=she%27s+a+10+eyeshadow+palette&amp;qid=1695565752&amp;sr=8-3")</f>
        <v/>
      </c>
      <c r="F829" t="inlineStr">
        <is>
          <t>B08RB46GWC</t>
        </is>
      </c>
      <c r="G829">
        <f>_xlfn.IMAGE("https://camerareadycosmetics.com/cdn/shop/files/SHE_SA10PALETTE_1024x1024_2x_633e9227-d70c-41c3-9cd0-50a39128a006_50x.jpg?v=1684464376")</f>
        <v/>
      </c>
      <c r="H829">
        <f>_xlfn.IMAGE("https://m.media-amazon.com/images/I/61CLs1vUvvL._AC_UL320_.jpg")</f>
        <v/>
      </c>
      <c r="K829" t="inlineStr">
        <is>
          <t>52.0</t>
        </is>
      </c>
      <c r="L829" t="n">
        <v>12.5</v>
      </c>
      <c r="M829" s="1" t="inlineStr">
        <is>
          <t>-75.96%</t>
        </is>
      </c>
      <c r="N829" t="n">
        <v>4.2</v>
      </c>
      <c r="O829" t="n">
        <v>34</v>
      </c>
      <c r="Q829" t="inlineStr">
        <is>
          <t>InStock</t>
        </is>
      </c>
      <c r="R829" t="inlineStr">
        <is>
          <t>undefined</t>
        </is>
      </c>
      <c r="S829" t="inlineStr">
        <is>
          <t>7592265154745</t>
        </is>
      </c>
    </row>
    <row r="830" ht="75" customHeight="1">
      <c r="A830" s="2">
        <f>HYPERLINK("https://camerareadycosmetics.com/products/dose-of-colors-shes-a-10-eyeshadow-palette", "https://camerareadycosmetics.com/products/dose-of-colors-shes-a-10-eyeshadow-palette")</f>
        <v/>
      </c>
      <c r="B830" s="2">
        <f>HYPERLINK("https://camerareadycosmetics.com/products/dose-of-colors-shes-a-10-eyeshadow-palette", "https://camerareadycosmetics.com/products/dose-of-colors-shes-a-10-eyeshadow-palette")</f>
        <v/>
      </c>
      <c r="C830" t="inlineStr">
        <is>
          <t>She's A 10 Eyeshadow Palette</t>
        </is>
      </c>
      <c r="D830" t="inlineStr">
        <is>
          <t>10 Colors Eyeshadow Palette-Matte Naked High Pigmented Eye Shadow,Naturing-Looking, Waterproof&amp;Long Lasting Neutral Cream Korean Makeup Eye Shadow Palette for Older Women (Cement Color)</t>
        </is>
      </c>
      <c r="E830" s="2">
        <f>HYPERLINK("https://www.amazon.com/Eyeshadow-Palette-Matte-Pigmented-Naturing-Looking-Waterproof/dp/B0C6SRYLK4/ref=sr_1_9?keywords=she%27s+a+10+eyeshadow+palette&amp;qid=1695565752&amp;sr=8-9", "https://www.amazon.com/Eyeshadow-Palette-Matte-Pigmented-Naturing-Looking-Waterproof/dp/B0C6SRYLK4/ref=sr_1_9?keywords=she%27s+a+10+eyeshadow+palette&amp;qid=1695565752&amp;sr=8-9")</f>
        <v/>
      </c>
      <c r="F830" t="inlineStr">
        <is>
          <t>B0C6SRYLK4</t>
        </is>
      </c>
      <c r="G830">
        <f>_xlfn.IMAGE("https://camerareadycosmetics.com/cdn/shop/files/SHE_SA10PALETTE_1024x1024_2x_633e9227-d70c-41c3-9cd0-50a39128a006_50x.jpg?v=1684464376")</f>
        <v/>
      </c>
      <c r="H830">
        <f>_xlfn.IMAGE("https://m.media-amazon.com/images/I/71aWUKMjuAL._AC_UL320_.jpg")</f>
        <v/>
      </c>
      <c r="K830" t="inlineStr">
        <is>
          <t>52.0</t>
        </is>
      </c>
      <c r="L830" t="n">
        <v>7.88</v>
      </c>
      <c r="M830" s="1" t="inlineStr">
        <is>
          <t>-84.85%</t>
        </is>
      </c>
      <c r="N830" t="n">
        <v>3.9</v>
      </c>
      <c r="O830" t="n">
        <v>11</v>
      </c>
      <c r="Q830" t="inlineStr">
        <is>
          <t>InStock</t>
        </is>
      </c>
      <c r="R830" t="inlineStr">
        <is>
          <t>undefined</t>
        </is>
      </c>
      <c r="S830" t="inlineStr">
        <is>
          <t>7592265154745</t>
        </is>
      </c>
    </row>
    <row r="831" ht="75" customHeight="1">
      <c r="A831" s="2">
        <f>HYPERLINK("https://camerareadycosmetics.com/products/dose-of-colors-shes-a-10-eyeshadow-palette", "https://camerareadycosmetics.com/products/dose-of-colors-shes-a-10-eyeshadow-palette")</f>
        <v/>
      </c>
      <c r="B831" s="2">
        <f>HYPERLINK("https://camerareadycosmetics.com/products/dose-of-colors-shes-a-10-eyeshadow-palette", "https://camerareadycosmetics.com/products/dose-of-colors-shes-a-10-eyeshadow-palette")</f>
        <v/>
      </c>
      <c r="C831" t="inlineStr">
        <is>
          <t>She's A 10 Eyeshadow Palette</t>
        </is>
      </c>
      <c r="D831" t="inlineStr">
        <is>
          <t>Go Ho 10 Colors Eyeshadow Palette,All Matte Nude Eyeshadow Makeup,High Pigmented Shades,Naturing-Looking,High Pigment Waterproof Cool Eye Eyeshadow Palette,05</t>
        </is>
      </c>
      <c r="E831" s="2">
        <f>HYPERLINK("https://www.amazon.com/Go-Ho-Eyeshadow-Naturing-Looking-Waterproof/dp/B09Q35YN7K/ref=sr_1_7?keywords=she%27s+a+10+eyeshadow+palette&amp;qid=1695565752&amp;sr=8-7", "https://www.amazon.com/Go-Ho-Eyeshadow-Naturing-Looking-Waterproof/dp/B09Q35YN7K/ref=sr_1_7?keywords=she%27s+a+10+eyeshadow+palette&amp;qid=1695565752&amp;sr=8-7")</f>
        <v/>
      </c>
      <c r="F831" t="inlineStr">
        <is>
          <t>B09Q35YN7K</t>
        </is>
      </c>
      <c r="G831">
        <f>_xlfn.IMAGE("https://camerareadycosmetics.com/cdn/shop/files/SHE_SA10PALETTE_1024x1024_2x_633e9227-d70c-41c3-9cd0-50a39128a006_50x.jpg?v=1684464376")</f>
        <v/>
      </c>
      <c r="H831">
        <f>_xlfn.IMAGE("https://m.media-amazon.com/images/I/611ysC-CxkL._AC_UL320_.jpg")</f>
        <v/>
      </c>
      <c r="K831" t="inlineStr">
        <is>
          <t>52.0</t>
        </is>
      </c>
      <c r="L831" t="n">
        <v>6.88</v>
      </c>
      <c r="M831" s="1" t="inlineStr">
        <is>
          <t>-86.77%</t>
        </is>
      </c>
      <c r="N831" t="n">
        <v>4.4</v>
      </c>
      <c r="O831" t="n">
        <v>185</v>
      </c>
      <c r="Q831" t="inlineStr">
        <is>
          <t>InStock</t>
        </is>
      </c>
      <c r="R831" t="inlineStr">
        <is>
          <t>undefined</t>
        </is>
      </c>
      <c r="S831" t="inlineStr">
        <is>
          <t>7592265154745</t>
        </is>
      </c>
    </row>
    <row r="832" ht="75" customHeight="1">
      <c r="A832" s="2">
        <f>HYPERLINK("https://camerareadycosmetics.com/products/dose-of-colors-shes-a-10-eyeshadow-palette", "https://camerareadycosmetics.com/products/dose-of-colors-shes-a-10-eyeshadow-palette")</f>
        <v/>
      </c>
      <c r="B832" s="2">
        <f>HYPERLINK("https://camerareadycosmetics.com/products/dose-of-colors-shes-a-10-eyeshadow-palette", "https://camerareadycosmetics.com/products/dose-of-colors-shes-a-10-eyeshadow-palette")</f>
        <v/>
      </c>
      <c r="C832" t="inlineStr">
        <is>
          <t>She's A 10 Eyeshadow Palette</t>
        </is>
      </c>
      <c r="D832" t="inlineStr">
        <is>
          <t>wet n wild Color Icon Eyeshadow 10 Pan Palette, Nude Awakening, 0.3 Ounce, (757A)</t>
        </is>
      </c>
      <c r="E832" s="2">
        <f>HYPERLINK("https://www.amazon.com/wet-wild-Eyeshadow-Palette-Awakening/dp/B077V239QB/ref=sr_1_2?keywords=she%27s+a+10+eyeshadow+palette&amp;qid=1695565752&amp;rdc=1&amp;sr=8-2", "https://www.amazon.com/wet-wild-Eyeshadow-Palette-Awakening/dp/B077V239QB/ref=sr_1_2?keywords=she%27s+a+10+eyeshadow+palette&amp;qid=1695565752&amp;rdc=1&amp;sr=8-2")</f>
        <v/>
      </c>
      <c r="F832" t="inlineStr">
        <is>
          <t>B077V239QB</t>
        </is>
      </c>
      <c r="G832">
        <f>_xlfn.IMAGE("https://camerareadycosmetics.com/cdn/shop/files/SHE_SA10PALETTE_1024x1024_2x_633e9227-d70c-41c3-9cd0-50a39128a006_50x.jpg?v=1684464376")</f>
        <v/>
      </c>
      <c r="H832">
        <f>_xlfn.IMAGE("https://m.media-amazon.com/images/I/81i9MUidXXL._AC_UL320_.jpg")</f>
        <v/>
      </c>
      <c r="K832" t="inlineStr">
        <is>
          <t>52.0</t>
        </is>
      </c>
      <c r="L832" t="n">
        <v>5.49</v>
      </c>
      <c r="M832" s="1" t="inlineStr">
        <is>
          <t>-89.44%</t>
        </is>
      </c>
      <c r="N832" t="n">
        <v>4.4</v>
      </c>
      <c r="O832" t="n">
        <v>8461</v>
      </c>
      <c r="Q832" t="inlineStr">
        <is>
          <t>InStock</t>
        </is>
      </c>
      <c r="R832" t="inlineStr">
        <is>
          <t>undefined</t>
        </is>
      </c>
      <c r="S832" t="inlineStr">
        <is>
          <t>7592265154745</t>
        </is>
      </c>
    </row>
    <row r="833" ht="75" customHeight="1">
      <c r="A833" s="2">
        <f>HYPERLINK("https://camerareadycosmetics.com/products/dose-of-colors-shes-a-10-eyeshadow-palette", "https://camerareadycosmetics.com/products/dose-of-colors-shes-a-10-eyeshadow-palette")</f>
        <v/>
      </c>
      <c r="B833" s="2">
        <f>HYPERLINK("https://camerareadycosmetics.com/products/dose-of-colors-shes-a-10-eyeshadow-palette", "https://camerareadycosmetics.com/products/dose-of-colors-shes-a-10-eyeshadow-palette")</f>
        <v/>
      </c>
      <c r="C833" t="inlineStr">
        <is>
          <t>She's A 10 Eyeshadow Palette</t>
        </is>
      </c>
      <c r="D833" t="inlineStr">
        <is>
          <t>wet n wild Color Icon Eyeshadow 10 Pan Palette Comfort Zone, 0.3 ounce with Color Icon Eyeshadow 10 Pan Palette, Nude Awakening</t>
        </is>
      </c>
      <c r="E833" s="2">
        <f>HYPERLINK("https://www.amazon.com/Wet-Eyeshadow-Palette-Comfort-Awakening/dp/B08RB46GWC/ref=sr_1_3?keywords=she%27s+a+10+eyeshadow+palette&amp;qid=1695565752&amp;sr=8-3", "https://www.amazon.com/Wet-Eyeshadow-Palette-Comfort-Awakening/dp/B08RB46GWC/ref=sr_1_3?keywords=she%27s+a+10+eyeshadow+palette&amp;qid=1695565752&amp;sr=8-3")</f>
        <v/>
      </c>
      <c r="F833" t="inlineStr">
        <is>
          <t>B08RB46GWC</t>
        </is>
      </c>
      <c r="G833">
        <f>_xlfn.IMAGE("https://camerareadycosmetics.com/cdn/shop/files/SHE_SA10PALETTE_1024x1024_2x_633e9227-d70c-41c3-9cd0-50a39128a006_50x.jpg?v=1684464376")</f>
        <v/>
      </c>
      <c r="H833">
        <f>_xlfn.IMAGE("https://m.media-amazon.com/images/I/61CLs1vUvvL._AC_UL320_.jpg")</f>
        <v/>
      </c>
      <c r="K833" t="inlineStr">
        <is>
          <t>52.0</t>
        </is>
      </c>
      <c r="L833" t="n">
        <v>12.5</v>
      </c>
      <c r="M833" s="1" t="inlineStr">
        <is>
          <t>-75.96%</t>
        </is>
      </c>
      <c r="N833" t="n">
        <v>4.2</v>
      </c>
      <c r="O833" t="n">
        <v>34</v>
      </c>
      <c r="Q833" t="inlineStr">
        <is>
          <t>InStock</t>
        </is>
      </c>
      <c r="R833" t="inlineStr">
        <is>
          <t>undefined</t>
        </is>
      </c>
      <c r="S833" t="inlineStr">
        <is>
          <t>7592265154745</t>
        </is>
      </c>
    </row>
    <row r="834" ht="75" customHeight="1">
      <c r="A834" s="2">
        <f>HYPERLINK("https://camerareadycosmetics.com/products/dose-of-colors-shes-a-10-eyeshadow-palette", "https://camerareadycosmetics.com/products/dose-of-colors-shes-a-10-eyeshadow-palette")</f>
        <v/>
      </c>
      <c r="B834" s="2">
        <f>HYPERLINK("https://camerareadycosmetics.com/products/dose-of-colors-shes-a-10-eyeshadow-palette", "https://camerareadycosmetics.com/products/dose-of-colors-shes-a-10-eyeshadow-palette")</f>
        <v/>
      </c>
      <c r="C834" t="inlineStr">
        <is>
          <t>She's A 10 Eyeshadow Palette</t>
        </is>
      </c>
      <c r="D834" t="inlineStr">
        <is>
          <t>10 Colors Eyeshadow Palette-Matte Naked High Pigmented Eye Shadow,Naturing-Looking, Waterproof&amp;Long Lasting Neutral Cream Korean Makeup Eye Shadow Palette for Older Women (Cement Color)</t>
        </is>
      </c>
      <c r="E834" s="2">
        <f>HYPERLINK("https://www.amazon.com/Eyeshadow-Palette-Matte-Pigmented-Naturing-Looking-Waterproof/dp/B0C6SRYLK4/ref=sr_1_9?keywords=she%27s+a+10+eyeshadow+palette&amp;qid=1695565752&amp;sr=8-9", "https://www.amazon.com/Eyeshadow-Palette-Matte-Pigmented-Naturing-Looking-Waterproof/dp/B0C6SRYLK4/ref=sr_1_9?keywords=she%27s+a+10+eyeshadow+palette&amp;qid=1695565752&amp;sr=8-9")</f>
        <v/>
      </c>
      <c r="F834" t="inlineStr">
        <is>
          <t>B0C6SRYLK4</t>
        </is>
      </c>
      <c r="G834">
        <f>_xlfn.IMAGE("https://camerareadycosmetics.com/cdn/shop/files/SHE_SA10PALETTE_1024x1024_2x_633e9227-d70c-41c3-9cd0-50a39128a006_50x.jpg?v=1684464376")</f>
        <v/>
      </c>
      <c r="H834">
        <f>_xlfn.IMAGE("https://m.media-amazon.com/images/I/71aWUKMjuAL._AC_UL320_.jpg")</f>
        <v/>
      </c>
      <c r="K834" t="inlineStr">
        <is>
          <t>52.0</t>
        </is>
      </c>
      <c r="L834" t="n">
        <v>7.88</v>
      </c>
      <c r="M834" s="1" t="inlineStr">
        <is>
          <t>-84.85%</t>
        </is>
      </c>
      <c r="N834" t="n">
        <v>3.9</v>
      </c>
      <c r="O834" t="n">
        <v>11</v>
      </c>
      <c r="Q834" t="inlineStr">
        <is>
          <t>InStock</t>
        </is>
      </c>
      <c r="R834" t="inlineStr">
        <is>
          <t>undefined</t>
        </is>
      </c>
      <c r="S834" t="inlineStr">
        <is>
          <t>7592265154745</t>
        </is>
      </c>
    </row>
    <row r="835" ht="75" customHeight="1">
      <c r="A835" s="2">
        <f>HYPERLINK("https://camerareadycosmetics.com/products/dose-of-colors-shes-a-10-eyeshadow-palette", "https://camerareadycosmetics.com/products/dose-of-colors-shes-a-10-eyeshadow-palette")</f>
        <v/>
      </c>
      <c r="B835" s="2">
        <f>HYPERLINK("https://camerareadycosmetics.com/products/dose-of-colors-shes-a-10-eyeshadow-palette", "https://camerareadycosmetics.com/products/dose-of-colors-shes-a-10-eyeshadow-palette")</f>
        <v/>
      </c>
      <c r="C835" t="inlineStr">
        <is>
          <t>She's A 10 Eyeshadow Palette</t>
        </is>
      </c>
      <c r="D835" t="inlineStr">
        <is>
          <t>Go Ho 10 Colors Eyeshadow Palette,All Matte Nude Eyeshadow Makeup,High Pigmented Shades,Naturing-Looking,High Pigment Waterproof Cool Eye Eyeshadow Palette,05</t>
        </is>
      </c>
      <c r="E835" s="2">
        <f>HYPERLINK("https://www.amazon.com/Go-Ho-Eyeshadow-Naturing-Looking-Waterproof/dp/B09Q35YN7K/ref=sr_1_7?keywords=she%27s+a+10+eyeshadow+palette&amp;qid=1695565752&amp;sr=8-7", "https://www.amazon.com/Go-Ho-Eyeshadow-Naturing-Looking-Waterproof/dp/B09Q35YN7K/ref=sr_1_7?keywords=she%27s+a+10+eyeshadow+palette&amp;qid=1695565752&amp;sr=8-7")</f>
        <v/>
      </c>
      <c r="F835" t="inlineStr">
        <is>
          <t>B09Q35YN7K</t>
        </is>
      </c>
      <c r="G835">
        <f>_xlfn.IMAGE("https://camerareadycosmetics.com/cdn/shop/files/SHE_SA10PALETTE_1024x1024_2x_633e9227-d70c-41c3-9cd0-50a39128a006_50x.jpg?v=1684464376")</f>
        <v/>
      </c>
      <c r="H835">
        <f>_xlfn.IMAGE("https://m.media-amazon.com/images/I/611ysC-CxkL._AC_UL320_.jpg")</f>
        <v/>
      </c>
      <c r="K835" t="inlineStr">
        <is>
          <t>52.0</t>
        </is>
      </c>
      <c r="L835" t="n">
        <v>6.88</v>
      </c>
      <c r="M835" s="1" t="inlineStr">
        <is>
          <t>-86.77%</t>
        </is>
      </c>
      <c r="N835" t="n">
        <v>4.4</v>
      </c>
      <c r="O835" t="n">
        <v>185</v>
      </c>
      <c r="Q835" t="inlineStr">
        <is>
          <t>InStock</t>
        </is>
      </c>
      <c r="R835" t="inlineStr">
        <is>
          <t>undefined</t>
        </is>
      </c>
      <c r="S835" t="inlineStr">
        <is>
          <t>7592265154745</t>
        </is>
      </c>
    </row>
    <row r="836" ht="75" customHeight="1">
      <c r="A836" s="2">
        <f>HYPERLINK("https://camerareadycosmetics.com/products/dose-of-colors-shes-a-10-eyeshadow-palette", "https://camerareadycosmetics.com/products/dose-of-colors-shes-a-10-eyeshadow-palette")</f>
        <v/>
      </c>
      <c r="B836" s="2">
        <f>HYPERLINK("https://camerareadycosmetics.com/products/dose-of-colors-shes-a-10-eyeshadow-palette", "https://camerareadycosmetics.com/products/dose-of-colors-shes-a-10-eyeshadow-palette")</f>
        <v/>
      </c>
      <c r="C836" t="inlineStr">
        <is>
          <t>She's A 10 Eyeshadow Palette</t>
        </is>
      </c>
      <c r="D836" t="inlineStr">
        <is>
          <t>wet n wild Color Icon Eyeshadow 10 Pan Palette, Nude Awakening, 0.3 Ounce, (757A)</t>
        </is>
      </c>
      <c r="E836" s="2">
        <f>HYPERLINK("https://www.amazon.com/wet-wild-Eyeshadow-Palette-Awakening/dp/B077V239QB/ref=sr_1_2?keywords=she%27s+a+10+eyeshadow+palette&amp;qid=1695565752&amp;rdc=1&amp;sr=8-2", "https://www.amazon.com/wet-wild-Eyeshadow-Palette-Awakening/dp/B077V239QB/ref=sr_1_2?keywords=she%27s+a+10+eyeshadow+palette&amp;qid=1695565752&amp;rdc=1&amp;sr=8-2")</f>
        <v/>
      </c>
      <c r="F836" t="inlineStr">
        <is>
          <t>B077V239QB</t>
        </is>
      </c>
      <c r="G836">
        <f>_xlfn.IMAGE("https://camerareadycosmetics.com/cdn/shop/files/SHE_SA10PALETTE_1024x1024_2x_633e9227-d70c-41c3-9cd0-50a39128a006_50x.jpg?v=1684464376")</f>
        <v/>
      </c>
      <c r="H836">
        <f>_xlfn.IMAGE("https://m.media-amazon.com/images/I/81i9MUidXXL._AC_UL320_.jpg")</f>
        <v/>
      </c>
      <c r="K836" t="inlineStr">
        <is>
          <t>52.0</t>
        </is>
      </c>
      <c r="L836" t="n">
        <v>5.49</v>
      </c>
      <c r="M836" s="1" t="inlineStr">
        <is>
          <t>-89.44%</t>
        </is>
      </c>
      <c r="N836" t="n">
        <v>4.4</v>
      </c>
      <c r="O836" t="n">
        <v>8461</v>
      </c>
      <c r="Q836" t="inlineStr">
        <is>
          <t>InStock</t>
        </is>
      </c>
      <c r="R836" t="inlineStr">
        <is>
          <t>undefined</t>
        </is>
      </c>
      <c r="S836" t="inlineStr">
        <is>
          <t>7592265154745</t>
        </is>
      </c>
    </row>
    <row r="837" ht="75" customHeight="1">
      <c r="A837" s="2">
        <f>HYPERLINK("https://camerareadycosmetics.com/products/dose-of-colors-smokey-soiree-eyeshadow-palette", "https://camerareadycosmetics.com/products/dose-of-colors-smokey-soiree-eyeshadow-palette")</f>
        <v/>
      </c>
      <c r="B837" s="2">
        <f>HYPERLINK("https://camerareadycosmetics.com/products/dose-of-colors-smokey-soiree-eyeshadow-palette", "https://camerareadycosmetics.com/products/dose-of-colors-smokey-soiree-eyeshadow-palette")</f>
        <v/>
      </c>
      <c r="C837" t="inlineStr">
        <is>
          <t>Smokey Soiree Eyeshadow Palette</t>
        </is>
      </c>
      <c r="D837" t="inlineStr">
        <is>
          <t>Dose of Colors - Eyeshadow Palette - Smokey Soiree</t>
        </is>
      </c>
      <c r="E837" s="2">
        <f>HYPERLINK("https://www.amazon.com/Dose-Colors-Eyeshadow-Palette-Smokey/dp/B08KQ93Y18/ref=sr_1_1?keywords=Smokey+Soiree+Eyeshadow+Palette&amp;qid=1695565667&amp;sr=8-1", "https://www.amazon.com/Dose-Colors-Eyeshadow-Palette-Smokey/dp/B08KQ93Y18/ref=sr_1_1?keywords=Smokey+Soiree+Eyeshadow+Palette&amp;qid=1695565667&amp;sr=8-1")</f>
        <v/>
      </c>
      <c r="F837" t="inlineStr">
        <is>
          <t>B08KQ93Y18</t>
        </is>
      </c>
      <c r="G837">
        <f>_xlfn.IMAGE("https://camerareadycosmetics.com/cdn/shop/products/DoseofColorsSmokeySoireeEyeshadowPalette-SMOKEY-SOIREE_50x.jpg?v=1623160183")</f>
        <v/>
      </c>
      <c r="H837">
        <f>_xlfn.IMAGE("https://m.media-amazon.com/images/I/81-aQe4pw9L._AC_UL320_.jpg")</f>
        <v/>
      </c>
      <c r="K837" t="inlineStr">
        <is>
          <t>32.0</t>
        </is>
      </c>
      <c r="L837" t="n">
        <v>32</v>
      </c>
      <c r="M837" s="1" t="inlineStr">
        <is>
          <t>0.00%</t>
        </is>
      </c>
      <c r="N837" t="n">
        <v>4.2</v>
      </c>
      <c r="O837" t="n">
        <v>68</v>
      </c>
      <c r="Q837" t="inlineStr">
        <is>
          <t>InStock</t>
        </is>
      </c>
      <c r="R837" t="inlineStr">
        <is>
          <t>undefined</t>
        </is>
      </c>
      <c r="S837" t="inlineStr">
        <is>
          <t>6764303417529</t>
        </is>
      </c>
    </row>
    <row r="838" ht="75" customHeight="1">
      <c r="A838" s="2">
        <f>HYPERLINK("https://camerareadycosmetics.com/products/dose-of-colors-smokey-soiree-eyeshadow-palette", "https://camerareadycosmetics.com/products/dose-of-colors-smokey-soiree-eyeshadow-palette")</f>
        <v/>
      </c>
      <c r="B838" s="2">
        <f>HYPERLINK("https://camerareadycosmetics.com/products/dose-of-colors-smokey-soiree-eyeshadow-palette", "https://camerareadycosmetics.com/products/dose-of-colors-smokey-soiree-eyeshadow-palette")</f>
        <v/>
      </c>
      <c r="C838" t="inlineStr">
        <is>
          <t>Smokey Soiree Eyeshadow Palette</t>
        </is>
      </c>
      <c r="D838" t="inlineStr">
        <is>
          <t>Nude Gold Eyeshadow Palette Natural Naked Smokey Warm Neutral 15 Shades, DE'LANCI Ultra-Blendable High Pigmented Matte Shimmer Matallic Long Lasting Waterproof Eye Shadow Pallet, Travel Size Makeup</t>
        </is>
      </c>
      <c r="E838" s="2">
        <f>HYPERLINK("https://www.amazon.com/Eyeshadow-Ultra-Blendable-Pigmented-Matallic-Waterproof/dp/B08TWSYWQ4/ref=sr_1_2?keywords=Smokey+Soiree+Eyeshadow+Palette&amp;qid=1695565667&amp;sr=8-2", "https://www.amazon.com/Eyeshadow-Ultra-Blendable-Pigmented-Matallic-Waterproof/dp/B08TWSYWQ4/ref=sr_1_2?keywords=Smokey+Soiree+Eyeshadow+Palette&amp;qid=1695565667&amp;sr=8-2")</f>
        <v/>
      </c>
      <c r="F838" t="inlineStr">
        <is>
          <t>B08TWSYWQ4</t>
        </is>
      </c>
      <c r="G838">
        <f>_xlfn.IMAGE("https://camerareadycosmetics.com/cdn/shop/products/DoseofColorsSmokeySoireeEyeshadowPalette-SMOKEY-SOIREE_50x.jpg?v=1623160183")</f>
        <v/>
      </c>
      <c r="H838">
        <f>_xlfn.IMAGE("https://m.media-amazon.com/images/I/51y0Eu3ZWjL._AC_UL320_.jpg")</f>
        <v/>
      </c>
      <c r="K838" t="inlineStr">
        <is>
          <t>32.0</t>
        </is>
      </c>
      <c r="L838" t="n">
        <v>9.99</v>
      </c>
      <c r="M838" s="1" t="inlineStr">
        <is>
          <t>-68.78%</t>
        </is>
      </c>
      <c r="N838" t="n">
        <v>4.5</v>
      </c>
      <c r="O838" t="n">
        <v>2461</v>
      </c>
      <c r="Q838" t="inlineStr">
        <is>
          <t>InStock</t>
        </is>
      </c>
      <c r="R838" t="inlineStr">
        <is>
          <t>undefined</t>
        </is>
      </c>
      <c r="S838" t="inlineStr">
        <is>
          <t>6764303417529</t>
        </is>
      </c>
    </row>
    <row r="839" ht="75" customHeight="1">
      <c r="A839" s="2">
        <f>HYPERLINK("https://camerareadycosmetics.com/products/dose-of-colors-smokey-soiree-eyeshadow-palette", "https://camerareadycosmetics.com/products/dose-of-colors-smokey-soiree-eyeshadow-palette")</f>
        <v/>
      </c>
      <c r="B839" s="2">
        <f>HYPERLINK("https://camerareadycosmetics.com/products/dose-of-colors-smokey-soiree-eyeshadow-palette", "https://camerareadycosmetics.com/products/dose-of-colors-smokey-soiree-eyeshadow-palette")</f>
        <v/>
      </c>
      <c r="C839" t="inlineStr">
        <is>
          <t>Smokey Soiree Eyeshadow Palette</t>
        </is>
      </c>
      <c r="D839" t="inlineStr">
        <is>
          <t>Grey Smokey Eyeshadow Palette, 16 Colors Black White Violet Smoky Eye Shadow Pallet, Matte Shimmer Neutral Sliver Glitter Shades Pallets, High Pigment Cool Tone Eye Makeup Palette Talc Free</t>
        </is>
      </c>
      <c r="E839" s="2">
        <f>HYPERLINK("https://www.amazon.com/DELANCI-Eyeshadow-Palette-Shimmer-Neutral/dp/B0C1YJFBGX/ref=sr_1_3?keywords=Smokey+Soiree+Eyeshadow+Palette&amp;qid=1695565667&amp;sr=8-3", "https://www.amazon.com/DELANCI-Eyeshadow-Palette-Shimmer-Neutral/dp/B0C1YJFBGX/ref=sr_1_3?keywords=Smokey+Soiree+Eyeshadow+Palette&amp;qid=1695565667&amp;sr=8-3")</f>
        <v/>
      </c>
      <c r="F839" t="inlineStr">
        <is>
          <t>B0C1YJFBGX</t>
        </is>
      </c>
      <c r="G839">
        <f>_xlfn.IMAGE("https://camerareadycosmetics.com/cdn/shop/products/DoseofColorsSmokeySoireeEyeshadowPalette-SMOKEY-SOIREE_50x.jpg?v=1623160183")</f>
        <v/>
      </c>
      <c r="H839">
        <f>_xlfn.IMAGE("https://m.media-amazon.com/images/I/71CTImkjviL._AC_UL320_.jpg")</f>
        <v/>
      </c>
      <c r="K839" t="inlineStr">
        <is>
          <t>32.0</t>
        </is>
      </c>
      <c r="L839" t="n">
        <v>9.99</v>
      </c>
      <c r="M839" s="1" t="inlineStr">
        <is>
          <t>-68.78%</t>
        </is>
      </c>
      <c r="N839" t="n">
        <v>4.4</v>
      </c>
      <c r="O839" t="n">
        <v>9</v>
      </c>
      <c r="Q839" t="inlineStr">
        <is>
          <t>InStock</t>
        </is>
      </c>
      <c r="R839" t="inlineStr">
        <is>
          <t>undefined</t>
        </is>
      </c>
      <c r="S839" t="inlineStr">
        <is>
          <t>6764303417529</t>
        </is>
      </c>
    </row>
    <row r="840" ht="75" customHeight="1">
      <c r="A840" s="2">
        <f>HYPERLINK("https://camerareadycosmetics.com/products/dose-of-colors-smokey-soiree-eyeshadow-palette", "https://camerareadycosmetics.com/products/dose-of-colors-smokey-soiree-eyeshadow-palette")</f>
        <v/>
      </c>
      <c r="B840" s="2">
        <f>HYPERLINK("https://camerareadycosmetics.com/products/dose-of-colors-smokey-soiree-eyeshadow-palette", "https://camerareadycosmetics.com/products/dose-of-colors-smokey-soiree-eyeshadow-palette")</f>
        <v/>
      </c>
      <c r="C840" t="inlineStr">
        <is>
          <t>Smokey Soiree Eyeshadow Palette</t>
        </is>
      </c>
      <c r="D840" t="inlineStr">
        <is>
          <t>Smokey Eye Neutral Eyeshadow Palette - 12 Highly Pigmented Cool Toned Shimmer Matte Colors For Professional Everyday Nude Looks - Travel Size Eye Shadow Makeup Palette With Mirror</t>
        </is>
      </c>
      <c r="E840" s="2">
        <f>HYPERLINK("https://www.amazon.com/Lamora-Cold-Smokey-Eyeshadow-Palette/dp/B09DGFQB81/ref=sr_1_4?keywords=Smokey+Soiree+Eyeshadow+Palette&amp;qid=1695565667&amp;sr=8-4", "https://www.amazon.com/Lamora-Cold-Smokey-Eyeshadow-Palette/dp/B09DGFQB81/ref=sr_1_4?keywords=Smokey+Soiree+Eyeshadow+Palette&amp;qid=1695565667&amp;sr=8-4")</f>
        <v/>
      </c>
      <c r="F840" t="inlineStr">
        <is>
          <t>B09DGFQB81</t>
        </is>
      </c>
      <c r="G840">
        <f>_xlfn.IMAGE("https://camerareadycosmetics.com/cdn/shop/products/DoseofColorsSmokeySoireeEyeshadowPalette-SMOKEY-SOIREE_50x.jpg?v=1623160183")</f>
        <v/>
      </c>
      <c r="H840">
        <f>_xlfn.IMAGE("https://m.media-amazon.com/images/I/81T-OVjGJ6L._AC_UL320_.jpg")</f>
        <v/>
      </c>
      <c r="K840" t="inlineStr">
        <is>
          <t>32.0</t>
        </is>
      </c>
      <c r="L840" t="n">
        <v>9.99</v>
      </c>
      <c r="M840" s="1" t="inlineStr">
        <is>
          <t>-68.78%</t>
        </is>
      </c>
      <c r="N840" t="n">
        <v>4.6</v>
      </c>
      <c r="O840" t="n">
        <v>467</v>
      </c>
      <c r="Q840" t="inlineStr">
        <is>
          <t>InStock</t>
        </is>
      </c>
      <c r="R840" t="inlineStr">
        <is>
          <t>undefined</t>
        </is>
      </c>
      <c r="S840" t="inlineStr">
        <is>
          <t>6764303417529</t>
        </is>
      </c>
    </row>
    <row r="841" ht="75" customHeight="1">
      <c r="A841" s="2">
        <f>HYPERLINK("https://camerareadycosmetics.com/products/dose-of-colors-smokey-soiree-eyeshadow-palette", "https://camerareadycosmetics.com/products/dose-of-colors-smokey-soiree-eyeshadow-palette")</f>
        <v/>
      </c>
      <c r="B841" s="2">
        <f>HYPERLINK("https://camerareadycosmetics.com/products/dose-of-colors-smokey-soiree-eyeshadow-palette", "https://camerareadycosmetics.com/products/dose-of-colors-smokey-soiree-eyeshadow-palette")</f>
        <v/>
      </c>
      <c r="C841" t="inlineStr">
        <is>
          <t>Smokey Soiree Eyeshadow Palette</t>
        </is>
      </c>
      <c r="D841" t="inlineStr">
        <is>
          <t>10 Colors Black Smokey Eyeshadow Palette,Gray Silver Glitter Neutral Eye Eyeshadow Palette,Blue Cool Toned High Pigmented Long-Lasting Waterproof Make Up Pallets Kit Advanced Eyeshadow Brush</t>
        </is>
      </c>
      <c r="E841" s="2">
        <f>HYPERLINK("https://www.amazon.com/Eyeshadow-Pigmented-Long-Lasting-Waterproof-Advanced/dp/B0B924Z8J1/ref=sr_1_8?keywords=Smokey+Soiree+Eyeshadow+Palette&amp;qid=1695565667&amp;sr=8-8", "https://www.amazon.com/Eyeshadow-Pigmented-Long-Lasting-Waterproof-Advanced/dp/B0B924Z8J1/ref=sr_1_8?keywords=Smokey+Soiree+Eyeshadow+Palette&amp;qid=1695565667&amp;sr=8-8")</f>
        <v/>
      </c>
      <c r="F841" t="inlineStr">
        <is>
          <t>B0B924Z8J1</t>
        </is>
      </c>
      <c r="G841">
        <f>_xlfn.IMAGE("https://camerareadycosmetics.com/cdn/shop/products/DoseofColorsSmokeySoireeEyeshadowPalette-SMOKEY-SOIREE_50x.jpg?v=1623160183")</f>
        <v/>
      </c>
      <c r="H841">
        <f>_xlfn.IMAGE("https://m.media-amazon.com/images/I/71bZHeSarPL._AC_UL320_.jpg")</f>
        <v/>
      </c>
      <c r="K841" t="inlineStr">
        <is>
          <t>32.0</t>
        </is>
      </c>
      <c r="L841" t="n">
        <v>9.99</v>
      </c>
      <c r="M841" s="1" t="inlineStr">
        <is>
          <t>-68.78%</t>
        </is>
      </c>
      <c r="N841" t="n">
        <v>4.1</v>
      </c>
      <c r="O841" t="n">
        <v>942</v>
      </c>
      <c r="Q841" t="inlineStr">
        <is>
          <t>InStock</t>
        </is>
      </c>
      <c r="R841" t="inlineStr">
        <is>
          <t>undefined</t>
        </is>
      </c>
      <c r="S841" t="inlineStr">
        <is>
          <t>6764303417529</t>
        </is>
      </c>
    </row>
    <row r="842" ht="75" customHeight="1">
      <c r="A842" s="2">
        <f>HYPERLINK("https://camerareadycosmetics.com/products/dose-of-colors-smokey-soiree-eyeshadow-palette", "https://camerareadycosmetics.com/products/dose-of-colors-smokey-soiree-eyeshadow-palette")</f>
        <v/>
      </c>
      <c r="B842" s="2">
        <f>HYPERLINK("https://camerareadycosmetics.com/products/dose-of-colors-smokey-soiree-eyeshadow-palette", "https://camerareadycosmetics.com/products/dose-of-colors-smokey-soiree-eyeshadow-palette")</f>
        <v/>
      </c>
      <c r="C842" t="inlineStr">
        <is>
          <t>Smokey Soiree Eyeshadow Palette</t>
        </is>
      </c>
      <c r="D842" t="inlineStr">
        <is>
          <t>Smokey Grey Eyeshadow Palette, Goth Black Eyeshadow Palette, Pigmented Velvety Matte Shimmer Neutral Silver Eyeshadow Pallet,Long-Lasting Natural Nude Brown Dark Small Makeup Palette Eye Shadow, Cruelty Free</t>
        </is>
      </c>
      <c r="E842" s="2">
        <f>HYPERLINK("https://www.amazon.com/DELANCI-Eyeshadow-Palette-Pigmented-Long-Lasting/dp/B093W8P75C/ref=sr_1_9?keywords=Smokey+Soiree+Eyeshadow+Palette&amp;qid=1695565667&amp;sr=8-9", "https://www.amazon.com/DELANCI-Eyeshadow-Palette-Pigmented-Long-Lasting/dp/B093W8P75C/ref=sr_1_9?keywords=Smokey+Soiree+Eyeshadow+Palette&amp;qid=1695565667&amp;sr=8-9")</f>
        <v/>
      </c>
      <c r="F842" t="inlineStr">
        <is>
          <t>B093W8P75C</t>
        </is>
      </c>
      <c r="G842">
        <f>_xlfn.IMAGE("https://camerareadycosmetics.com/cdn/shop/products/DoseofColorsSmokeySoireeEyeshadowPalette-SMOKEY-SOIREE_50x.jpg?v=1623160183")</f>
        <v/>
      </c>
      <c r="H842">
        <f>_xlfn.IMAGE("https://m.media-amazon.com/images/I/713WvFbkeHS._AC_UL320_.jpg")</f>
        <v/>
      </c>
      <c r="K842" t="inlineStr">
        <is>
          <t>32.0</t>
        </is>
      </c>
      <c r="L842" t="n">
        <v>9.99</v>
      </c>
      <c r="M842" s="1" t="inlineStr">
        <is>
          <t>-68.78%</t>
        </is>
      </c>
      <c r="N842" t="n">
        <v>4.6</v>
      </c>
      <c r="O842" t="n">
        <v>625</v>
      </c>
      <c r="Q842" t="inlineStr">
        <is>
          <t>InStock</t>
        </is>
      </c>
      <c r="R842" t="inlineStr">
        <is>
          <t>undefined</t>
        </is>
      </c>
      <c r="S842" t="inlineStr">
        <is>
          <t>6764303417529</t>
        </is>
      </c>
    </row>
    <row r="843" ht="75" customHeight="1">
      <c r="A843" s="2">
        <f>HYPERLINK("https://camerareadycosmetics.com/products/dose-of-colors-smokey-soiree-eyeshadow-palette", "https://camerareadycosmetics.com/products/dose-of-colors-smokey-soiree-eyeshadow-palette")</f>
        <v/>
      </c>
      <c r="B843" s="2">
        <f>HYPERLINK("https://camerareadycosmetics.com/products/dose-of-colors-smokey-soiree-eyeshadow-palette", "https://camerareadycosmetics.com/products/dose-of-colors-smokey-soiree-eyeshadow-palette")</f>
        <v/>
      </c>
      <c r="C843" t="inlineStr">
        <is>
          <t>Smokey Soiree Eyeshadow Palette</t>
        </is>
      </c>
      <c r="D843" t="inlineStr">
        <is>
          <t>9Color Rose Gold Dark Brown Colorful Eyeshadow Palette Makeup,Matte Shimmer Korean Natural Neutral Smokey Eye Eyeshadow palettes Highly Pigmented Naturing-Looking Long Lasting Waterproof Blendable</t>
        </is>
      </c>
      <c r="E843" s="2">
        <f>HYPERLINK("https://www.amazon.com/Eyeshadow-Pigmented-Naturing-Looking-Waterproof-Blendable/dp/B0C2ZGTJ55/ref=sr_1_7?keywords=Smokey+Soiree+Eyeshadow+Palette&amp;qid=1695565667&amp;sr=8-7", "https://www.amazon.com/Eyeshadow-Pigmented-Naturing-Looking-Waterproof-Blendable/dp/B0C2ZGTJ55/ref=sr_1_7?keywords=Smokey+Soiree+Eyeshadow+Palette&amp;qid=1695565667&amp;sr=8-7")</f>
        <v/>
      </c>
      <c r="F843" t="inlineStr">
        <is>
          <t>B0C2ZGTJ55</t>
        </is>
      </c>
      <c r="G843">
        <f>_xlfn.IMAGE("https://camerareadycosmetics.com/cdn/shop/products/DoseofColorsSmokeySoireeEyeshadowPalette-SMOKEY-SOIREE_50x.jpg?v=1623160183")</f>
        <v/>
      </c>
      <c r="H843">
        <f>_xlfn.IMAGE("https://m.media-amazon.com/images/I/61+MBrzLcJL._AC_UL320_.jpg")</f>
        <v/>
      </c>
      <c r="K843" t="inlineStr">
        <is>
          <t>32.0</t>
        </is>
      </c>
      <c r="L843" t="n">
        <v>6.99</v>
      </c>
      <c r="M843" s="1" t="inlineStr">
        <is>
          <t>-78.16%</t>
        </is>
      </c>
      <c r="N843" t="n">
        <v>3.8</v>
      </c>
      <c r="O843" t="n">
        <v>7</v>
      </c>
      <c r="Q843" t="inlineStr">
        <is>
          <t>InStock</t>
        </is>
      </c>
      <c r="R843" t="inlineStr">
        <is>
          <t>undefined</t>
        </is>
      </c>
      <c r="S843" t="inlineStr">
        <is>
          <t>6764303417529</t>
        </is>
      </c>
    </row>
    <row r="844" ht="75" customHeight="1">
      <c r="A844" s="2">
        <f>HYPERLINK("https://camerareadycosmetics.com/products/dose-of-colors-smokey-soiree-eyeshadow-palette", "https://camerareadycosmetics.com/products/dose-of-colors-smokey-soiree-eyeshadow-palette")</f>
        <v/>
      </c>
      <c r="B844" s="2">
        <f>HYPERLINK("https://camerareadycosmetics.com/products/dose-of-colors-smokey-soiree-eyeshadow-palette", "https://camerareadycosmetics.com/products/dose-of-colors-smokey-soiree-eyeshadow-palette")</f>
        <v/>
      </c>
      <c r="C844" t="inlineStr">
        <is>
          <t>Smokey Soiree Eyeshadow Palette</t>
        </is>
      </c>
      <c r="D844" t="inlineStr">
        <is>
          <t>Smokey Eye Eyeshadow Palette, 9 Colors Cool Toned Shimmer Glitter Eyeshadow, Natural Neutral Smokey Shiny Eyeshadow Ultimate Makeup Palette, Vibrant Make Up Pallets Kit (9 colors-Smokey)</t>
        </is>
      </c>
      <c r="E844" s="2">
        <f>HYPERLINK("https://www.amazon.com/Eyeshadow-Palette-Shimmer-Ultimate-colors-Smokey/dp/B09P4PGXC2/ref=sr_1_5?keywords=Smokey+Soiree+Eyeshadow+Palette&amp;qid=1695565667&amp;sr=8-5", "https://www.amazon.com/Eyeshadow-Palette-Shimmer-Ultimate-colors-Smokey/dp/B09P4PGXC2/ref=sr_1_5?keywords=Smokey+Soiree+Eyeshadow+Palette&amp;qid=1695565667&amp;sr=8-5")</f>
        <v/>
      </c>
      <c r="F844" t="inlineStr">
        <is>
          <t>B09P4PGXC2</t>
        </is>
      </c>
      <c r="G844">
        <f>_xlfn.IMAGE("https://camerareadycosmetics.com/cdn/shop/products/DoseofColorsSmokeySoireeEyeshadowPalette-SMOKEY-SOIREE_50x.jpg?v=1623160183")</f>
        <v/>
      </c>
      <c r="H844">
        <f>_xlfn.IMAGE("https://m.media-amazon.com/images/I/71-PZS8k6bL._AC_UL320_.jpg")</f>
        <v/>
      </c>
      <c r="K844" t="inlineStr">
        <is>
          <t>32.0</t>
        </is>
      </c>
      <c r="L844" t="n">
        <v>6.99</v>
      </c>
      <c r="M844" s="1" t="inlineStr">
        <is>
          <t>-78.16%</t>
        </is>
      </c>
      <c r="N844" t="n">
        <v>4</v>
      </c>
      <c r="O844" t="n">
        <v>253</v>
      </c>
      <c r="Q844" t="inlineStr">
        <is>
          <t>InStock</t>
        </is>
      </c>
      <c r="R844" t="inlineStr">
        <is>
          <t>undefined</t>
        </is>
      </c>
      <c r="S844" t="inlineStr">
        <is>
          <t>6764303417529</t>
        </is>
      </c>
    </row>
    <row r="845" ht="75" customHeight="1">
      <c r="A845" s="2">
        <f>HYPERLINK("https://camerareadycosmetics.com/products/dose-of-colors-smokey-soiree-eyeshadow-palette", "https://camerareadycosmetics.com/products/dose-of-colors-smokey-soiree-eyeshadow-palette")</f>
        <v/>
      </c>
      <c r="B845" s="2">
        <f>HYPERLINK("https://camerareadycosmetics.com/products/dose-of-colors-smokey-soiree-eyeshadow-palette", "https://camerareadycosmetics.com/products/dose-of-colors-smokey-soiree-eyeshadow-palette")</f>
        <v/>
      </c>
      <c r="C845" t="inlineStr">
        <is>
          <t>Smokey Soiree Eyeshadow Palette</t>
        </is>
      </c>
      <c r="D845" t="inlineStr">
        <is>
          <t>Go Ho Black/Silver Smokey Eyeshadow Palette,White Eye Black Eye Shadow Palette,9 Colors Matte &amp; Shimmer Eye Makeup Palette,Gray Sliver Eye Shadow Makeup,Waterproof Cool Daily Shades Eyeshadow Palette</t>
        </is>
      </c>
      <c r="E845" s="2">
        <f>HYPERLINK("https://www.amazon.com/Go-Ho-Eyeshadow-Palette-Waterproof/dp/B0BLCDY7ZX/ref=sr_1_6?keywords=Smokey+Soiree+Eyeshadow+Palette&amp;qid=1695565667&amp;sr=8-6", "https://www.amazon.com/Go-Ho-Eyeshadow-Palette-Waterproof/dp/B0BLCDY7ZX/ref=sr_1_6?keywords=Smokey+Soiree+Eyeshadow+Palette&amp;qid=1695565667&amp;sr=8-6")</f>
        <v/>
      </c>
      <c r="F845" t="inlineStr">
        <is>
          <t>B0BLCDY7ZX</t>
        </is>
      </c>
      <c r="G845">
        <f>_xlfn.IMAGE("https://camerareadycosmetics.com/cdn/shop/products/DoseofColorsSmokeySoireeEyeshadowPalette-SMOKEY-SOIREE_50x.jpg?v=1623160183")</f>
        <v/>
      </c>
      <c r="H845">
        <f>_xlfn.IMAGE("https://m.media-amazon.com/images/I/61tueK7tyuL._AC_UL320_.jpg")</f>
        <v/>
      </c>
      <c r="K845" t="inlineStr">
        <is>
          <t>32.0</t>
        </is>
      </c>
      <c r="L845" t="n">
        <v>6.88</v>
      </c>
      <c r="M845" s="1" t="inlineStr">
        <is>
          <t>-78.50%</t>
        </is>
      </c>
      <c r="N845" t="n">
        <v>4.3</v>
      </c>
      <c r="O845" t="n">
        <v>269</v>
      </c>
      <c r="Q845" t="inlineStr">
        <is>
          <t>InStock</t>
        </is>
      </c>
      <c r="R845" t="inlineStr">
        <is>
          <t>undefined</t>
        </is>
      </c>
      <c r="S845" t="inlineStr">
        <is>
          <t>6764303417529</t>
        </is>
      </c>
    </row>
    <row r="846" ht="75" customHeight="1">
      <c r="A846" s="2">
        <f>HYPERLINK("https://camerareadycosmetics.com/products/dose-of-colors-smokey-soiree-eyeshadow-palette", "https://camerareadycosmetics.com/products/dose-of-colors-smokey-soiree-eyeshadow-palette")</f>
        <v/>
      </c>
      <c r="B846" s="2">
        <f>HYPERLINK("https://camerareadycosmetics.com/products/dose-of-colors-smokey-soiree-eyeshadow-palette", "https://camerareadycosmetics.com/products/dose-of-colors-smokey-soiree-eyeshadow-palette")</f>
        <v/>
      </c>
      <c r="C846" t="inlineStr">
        <is>
          <t>Smokey Soiree Eyeshadow Palette</t>
        </is>
      </c>
      <c r="D846" t="inlineStr">
        <is>
          <t>Nude Gold Eyeshadow Palette Natural Naked Smokey Warm Neutral 15 Shades, DE'LANCI Ultra-Blendable High Pigmented Matte Shimmer Matallic Long Lasting Waterproof Eye Shadow Pallet, Travel Size Makeup</t>
        </is>
      </c>
      <c r="E846" s="2">
        <f>HYPERLINK("https://www.amazon.com/Eyeshadow-Ultra-Blendable-Pigmented-Matallic-Waterproof/dp/B08TWSYWQ4/ref=sr_1_2?keywords=Smokey+Soiree+Eyeshadow+Palette&amp;qid=1695565667&amp;sr=8-2", "https://www.amazon.com/Eyeshadow-Ultra-Blendable-Pigmented-Matallic-Waterproof/dp/B08TWSYWQ4/ref=sr_1_2?keywords=Smokey+Soiree+Eyeshadow+Palette&amp;qid=1695565667&amp;sr=8-2")</f>
        <v/>
      </c>
      <c r="F846" t="inlineStr">
        <is>
          <t>B08TWSYWQ4</t>
        </is>
      </c>
      <c r="G846">
        <f>_xlfn.IMAGE("https://camerareadycosmetics.com/cdn/shop/products/DoseofColorsSmokeySoireeEyeshadowPalette-SMOKEY-SOIREE_50x.jpg?v=1623160183")</f>
        <v/>
      </c>
      <c r="H846">
        <f>_xlfn.IMAGE("https://m.media-amazon.com/images/I/51y0Eu3ZWjL._AC_UL320_.jpg")</f>
        <v/>
      </c>
      <c r="K846" t="inlineStr">
        <is>
          <t>32.0</t>
        </is>
      </c>
      <c r="L846" t="n">
        <v>9.99</v>
      </c>
      <c r="M846" s="1" t="inlineStr">
        <is>
          <t>-68.78%</t>
        </is>
      </c>
      <c r="N846" t="n">
        <v>4.5</v>
      </c>
      <c r="O846" t="n">
        <v>2461</v>
      </c>
      <c r="Q846" t="inlineStr">
        <is>
          <t>InStock</t>
        </is>
      </c>
      <c r="R846" t="inlineStr">
        <is>
          <t>undefined</t>
        </is>
      </c>
      <c r="S846" t="inlineStr">
        <is>
          <t>6764303417529</t>
        </is>
      </c>
    </row>
    <row r="847" ht="75" customHeight="1">
      <c r="A847" s="2">
        <f>HYPERLINK("https://camerareadycosmetics.com/products/dose-of-colors-smokey-soiree-eyeshadow-palette", "https://camerareadycosmetics.com/products/dose-of-colors-smokey-soiree-eyeshadow-palette")</f>
        <v/>
      </c>
      <c r="B847" s="2">
        <f>HYPERLINK("https://camerareadycosmetics.com/products/dose-of-colors-smokey-soiree-eyeshadow-palette", "https://camerareadycosmetics.com/products/dose-of-colors-smokey-soiree-eyeshadow-palette")</f>
        <v/>
      </c>
      <c r="C847" t="inlineStr">
        <is>
          <t>Smokey Soiree Eyeshadow Palette</t>
        </is>
      </c>
      <c r="D847" t="inlineStr">
        <is>
          <t>Grey Smokey Eyeshadow Palette, 16 Colors Black White Violet Smoky Eye Shadow Pallet, Matte Shimmer Neutral Sliver Glitter Shades Pallets, High Pigment Cool Tone Eye Makeup Palette Talc Free</t>
        </is>
      </c>
      <c r="E847" s="2">
        <f>HYPERLINK("https://www.amazon.com/DELANCI-Eyeshadow-Palette-Shimmer-Neutral/dp/B0C1YJFBGX/ref=sr_1_3?keywords=Smokey+Soiree+Eyeshadow+Palette&amp;qid=1695565667&amp;sr=8-3", "https://www.amazon.com/DELANCI-Eyeshadow-Palette-Shimmer-Neutral/dp/B0C1YJFBGX/ref=sr_1_3?keywords=Smokey+Soiree+Eyeshadow+Palette&amp;qid=1695565667&amp;sr=8-3")</f>
        <v/>
      </c>
      <c r="F847" t="inlineStr">
        <is>
          <t>B0C1YJFBGX</t>
        </is>
      </c>
      <c r="G847">
        <f>_xlfn.IMAGE("https://camerareadycosmetics.com/cdn/shop/products/DoseofColorsSmokeySoireeEyeshadowPalette-SMOKEY-SOIREE_50x.jpg?v=1623160183")</f>
        <v/>
      </c>
      <c r="H847">
        <f>_xlfn.IMAGE("https://m.media-amazon.com/images/I/71CTImkjviL._AC_UL320_.jpg")</f>
        <v/>
      </c>
      <c r="K847" t="inlineStr">
        <is>
          <t>32.0</t>
        </is>
      </c>
      <c r="L847" t="n">
        <v>9.99</v>
      </c>
      <c r="M847" s="1" t="inlineStr">
        <is>
          <t>-68.78%</t>
        </is>
      </c>
      <c r="N847" t="n">
        <v>4.4</v>
      </c>
      <c r="O847" t="n">
        <v>9</v>
      </c>
      <c r="Q847" t="inlineStr">
        <is>
          <t>InStock</t>
        </is>
      </c>
      <c r="R847" t="inlineStr">
        <is>
          <t>undefined</t>
        </is>
      </c>
      <c r="S847" t="inlineStr">
        <is>
          <t>6764303417529</t>
        </is>
      </c>
    </row>
    <row r="848" ht="75" customHeight="1">
      <c r="A848" s="2">
        <f>HYPERLINK("https://camerareadycosmetics.com/products/dose-of-colors-smokey-soiree-eyeshadow-palette", "https://camerareadycosmetics.com/products/dose-of-colors-smokey-soiree-eyeshadow-palette")</f>
        <v/>
      </c>
      <c r="B848" s="2">
        <f>HYPERLINK("https://camerareadycosmetics.com/products/dose-of-colors-smokey-soiree-eyeshadow-palette", "https://camerareadycosmetics.com/products/dose-of-colors-smokey-soiree-eyeshadow-palette")</f>
        <v/>
      </c>
      <c r="C848" t="inlineStr">
        <is>
          <t>Smokey Soiree Eyeshadow Palette</t>
        </is>
      </c>
      <c r="D848" t="inlineStr">
        <is>
          <t>Smokey Eye Neutral Eyeshadow Palette - 12 Highly Pigmented Cool Toned Shimmer Matte Colors For Professional Everyday Nude Looks - Travel Size Eye Shadow Makeup Palette With Mirror</t>
        </is>
      </c>
      <c r="E848" s="2">
        <f>HYPERLINK("https://www.amazon.com/Lamora-Cold-Smokey-Eyeshadow-Palette/dp/B09DGFQB81/ref=sr_1_4?keywords=Smokey+Soiree+Eyeshadow+Palette&amp;qid=1695565667&amp;sr=8-4", "https://www.amazon.com/Lamora-Cold-Smokey-Eyeshadow-Palette/dp/B09DGFQB81/ref=sr_1_4?keywords=Smokey+Soiree+Eyeshadow+Palette&amp;qid=1695565667&amp;sr=8-4")</f>
        <v/>
      </c>
      <c r="F848" t="inlineStr">
        <is>
          <t>B09DGFQB81</t>
        </is>
      </c>
      <c r="G848">
        <f>_xlfn.IMAGE("https://camerareadycosmetics.com/cdn/shop/products/DoseofColorsSmokeySoireeEyeshadowPalette-SMOKEY-SOIREE_50x.jpg?v=1623160183")</f>
        <v/>
      </c>
      <c r="H848">
        <f>_xlfn.IMAGE("https://m.media-amazon.com/images/I/81T-OVjGJ6L._AC_UL320_.jpg")</f>
        <v/>
      </c>
      <c r="K848" t="inlineStr">
        <is>
          <t>32.0</t>
        </is>
      </c>
      <c r="L848" t="n">
        <v>9.99</v>
      </c>
      <c r="M848" s="1" t="inlineStr">
        <is>
          <t>-68.78%</t>
        </is>
      </c>
      <c r="N848" t="n">
        <v>4.6</v>
      </c>
      <c r="O848" t="n">
        <v>467</v>
      </c>
      <c r="Q848" t="inlineStr">
        <is>
          <t>InStock</t>
        </is>
      </c>
      <c r="R848" t="inlineStr">
        <is>
          <t>undefined</t>
        </is>
      </c>
      <c r="S848" t="inlineStr">
        <is>
          <t>6764303417529</t>
        </is>
      </c>
    </row>
    <row r="849" ht="75" customHeight="1">
      <c r="A849" s="2">
        <f>HYPERLINK("https://camerareadycosmetics.com/products/dose-of-colors-smokey-soiree-eyeshadow-palette", "https://camerareadycosmetics.com/products/dose-of-colors-smokey-soiree-eyeshadow-palette")</f>
        <v/>
      </c>
      <c r="B849" s="2">
        <f>HYPERLINK("https://camerareadycosmetics.com/products/dose-of-colors-smokey-soiree-eyeshadow-palette", "https://camerareadycosmetics.com/products/dose-of-colors-smokey-soiree-eyeshadow-palette")</f>
        <v/>
      </c>
      <c r="C849" t="inlineStr">
        <is>
          <t>Smokey Soiree Eyeshadow Palette</t>
        </is>
      </c>
      <c r="D849" t="inlineStr">
        <is>
          <t>10 Colors Black Smokey Eyeshadow Palette,Gray Silver Glitter Neutral Eye Eyeshadow Palette,Blue Cool Toned High Pigmented Long-Lasting Waterproof Make Up Pallets Kit Advanced Eyeshadow Brush</t>
        </is>
      </c>
      <c r="E849" s="2">
        <f>HYPERLINK("https://www.amazon.com/Eyeshadow-Pigmented-Long-Lasting-Waterproof-Advanced/dp/B0B924Z8J1/ref=sr_1_8?keywords=Smokey+Soiree+Eyeshadow+Palette&amp;qid=1695565667&amp;sr=8-8", "https://www.amazon.com/Eyeshadow-Pigmented-Long-Lasting-Waterproof-Advanced/dp/B0B924Z8J1/ref=sr_1_8?keywords=Smokey+Soiree+Eyeshadow+Palette&amp;qid=1695565667&amp;sr=8-8")</f>
        <v/>
      </c>
      <c r="F849" t="inlineStr">
        <is>
          <t>B0B924Z8J1</t>
        </is>
      </c>
      <c r="G849">
        <f>_xlfn.IMAGE("https://camerareadycosmetics.com/cdn/shop/products/DoseofColorsSmokeySoireeEyeshadowPalette-SMOKEY-SOIREE_50x.jpg?v=1623160183")</f>
        <v/>
      </c>
      <c r="H849">
        <f>_xlfn.IMAGE("https://m.media-amazon.com/images/I/71bZHeSarPL._AC_UL320_.jpg")</f>
        <v/>
      </c>
      <c r="K849" t="inlineStr">
        <is>
          <t>32.0</t>
        </is>
      </c>
      <c r="L849" t="n">
        <v>9.99</v>
      </c>
      <c r="M849" s="1" t="inlineStr">
        <is>
          <t>-68.78%</t>
        </is>
      </c>
      <c r="N849" t="n">
        <v>4.1</v>
      </c>
      <c r="O849" t="n">
        <v>942</v>
      </c>
      <c r="Q849" t="inlineStr">
        <is>
          <t>InStock</t>
        </is>
      </c>
      <c r="R849" t="inlineStr">
        <is>
          <t>undefined</t>
        </is>
      </c>
      <c r="S849" t="inlineStr">
        <is>
          <t>6764303417529</t>
        </is>
      </c>
    </row>
    <row r="850" ht="75" customHeight="1">
      <c r="A850" s="2">
        <f>HYPERLINK("https://camerareadycosmetics.com/products/dose-of-colors-smokey-soiree-eyeshadow-palette", "https://camerareadycosmetics.com/products/dose-of-colors-smokey-soiree-eyeshadow-palette")</f>
        <v/>
      </c>
      <c r="B850" s="2">
        <f>HYPERLINK("https://camerareadycosmetics.com/products/dose-of-colors-smokey-soiree-eyeshadow-palette", "https://camerareadycosmetics.com/products/dose-of-colors-smokey-soiree-eyeshadow-palette")</f>
        <v/>
      </c>
      <c r="C850" t="inlineStr">
        <is>
          <t>Smokey Soiree Eyeshadow Palette</t>
        </is>
      </c>
      <c r="D850" t="inlineStr">
        <is>
          <t>Smokey Grey Eyeshadow Palette, Goth Black Eyeshadow Palette, Pigmented Velvety Matte Shimmer Neutral Silver Eyeshadow Pallet,Long-Lasting Natural Nude Brown Dark Small Makeup Palette Eye Shadow, Cruelty Free</t>
        </is>
      </c>
      <c r="E850" s="2">
        <f>HYPERLINK("https://www.amazon.com/DELANCI-Eyeshadow-Palette-Pigmented-Long-Lasting/dp/B093W8P75C/ref=sr_1_9?keywords=Smokey+Soiree+Eyeshadow+Palette&amp;qid=1695565667&amp;sr=8-9", "https://www.amazon.com/DELANCI-Eyeshadow-Palette-Pigmented-Long-Lasting/dp/B093W8P75C/ref=sr_1_9?keywords=Smokey+Soiree+Eyeshadow+Palette&amp;qid=1695565667&amp;sr=8-9")</f>
        <v/>
      </c>
      <c r="F850" t="inlineStr">
        <is>
          <t>B093W8P75C</t>
        </is>
      </c>
      <c r="G850">
        <f>_xlfn.IMAGE("https://camerareadycosmetics.com/cdn/shop/products/DoseofColorsSmokeySoireeEyeshadowPalette-SMOKEY-SOIREE_50x.jpg?v=1623160183")</f>
        <v/>
      </c>
      <c r="H850">
        <f>_xlfn.IMAGE("https://m.media-amazon.com/images/I/713WvFbkeHS._AC_UL320_.jpg")</f>
        <v/>
      </c>
      <c r="K850" t="inlineStr">
        <is>
          <t>32.0</t>
        </is>
      </c>
      <c r="L850" t="n">
        <v>9.99</v>
      </c>
      <c r="M850" s="1" t="inlineStr">
        <is>
          <t>-68.78%</t>
        </is>
      </c>
      <c r="N850" t="n">
        <v>4.6</v>
      </c>
      <c r="O850" t="n">
        <v>625</v>
      </c>
      <c r="Q850" t="inlineStr">
        <is>
          <t>InStock</t>
        </is>
      </c>
      <c r="R850" t="inlineStr">
        <is>
          <t>undefined</t>
        </is>
      </c>
      <c r="S850" t="inlineStr">
        <is>
          <t>6764303417529</t>
        </is>
      </c>
    </row>
    <row r="851" ht="75" customHeight="1">
      <c r="A851" s="2">
        <f>HYPERLINK("https://camerareadycosmetics.com/products/dose-of-colors-smokey-soiree-eyeshadow-palette", "https://camerareadycosmetics.com/products/dose-of-colors-smokey-soiree-eyeshadow-palette")</f>
        <v/>
      </c>
      <c r="B851" s="2">
        <f>HYPERLINK("https://camerareadycosmetics.com/products/dose-of-colors-smokey-soiree-eyeshadow-palette", "https://camerareadycosmetics.com/products/dose-of-colors-smokey-soiree-eyeshadow-palette")</f>
        <v/>
      </c>
      <c r="C851" t="inlineStr">
        <is>
          <t>Smokey Soiree Eyeshadow Palette</t>
        </is>
      </c>
      <c r="D851" t="inlineStr">
        <is>
          <t>9Color Rose Gold Dark Brown Colorful Eyeshadow Palette Makeup,Matte Shimmer Korean Natural Neutral Smokey Eye Eyeshadow palettes Highly Pigmented Naturing-Looking Long Lasting Waterproof Blendable</t>
        </is>
      </c>
      <c r="E851" s="2">
        <f>HYPERLINK("https://www.amazon.com/Eyeshadow-Pigmented-Naturing-Looking-Waterproof-Blendable/dp/B0C2ZGTJ55/ref=sr_1_7?keywords=Smokey+Soiree+Eyeshadow+Palette&amp;qid=1695565667&amp;sr=8-7", "https://www.amazon.com/Eyeshadow-Pigmented-Naturing-Looking-Waterproof-Blendable/dp/B0C2ZGTJ55/ref=sr_1_7?keywords=Smokey+Soiree+Eyeshadow+Palette&amp;qid=1695565667&amp;sr=8-7")</f>
        <v/>
      </c>
      <c r="F851" t="inlineStr">
        <is>
          <t>B0C2ZGTJ55</t>
        </is>
      </c>
      <c r="G851">
        <f>_xlfn.IMAGE("https://camerareadycosmetics.com/cdn/shop/products/DoseofColorsSmokeySoireeEyeshadowPalette-SMOKEY-SOIREE_50x.jpg?v=1623160183")</f>
        <v/>
      </c>
      <c r="H851">
        <f>_xlfn.IMAGE("https://m.media-amazon.com/images/I/61+MBrzLcJL._AC_UL320_.jpg")</f>
        <v/>
      </c>
      <c r="K851" t="inlineStr">
        <is>
          <t>32.0</t>
        </is>
      </c>
      <c r="L851" t="n">
        <v>6.99</v>
      </c>
      <c r="M851" s="1" t="inlineStr">
        <is>
          <t>-78.16%</t>
        </is>
      </c>
      <c r="N851" t="n">
        <v>3.8</v>
      </c>
      <c r="O851" t="n">
        <v>7</v>
      </c>
      <c r="Q851" t="inlineStr">
        <is>
          <t>InStock</t>
        </is>
      </c>
      <c r="R851" t="inlineStr">
        <is>
          <t>undefined</t>
        </is>
      </c>
      <c r="S851" t="inlineStr">
        <is>
          <t>6764303417529</t>
        </is>
      </c>
    </row>
    <row r="852" ht="75" customHeight="1">
      <c r="A852" s="2">
        <f>HYPERLINK("https://camerareadycosmetics.com/products/dose-of-colors-smokey-soiree-eyeshadow-palette", "https://camerareadycosmetics.com/products/dose-of-colors-smokey-soiree-eyeshadow-palette")</f>
        <v/>
      </c>
      <c r="B852" s="2">
        <f>HYPERLINK("https://camerareadycosmetics.com/products/dose-of-colors-smokey-soiree-eyeshadow-palette", "https://camerareadycosmetics.com/products/dose-of-colors-smokey-soiree-eyeshadow-palette")</f>
        <v/>
      </c>
      <c r="C852" t="inlineStr">
        <is>
          <t>Smokey Soiree Eyeshadow Palette</t>
        </is>
      </c>
      <c r="D852" t="inlineStr">
        <is>
          <t>Smokey Eye Eyeshadow Palette, 9 Colors Cool Toned Shimmer Glitter Eyeshadow, Natural Neutral Smokey Shiny Eyeshadow Ultimate Makeup Palette, Vibrant Make Up Pallets Kit (9 colors-Smokey)</t>
        </is>
      </c>
      <c r="E852" s="2">
        <f>HYPERLINK("https://www.amazon.com/Eyeshadow-Palette-Shimmer-Ultimate-colors-Smokey/dp/B09P4PGXC2/ref=sr_1_5?keywords=Smokey+Soiree+Eyeshadow+Palette&amp;qid=1695565667&amp;sr=8-5", "https://www.amazon.com/Eyeshadow-Palette-Shimmer-Ultimate-colors-Smokey/dp/B09P4PGXC2/ref=sr_1_5?keywords=Smokey+Soiree+Eyeshadow+Palette&amp;qid=1695565667&amp;sr=8-5")</f>
        <v/>
      </c>
      <c r="F852" t="inlineStr">
        <is>
          <t>B09P4PGXC2</t>
        </is>
      </c>
      <c r="G852">
        <f>_xlfn.IMAGE("https://camerareadycosmetics.com/cdn/shop/products/DoseofColorsSmokeySoireeEyeshadowPalette-SMOKEY-SOIREE_50x.jpg?v=1623160183")</f>
        <v/>
      </c>
      <c r="H852">
        <f>_xlfn.IMAGE("https://m.media-amazon.com/images/I/71-PZS8k6bL._AC_UL320_.jpg")</f>
        <v/>
      </c>
      <c r="K852" t="inlineStr">
        <is>
          <t>32.0</t>
        </is>
      </c>
      <c r="L852" t="n">
        <v>6.99</v>
      </c>
      <c r="M852" s="1" t="inlineStr">
        <is>
          <t>-78.16%</t>
        </is>
      </c>
      <c r="N852" t="n">
        <v>4</v>
      </c>
      <c r="O852" t="n">
        <v>253</v>
      </c>
      <c r="Q852" t="inlineStr">
        <is>
          <t>InStock</t>
        </is>
      </c>
      <c r="R852" t="inlineStr">
        <is>
          <t>undefined</t>
        </is>
      </c>
      <c r="S852" t="inlineStr">
        <is>
          <t>6764303417529</t>
        </is>
      </c>
    </row>
    <row r="853" ht="75" customHeight="1">
      <c r="A853" s="2">
        <f>HYPERLINK("https://camerareadycosmetics.com/products/dose-of-colors-smokey-soiree-eyeshadow-palette", "https://camerareadycosmetics.com/products/dose-of-colors-smokey-soiree-eyeshadow-palette")</f>
        <v/>
      </c>
      <c r="B853" s="2">
        <f>HYPERLINK("https://camerareadycosmetics.com/products/dose-of-colors-smokey-soiree-eyeshadow-palette", "https://camerareadycosmetics.com/products/dose-of-colors-smokey-soiree-eyeshadow-palette")</f>
        <v/>
      </c>
      <c r="C853" t="inlineStr">
        <is>
          <t>Smokey Soiree Eyeshadow Palette</t>
        </is>
      </c>
      <c r="D853" t="inlineStr">
        <is>
          <t>Go Ho Black/Silver Smokey Eyeshadow Palette,White Eye Black Eye Shadow Palette,9 Colors Matte &amp; Shimmer Eye Makeup Palette,Gray Sliver Eye Shadow Makeup,Waterproof Cool Daily Shades Eyeshadow Palette</t>
        </is>
      </c>
      <c r="E853" s="2">
        <f>HYPERLINK("https://www.amazon.com/Go-Ho-Eyeshadow-Palette-Waterproof/dp/B0BLCDY7ZX/ref=sr_1_6?keywords=Smokey+Soiree+Eyeshadow+Palette&amp;qid=1695565667&amp;sr=8-6", "https://www.amazon.com/Go-Ho-Eyeshadow-Palette-Waterproof/dp/B0BLCDY7ZX/ref=sr_1_6?keywords=Smokey+Soiree+Eyeshadow+Palette&amp;qid=1695565667&amp;sr=8-6")</f>
        <v/>
      </c>
      <c r="F853" t="inlineStr">
        <is>
          <t>B0BLCDY7ZX</t>
        </is>
      </c>
      <c r="G853">
        <f>_xlfn.IMAGE("https://camerareadycosmetics.com/cdn/shop/products/DoseofColorsSmokeySoireeEyeshadowPalette-SMOKEY-SOIREE_50x.jpg?v=1623160183")</f>
        <v/>
      </c>
      <c r="H853">
        <f>_xlfn.IMAGE("https://m.media-amazon.com/images/I/61tueK7tyuL._AC_UL320_.jpg")</f>
        <v/>
      </c>
      <c r="K853" t="inlineStr">
        <is>
          <t>32.0</t>
        </is>
      </c>
      <c r="L853" t="n">
        <v>6.88</v>
      </c>
      <c r="M853" s="1" t="inlineStr">
        <is>
          <t>-78.50%</t>
        </is>
      </c>
      <c r="N853" t="n">
        <v>4.3</v>
      </c>
      <c r="O853" t="n">
        <v>269</v>
      </c>
      <c r="Q853" t="inlineStr">
        <is>
          <t>InStock</t>
        </is>
      </c>
      <c r="R853" t="inlineStr">
        <is>
          <t>undefined</t>
        </is>
      </c>
      <c r="S853" t="inlineStr">
        <is>
          <t>6764303417529</t>
        </is>
      </c>
    </row>
    <row r="854" ht="75" customHeight="1">
      <c r="A854" s="2">
        <f>HYPERLINK("https://camerareadycosmetics.com/products/dose-of-colors-stay-glossy-lip-gloss", "https://camerareadycosmetics.com/products/dose-of-colors-stay-glossy-lip-gloss")</f>
        <v/>
      </c>
      <c r="B854" s="2">
        <f>HYPERLINK("https://camerareadycosmetics.com/products/dose-of-colors-stay-glossy-lip-gloss", "https://camerareadycosmetics.com/products/dose-of-colors-stay-glossy-lip-gloss")</f>
        <v/>
      </c>
      <c r="C854" t="inlineStr">
        <is>
          <t>Stay Glossy Lip Gloss</t>
        </is>
      </c>
      <c r="D854" t="inlineStr">
        <is>
          <t>Dose of Colors - Stay Glossy Lip Gloss - Playful, 0.16 oz</t>
        </is>
      </c>
      <c r="E854" s="2">
        <f>HYPERLINK("https://www.amazon.com/Dose-Colors-Glossy-Gloss-Playful/dp/B09C6RCHM1/ref=sr_1_3?keywords=Stay+Glossy+Lip+Gloss&amp;qid=1695565546&amp;sr=8-3", "https://www.amazon.com/Dose-Colors-Glossy-Gloss-Playful/dp/B09C6RCHM1/ref=sr_1_3?keywords=Stay+Glossy+Lip+Gloss&amp;qid=1695565546&amp;sr=8-3")</f>
        <v/>
      </c>
      <c r="F854" t="inlineStr">
        <is>
          <t>B09C6RCHM1</t>
        </is>
      </c>
      <c r="G854">
        <f>_xlfn.IMAGE("https://camerareadycosmetics.com/cdn/shop/products/dose-of-colors-lip-gloss-ALMONDBUTTER_50x.jpg?v=1628613067")</f>
        <v/>
      </c>
      <c r="H854">
        <f>_xlfn.IMAGE("https://m.media-amazon.com/images/I/51LpnUixuJL._AC_UL320_.jpg")</f>
        <v/>
      </c>
      <c r="K854" t="inlineStr">
        <is>
          <t>17.0</t>
        </is>
      </c>
      <c r="L854" t="n">
        <v>17</v>
      </c>
      <c r="M854" s="1" t="inlineStr">
        <is>
          <t>0.00%</t>
        </is>
      </c>
      <c r="N854" t="n">
        <v>4.7</v>
      </c>
      <c r="O854" t="n">
        <v>25</v>
      </c>
      <c r="Q854" t="inlineStr">
        <is>
          <t>InStock</t>
        </is>
      </c>
      <c r="R854" t="inlineStr">
        <is>
          <t>undefined</t>
        </is>
      </c>
      <c r="S854" t="inlineStr">
        <is>
          <t>6764353224889</t>
        </is>
      </c>
    </row>
    <row r="855" ht="75" customHeight="1">
      <c r="A855" s="2">
        <f>HYPERLINK("https://camerareadycosmetics.com/products/dose-of-colors-stay-glossy-lip-gloss", "https://camerareadycosmetics.com/products/dose-of-colors-stay-glossy-lip-gloss")</f>
        <v/>
      </c>
      <c r="B855" s="2">
        <f>HYPERLINK("https://camerareadycosmetics.com/products/dose-of-colors-stay-glossy-lip-gloss", "https://camerareadycosmetics.com/products/dose-of-colors-stay-glossy-lip-gloss")</f>
        <v/>
      </c>
      <c r="C855" t="inlineStr">
        <is>
          <t>Stay Glossy Lip Gloss</t>
        </is>
      </c>
      <c r="D855" t="inlineStr">
        <is>
          <t>Rimmel Stay Glossy 6HR Lip Gloss, Down To Gloss, 0.18 Fl Oz (Pack of 2)</t>
        </is>
      </c>
      <c r="E855" s="2">
        <f>HYPERLINK("https://www.amazon.com/Rimmel-Stay-Glossy-Gloss-Down/dp/B07WJN21D4/ref=sr_1_4?keywords=Stay+Glossy+Lip+Gloss&amp;qid=1695565546&amp;sr=8-4", "https://www.amazon.com/Rimmel-Stay-Glossy-Gloss-Down/dp/B07WJN21D4/ref=sr_1_4?keywords=Stay+Glossy+Lip+Gloss&amp;qid=1695565546&amp;sr=8-4")</f>
        <v/>
      </c>
      <c r="F855" t="inlineStr">
        <is>
          <t>B07WJN21D4</t>
        </is>
      </c>
      <c r="G855">
        <f>_xlfn.IMAGE("https://camerareadycosmetics.com/cdn/shop/products/dose-of-colors-lip-gloss-ALMONDBUTTER_50x.jpg?v=1628613067")</f>
        <v/>
      </c>
      <c r="H855">
        <f>_xlfn.IMAGE("https://m.media-amazon.com/images/I/61ZchB-XXKL._AC_UL320_.jpg")</f>
        <v/>
      </c>
      <c r="K855" t="inlineStr">
        <is>
          <t>17.0</t>
        </is>
      </c>
      <c r="L855" t="n">
        <v>7.14</v>
      </c>
      <c r="M855" s="1" t="inlineStr">
        <is>
          <t>-58.00%</t>
        </is>
      </c>
      <c r="N855" t="n">
        <v>4.6</v>
      </c>
      <c r="O855" t="n">
        <v>177</v>
      </c>
      <c r="Q855" t="inlineStr">
        <is>
          <t>InStock</t>
        </is>
      </c>
      <c r="R855" t="inlineStr">
        <is>
          <t>undefined</t>
        </is>
      </c>
      <c r="S855" t="inlineStr">
        <is>
          <t>6764353224889</t>
        </is>
      </c>
    </row>
    <row r="856" ht="75" customHeight="1">
      <c r="A856" s="2">
        <f>HYPERLINK("https://camerareadycosmetics.com/products/dose-of-colors-stay-glossy-lip-gloss", "https://camerareadycosmetics.com/products/dose-of-colors-stay-glossy-lip-gloss")</f>
        <v/>
      </c>
      <c r="B856" s="2">
        <f>HYPERLINK("https://camerareadycosmetics.com/products/dose-of-colors-stay-glossy-lip-gloss", "https://camerareadycosmetics.com/products/dose-of-colors-stay-glossy-lip-gloss")</f>
        <v/>
      </c>
      <c r="C856" t="inlineStr">
        <is>
          <t>Stay Glossy Lip Gloss</t>
        </is>
      </c>
      <c r="D856" t="inlineStr">
        <is>
          <t>Rimmel Stay Glossy Lipgloss</t>
        </is>
      </c>
      <c r="E856" s="2">
        <f>HYPERLINK("https://www.amazon.com/Rimmel-34003616340-Stay-Glossy-Lipgloss/dp/B009WI8BCU/ref=sr_1_6?keywords=Stay+Glossy+Lip+Gloss&amp;qid=1695565546&amp;sr=8-6", "https://www.amazon.com/Rimmel-34003616340-Stay-Glossy-Lipgloss/dp/B009WI8BCU/ref=sr_1_6?keywords=Stay+Glossy+Lip+Gloss&amp;qid=1695565546&amp;sr=8-6")</f>
        <v/>
      </c>
      <c r="F856" t="inlineStr">
        <is>
          <t>B009WI8BCU</t>
        </is>
      </c>
      <c r="G856">
        <f>_xlfn.IMAGE("https://camerareadycosmetics.com/cdn/shop/products/dose-of-colors-lip-gloss-ALMONDBUTTER_50x.jpg?v=1628613067")</f>
        <v/>
      </c>
      <c r="H856">
        <f>_xlfn.IMAGE("https://m.media-amazon.com/images/I/71zpYka-UlL._AC_UL320_.jpg")</f>
        <v/>
      </c>
      <c r="K856" t="inlineStr">
        <is>
          <t>17.0</t>
        </is>
      </c>
      <c r="L856" t="n">
        <v>6.81</v>
      </c>
      <c r="M856" s="1" t="inlineStr">
        <is>
          <t>-59.94%</t>
        </is>
      </c>
      <c r="N856" t="n">
        <v>4.4</v>
      </c>
      <c r="O856" t="n">
        <v>45</v>
      </c>
      <c r="Q856" t="inlineStr">
        <is>
          <t>InStock</t>
        </is>
      </c>
      <c r="R856" t="inlineStr">
        <is>
          <t>undefined</t>
        </is>
      </c>
      <c r="S856" t="inlineStr">
        <is>
          <t>6764353224889</t>
        </is>
      </c>
    </row>
    <row r="857" ht="75" customHeight="1">
      <c r="A857" s="2">
        <f>HYPERLINK("https://camerareadycosmetics.com/products/dose-of-colors-stay-glossy-lip-gloss", "https://camerareadycosmetics.com/products/dose-of-colors-stay-glossy-lip-gloss")</f>
        <v/>
      </c>
      <c r="B857" s="2">
        <f>HYPERLINK("https://camerareadycosmetics.com/products/dose-of-colors-stay-glossy-lip-gloss", "https://camerareadycosmetics.com/products/dose-of-colors-stay-glossy-lip-gloss")</f>
        <v/>
      </c>
      <c r="C857" t="inlineStr">
        <is>
          <t>Stay Glossy Lip Gloss</t>
        </is>
      </c>
      <c r="D857" t="inlineStr">
        <is>
          <t>Rimmel Stay Glossy 3D Lip Gloss, Back Row Smooch, Pack of 1</t>
        </is>
      </c>
      <c r="E857" s="2">
        <f>HYPERLINK("https://www.amazon.com/Rimmel-Glossy-Lipgloss-Smooch-Fluid/dp/B00E67OZYA/ref=sr_1_2?keywords=Stay+Glossy+Lip+Gloss&amp;qid=1695565546&amp;sr=8-2", "https://www.amazon.com/Rimmel-Glossy-Lipgloss-Smooch-Fluid/dp/B00E67OZYA/ref=sr_1_2?keywords=Stay+Glossy+Lip+Gloss&amp;qid=1695565546&amp;sr=8-2")</f>
        <v/>
      </c>
      <c r="F857" t="inlineStr">
        <is>
          <t>B00E67OZYA</t>
        </is>
      </c>
      <c r="G857">
        <f>_xlfn.IMAGE("https://camerareadycosmetics.com/cdn/shop/products/dose-of-colors-lip-gloss-ALMONDBUTTER_50x.jpg?v=1628613067")</f>
        <v/>
      </c>
      <c r="H857">
        <f>_xlfn.IMAGE("https://m.media-amazon.com/images/I/61GfUS0lTSL._AC_UL320_.jpg")</f>
        <v/>
      </c>
      <c r="K857" t="inlineStr">
        <is>
          <t>17.0</t>
        </is>
      </c>
      <c r="L857" t="n">
        <v>3.57</v>
      </c>
      <c r="M857" s="1" t="inlineStr">
        <is>
          <t>-79.00%</t>
        </is>
      </c>
      <c r="N857" t="n">
        <v>4.6</v>
      </c>
      <c r="O857" t="n">
        <v>407</v>
      </c>
      <c r="Q857" t="inlineStr">
        <is>
          <t>InStock</t>
        </is>
      </c>
      <c r="R857" t="inlineStr">
        <is>
          <t>undefined</t>
        </is>
      </c>
      <c r="S857" t="inlineStr">
        <is>
          <t>6764353224889</t>
        </is>
      </c>
    </row>
    <row r="858" ht="75" customHeight="1">
      <c r="A858" s="2">
        <f>HYPERLINK("https://camerareadycosmetics.com/products/dose-of-colors-stay-glossy-lip-gloss", "https://camerareadycosmetics.com/products/dose-of-colors-stay-glossy-lip-gloss")</f>
        <v/>
      </c>
      <c r="B858" s="2">
        <f>HYPERLINK("https://camerareadycosmetics.com/products/dose-of-colors-stay-glossy-lip-gloss", "https://camerareadycosmetics.com/products/dose-of-colors-stay-glossy-lip-gloss")</f>
        <v/>
      </c>
      <c r="C858" t="inlineStr">
        <is>
          <t>Stay Glossy Lip Gloss</t>
        </is>
      </c>
      <c r="D858" t="inlineStr">
        <is>
          <t>Rimmel Stay Glossy Lipgloss 6 Hour Lip Gloss Blushing Belgraves 0.18 Fl Oz</t>
        </is>
      </c>
      <c r="E858" s="2">
        <f>HYPERLINK("https://www.amazon.com/Rimmel-Glossy-Lipgloss-Blushing-Belgraves/dp/B00Q26VWZI/ref=sr_1_1?keywords=Stay+Glossy+Lip+Gloss&amp;qid=1695565546&amp;sr=8-1", "https://www.amazon.com/Rimmel-Glossy-Lipgloss-Blushing-Belgraves/dp/B00Q26VWZI/ref=sr_1_1?keywords=Stay+Glossy+Lip+Gloss&amp;qid=1695565546&amp;sr=8-1")</f>
        <v/>
      </c>
      <c r="F858" t="inlineStr">
        <is>
          <t>B00Q26VWZI</t>
        </is>
      </c>
      <c r="G858">
        <f>_xlfn.IMAGE("https://camerareadycosmetics.com/cdn/shop/products/dose-of-colors-lip-gloss-ALMONDBUTTER_50x.jpg?v=1628613067")</f>
        <v/>
      </c>
      <c r="H858">
        <f>_xlfn.IMAGE("https://m.media-amazon.com/images/I/71tiJe-UhSL._AC_UL320_.jpg")</f>
        <v/>
      </c>
      <c r="K858" t="inlineStr">
        <is>
          <t>17.0</t>
        </is>
      </c>
      <c r="L858" t="n">
        <v>3.53</v>
      </c>
      <c r="M858" s="1" t="inlineStr">
        <is>
          <t>-79.24%</t>
        </is>
      </c>
      <c r="N858" t="n">
        <v>4.4</v>
      </c>
      <c r="O858" t="n">
        <v>31265</v>
      </c>
      <c r="Q858" t="inlineStr">
        <is>
          <t>InStock</t>
        </is>
      </c>
      <c r="R858" t="inlineStr">
        <is>
          <t>undefined</t>
        </is>
      </c>
      <c r="S858" t="inlineStr">
        <is>
          <t>6764353224889</t>
        </is>
      </c>
    </row>
    <row r="859" ht="75" customHeight="1">
      <c r="A859" s="2">
        <f>HYPERLINK("https://camerareadycosmetics.com/products/dose-of-colors-stay-glossy-lip-gloss", "https://camerareadycosmetics.com/products/dose-of-colors-stay-glossy-lip-gloss")</f>
        <v/>
      </c>
      <c r="B859" s="2">
        <f>HYPERLINK("https://camerareadycosmetics.com/products/dose-of-colors-stay-glossy-lip-gloss", "https://camerareadycosmetics.com/products/dose-of-colors-stay-glossy-lip-gloss")</f>
        <v/>
      </c>
      <c r="C859" t="inlineStr">
        <is>
          <t>Stay Glossy Lip Gloss</t>
        </is>
      </c>
      <c r="D859" t="inlineStr">
        <is>
          <t>Rimmel Stay Glossy 6HR Lip Gloss, Down To Gloss, 0.18 Fl Oz (Pack of 2)</t>
        </is>
      </c>
      <c r="E859" s="2">
        <f>HYPERLINK("https://www.amazon.com/Rimmel-Stay-Glossy-Gloss-Down/dp/B07WJN21D4/ref=sr_1_4?keywords=Stay+Glossy+Lip+Gloss&amp;qid=1695565546&amp;sr=8-4", "https://www.amazon.com/Rimmel-Stay-Glossy-Gloss-Down/dp/B07WJN21D4/ref=sr_1_4?keywords=Stay+Glossy+Lip+Gloss&amp;qid=1695565546&amp;sr=8-4")</f>
        <v/>
      </c>
      <c r="F859" t="inlineStr">
        <is>
          <t>B07WJN21D4</t>
        </is>
      </c>
      <c r="G859">
        <f>_xlfn.IMAGE("https://camerareadycosmetics.com/cdn/shop/products/dose-of-colors-lip-gloss-ALMONDBUTTER_50x.jpg?v=1628613067")</f>
        <v/>
      </c>
      <c r="H859">
        <f>_xlfn.IMAGE("https://m.media-amazon.com/images/I/61ZchB-XXKL._AC_UL320_.jpg")</f>
        <v/>
      </c>
      <c r="K859" t="inlineStr">
        <is>
          <t>17.0</t>
        </is>
      </c>
      <c r="L859" t="n">
        <v>7.14</v>
      </c>
      <c r="M859" s="1" t="inlineStr">
        <is>
          <t>-58.00%</t>
        </is>
      </c>
      <c r="N859" t="n">
        <v>4.6</v>
      </c>
      <c r="O859" t="n">
        <v>177</v>
      </c>
      <c r="Q859" t="inlineStr">
        <is>
          <t>InStock</t>
        </is>
      </c>
      <c r="R859" t="inlineStr">
        <is>
          <t>undefined</t>
        </is>
      </c>
      <c r="S859" t="inlineStr">
        <is>
          <t>6764353224889</t>
        </is>
      </c>
    </row>
    <row r="860" ht="75" customHeight="1">
      <c r="A860" s="2">
        <f>HYPERLINK("https://camerareadycosmetics.com/products/dose-of-colors-stay-glossy-lip-gloss", "https://camerareadycosmetics.com/products/dose-of-colors-stay-glossy-lip-gloss")</f>
        <v/>
      </c>
      <c r="B860" s="2">
        <f>HYPERLINK("https://camerareadycosmetics.com/products/dose-of-colors-stay-glossy-lip-gloss", "https://camerareadycosmetics.com/products/dose-of-colors-stay-glossy-lip-gloss")</f>
        <v/>
      </c>
      <c r="C860" t="inlineStr">
        <is>
          <t>Stay Glossy Lip Gloss</t>
        </is>
      </c>
      <c r="D860" t="inlineStr">
        <is>
          <t>Rimmel Stay Glossy Lipgloss</t>
        </is>
      </c>
      <c r="E860" s="2">
        <f>HYPERLINK("https://www.amazon.com/Rimmel-34003616340-Stay-Glossy-Lipgloss/dp/B009WI8BCU/ref=sr_1_6?keywords=Stay+Glossy+Lip+Gloss&amp;qid=1695565546&amp;sr=8-6", "https://www.amazon.com/Rimmel-34003616340-Stay-Glossy-Lipgloss/dp/B009WI8BCU/ref=sr_1_6?keywords=Stay+Glossy+Lip+Gloss&amp;qid=1695565546&amp;sr=8-6")</f>
        <v/>
      </c>
      <c r="F860" t="inlineStr">
        <is>
          <t>B009WI8BCU</t>
        </is>
      </c>
      <c r="G860">
        <f>_xlfn.IMAGE("https://camerareadycosmetics.com/cdn/shop/products/dose-of-colors-lip-gloss-ALMONDBUTTER_50x.jpg?v=1628613067")</f>
        <v/>
      </c>
      <c r="H860">
        <f>_xlfn.IMAGE("https://m.media-amazon.com/images/I/71zpYka-UlL._AC_UL320_.jpg")</f>
        <v/>
      </c>
      <c r="K860" t="inlineStr">
        <is>
          <t>17.0</t>
        </is>
      </c>
      <c r="L860" t="n">
        <v>6.81</v>
      </c>
      <c r="M860" s="1" t="inlineStr">
        <is>
          <t>-59.94%</t>
        </is>
      </c>
      <c r="N860" t="n">
        <v>4.4</v>
      </c>
      <c r="O860" t="n">
        <v>45</v>
      </c>
      <c r="Q860" t="inlineStr">
        <is>
          <t>InStock</t>
        </is>
      </c>
      <c r="R860" t="inlineStr">
        <is>
          <t>undefined</t>
        </is>
      </c>
      <c r="S860" t="inlineStr">
        <is>
          <t>6764353224889</t>
        </is>
      </c>
    </row>
    <row r="861" ht="75" customHeight="1">
      <c r="A861" s="2">
        <f>HYPERLINK("https://camerareadycosmetics.com/products/dose-of-colors-stay-glossy-lip-gloss", "https://camerareadycosmetics.com/products/dose-of-colors-stay-glossy-lip-gloss")</f>
        <v/>
      </c>
      <c r="B861" s="2">
        <f>HYPERLINK("https://camerareadycosmetics.com/products/dose-of-colors-stay-glossy-lip-gloss", "https://camerareadycosmetics.com/products/dose-of-colors-stay-glossy-lip-gloss")</f>
        <v/>
      </c>
      <c r="C861" t="inlineStr">
        <is>
          <t>Stay Glossy Lip Gloss</t>
        </is>
      </c>
      <c r="D861" t="inlineStr">
        <is>
          <t>Rimmel Stay Glossy 3D Lip Gloss, Back Row Smooch, Pack of 1</t>
        </is>
      </c>
      <c r="E861" s="2">
        <f>HYPERLINK("https://www.amazon.com/Rimmel-Glossy-Lipgloss-Smooch-Fluid/dp/B00E67OZYA/ref=sr_1_2?keywords=Stay+Glossy+Lip+Gloss&amp;qid=1695565546&amp;sr=8-2", "https://www.amazon.com/Rimmel-Glossy-Lipgloss-Smooch-Fluid/dp/B00E67OZYA/ref=sr_1_2?keywords=Stay+Glossy+Lip+Gloss&amp;qid=1695565546&amp;sr=8-2")</f>
        <v/>
      </c>
      <c r="F861" t="inlineStr">
        <is>
          <t>B00E67OZYA</t>
        </is>
      </c>
      <c r="G861">
        <f>_xlfn.IMAGE("https://camerareadycosmetics.com/cdn/shop/products/dose-of-colors-lip-gloss-ALMONDBUTTER_50x.jpg?v=1628613067")</f>
        <v/>
      </c>
      <c r="H861">
        <f>_xlfn.IMAGE("https://m.media-amazon.com/images/I/61GfUS0lTSL._AC_UL320_.jpg")</f>
        <v/>
      </c>
      <c r="K861" t="inlineStr">
        <is>
          <t>17.0</t>
        </is>
      </c>
      <c r="L861" t="n">
        <v>3.57</v>
      </c>
      <c r="M861" s="1" t="inlineStr">
        <is>
          <t>-79.00%</t>
        </is>
      </c>
      <c r="N861" t="n">
        <v>4.6</v>
      </c>
      <c r="O861" t="n">
        <v>407</v>
      </c>
      <c r="Q861" t="inlineStr">
        <is>
          <t>InStock</t>
        </is>
      </c>
      <c r="R861" t="inlineStr">
        <is>
          <t>undefined</t>
        </is>
      </c>
      <c r="S861" t="inlineStr">
        <is>
          <t>6764353224889</t>
        </is>
      </c>
    </row>
    <row r="862" ht="75" customHeight="1">
      <c r="A862" s="2">
        <f>HYPERLINK("https://camerareadycosmetics.com/products/dose-of-colors-stay-glossy-lip-gloss", "https://camerareadycosmetics.com/products/dose-of-colors-stay-glossy-lip-gloss")</f>
        <v/>
      </c>
      <c r="B862" s="2">
        <f>HYPERLINK("https://camerareadycosmetics.com/products/dose-of-colors-stay-glossy-lip-gloss", "https://camerareadycosmetics.com/products/dose-of-colors-stay-glossy-lip-gloss")</f>
        <v/>
      </c>
      <c r="C862" t="inlineStr">
        <is>
          <t>Stay Glossy Lip Gloss</t>
        </is>
      </c>
      <c r="D862" t="inlineStr">
        <is>
          <t>Rimmel Stay Glossy Lipgloss 6 Hour Lip Gloss Blushing Belgraves 0.18 Fl Oz</t>
        </is>
      </c>
      <c r="E862" s="2">
        <f>HYPERLINK("https://www.amazon.com/Rimmel-Glossy-Lipgloss-Blushing-Belgraves/dp/B00Q26VWZI/ref=sr_1_1?keywords=Stay+Glossy+Lip+Gloss&amp;qid=1695565546&amp;sr=8-1", "https://www.amazon.com/Rimmel-Glossy-Lipgloss-Blushing-Belgraves/dp/B00Q26VWZI/ref=sr_1_1?keywords=Stay+Glossy+Lip+Gloss&amp;qid=1695565546&amp;sr=8-1")</f>
        <v/>
      </c>
      <c r="F862" t="inlineStr">
        <is>
          <t>B00Q26VWZI</t>
        </is>
      </c>
      <c r="G862">
        <f>_xlfn.IMAGE("https://camerareadycosmetics.com/cdn/shop/products/dose-of-colors-lip-gloss-ALMONDBUTTER_50x.jpg?v=1628613067")</f>
        <v/>
      </c>
      <c r="H862">
        <f>_xlfn.IMAGE("https://m.media-amazon.com/images/I/71tiJe-UhSL._AC_UL320_.jpg")</f>
        <v/>
      </c>
      <c r="K862" t="inlineStr">
        <is>
          <t>17.0</t>
        </is>
      </c>
      <c r="L862" t="n">
        <v>3.53</v>
      </c>
      <c r="M862" s="1" t="inlineStr">
        <is>
          <t>-79.24%</t>
        </is>
      </c>
      <c r="N862" t="n">
        <v>4.4</v>
      </c>
      <c r="O862" t="n">
        <v>31265</v>
      </c>
      <c r="Q862" t="inlineStr">
        <is>
          <t>InStock</t>
        </is>
      </c>
      <c r="R862" t="inlineStr">
        <is>
          <t>undefined</t>
        </is>
      </c>
      <c r="S862" t="inlineStr">
        <is>
          <t>6764353224889</t>
        </is>
      </c>
    </row>
    <row r="863" ht="75" customHeight="1">
      <c r="A863" s="2">
        <f>HYPERLINK("https://camerareadycosmetics.com/products/dose-of-colors-truffle-collection-eyeshadow-palette", "https://camerareadycosmetics.com/products/dose-of-colors-truffle-collection-eyeshadow-palette")</f>
        <v/>
      </c>
      <c r="B863" s="2">
        <f>HYPERLINK("https://camerareadycosmetics.com/products/dose-of-colors-truffle-collection-eyeshadow-palette", "https://camerareadycosmetics.com/products/dose-of-colors-truffle-collection-eyeshadow-palette")</f>
        <v/>
      </c>
      <c r="C863" t="inlineStr">
        <is>
          <t>Truffle Collection Eyeshadow Palette</t>
        </is>
      </c>
      <c r="D863" t="inlineStr">
        <is>
          <t>Dose of Colors TRUFFLE Eyeshadow Palette Limited Edition</t>
        </is>
      </c>
      <c r="E863" s="2">
        <f>HYPERLINK("https://www.amazon.com/Dose-Colors-TRUFFLE-Eyeshadow-Palette/dp/B09Z46GQH8/ref=sr_1_8?keywords=Truffle+Collection+Eyeshadow+Palette&amp;qid=1695565677&amp;sr=8-8", "https://www.amazon.com/Dose-Colors-TRUFFLE-Eyeshadow-Palette/dp/B09Z46GQH8/ref=sr_1_8?keywords=Truffle+Collection+Eyeshadow+Palette&amp;qid=1695565677&amp;sr=8-8")</f>
        <v/>
      </c>
      <c r="F863" t="inlineStr">
        <is>
          <t>B09Z46GQH8</t>
        </is>
      </c>
      <c r="G863">
        <f>_xlfn.IMAGE("https://camerareadycosmetics.com/cdn/shop/products/TrufflePalette_Open_1024x1024_2x_a3406eb1-1c89-41f4-8122-100857d9b837_50x.jpg?v=1650302720")</f>
        <v/>
      </c>
      <c r="H863">
        <f>_xlfn.IMAGE("https://m.media-amazon.com/images/I/71gqH3oxXlL._AC_UL320_.jpg")</f>
        <v/>
      </c>
      <c r="K863" t="inlineStr">
        <is>
          <t>38.0</t>
        </is>
      </c>
      <c r="L863" t="n">
        <v>38</v>
      </c>
      <c r="M863" s="1" t="inlineStr">
        <is>
          <t>0.00%</t>
        </is>
      </c>
      <c r="N863" t="n">
        <v>4.5</v>
      </c>
      <c r="O863" t="n">
        <v>11</v>
      </c>
      <c r="Q863" t="inlineStr">
        <is>
          <t>InStock</t>
        </is>
      </c>
      <c r="R863" t="inlineStr">
        <is>
          <t>38.0</t>
        </is>
      </c>
      <c r="S863" t="inlineStr">
        <is>
          <t>7288963432633</t>
        </is>
      </c>
    </row>
    <row r="864" ht="75" customHeight="1">
      <c r="A864" s="2">
        <f>HYPERLINK("https://camerareadycosmetics.com/products/dose-of-colors-truffle-collection-eyeshadow-palette", "https://camerareadycosmetics.com/products/dose-of-colors-truffle-collection-eyeshadow-palette")</f>
        <v/>
      </c>
      <c r="B864" s="2">
        <f>HYPERLINK("https://camerareadycosmetics.com/products/dose-of-colors-truffle-collection-eyeshadow-palette", "https://camerareadycosmetics.com/products/dose-of-colors-truffle-collection-eyeshadow-palette")</f>
        <v/>
      </c>
      <c r="C864" t="inlineStr">
        <is>
          <t>Truffle Collection Eyeshadow Palette</t>
        </is>
      </c>
      <c r="D864" t="inlineStr">
        <is>
          <t>Pure Cosmetics Makeup Eyeshadow Palette, Nude - Nouveau Collection, Neutral Ultra-Pigmented Pressed Powders - Matte &amp; Shimmer Colors, Long-Lasting, Blendable &amp; Mineral Based- Talc-Free &amp; Paraben-Free</t>
        </is>
      </c>
      <c r="E864" s="2">
        <f>HYPERLINK("https://www.amazon.com/Pure-Cosmetics-Nouveau-Shadow-Compact/dp/B08BBTYBW6/ref=sr_1_2?keywords=Truffle+Collection+Eyeshadow+Palette&amp;qid=1695565677&amp;sr=8-2", "https://www.amazon.com/Pure-Cosmetics-Nouveau-Shadow-Compact/dp/B08BBTYBW6/ref=sr_1_2?keywords=Truffle+Collection+Eyeshadow+Palette&amp;qid=1695565677&amp;sr=8-2")</f>
        <v/>
      </c>
      <c r="F864" t="inlineStr">
        <is>
          <t>B08BBTYBW6</t>
        </is>
      </c>
      <c r="G864">
        <f>_xlfn.IMAGE("https://camerareadycosmetics.com/cdn/shop/products/TrufflePalette_Open_1024x1024_2x_a3406eb1-1c89-41f4-8122-100857d9b837_50x.jpg?v=1650302720")</f>
        <v/>
      </c>
      <c r="H864">
        <f>_xlfn.IMAGE("https://m.media-amazon.com/images/I/61oOfligf6L._AC_UL320_.jpg")</f>
        <v/>
      </c>
      <c r="K864" t="inlineStr">
        <is>
          <t>38.0</t>
        </is>
      </c>
      <c r="L864" t="n">
        <v>25</v>
      </c>
      <c r="M864" s="1" t="inlineStr">
        <is>
          <t>-34.21%</t>
        </is>
      </c>
      <c r="N864" t="n">
        <v>4.2</v>
      </c>
      <c r="O864" t="n">
        <v>50</v>
      </c>
      <c r="Q864" t="inlineStr">
        <is>
          <t>InStock</t>
        </is>
      </c>
      <c r="R864" t="inlineStr">
        <is>
          <t>38.0</t>
        </is>
      </c>
      <c r="S864" t="inlineStr">
        <is>
          <t>7288963432633</t>
        </is>
      </c>
    </row>
    <row r="865" ht="75" customHeight="1">
      <c r="A865" s="2">
        <f>HYPERLINK("https://camerareadycosmetics.com/products/dose-of-colors-velvet-mousse-lipstick", "https://camerareadycosmetics.com/products/dose-of-colors-velvet-mousse-lipstick")</f>
        <v/>
      </c>
      <c r="B865" s="2">
        <f>HYPERLINK("https://camerareadycosmetics.com/products/dose-of-colors-velvet-mousse-lipstick", "https://camerareadycosmetics.com/products/dose-of-colors-velvet-mousse-lipstick")</f>
        <v/>
      </c>
      <c r="C865" t="inlineStr">
        <is>
          <t>Velvet Mousse Lipstick</t>
        </is>
      </c>
      <c r="D865" t="inlineStr">
        <is>
          <t>Dose of Colors Velvet Mousse Lipsticks (Casual)</t>
        </is>
      </c>
      <c r="E865" s="2">
        <f>HYPERLINK("https://www.amazon.com/Dose-Colors-Velvet-Mousse-Lipsticks/dp/B0B8BWBNP4/ref=sr_1_5?keywords=Velvet+Mousse+Lipstick&amp;qid=1695565613&amp;sr=8-5", "https://www.amazon.com/Dose-Colors-Velvet-Mousse-Lipsticks/dp/B0B8BWBNP4/ref=sr_1_5?keywords=Velvet+Mousse+Lipstick&amp;qid=1695565613&amp;sr=8-5")</f>
        <v/>
      </c>
      <c r="F865" t="inlineStr">
        <is>
          <t>B0B8BWBNP4</t>
        </is>
      </c>
      <c r="G865">
        <f>_xlfn.IMAGE("https://camerareadycosmetics.com/cdn/shop/products/PLUSH-SWB_50x.jpg?v=1660234032")</f>
        <v/>
      </c>
      <c r="H865">
        <f>_xlfn.IMAGE("https://m.media-amazon.com/images/I/518hK6Nv9qL._AC_UL320_.jpg")</f>
        <v/>
      </c>
      <c r="K865" t="inlineStr">
        <is>
          <t>19.0</t>
        </is>
      </c>
      <c r="L865" t="n">
        <v>19</v>
      </c>
      <c r="M865" s="1" t="inlineStr">
        <is>
          <t>0.00%</t>
        </is>
      </c>
      <c r="N865" t="n">
        <v>4.3</v>
      </c>
      <c r="O865" t="n">
        <v>74</v>
      </c>
      <c r="Q865" t="inlineStr">
        <is>
          <t>InStock</t>
        </is>
      </c>
      <c r="R865" t="inlineStr">
        <is>
          <t>19.0</t>
        </is>
      </c>
      <c r="S865" t="inlineStr">
        <is>
          <t>7445261713593</t>
        </is>
      </c>
    </row>
    <row r="866" ht="75" customHeight="1">
      <c r="A866" s="2">
        <f>HYPERLINK("https://camerareadycosmetics.com/products/dose-of-colors-velvet-mousse-lipstick", "https://camerareadycosmetics.com/products/dose-of-colors-velvet-mousse-lipstick")</f>
        <v/>
      </c>
      <c r="B866" s="2">
        <f>HYPERLINK("https://camerareadycosmetics.com/products/dose-of-colors-velvet-mousse-lipstick", "https://camerareadycosmetics.com/products/dose-of-colors-velvet-mousse-lipstick")</f>
        <v/>
      </c>
      <c r="C866" t="inlineStr">
        <is>
          <t>Velvet Mousse Lipstick</t>
        </is>
      </c>
      <c r="D866" t="inlineStr">
        <is>
          <t>COLORKEY Velvety Mousse Fluffy Lip Mud (R107 Totally Gently), Matte Lipstick Long Lasting Smooth Velvet Lip Stains Lip Tint Beauty Lips Makeup | Mud Texture, Sunset Warm Colors</t>
        </is>
      </c>
      <c r="E866" s="2" t="n"/>
      <c r="F866" t="inlineStr">
        <is>
          <t>B0B92KTB5Y</t>
        </is>
      </c>
      <c r="G866">
        <f>_xlfn.IMAGE("https://camerareadycosmetics.com/cdn/shop/products/PLUSH-SWB_50x.jpg?v=1660234032")</f>
        <v/>
      </c>
      <c r="H866">
        <f>_xlfn.IMAGE("https://m.media-amazon.com/images/I/618+nQr9OnL._AC_UL320_.jpg")</f>
        <v/>
      </c>
      <c r="K866" t="inlineStr">
        <is>
          <t>19.0</t>
        </is>
      </c>
      <c r="L866" t="n">
        <v>12.99</v>
      </c>
      <c r="M866" s="1" t="inlineStr">
        <is>
          <t>-31.63%</t>
        </is>
      </c>
      <c r="N866" t="n">
        <v>4.3</v>
      </c>
      <c r="O866" t="n">
        <v>72</v>
      </c>
      <c r="Q866" t="inlineStr">
        <is>
          <t>InStock</t>
        </is>
      </c>
      <c r="R866" t="inlineStr">
        <is>
          <t>19.0</t>
        </is>
      </c>
      <c r="S866" t="inlineStr">
        <is>
          <t>7445261713593</t>
        </is>
      </c>
    </row>
    <row r="867" ht="75" customHeight="1">
      <c r="A867" s="2">
        <f>HYPERLINK("https://camerareadycosmetics.com/products/embryolisse-stick-protecteur-reparateur-lips-protection-stick", "https://camerareadycosmetics.com/products/embryolisse-stick-protecteur-reparateur-lips-protection-stick")</f>
        <v/>
      </c>
      <c r="B867" s="2">
        <f>HYPERLINK("https://camerareadycosmetics.com/products/embryolisse-stick-protecteur-reparateur-lips-protection-stick", "https://camerareadycosmetics.com/products/embryolisse-stick-protecteur-reparateur-lips-protection-stick")</f>
        <v/>
      </c>
      <c r="C867" t="inlineStr">
        <is>
          <t>Protective Repair Stick</t>
        </is>
      </c>
      <c r="D867" t="inlineStr">
        <is>
          <t>Mesoestetic Mesoprotech Sun Protective Repairing Stick 100+ 4,5g/0.16 oz.</t>
        </is>
      </c>
      <c r="E867" s="2">
        <f>HYPERLINK("https://www.amazon.com/Mesoestetic-Mesoprotech-Protective-Repairing-Stick/dp/B07CY1YY35/ref=sr_1_1?keywords=Protective+Repair+Stick&amp;qid=1695565620&amp;sr=8-1", "https://www.amazon.com/Mesoestetic-Mesoprotech-Protective-Repairing-Stick/dp/B07CY1YY35/ref=sr_1_1?keywords=Protective+Repair+Stick&amp;qid=1695565620&amp;sr=8-1")</f>
        <v/>
      </c>
      <c r="F867" t="inlineStr">
        <is>
          <t>B07CY1YY35</t>
        </is>
      </c>
      <c r="G867">
        <f>_xlfn.IMAGE("https://camerareadycosmetics.com/cdn/shop/products/EB218000---Protective-Repair-Stick-4gr_2_50x.jpg?v=1689640473")</f>
        <v/>
      </c>
      <c r="H867">
        <f>_xlfn.IMAGE("https://m.media-amazon.com/images/I/611H0KwWlKL._AC_UL320_.jpg")</f>
        <v/>
      </c>
      <c r="K867" t="inlineStr">
        <is>
          <t>10.0</t>
        </is>
      </c>
      <c r="L867" t="n">
        <v>49.99</v>
      </c>
      <c r="M867" s="1" t="inlineStr">
        <is>
          <t>399.90%</t>
        </is>
      </c>
      <c r="N867" t="n">
        <v>4</v>
      </c>
      <c r="O867" t="n">
        <v>115</v>
      </c>
      <c r="Q867" t="inlineStr">
        <is>
          <t>InStock</t>
        </is>
      </c>
      <c r="R867" t="inlineStr">
        <is>
          <t>undefined</t>
        </is>
      </c>
      <c r="S867" t="inlineStr">
        <is>
          <t>7040107783</t>
        </is>
      </c>
    </row>
    <row r="868" ht="75" customHeight="1">
      <c r="A868" s="2">
        <f>HYPERLINK("https://camerareadycosmetics.com/products/esum-brow-defining-pencil", "https://camerareadycosmetics.com/products/esum-brow-defining-pencil")</f>
        <v/>
      </c>
      <c r="B868" s="2">
        <f>HYPERLINK("https://camerareadycosmetics.com/products/esum-brow-defining-pencil", "https://camerareadycosmetics.com/products/esum-brow-defining-pencil")</f>
        <v/>
      </c>
      <c r="C868" t="inlineStr">
        <is>
          <t>Brow Defining Pencil</t>
        </is>
      </c>
      <c r="D868" t="inlineStr">
        <is>
          <t>Kosas Brow Pop | Longwear, Dual-Action Defining Pencil, (Medium Brown)</t>
        </is>
      </c>
      <c r="E868" s="2">
        <f>HYPERLINK("https://www.amazon.com/KOSAS-Dual-Action-Defining-Pencil-Medium/dp/B0931XW5LQ/ref=sr_1_7?keywords=Brow+Defining+Pencil&amp;qid=1695565767&amp;sr=8-7", "https://www.amazon.com/KOSAS-Dual-Action-Defining-Pencil-Medium/dp/B0931XW5LQ/ref=sr_1_7?keywords=Brow+Defining+Pencil&amp;qid=1695565767&amp;sr=8-7")</f>
        <v/>
      </c>
      <c r="F868" t="inlineStr">
        <is>
          <t>B0931XW5LQ</t>
        </is>
      </c>
      <c r="G868">
        <f>_xlfn.IMAGE("https://camerareadycosmetics.com/cdn/shop/products/ESUM_PENCIL_BROW_TRIO_WEB_lids__77908.1565369708_50x.jpg?v=1654277552")</f>
        <v/>
      </c>
      <c r="H868">
        <f>_xlfn.IMAGE("https://m.media-amazon.com/images/I/61n4NL5slAL._AC_UL320_.jpg")</f>
        <v/>
      </c>
      <c r="K868" t="inlineStr">
        <is>
          <t>21.0</t>
        </is>
      </c>
      <c r="L868" t="n">
        <v>24</v>
      </c>
      <c r="M868" s="1" t="inlineStr">
        <is>
          <t>14.29%</t>
        </is>
      </c>
      <c r="N868" t="n">
        <v>4.4</v>
      </c>
      <c r="O868" t="n">
        <v>181</v>
      </c>
      <c r="Q868" t="inlineStr">
        <is>
          <t>InStock</t>
        </is>
      </c>
      <c r="R868" t="inlineStr">
        <is>
          <t>undefined</t>
        </is>
      </c>
      <c r="S868" t="inlineStr">
        <is>
          <t>4376203165807</t>
        </is>
      </c>
    </row>
    <row r="869" ht="75" customHeight="1">
      <c r="A869" s="2">
        <f>HYPERLINK("https://camerareadycosmetics.com/products/esum-brow-defining-pencil", "https://camerareadycosmetics.com/products/esum-brow-defining-pencil")</f>
        <v/>
      </c>
      <c r="B869" s="2">
        <f>HYPERLINK("https://camerareadycosmetics.com/products/esum-brow-defining-pencil", "https://camerareadycosmetics.com/products/esum-brow-defining-pencil")</f>
        <v/>
      </c>
      <c r="C869" t="inlineStr">
        <is>
          <t>Brow Defining Pencil</t>
        </is>
      </c>
      <c r="D869" t="inlineStr">
        <is>
          <t>Benefit Precisely, My Brow Pencil Ultra Fine Brow Defining Pencil # 4.5 Neutral Deep Brown, 0.02 Ounce</t>
        </is>
      </c>
      <c r="E869" s="2">
        <f>HYPERLINK("https://www.amazon.com/Benefit-Precisely-Pencil-Ultra-Fine-Define/dp/B07DZTCFGK/ref=sr_1_3?keywords=Brow+Defining+Pencil&amp;qid=1695565767&amp;sr=8-3", "https://www.amazon.com/Benefit-Precisely-Pencil-Ultra-Fine-Define/dp/B07DZTCFGK/ref=sr_1_3?keywords=Brow+Defining+Pencil&amp;qid=1695565767&amp;sr=8-3")</f>
        <v/>
      </c>
      <c r="F869" t="inlineStr">
        <is>
          <t>B07DZTCFGK</t>
        </is>
      </c>
      <c r="G869">
        <f>_xlfn.IMAGE("https://camerareadycosmetics.com/cdn/shop/products/ESUM_PENCIL_BROW_TRIO_WEB_lids__77908.1565369708_50x.jpg?v=1654277552")</f>
        <v/>
      </c>
      <c r="H869">
        <f>_xlfn.IMAGE("https://m.media-amazon.com/images/I/61ZmdS8fweL._AC_UL320_.jpg")</f>
        <v/>
      </c>
      <c r="K869" t="inlineStr">
        <is>
          <t>21.0</t>
        </is>
      </c>
      <c r="L869" t="n">
        <v>21.83</v>
      </c>
      <c r="M869" s="1" t="inlineStr">
        <is>
          <t>3.95%</t>
        </is>
      </c>
      <c r="N869" t="n">
        <v>4.6</v>
      </c>
      <c r="O869" t="n">
        <v>7046</v>
      </c>
      <c r="Q869" t="inlineStr">
        <is>
          <t>InStock</t>
        </is>
      </c>
      <c r="R869" t="inlineStr">
        <is>
          <t>undefined</t>
        </is>
      </c>
      <c r="S869" t="inlineStr">
        <is>
          <t>4376203165807</t>
        </is>
      </c>
    </row>
    <row r="870" ht="75" customHeight="1">
      <c r="A870" s="2">
        <f>HYPERLINK("https://camerareadycosmetics.com/products/esum-brow-defining-pencil", "https://camerareadycosmetics.com/products/esum-brow-defining-pencil")</f>
        <v/>
      </c>
      <c r="B870" s="2">
        <f>HYPERLINK("https://camerareadycosmetics.com/products/esum-brow-defining-pencil", "https://camerareadycosmetics.com/products/esum-brow-defining-pencil")</f>
        <v/>
      </c>
      <c r="C870" t="inlineStr">
        <is>
          <t>Brow Defining Pencil</t>
        </is>
      </c>
      <c r="D870" t="inlineStr">
        <is>
          <t>Arches &amp; Halos Micro Defining Brow Pencil - For a Fuller and More Defined Brow, Long-Lasting, Smudge Proof, Rich Color - Dual Ended Pencil with Brush - Vegan and Cruelty Free Makeup - Warm Brown, 0.003 oz</t>
        </is>
      </c>
      <c r="E870" s="2">
        <f>HYPERLINK("https://www.amazon.com/Arches-Halos-Defining-Defined-Long-Lasting/dp/B08T7PRFP8/ref=sr_1_8?keywords=Brow+Defining+Pencil&amp;qid=1695565767&amp;sr=8-8", "https://www.amazon.com/Arches-Halos-Defining-Defined-Long-Lasting/dp/B08T7PRFP8/ref=sr_1_8?keywords=Brow+Defining+Pencil&amp;qid=1695565767&amp;sr=8-8")</f>
        <v/>
      </c>
      <c r="F870" t="inlineStr">
        <is>
          <t>B08T7PRFP8</t>
        </is>
      </c>
      <c r="G870">
        <f>_xlfn.IMAGE("https://camerareadycosmetics.com/cdn/shop/products/ESUM_PENCIL_BROW_TRIO_WEB_lids__77908.1565369708_50x.jpg?v=1654277552")</f>
        <v/>
      </c>
      <c r="H870">
        <f>_xlfn.IMAGE("https://m.media-amazon.com/images/I/410E4nZeraS._AC_UL320_.jpg")</f>
        <v/>
      </c>
      <c r="K870" t="inlineStr">
        <is>
          <t>21.0</t>
        </is>
      </c>
      <c r="L870" t="n">
        <v>12.66</v>
      </c>
      <c r="M870" s="1" t="inlineStr">
        <is>
          <t>-39.71%</t>
        </is>
      </c>
      <c r="N870" t="n">
        <v>4.5</v>
      </c>
      <c r="O870" t="n">
        <v>318</v>
      </c>
      <c r="Q870" t="inlineStr">
        <is>
          <t>InStock</t>
        </is>
      </c>
      <c r="R870" t="inlineStr">
        <is>
          <t>undefined</t>
        </is>
      </c>
      <c r="S870" t="inlineStr">
        <is>
          <t>4376203165807</t>
        </is>
      </c>
    </row>
    <row r="871" ht="75" customHeight="1">
      <c r="A871" s="2">
        <f>HYPERLINK("https://camerareadycosmetics.com/products/esum-brow-defining-pencil", "https://camerareadycosmetics.com/products/esum-brow-defining-pencil")</f>
        <v/>
      </c>
      <c r="B871" s="2">
        <f>HYPERLINK("https://camerareadycosmetics.com/products/esum-brow-defining-pencil", "https://camerareadycosmetics.com/products/esum-brow-defining-pencil")</f>
        <v/>
      </c>
      <c r="C871" t="inlineStr">
        <is>
          <t>Brow Defining Pencil</t>
        </is>
      </c>
      <c r="D871" t="inlineStr">
        <is>
          <t>Sistar Micro Brow Defining Pencil Stylist Waterproof Eyebrow Pencil, Ultra Fine Double Ended Fill and Shape (Dark Chocolate)</t>
        </is>
      </c>
      <c r="E871" s="2">
        <f>HYPERLINK("https://www.amazon.com/Sistar-Defining-Stylist-Waterproof-Chocolate/dp/B0BJNZKBXF/ref=sr_1_6?keywords=Brow+Defining+Pencil&amp;qid=1695565767&amp;sr=8-6", "https://www.amazon.com/Sistar-Defining-Stylist-Waterproof-Chocolate/dp/B0BJNZKBXF/ref=sr_1_6?keywords=Brow+Defining+Pencil&amp;qid=1695565767&amp;sr=8-6")</f>
        <v/>
      </c>
      <c r="F871" t="inlineStr">
        <is>
          <t>B0BJNZKBXF</t>
        </is>
      </c>
      <c r="G871">
        <f>_xlfn.IMAGE("https://camerareadycosmetics.com/cdn/shop/products/ESUM_PENCIL_BROW_TRIO_WEB_lids__77908.1565369708_50x.jpg?v=1654277552")</f>
        <v/>
      </c>
      <c r="H871">
        <f>_xlfn.IMAGE("https://m.media-amazon.com/images/I/51WVY8zlDrL._AC_UL320_.jpg")</f>
        <v/>
      </c>
      <c r="K871" t="inlineStr">
        <is>
          <t>21.0</t>
        </is>
      </c>
      <c r="L871" t="n">
        <v>8.99</v>
      </c>
      <c r="M871" s="1" t="inlineStr">
        <is>
          <t>-57.19%</t>
        </is>
      </c>
      <c r="N871" t="n">
        <v>4.7</v>
      </c>
      <c r="O871" t="n">
        <v>19</v>
      </c>
      <c r="Q871" t="inlineStr">
        <is>
          <t>InStock</t>
        </is>
      </c>
      <c r="R871" t="inlineStr">
        <is>
          <t>undefined</t>
        </is>
      </c>
      <c r="S871" t="inlineStr">
        <is>
          <t>4376203165807</t>
        </is>
      </c>
    </row>
    <row r="872" ht="75" customHeight="1">
      <c r="A872" s="2">
        <f>HYPERLINK("https://camerareadycosmetics.com/products/esum-brow-defining-pencil", "https://camerareadycosmetics.com/products/esum-brow-defining-pencil")</f>
        <v/>
      </c>
      <c r="B872" s="2">
        <f>HYPERLINK("https://camerareadycosmetics.com/products/esum-brow-defining-pencil", "https://camerareadycosmetics.com/products/esum-brow-defining-pencil")</f>
        <v/>
      </c>
      <c r="C872" t="inlineStr">
        <is>
          <t>Brow Defining Pencil</t>
        </is>
      </c>
      <c r="D872" t="inlineStr">
        <is>
          <t>Maybelline New York Brow Ultra Slim Defining Eyebrow Makeup Mechanical Pencil With 1.55 MM Tip And Blending Spoolie For Precisely Defined Eyebrows, Deep Brown, 0.003 oz.</t>
        </is>
      </c>
      <c r="E872" s="2">
        <f>HYPERLINK("https://www.amazon.com/Maybelline-New-York-Mechanical-Precisely/dp/B07PFKXH5H/ref=sr_1_2?keywords=Brow+Defining+Pencil&amp;qid=1695565767&amp;sr=8-2", "https://www.amazon.com/Maybelline-New-York-Mechanical-Precisely/dp/B07PFKXH5H/ref=sr_1_2?keywords=Brow+Defining+Pencil&amp;qid=1695565767&amp;sr=8-2")</f>
        <v/>
      </c>
      <c r="F872" t="inlineStr">
        <is>
          <t>B07PFKXH5H</t>
        </is>
      </c>
      <c r="G872">
        <f>_xlfn.IMAGE("https://camerareadycosmetics.com/cdn/shop/products/ESUM_PENCIL_BROW_TRIO_WEB_lids__77908.1565369708_50x.jpg?v=1654277552")</f>
        <v/>
      </c>
      <c r="H872">
        <f>_xlfn.IMAGE("https://m.media-amazon.com/images/I/61jAeleacpL._AC_UL320_.jpg")</f>
        <v/>
      </c>
      <c r="K872" t="inlineStr">
        <is>
          <t>21.0</t>
        </is>
      </c>
      <c r="L872" t="n">
        <v>7.98</v>
      </c>
      <c r="M872" s="1" t="inlineStr">
        <is>
          <t>-62.00%</t>
        </is>
      </c>
      <c r="N872" t="n">
        <v>4.6</v>
      </c>
      <c r="O872" t="n">
        <v>17446</v>
      </c>
      <c r="Q872" t="inlineStr">
        <is>
          <t>InStock</t>
        </is>
      </c>
      <c r="R872" t="inlineStr">
        <is>
          <t>undefined</t>
        </is>
      </c>
      <c r="S872" t="inlineStr">
        <is>
          <t>4376203165807</t>
        </is>
      </c>
    </row>
    <row r="873" ht="75" customHeight="1">
      <c r="A873" s="2">
        <f>HYPERLINK("https://camerareadycosmetics.com/products/esum-brow-defining-pencil", "https://camerareadycosmetics.com/products/esum-brow-defining-pencil")</f>
        <v/>
      </c>
      <c r="B873" s="2">
        <f>HYPERLINK("https://camerareadycosmetics.com/products/esum-brow-defining-pencil", "https://camerareadycosmetics.com/products/esum-brow-defining-pencil")</f>
        <v/>
      </c>
      <c r="C873" t="inlineStr">
        <is>
          <t>Brow Defining Pencil</t>
        </is>
      </c>
      <c r="D873" t="inlineStr">
        <is>
          <t>e.l.f. Cosmetics Instant Lift Brow Pencil 2-Pack, Dual-Ended Precision Brow Pencils For Shaping &amp; Defining Brows, Neutral Brown</t>
        </is>
      </c>
      <c r="E873" s="2">
        <f>HYPERLINK("https://www.amazon.com/l-f-Cosmetics-Dual-Ended-Precision-Defining/dp/B0B52KG7YP/ref=sr_1_5?keywords=Brow+Defining+Pencil&amp;qid=1695565767&amp;sr=8-5", "https://www.amazon.com/l-f-Cosmetics-Dual-Ended-Precision-Defining/dp/B0B52KG7YP/ref=sr_1_5?keywords=Brow+Defining+Pencil&amp;qid=1695565767&amp;sr=8-5")</f>
        <v/>
      </c>
      <c r="F873" t="inlineStr">
        <is>
          <t>B0B52KG7YP</t>
        </is>
      </c>
      <c r="G873">
        <f>_xlfn.IMAGE("https://camerareadycosmetics.com/cdn/shop/products/ESUM_PENCIL_BROW_TRIO_WEB_lids__77908.1565369708_50x.jpg?v=1654277552")</f>
        <v/>
      </c>
      <c r="H873">
        <f>_xlfn.IMAGE("https://m.media-amazon.com/images/I/61FxJqkaPxL._AC_UL320_.jpg")</f>
        <v/>
      </c>
      <c r="K873" t="inlineStr">
        <is>
          <t>21.0</t>
        </is>
      </c>
      <c r="L873" t="n">
        <v>5</v>
      </c>
      <c r="M873" s="1" t="inlineStr">
        <is>
          <t>-76.19%</t>
        </is>
      </c>
      <c r="N873" t="n">
        <v>4.5</v>
      </c>
      <c r="O873" t="n">
        <v>34301</v>
      </c>
      <c r="Q873" t="inlineStr">
        <is>
          <t>InStock</t>
        </is>
      </c>
      <c r="R873" t="inlineStr">
        <is>
          <t>undefined</t>
        </is>
      </c>
      <c r="S873" t="inlineStr">
        <is>
          <t>4376203165807</t>
        </is>
      </c>
    </row>
    <row r="874" ht="75" customHeight="1">
      <c r="A874" s="2">
        <f>HYPERLINK("https://camerareadycosmetics.com/products/esum-brow-defining-pencil", "https://camerareadycosmetics.com/products/esum-brow-defining-pencil")</f>
        <v/>
      </c>
      <c r="B874" s="2">
        <f>HYPERLINK("https://camerareadycosmetics.com/products/esum-brow-defining-pencil", "https://camerareadycosmetics.com/products/esum-brow-defining-pencil")</f>
        <v/>
      </c>
      <c r="C874" t="inlineStr">
        <is>
          <t>Brow Defining Pencil</t>
        </is>
      </c>
      <c r="D874" t="inlineStr">
        <is>
          <t>Sistar Micro Brow Defining Pencil Stylist Waterproof Eyebrow Pencil, Ultra Fine Double Ended Fill and Shape (Dark Chocolate)</t>
        </is>
      </c>
      <c r="E874" s="2">
        <f>HYPERLINK("https://www.amazon.com/Sistar-Defining-Stylist-Waterproof-Chocolate/dp/B0BJNZKBXF/ref=sr_1_6?keywords=Brow+Defining+Pencil&amp;qid=1695565767&amp;sr=8-6", "https://www.amazon.com/Sistar-Defining-Stylist-Waterproof-Chocolate/dp/B0BJNZKBXF/ref=sr_1_6?keywords=Brow+Defining+Pencil&amp;qid=1695565767&amp;sr=8-6")</f>
        <v/>
      </c>
      <c r="F874" t="inlineStr">
        <is>
          <t>B0BJNZKBXF</t>
        </is>
      </c>
      <c r="G874">
        <f>_xlfn.IMAGE("https://camerareadycosmetics.com/cdn/shop/products/ESUM_PENCIL_BROW_TRIO_WEB_lids__77908.1565369708_50x.jpg?v=1654277552")</f>
        <v/>
      </c>
      <c r="H874">
        <f>_xlfn.IMAGE("https://m.media-amazon.com/images/I/51WVY8zlDrL._AC_UL320_.jpg")</f>
        <v/>
      </c>
      <c r="K874" t="inlineStr">
        <is>
          <t>21.0</t>
        </is>
      </c>
      <c r="L874" t="n">
        <v>8.99</v>
      </c>
      <c r="M874" s="1" t="inlineStr">
        <is>
          <t>-57.19%</t>
        </is>
      </c>
      <c r="N874" t="n">
        <v>4.7</v>
      </c>
      <c r="O874" t="n">
        <v>19</v>
      </c>
      <c r="Q874" t="inlineStr">
        <is>
          <t>InStock</t>
        </is>
      </c>
      <c r="R874" t="inlineStr">
        <is>
          <t>undefined</t>
        </is>
      </c>
      <c r="S874" t="inlineStr">
        <is>
          <t>4376203165807</t>
        </is>
      </c>
    </row>
    <row r="875" ht="75" customHeight="1">
      <c r="A875" s="2">
        <f>HYPERLINK("https://camerareadycosmetics.com/products/esum-brow-defining-pencil", "https://camerareadycosmetics.com/products/esum-brow-defining-pencil")</f>
        <v/>
      </c>
      <c r="B875" s="2">
        <f>HYPERLINK("https://camerareadycosmetics.com/products/esum-brow-defining-pencil", "https://camerareadycosmetics.com/products/esum-brow-defining-pencil")</f>
        <v/>
      </c>
      <c r="C875" t="inlineStr">
        <is>
          <t>Brow Defining Pencil</t>
        </is>
      </c>
      <c r="D875" t="inlineStr">
        <is>
          <t>Maybelline New York Brow Ultra Slim Defining Eyebrow Makeup Mechanical Pencil With 1.55 MM Tip And Blending Spoolie For Precisely Defined Eyebrows, Deep Brown, 0.003 oz.</t>
        </is>
      </c>
      <c r="E875" s="2">
        <f>HYPERLINK("https://www.amazon.com/Maybelline-New-York-Mechanical-Precisely/dp/B07PFKXH5H/ref=sr_1_2?keywords=Brow+Defining+Pencil&amp;qid=1695565767&amp;sr=8-2", "https://www.amazon.com/Maybelline-New-York-Mechanical-Precisely/dp/B07PFKXH5H/ref=sr_1_2?keywords=Brow+Defining+Pencil&amp;qid=1695565767&amp;sr=8-2")</f>
        <v/>
      </c>
      <c r="F875" t="inlineStr">
        <is>
          <t>B07PFKXH5H</t>
        </is>
      </c>
      <c r="G875">
        <f>_xlfn.IMAGE("https://camerareadycosmetics.com/cdn/shop/products/ESUM_PENCIL_BROW_TRIO_WEB_lids__77908.1565369708_50x.jpg?v=1654277552")</f>
        <v/>
      </c>
      <c r="H875">
        <f>_xlfn.IMAGE("https://m.media-amazon.com/images/I/61jAeleacpL._AC_UL320_.jpg")</f>
        <v/>
      </c>
      <c r="K875" t="inlineStr">
        <is>
          <t>21.0</t>
        </is>
      </c>
      <c r="L875" t="n">
        <v>7.98</v>
      </c>
      <c r="M875" s="1" t="inlineStr">
        <is>
          <t>-62.00%</t>
        </is>
      </c>
      <c r="N875" t="n">
        <v>4.6</v>
      </c>
      <c r="O875" t="n">
        <v>17446</v>
      </c>
      <c r="Q875" t="inlineStr">
        <is>
          <t>InStock</t>
        </is>
      </c>
      <c r="R875" t="inlineStr">
        <is>
          <t>undefined</t>
        </is>
      </c>
      <c r="S875" t="inlineStr">
        <is>
          <t>4376203165807</t>
        </is>
      </c>
    </row>
    <row r="876" ht="75" customHeight="1">
      <c r="A876" s="2">
        <f>HYPERLINK("https://camerareadycosmetics.com/products/esum-brow-defining-pencil", "https://camerareadycosmetics.com/products/esum-brow-defining-pencil")</f>
        <v/>
      </c>
      <c r="B876" s="2">
        <f>HYPERLINK("https://camerareadycosmetics.com/products/esum-brow-defining-pencil", "https://camerareadycosmetics.com/products/esum-brow-defining-pencil")</f>
        <v/>
      </c>
      <c r="C876" t="inlineStr">
        <is>
          <t>Brow Defining Pencil</t>
        </is>
      </c>
      <c r="D876" t="inlineStr">
        <is>
          <t>e.l.f. Cosmetics Instant Lift Brow Pencil 2-Pack, Dual-Ended Precision Brow Pencils For Shaping &amp; Defining Brows, Neutral Brown</t>
        </is>
      </c>
      <c r="E876" s="2">
        <f>HYPERLINK("https://www.amazon.com/l-f-Cosmetics-Dual-Ended-Precision-Defining/dp/B0B52KG7YP/ref=sr_1_5?keywords=Brow+Defining+Pencil&amp;qid=1695565767&amp;sr=8-5", "https://www.amazon.com/l-f-Cosmetics-Dual-Ended-Precision-Defining/dp/B0B52KG7YP/ref=sr_1_5?keywords=Brow+Defining+Pencil&amp;qid=1695565767&amp;sr=8-5")</f>
        <v/>
      </c>
      <c r="F876" t="inlineStr">
        <is>
          <t>B0B52KG7YP</t>
        </is>
      </c>
      <c r="G876">
        <f>_xlfn.IMAGE("https://camerareadycosmetics.com/cdn/shop/products/ESUM_PENCIL_BROW_TRIO_WEB_lids__77908.1565369708_50x.jpg?v=1654277552")</f>
        <v/>
      </c>
      <c r="H876">
        <f>_xlfn.IMAGE("https://m.media-amazon.com/images/I/61FxJqkaPxL._AC_UL320_.jpg")</f>
        <v/>
      </c>
      <c r="K876" t="inlineStr">
        <is>
          <t>21.0</t>
        </is>
      </c>
      <c r="L876" t="n">
        <v>5</v>
      </c>
      <c r="M876" s="1" t="inlineStr">
        <is>
          <t>-76.19%</t>
        </is>
      </c>
      <c r="N876" t="n">
        <v>4.5</v>
      </c>
      <c r="O876" t="n">
        <v>34301</v>
      </c>
      <c r="Q876" t="inlineStr">
        <is>
          <t>InStock</t>
        </is>
      </c>
      <c r="R876" t="inlineStr">
        <is>
          <t>undefined</t>
        </is>
      </c>
      <c r="S876" t="inlineStr">
        <is>
          <t>4376203165807</t>
        </is>
      </c>
    </row>
    <row r="877" ht="75" customHeight="1">
      <c r="A877" s="2">
        <f>HYPERLINK("https://camerareadycosmetics.com/products/esum-dual-eye-pencil", "https://camerareadycosmetics.com/products/esum-dual-eye-pencil")</f>
        <v/>
      </c>
      <c r="B877" s="2">
        <f>HYPERLINK("https://camerareadycosmetics.com/products/esum-dual-eye-pencil", "https://camerareadycosmetics.com/products/esum-dual-eye-pencil")</f>
        <v/>
      </c>
      <c r="C877" t="inlineStr">
        <is>
          <t>Esum Dual Eye Pencil</t>
        </is>
      </c>
      <c r="D877" t="inlineStr">
        <is>
          <t>Wet n Wild Ultimate Eyebrow Retractable Definer Pencil, Dark Brown, Dual-Sided, Fine Tip, Shapes, Defines, Fills Brows Makeup</t>
        </is>
      </c>
      <c r="E877" s="2">
        <f>HYPERLINK("https://www.amazon.com/wet-wild-Ultimate-Brow-Retractable/dp/B0797NNXS7/ref=sr_1_fkmr1_2?keywords=Esum+Dual+Eye+Pencil&amp;qid=1695565624&amp;sr=8-2-fkmr1", "https://www.amazon.com/wet-wild-Ultimate-Brow-Retractable/dp/B0797NNXS7/ref=sr_1_fkmr1_2?keywords=Esum+Dual+Eye+Pencil&amp;qid=1695565624&amp;sr=8-2-fkmr1")</f>
        <v/>
      </c>
      <c r="F877" t="inlineStr">
        <is>
          <t>B0797NNXS7</t>
        </is>
      </c>
      <c r="G877">
        <f>_xlfn.IMAGE("https://camerareadycosmetics.com/cdn/shop/products/ESUM_PENCIL_EYE_TRIO_WEB_Lids__59741.1565133412_50x.jpg?v=1580580734")</f>
        <v/>
      </c>
      <c r="H877">
        <f>_xlfn.IMAGE("https://m.media-amazon.com/images/I/71c3jOJiqyL._AC_UL320_.jpg")</f>
        <v/>
      </c>
      <c r="K877" t="inlineStr">
        <is>
          <t>22.0</t>
        </is>
      </c>
      <c r="L877" t="n">
        <v>3.29</v>
      </c>
      <c r="M877" s="1" t="inlineStr">
        <is>
          <t>-85.05%</t>
        </is>
      </c>
      <c r="N877" t="n">
        <v>4.5</v>
      </c>
      <c r="O877" t="n">
        <v>11833</v>
      </c>
      <c r="Q877" t="inlineStr">
        <is>
          <t>InStock</t>
        </is>
      </c>
      <c r="R877" t="inlineStr">
        <is>
          <t>undefined</t>
        </is>
      </c>
      <c r="S877" t="inlineStr">
        <is>
          <t>4376209784943</t>
        </is>
      </c>
    </row>
    <row r="878" ht="75" customHeight="1">
      <c r="A878" s="2">
        <f>HYPERLINK("https://camerareadycosmetics.com/products/esum-dual-eye-pencil", "https://camerareadycosmetics.com/products/esum-dual-eye-pencil")</f>
        <v/>
      </c>
      <c r="B878" s="2">
        <f>HYPERLINK("https://camerareadycosmetics.com/products/esum-dual-eye-pencil", "https://camerareadycosmetics.com/products/esum-dual-eye-pencil")</f>
        <v/>
      </c>
      <c r="C878" t="inlineStr">
        <is>
          <t>Esum Dual Eye Pencil</t>
        </is>
      </c>
      <c r="D878" t="inlineStr">
        <is>
          <t>Wet n Wild Ultimate Eyebrow Retractable Definer Pencil, Dark Brown, Dual-Sided, Fine Tip, Shapes, Defines, Fills Brows Makeup</t>
        </is>
      </c>
      <c r="E878" s="2">
        <f>HYPERLINK("https://www.amazon.com/wet-wild-Ultimate-Brow-Retractable/dp/B0797NNXS7/ref=sr_1_fkmr1_2?keywords=Esum+Dual+Eye+Pencil&amp;qid=1695565624&amp;sr=8-2-fkmr1", "https://www.amazon.com/wet-wild-Ultimate-Brow-Retractable/dp/B0797NNXS7/ref=sr_1_fkmr1_2?keywords=Esum+Dual+Eye+Pencil&amp;qid=1695565624&amp;sr=8-2-fkmr1")</f>
        <v/>
      </c>
      <c r="F878" t="inlineStr">
        <is>
          <t>B0797NNXS7</t>
        </is>
      </c>
      <c r="G878">
        <f>_xlfn.IMAGE("https://camerareadycosmetics.com/cdn/shop/products/ESUM_PENCIL_EYE_TRIO_WEB_Lids__59741.1565133412_50x.jpg?v=1580580734")</f>
        <v/>
      </c>
      <c r="H878">
        <f>_xlfn.IMAGE("https://m.media-amazon.com/images/I/71c3jOJiqyL._AC_UL320_.jpg")</f>
        <v/>
      </c>
      <c r="K878" t="inlineStr">
        <is>
          <t>22.0</t>
        </is>
      </c>
      <c r="L878" t="n">
        <v>3.29</v>
      </c>
      <c r="M878" s="1" t="inlineStr">
        <is>
          <t>-85.05%</t>
        </is>
      </c>
      <c r="N878" t="n">
        <v>4.5</v>
      </c>
      <c r="O878" t="n">
        <v>11833</v>
      </c>
      <c r="Q878" t="inlineStr">
        <is>
          <t>InStock</t>
        </is>
      </c>
      <c r="R878" t="inlineStr">
        <is>
          <t>undefined</t>
        </is>
      </c>
      <c r="S878" t="inlineStr">
        <is>
          <t>4376209784943</t>
        </is>
      </c>
    </row>
    <row r="879" ht="75" customHeight="1">
      <c r="A879" s="2">
        <f>HYPERLINK("https://camerareadycosmetics.com/products/european-body-art-pro-seal-spray", "https://camerareadycosmetics.com/products/european-body-art-pro-seal-spray")</f>
        <v/>
      </c>
      <c r="B879" s="2">
        <f>HYPERLINK("https://camerareadycosmetics.com/products/european-body-art-pro-seal-spray", "https://camerareadycosmetics.com/products/european-body-art-pro-seal-spray")</f>
        <v/>
      </c>
      <c r="C879" t="inlineStr">
        <is>
          <t>Pro Seal Spray 4 oz</t>
        </is>
      </c>
      <c r="D879" t="inlineStr">
        <is>
          <t>Rust-Oleum 351905 LeakSeal Flexible Rubber Coating Spray, 14 oz, Clear</t>
        </is>
      </c>
      <c r="E879" s="2">
        <f>HYPERLINK("https://www.amazon.com/Rust-Oleum-351905-LeakSeal-Flexible-Coating/dp/B09RGL4SJC/ref=sr_1_4?keywords=Pro+Seal+Spray+4+oz&amp;qid=1695565534&amp;sr=8-4", "https://www.amazon.com/Rust-Oleum-351905-LeakSeal-Flexible-Coating/dp/B09RGL4SJC/ref=sr_1_4?keywords=Pro+Seal+Spray+4+oz&amp;qid=1695565534&amp;sr=8-4")</f>
        <v/>
      </c>
      <c r="F879" t="inlineStr">
        <is>
          <t>B09RGL4SJC</t>
        </is>
      </c>
      <c r="G879">
        <f>_xlfn.IMAGE("https://camerareadycosmetics.com/cdn/shop/files/ProSEALSpray_50x.jpg?v=1687199815")</f>
        <v/>
      </c>
      <c r="H879">
        <f>_xlfn.IMAGE("https://m.media-amazon.com/images/I/71LeHHVgPGL._AC_UL320_.jpg")</f>
        <v/>
      </c>
      <c r="K879" t="inlineStr">
        <is>
          <t>29.0</t>
        </is>
      </c>
      <c r="L879" t="n">
        <v>15.98</v>
      </c>
      <c r="M879" s="1" t="inlineStr">
        <is>
          <t>-44.90%</t>
        </is>
      </c>
      <c r="N879" t="n">
        <v>4.2</v>
      </c>
      <c r="O879" t="n">
        <v>4377</v>
      </c>
      <c r="Q879" t="inlineStr">
        <is>
          <t>InStock</t>
        </is>
      </c>
      <c r="R879" t="inlineStr">
        <is>
          <t>undefined</t>
        </is>
      </c>
      <c r="S879" t="inlineStr">
        <is>
          <t>10809290698</t>
        </is>
      </c>
    </row>
    <row r="880" ht="75" customHeight="1">
      <c r="A880" s="2">
        <f>HYPERLINK("https://camerareadycosmetics.com/products/european-body-art-pro-seal-spray", "https://camerareadycosmetics.com/products/european-body-art-pro-seal-spray")</f>
        <v/>
      </c>
      <c r="B880" s="2">
        <f>HYPERLINK("https://camerareadycosmetics.com/products/european-body-art-pro-seal-spray", "https://camerareadycosmetics.com/products/european-body-art-pro-seal-spray")</f>
        <v/>
      </c>
      <c r="C880" t="inlineStr">
        <is>
          <t>Pro Seal Spray 4 oz</t>
        </is>
      </c>
      <c r="D880" t="inlineStr">
        <is>
          <t>Gorilla Waterproof Patch &amp; Seal Spray, White, 14 Ounces, (Pack of 1)</t>
        </is>
      </c>
      <c r="E880" s="2">
        <f>HYPERLINK("https://www.amazon.com/Gorilla-Waterproof-Patch-White-Ounces/dp/B08K9B5Y72/ref=sr_1_3?keywords=Pro+Seal+Spray+4+oz&amp;qid=1695565534&amp;sr=8-3", "https://www.amazon.com/Gorilla-Waterproof-Patch-White-Ounces/dp/B08K9B5Y72/ref=sr_1_3?keywords=Pro+Seal+Spray+4+oz&amp;qid=1695565534&amp;sr=8-3")</f>
        <v/>
      </c>
      <c r="F880" t="inlineStr">
        <is>
          <t>B08K9B5Y72</t>
        </is>
      </c>
      <c r="G880">
        <f>_xlfn.IMAGE("https://camerareadycosmetics.com/cdn/shop/files/ProSEALSpray_50x.jpg?v=1687199815")</f>
        <v/>
      </c>
      <c r="H880">
        <f>_xlfn.IMAGE("https://m.media-amazon.com/images/I/81UXPqLg5YL._AC_UL320_.jpg")</f>
        <v/>
      </c>
      <c r="K880" t="inlineStr">
        <is>
          <t>29.0</t>
        </is>
      </c>
      <c r="L880" t="n">
        <v>14.94</v>
      </c>
      <c r="M880" s="1" t="inlineStr">
        <is>
          <t>-48.48%</t>
        </is>
      </c>
      <c r="N880" t="n">
        <v>4.3</v>
      </c>
      <c r="O880" t="n">
        <v>2169</v>
      </c>
      <c r="Q880" t="inlineStr">
        <is>
          <t>InStock</t>
        </is>
      </c>
      <c r="R880" t="inlineStr">
        <is>
          <t>undefined</t>
        </is>
      </c>
      <c r="S880" t="inlineStr">
        <is>
          <t>10809290698</t>
        </is>
      </c>
    </row>
    <row r="881" ht="75" customHeight="1">
      <c r="A881" s="2">
        <f>HYPERLINK("https://camerareadycosmetics.com/products/european-body-art-pro-seal-spray", "https://camerareadycosmetics.com/products/european-body-art-pro-seal-spray")</f>
        <v/>
      </c>
      <c r="B881" s="2">
        <f>HYPERLINK("https://camerareadycosmetics.com/products/european-body-art-pro-seal-spray", "https://camerareadycosmetics.com/products/european-body-art-pro-seal-spray")</f>
        <v/>
      </c>
      <c r="C881" t="inlineStr">
        <is>
          <t>Pro Seal Spray 4 oz</t>
        </is>
      </c>
      <c r="D881" t="inlineStr">
        <is>
          <t>Gorilla Waterproof Patch &amp; Seal Spray, Clear, 14 Ounces, (Pack of 1)</t>
        </is>
      </c>
      <c r="E881" s="2">
        <f>HYPERLINK("https://www.amazon.com/Gorilla-Waterproof-Patch-Clear-Ounces/dp/B08QSKYTBB/ref=sr_1_1?keywords=Pro+Seal+Spray+4+oz&amp;qid=1695565534&amp;sr=8-1", "https://www.amazon.com/Gorilla-Waterproof-Patch-Clear-Ounces/dp/B08QSKYTBB/ref=sr_1_1?keywords=Pro+Seal+Spray+4+oz&amp;qid=1695565534&amp;sr=8-1")</f>
        <v/>
      </c>
      <c r="F881" t="inlineStr">
        <is>
          <t>B08QSKYTBB</t>
        </is>
      </c>
      <c r="G881">
        <f>_xlfn.IMAGE("https://camerareadycosmetics.com/cdn/shop/files/ProSEALSpray_50x.jpg?v=1687199815")</f>
        <v/>
      </c>
      <c r="H881">
        <f>_xlfn.IMAGE("https://m.media-amazon.com/images/I/71mY88oMehL._AC_UL320_.jpg")</f>
        <v/>
      </c>
      <c r="K881" t="inlineStr">
        <is>
          <t>29.0</t>
        </is>
      </c>
      <c r="L881" t="n">
        <v>14.94</v>
      </c>
      <c r="M881" s="1" t="inlineStr">
        <is>
          <t>-48.48%</t>
        </is>
      </c>
      <c r="N881" t="n">
        <v>4.2</v>
      </c>
      <c r="O881" t="n">
        <v>3517</v>
      </c>
      <c r="Q881" t="inlineStr">
        <is>
          <t>InStock</t>
        </is>
      </c>
      <c r="R881" t="inlineStr">
        <is>
          <t>undefined</t>
        </is>
      </c>
      <c r="S881" t="inlineStr">
        <is>
          <t>10809290698</t>
        </is>
      </c>
    </row>
    <row r="882" ht="75" customHeight="1">
      <c r="A882" s="2">
        <f>HYPERLINK("https://camerareadycosmetics.com/products/european-body-art-pro-seal-spray", "https://camerareadycosmetics.com/products/european-body-art-pro-seal-spray")</f>
        <v/>
      </c>
      <c r="B882" s="2">
        <f>HYPERLINK("https://camerareadycosmetics.com/products/european-body-art-pro-seal-spray", "https://camerareadycosmetics.com/products/european-body-art-pro-seal-spray")</f>
        <v/>
      </c>
      <c r="C882" t="inlineStr">
        <is>
          <t>Pro Seal Spray 4 oz</t>
        </is>
      </c>
      <c r="D882" t="inlineStr">
        <is>
          <t>4oz US+ 100% Pure Mineral Oil Spray - Food-Grade - Cutting Board Oil - Restores &amp; Protects Cutting Boards, Butcher Blocks, Countertops, Steel Surfaces &amp; More (4oz Spray)</t>
        </is>
      </c>
      <c r="E882" s="2">
        <f>HYPERLINK("https://www.amazon.com/US-100-Pure-Mineral-Spray/dp/B09B8VN1J9/ref=sr_1_8?keywords=Pro+Seal+Spray+4+oz&amp;qid=1695565534&amp;sr=8-8", "https://www.amazon.com/US-100-Pure-Mineral-Spray/dp/B09B8VN1J9/ref=sr_1_8?keywords=Pro+Seal+Spray+4+oz&amp;qid=1695565534&amp;sr=8-8")</f>
        <v/>
      </c>
      <c r="F882" t="inlineStr">
        <is>
          <t>B09B8VN1J9</t>
        </is>
      </c>
      <c r="G882">
        <f>_xlfn.IMAGE("https://camerareadycosmetics.com/cdn/shop/files/ProSEALSpray_50x.jpg?v=1687199815")</f>
        <v/>
      </c>
      <c r="H882">
        <f>_xlfn.IMAGE("https://m.media-amazon.com/images/I/61tHVp2naHL._AC_UL320_.jpg")</f>
        <v/>
      </c>
      <c r="K882" t="inlineStr">
        <is>
          <t>29.0</t>
        </is>
      </c>
      <c r="L882" t="n">
        <v>6.99</v>
      </c>
      <c r="M882" s="1" t="inlineStr">
        <is>
          <t>-75.90%</t>
        </is>
      </c>
      <c r="N882" t="n">
        <v>4.6</v>
      </c>
      <c r="O882" t="n">
        <v>391</v>
      </c>
      <c r="Q882" t="inlineStr">
        <is>
          <t>InStock</t>
        </is>
      </c>
      <c r="R882" t="inlineStr">
        <is>
          <t>undefined</t>
        </is>
      </c>
      <c r="S882" t="inlineStr">
        <is>
          <t>10809290698</t>
        </is>
      </c>
    </row>
    <row r="883" ht="75" customHeight="1">
      <c r="A883" s="2">
        <f>HYPERLINK("https://camerareadycosmetics.com/products/european-body-art-pro-seal-spray", "https://camerareadycosmetics.com/products/european-body-art-pro-seal-spray")</f>
        <v/>
      </c>
      <c r="B883" s="2">
        <f>HYPERLINK("https://camerareadycosmetics.com/products/european-body-art-pro-seal-spray", "https://camerareadycosmetics.com/products/european-body-art-pro-seal-spray")</f>
        <v/>
      </c>
      <c r="C883" t="inlineStr">
        <is>
          <t>Pro Seal Spray 4 oz</t>
        </is>
      </c>
      <c r="D883" t="inlineStr">
        <is>
          <t>Gorilla Waterproof Patch &amp; Seal Spray, White, 14 Ounces, (Pack of 1)</t>
        </is>
      </c>
      <c r="E883" s="2">
        <f>HYPERLINK("https://www.amazon.com/Gorilla-Waterproof-Patch-White-Ounces/dp/B08K9B5Y72/ref=sr_1_3?keywords=Pro+Seal+Spray+4+oz&amp;qid=1695565534&amp;sr=8-3", "https://www.amazon.com/Gorilla-Waterproof-Patch-White-Ounces/dp/B08K9B5Y72/ref=sr_1_3?keywords=Pro+Seal+Spray+4+oz&amp;qid=1695565534&amp;sr=8-3")</f>
        <v/>
      </c>
      <c r="F883" t="inlineStr">
        <is>
          <t>B08K9B5Y72</t>
        </is>
      </c>
      <c r="G883">
        <f>_xlfn.IMAGE("https://camerareadycosmetics.com/cdn/shop/files/ProSEALSpray_50x.jpg?v=1687199815")</f>
        <v/>
      </c>
      <c r="H883">
        <f>_xlfn.IMAGE("https://m.media-amazon.com/images/I/81UXPqLg5YL._AC_UL320_.jpg")</f>
        <v/>
      </c>
      <c r="K883" t="inlineStr">
        <is>
          <t>29.0</t>
        </is>
      </c>
      <c r="L883" t="n">
        <v>14.94</v>
      </c>
      <c r="M883" s="1" t="inlineStr">
        <is>
          <t>-48.48%</t>
        </is>
      </c>
      <c r="N883" t="n">
        <v>4.3</v>
      </c>
      <c r="O883" t="n">
        <v>2169</v>
      </c>
      <c r="Q883" t="inlineStr">
        <is>
          <t>InStock</t>
        </is>
      </c>
      <c r="R883" t="inlineStr">
        <is>
          <t>undefined</t>
        </is>
      </c>
      <c r="S883" t="inlineStr">
        <is>
          <t>10809290698</t>
        </is>
      </c>
    </row>
    <row r="884" ht="75" customHeight="1">
      <c r="A884" s="2">
        <f>HYPERLINK("https://camerareadycosmetics.com/products/european-body-art-pro-seal-spray", "https://camerareadycosmetics.com/products/european-body-art-pro-seal-spray")</f>
        <v/>
      </c>
      <c r="B884" s="2">
        <f>HYPERLINK("https://camerareadycosmetics.com/products/european-body-art-pro-seal-spray", "https://camerareadycosmetics.com/products/european-body-art-pro-seal-spray")</f>
        <v/>
      </c>
      <c r="C884" t="inlineStr">
        <is>
          <t>Pro Seal Spray 4 oz</t>
        </is>
      </c>
      <c r="D884" t="inlineStr">
        <is>
          <t>Gorilla Waterproof Patch &amp; Seal Spray, Clear, 14 Ounces, (Pack of 1)</t>
        </is>
      </c>
      <c r="E884" s="2">
        <f>HYPERLINK("https://www.amazon.com/Gorilla-Waterproof-Patch-Clear-Ounces/dp/B08QSKYTBB/ref=sr_1_1?keywords=Pro+Seal+Spray+4+oz&amp;qid=1695565534&amp;sr=8-1", "https://www.amazon.com/Gorilla-Waterproof-Patch-Clear-Ounces/dp/B08QSKYTBB/ref=sr_1_1?keywords=Pro+Seal+Spray+4+oz&amp;qid=1695565534&amp;sr=8-1")</f>
        <v/>
      </c>
      <c r="F884" t="inlineStr">
        <is>
          <t>B08QSKYTBB</t>
        </is>
      </c>
      <c r="G884">
        <f>_xlfn.IMAGE("https://camerareadycosmetics.com/cdn/shop/files/ProSEALSpray_50x.jpg?v=1687199815")</f>
        <v/>
      </c>
      <c r="H884">
        <f>_xlfn.IMAGE("https://m.media-amazon.com/images/I/71mY88oMehL._AC_UL320_.jpg")</f>
        <v/>
      </c>
      <c r="K884" t="inlineStr">
        <is>
          <t>29.0</t>
        </is>
      </c>
      <c r="L884" t="n">
        <v>14.94</v>
      </c>
      <c r="M884" s="1" t="inlineStr">
        <is>
          <t>-48.48%</t>
        </is>
      </c>
      <c r="N884" t="n">
        <v>4.2</v>
      </c>
      <c r="O884" t="n">
        <v>3517</v>
      </c>
      <c r="Q884" t="inlineStr">
        <is>
          <t>InStock</t>
        </is>
      </c>
      <c r="R884" t="inlineStr">
        <is>
          <t>undefined</t>
        </is>
      </c>
      <c r="S884" t="inlineStr">
        <is>
          <t>10809290698</t>
        </is>
      </c>
    </row>
    <row r="885" ht="75" customHeight="1">
      <c r="A885" s="2">
        <f>HYPERLINK("https://camerareadycosmetics.com/products/european-body-art-pro-seal-spray", "https://camerareadycosmetics.com/products/european-body-art-pro-seal-spray")</f>
        <v/>
      </c>
      <c r="B885" s="2">
        <f>HYPERLINK("https://camerareadycosmetics.com/products/european-body-art-pro-seal-spray", "https://camerareadycosmetics.com/products/european-body-art-pro-seal-spray")</f>
        <v/>
      </c>
      <c r="C885" t="inlineStr">
        <is>
          <t>Pro Seal Spray 4 oz</t>
        </is>
      </c>
      <c r="D885" t="inlineStr">
        <is>
          <t>4oz US+ 100% Pure Mineral Oil Spray - Food-Grade - Cutting Board Oil - Restores &amp; Protects Cutting Boards, Butcher Blocks, Countertops, Steel Surfaces &amp; More (4oz Spray)</t>
        </is>
      </c>
      <c r="E885" s="2">
        <f>HYPERLINK("https://www.amazon.com/US-100-Pure-Mineral-Spray/dp/B09B8VN1J9/ref=sr_1_8?keywords=Pro+Seal+Spray+4+oz&amp;qid=1695565534&amp;sr=8-8", "https://www.amazon.com/US-100-Pure-Mineral-Spray/dp/B09B8VN1J9/ref=sr_1_8?keywords=Pro+Seal+Spray+4+oz&amp;qid=1695565534&amp;sr=8-8")</f>
        <v/>
      </c>
      <c r="F885" t="inlineStr">
        <is>
          <t>B09B8VN1J9</t>
        </is>
      </c>
      <c r="G885">
        <f>_xlfn.IMAGE("https://camerareadycosmetics.com/cdn/shop/files/ProSEALSpray_50x.jpg?v=1687199815")</f>
        <v/>
      </c>
      <c r="H885">
        <f>_xlfn.IMAGE("https://m.media-amazon.com/images/I/61tHVp2naHL._AC_UL320_.jpg")</f>
        <v/>
      </c>
      <c r="K885" t="inlineStr">
        <is>
          <t>29.0</t>
        </is>
      </c>
      <c r="L885" t="n">
        <v>6.99</v>
      </c>
      <c r="M885" s="1" t="inlineStr">
        <is>
          <t>-75.90%</t>
        </is>
      </c>
      <c r="N885" t="n">
        <v>4.6</v>
      </c>
      <c r="O885" t="n">
        <v>391</v>
      </c>
      <c r="Q885" t="inlineStr">
        <is>
          <t>InStock</t>
        </is>
      </c>
      <c r="R885" t="inlineStr">
        <is>
          <t>undefined</t>
        </is>
      </c>
      <c r="S885" t="inlineStr">
        <is>
          <t>10809290698</t>
        </is>
      </c>
    </row>
    <row r="886" ht="75" customHeight="1">
      <c r="A886" s="2">
        <f>HYPERLINK("https://camerareadycosmetics.com/products/face-atelier-camouflage-duet", "https://camerareadycosmetics.com/products/face-atelier-camouflage-duet")</f>
        <v/>
      </c>
      <c r="B886" s="2">
        <f>HYPERLINK("https://camerareadycosmetics.com/products/face-atelier-camouflage-duet", "https://camerareadycosmetics.com/products/face-atelier-camouflage-duet")</f>
        <v/>
      </c>
      <c r="C886" t="inlineStr">
        <is>
          <t>Camouflage Duet</t>
        </is>
      </c>
      <c r="D886" t="inlineStr">
        <is>
          <t>FACE atelier Ultra Camouflage Duet - Medium</t>
        </is>
      </c>
      <c r="E886" s="2">
        <f>HYPERLINK("https://www.amazon.com/FACE-atelier-Ultra-Camouflage-Duet/dp/B0086UL4Y2/ref=sr_1_1?keywords=Camouflage+Duet&amp;qid=1695565590&amp;sr=8-1", "https://www.amazon.com/FACE-atelier-Ultra-Camouflage-Duet/dp/B0086UL4Y2/ref=sr_1_1?keywords=Camouflage+Duet&amp;qid=1695565590&amp;sr=8-1")</f>
        <v/>
      </c>
      <c r="F886" t="inlineStr">
        <is>
          <t>B0086UL4Y2</t>
        </is>
      </c>
      <c r="G886">
        <f>_xlfn.IMAGE("https://camerareadycosmetics.com/cdn/shop/products/6774_zoom_1397579903_50x.jpg?v=1689623463")</f>
        <v/>
      </c>
      <c r="H886">
        <f>_xlfn.IMAGE("https://m.media-amazon.com/images/I/511ok9lpOSL._AC_UL320_.jpg")</f>
        <v/>
      </c>
      <c r="K886" t="inlineStr">
        <is>
          <t>35.0</t>
        </is>
      </c>
      <c r="L886" t="n">
        <v>35</v>
      </c>
      <c r="M886" s="1" t="inlineStr">
        <is>
          <t>0.00%</t>
        </is>
      </c>
      <c r="N886" t="n">
        <v>4</v>
      </c>
      <c r="O886" t="n">
        <v>12</v>
      </c>
      <c r="Q886" t="inlineStr">
        <is>
          <t>InStock</t>
        </is>
      </c>
      <c r="R886" t="inlineStr">
        <is>
          <t>undefined</t>
        </is>
      </c>
      <c r="S886" t="inlineStr">
        <is>
          <t>7034146567</t>
        </is>
      </c>
    </row>
    <row r="887" ht="75" customHeight="1">
      <c r="A887" s="2">
        <f>HYPERLINK("https://camerareadycosmetics.com/products/face-atelier-face-finish", "https://camerareadycosmetics.com/products/face-atelier-face-finish")</f>
        <v/>
      </c>
      <c r="B887" s="2">
        <f>HYPERLINK("https://camerareadycosmetics.com/products/face-atelier-face-finish", "https://camerareadycosmetics.com/products/face-atelier-face-finish")</f>
        <v/>
      </c>
      <c r="C887" t="inlineStr">
        <is>
          <t>Face Finish Setting Spray</t>
        </is>
      </c>
      <c r="D887" t="inlineStr">
        <is>
          <t>UCANBE Makeup Setting Spray - Matte Finishing Spray Long Lasting Face Mist, Oil Control Lightweight Hydrate Make Up Spray, 6.7 Fl Oz Large Size</t>
        </is>
      </c>
      <c r="E887" s="2">
        <f>HYPERLINK("https://www.amazon.com/UCANBE-Makeup-Setting-Spray-Lightweight/dp/B09QGJRZKF/ref=sr_1_5?keywords=Face+Finish+Setting+Spray&amp;qid=1695565704&amp;sr=8-5", "https://www.amazon.com/UCANBE-Makeup-Setting-Spray-Lightweight/dp/B09QGJRZKF/ref=sr_1_5?keywords=Face+Finish+Setting+Spray&amp;qid=1695565704&amp;sr=8-5")</f>
        <v/>
      </c>
      <c r="F887" t="inlineStr">
        <is>
          <t>B09QGJRZKF</t>
        </is>
      </c>
      <c r="G887">
        <f>_xlfn.IMAGE("https://camerareadycosmetics.com/cdn/shop/products/123008000__68153.1432251980.600.600_50x.jpeg?v=1585506354")</f>
        <v/>
      </c>
      <c r="H887">
        <f>_xlfn.IMAGE("https://m.media-amazon.com/images/I/614FGpCr-sL._AC_UL320_.jpg")</f>
        <v/>
      </c>
      <c r="K887" t="inlineStr">
        <is>
          <t>40.0</t>
        </is>
      </c>
      <c r="L887" t="n">
        <v>14.99</v>
      </c>
      <c r="M887" s="1" t="inlineStr">
        <is>
          <t>-62.52%</t>
        </is>
      </c>
      <c r="N887" t="n">
        <v>4.3</v>
      </c>
      <c r="O887" t="n">
        <v>1632</v>
      </c>
      <c r="Q887" t="inlineStr">
        <is>
          <t>InStock</t>
        </is>
      </c>
      <c r="R887" t="inlineStr">
        <is>
          <t>undefined</t>
        </is>
      </c>
      <c r="S887" t="inlineStr">
        <is>
          <t>7035888455</t>
        </is>
      </c>
    </row>
    <row r="888" ht="75" customHeight="1">
      <c r="A888" s="2">
        <f>HYPERLINK("https://camerareadycosmetics.com/products/face-atelier-face-finish", "https://camerareadycosmetics.com/products/face-atelier-face-finish")</f>
        <v/>
      </c>
      <c r="B888" s="2">
        <f>HYPERLINK("https://camerareadycosmetics.com/products/face-atelier-face-finish", "https://camerareadycosmetics.com/products/face-atelier-face-finish")</f>
        <v/>
      </c>
      <c r="C888" t="inlineStr">
        <is>
          <t>Face Finish Setting Spray</t>
        </is>
      </c>
      <c r="D888" t="inlineStr">
        <is>
          <t>Urban Decay All Nighter Long-Lasting Makeup Setting Spray - Award-Winning Makeup Finishing Spray - Lasts Up To 16 Hours - Oil-Free, Natural Finish - Non-Drying Formula for All Skin Type</t>
        </is>
      </c>
      <c r="E888" s="2">
        <f>HYPERLINK("https://www.amazon.com/Nighter-Long-Lasting-Makeup-Setting-Spray/dp/B07Z8CYZQH/ref=sr_1_7?keywords=Face+Finish+Setting+Spray&amp;qid=1695565704&amp;sr=8-7", "https://www.amazon.com/Nighter-Long-Lasting-Makeup-Setting-Spray/dp/B07Z8CYZQH/ref=sr_1_7?keywords=Face+Finish+Setting+Spray&amp;qid=1695565704&amp;sr=8-7")</f>
        <v/>
      </c>
      <c r="F888" t="inlineStr">
        <is>
          <t>B07Z8CYZQH</t>
        </is>
      </c>
      <c r="G888">
        <f>_xlfn.IMAGE("https://camerareadycosmetics.com/cdn/shop/products/123008000__68153.1432251980.600.600_50x.jpeg?v=1585506354")</f>
        <v/>
      </c>
      <c r="H888">
        <f>_xlfn.IMAGE("https://m.media-amazon.com/images/I/51TIhhtT+aL._AC_UL320_.jpg")</f>
        <v/>
      </c>
      <c r="K888" t="inlineStr">
        <is>
          <t>40.0</t>
        </is>
      </c>
      <c r="L888" t="n">
        <v>13.6</v>
      </c>
      <c r="M888" s="1" t="inlineStr">
        <is>
          <t>-66.00%</t>
        </is>
      </c>
      <c r="N888" t="n">
        <v>4.7</v>
      </c>
      <c r="O888" t="n">
        <v>11811</v>
      </c>
      <c r="Q888" t="inlineStr">
        <is>
          <t>InStock</t>
        </is>
      </c>
      <c r="R888" t="inlineStr">
        <is>
          <t>undefined</t>
        </is>
      </c>
      <c r="S888" t="inlineStr">
        <is>
          <t>7035888455</t>
        </is>
      </c>
    </row>
    <row r="889" ht="75" customHeight="1">
      <c r="A889" s="2">
        <f>HYPERLINK("https://camerareadycosmetics.com/products/face-atelier-face-finish", "https://camerareadycosmetics.com/products/face-atelier-face-finish")</f>
        <v/>
      </c>
      <c r="B889" s="2">
        <f>HYPERLINK("https://camerareadycosmetics.com/products/face-atelier-face-finish", "https://camerareadycosmetics.com/products/face-atelier-face-finish")</f>
        <v/>
      </c>
      <c r="C889" t="inlineStr">
        <is>
          <t>Face Finish Setting Spray</t>
        </is>
      </c>
      <c r="D889" t="inlineStr">
        <is>
          <t>Neutrogena Healthy Skin Radiant Makeup Setting Spray, Long-Lasting, Formulated with Antioxidants &amp; Peptides Weightless Face Setting Mist for Healthy Looking, Glowing Skin, 3.4 fl. oz</t>
        </is>
      </c>
      <c r="E889" s="2">
        <f>HYPERLINK("https://www.amazon.com/Neutrogena-Long-Lasting-Formulated-Antioxidants-Weightless/dp/B0814RK9SF/ref=sr_1_3?keywords=Face+Finish+Setting+Spray&amp;qid=1695565704&amp;sr=8-3", "https://www.amazon.com/Neutrogena-Long-Lasting-Formulated-Antioxidants-Weightless/dp/B0814RK9SF/ref=sr_1_3?keywords=Face+Finish+Setting+Spray&amp;qid=1695565704&amp;sr=8-3")</f>
        <v/>
      </c>
      <c r="F889" t="inlineStr">
        <is>
          <t>B0814RK9SF</t>
        </is>
      </c>
      <c r="G889">
        <f>_xlfn.IMAGE("https://camerareadycosmetics.com/cdn/shop/products/123008000__68153.1432251980.600.600_50x.jpeg?v=1585506354")</f>
        <v/>
      </c>
      <c r="H889">
        <f>_xlfn.IMAGE("https://m.media-amazon.com/images/I/61yk0TlYXEL._AC_UL320_.jpg")</f>
        <v/>
      </c>
      <c r="K889" t="inlineStr">
        <is>
          <t>40.0</t>
        </is>
      </c>
      <c r="L889" t="n">
        <v>12.97</v>
      </c>
      <c r="M889" s="1" t="inlineStr">
        <is>
          <t>-67.58%</t>
        </is>
      </c>
      <c r="N889" t="n">
        <v>4.4</v>
      </c>
      <c r="O889" t="n">
        <v>2335</v>
      </c>
      <c r="Q889" t="inlineStr">
        <is>
          <t>InStock</t>
        </is>
      </c>
      <c r="R889" t="inlineStr">
        <is>
          <t>undefined</t>
        </is>
      </c>
      <c r="S889" t="inlineStr">
        <is>
          <t>7035888455</t>
        </is>
      </c>
    </row>
    <row r="890" ht="75" customHeight="1">
      <c r="A890" s="2">
        <f>HYPERLINK("https://camerareadycosmetics.com/products/face-atelier-face-finish", "https://camerareadycosmetics.com/products/face-atelier-face-finish")</f>
        <v/>
      </c>
      <c r="B890" s="2">
        <f>HYPERLINK("https://camerareadycosmetics.com/products/face-atelier-face-finish", "https://camerareadycosmetics.com/products/face-atelier-face-finish")</f>
        <v/>
      </c>
      <c r="C890" t="inlineStr">
        <is>
          <t>Face Finish Setting Spray</t>
        </is>
      </c>
      <c r="D890" t="inlineStr">
        <is>
          <t>Elizabeth Mott Thank Me Later Face Makeup Setting Spray for Oily Skin-Weightless, Hydrating, Matte Finishing Spray-Cruelty Free Long-Lasting Power Grip Formula for All Day Wear,Glowy Face &amp; Skin, 95ml</t>
        </is>
      </c>
      <c r="E890" s="2">
        <f>HYPERLINK("https://www.amazon.com/Elizabeth-Mott-Cruelty-Free-Weightless-Long-lasting/dp/B07Z9RCQRK/ref=sr_1_9?keywords=Face+Finish+Setting+Spray&amp;qid=1695565704&amp;sr=8-9", "https://www.amazon.com/Elizabeth-Mott-Cruelty-Free-Weightless-Long-lasting/dp/B07Z9RCQRK/ref=sr_1_9?keywords=Face+Finish+Setting+Spray&amp;qid=1695565704&amp;sr=8-9")</f>
        <v/>
      </c>
      <c r="F890" t="inlineStr">
        <is>
          <t>B07Z9RCQRK</t>
        </is>
      </c>
      <c r="G890">
        <f>_xlfn.IMAGE("https://camerareadycosmetics.com/cdn/shop/products/123008000__68153.1432251980.600.600_50x.jpeg?v=1585506354")</f>
        <v/>
      </c>
      <c r="H890">
        <f>_xlfn.IMAGE("https://m.media-amazon.com/images/I/31dLksdrhpL._AC_UL320_.jpg")</f>
        <v/>
      </c>
      <c r="K890" t="inlineStr">
        <is>
          <t>40.0</t>
        </is>
      </c>
      <c r="L890" t="n">
        <v>12.79</v>
      </c>
      <c r="M890" s="1" t="inlineStr">
        <is>
          <t>-68.03%</t>
        </is>
      </c>
      <c r="N890" t="n">
        <v>4.3</v>
      </c>
      <c r="O890" t="n">
        <v>2316</v>
      </c>
      <c r="Q890" t="inlineStr">
        <is>
          <t>InStock</t>
        </is>
      </c>
      <c r="R890" t="inlineStr">
        <is>
          <t>undefined</t>
        </is>
      </c>
      <c r="S890" t="inlineStr">
        <is>
          <t>7035888455</t>
        </is>
      </c>
    </row>
    <row r="891" ht="75" customHeight="1">
      <c r="A891" s="2">
        <f>HYPERLINK("https://camerareadycosmetics.com/products/face-atelier-face-finish", "https://camerareadycosmetics.com/products/face-atelier-face-finish")</f>
        <v/>
      </c>
      <c r="B891" s="2">
        <f>HYPERLINK("https://camerareadycosmetics.com/products/face-atelier-face-finish", "https://camerareadycosmetics.com/products/face-atelier-face-finish")</f>
        <v/>
      </c>
      <c r="C891" t="inlineStr">
        <is>
          <t>Face Finish Setting Spray</t>
        </is>
      </c>
      <c r="D891" t="inlineStr">
        <is>
          <t>Maybelline New York Facestudio Lasting Fix Makeup Setting Spray, Matte Finish, 3.4 fl. oz.</t>
        </is>
      </c>
      <c r="E891" s="2">
        <f>HYPERLINK("https://www.amazon.com/Maybelline-New-York-Facestudio-Lasting/dp/B07PGQDBWG/ref=sr_1_2?keywords=Face+Finish+Setting+Spray&amp;qid=1695565704&amp;sr=8-2", "https://www.amazon.com/Maybelline-New-York-Facestudio-Lasting/dp/B07PGQDBWG/ref=sr_1_2?keywords=Face+Finish+Setting+Spray&amp;qid=1695565704&amp;sr=8-2")</f>
        <v/>
      </c>
      <c r="F891" t="inlineStr">
        <is>
          <t>B07PGQDBWG</t>
        </is>
      </c>
      <c r="G891">
        <f>_xlfn.IMAGE("https://camerareadycosmetics.com/cdn/shop/products/123008000__68153.1432251980.600.600_50x.jpeg?v=1585506354")</f>
        <v/>
      </c>
      <c r="H891">
        <f>_xlfn.IMAGE("https://m.media-amazon.com/images/I/71ZrDrXdybL._AC_UL320_.jpg")</f>
        <v/>
      </c>
      <c r="K891" t="inlineStr">
        <is>
          <t>40.0</t>
        </is>
      </c>
      <c r="L891" t="n">
        <v>7.94</v>
      </c>
      <c r="M891" s="1" t="inlineStr">
        <is>
          <t>-80.15%</t>
        </is>
      </c>
      <c r="N891" t="n">
        <v>4.4</v>
      </c>
      <c r="O891" t="n">
        <v>10604</v>
      </c>
      <c r="Q891" t="inlineStr">
        <is>
          <t>InStock</t>
        </is>
      </c>
      <c r="R891" t="inlineStr">
        <is>
          <t>undefined</t>
        </is>
      </c>
      <c r="S891" t="inlineStr">
        <is>
          <t>7035888455</t>
        </is>
      </c>
    </row>
    <row r="892" ht="75" customHeight="1">
      <c r="A892" s="2">
        <f>HYPERLINK("https://camerareadycosmetics.com/products/face-atelier-face-finish", "https://camerareadycosmetics.com/products/face-atelier-face-finish")</f>
        <v/>
      </c>
      <c r="B892" s="2">
        <f>HYPERLINK("https://camerareadycosmetics.com/products/face-atelier-face-finish", "https://camerareadycosmetics.com/products/face-atelier-face-finish")</f>
        <v/>
      </c>
      <c r="C892" t="inlineStr">
        <is>
          <t>Face Finish Setting Spray</t>
        </is>
      </c>
      <c r="D892" t="inlineStr">
        <is>
          <t>NYX PROFESSIONAL MAKEUP Makeup Setting Spray, Matte Finish, 2.03 Fl Oz (Pack of 1)</t>
        </is>
      </c>
      <c r="E892" s="2">
        <f>HYPERLINK("https://www.amazon.com/NYX-Professional-Makeup-Setting-Lasting/dp/B00B4YVU4G/ref=sr_1_1?keywords=Face+Finish+Setting+Spray&amp;qid=1695565704&amp;sr=8-1", "https://www.amazon.com/NYX-Professional-Makeup-Setting-Lasting/dp/B00B4YVU4G/ref=sr_1_1?keywords=Face+Finish+Setting+Spray&amp;qid=1695565704&amp;sr=8-1")</f>
        <v/>
      </c>
      <c r="F892" t="inlineStr">
        <is>
          <t>B00B4YVU4G</t>
        </is>
      </c>
      <c r="G892">
        <f>_xlfn.IMAGE("https://camerareadycosmetics.com/cdn/shop/products/123008000__68153.1432251980.600.600_50x.jpeg?v=1585506354")</f>
        <v/>
      </c>
      <c r="H892">
        <f>_xlfn.IMAGE("https://m.media-amazon.com/images/I/71UFdYoCJ3L._AC_UL320_.jpg")</f>
        <v/>
      </c>
      <c r="K892" t="inlineStr">
        <is>
          <t>40.0</t>
        </is>
      </c>
      <c r="L892" t="n">
        <v>7.84</v>
      </c>
      <c r="M892" s="1" t="inlineStr">
        <is>
          <t>-80.40%</t>
        </is>
      </c>
      <c r="N892" t="n">
        <v>4.5</v>
      </c>
      <c r="O892" t="n">
        <v>101187</v>
      </c>
      <c r="Q892" t="inlineStr">
        <is>
          <t>InStock</t>
        </is>
      </c>
      <c r="R892" t="inlineStr">
        <is>
          <t>undefined</t>
        </is>
      </c>
      <c r="S892" t="inlineStr">
        <is>
          <t>7035888455</t>
        </is>
      </c>
    </row>
    <row r="893" ht="75" customHeight="1">
      <c r="A893" s="2">
        <f>HYPERLINK("https://camerareadycosmetics.com/products/face-atelier-face-finish", "https://camerareadycosmetics.com/products/face-atelier-face-finish")</f>
        <v/>
      </c>
      <c r="B893" s="2">
        <f>HYPERLINK("https://camerareadycosmetics.com/products/face-atelier-face-finish", "https://camerareadycosmetics.com/products/face-atelier-face-finish")</f>
        <v/>
      </c>
      <c r="C893" t="inlineStr">
        <is>
          <t>Face Finish Setting Spray</t>
        </is>
      </c>
      <c r="D893" t="inlineStr">
        <is>
          <t>Ruby Kisses Setting Spray - Ultra-fine mist, Sets makeup, Long-Lasting Formula for a Flawless Finish (Matte)</t>
        </is>
      </c>
      <c r="E893" s="2">
        <f>HYPERLINK("https://www.amazon.com/Ruby-Kisses-Setting-Spray-Long-Lasting/dp/B0C1562M3T/ref=sr_1_8?keywords=Face+Finish+Setting+Spray&amp;qid=1695565704&amp;sr=8-8", "https://www.amazon.com/Ruby-Kisses-Setting-Spray-Long-Lasting/dp/B0C1562M3T/ref=sr_1_8?keywords=Face+Finish+Setting+Spray&amp;qid=1695565704&amp;sr=8-8")</f>
        <v/>
      </c>
      <c r="F893" t="inlineStr">
        <is>
          <t>B0C1562M3T</t>
        </is>
      </c>
      <c r="G893">
        <f>_xlfn.IMAGE("https://camerareadycosmetics.com/cdn/shop/products/123008000__68153.1432251980.600.600_50x.jpeg?v=1585506354")</f>
        <v/>
      </c>
      <c r="H893">
        <f>_xlfn.IMAGE("https://m.media-amazon.com/images/I/610o6EOKseL._AC_UL320_.jpg")</f>
        <v/>
      </c>
      <c r="K893" t="inlineStr">
        <is>
          <t>40.0</t>
        </is>
      </c>
      <c r="L893" t="n">
        <v>6.99</v>
      </c>
      <c r="M893" s="1" t="inlineStr">
        <is>
          <t>-82.52%</t>
        </is>
      </c>
      <c r="N893" t="n">
        <v>4.3</v>
      </c>
      <c r="O893" t="n">
        <v>36</v>
      </c>
      <c r="Q893" t="inlineStr">
        <is>
          <t>InStock</t>
        </is>
      </c>
      <c r="R893" t="inlineStr">
        <is>
          <t>undefined</t>
        </is>
      </c>
      <c r="S893" t="inlineStr">
        <is>
          <t>7035888455</t>
        </is>
      </c>
    </row>
    <row r="894" ht="75" customHeight="1">
      <c r="A894" s="2">
        <f>HYPERLINK("https://camerareadycosmetics.com/products/face-atelier-face-finish", "https://camerareadycosmetics.com/products/face-atelier-face-finish")</f>
        <v/>
      </c>
      <c r="B894" s="2">
        <f>HYPERLINK("https://camerareadycosmetics.com/products/face-atelier-face-finish", "https://camerareadycosmetics.com/products/face-atelier-face-finish")</f>
        <v/>
      </c>
      <c r="C894" t="inlineStr">
        <is>
          <t>Face Finish Setting Spray</t>
        </is>
      </c>
      <c r="D894" t="inlineStr">
        <is>
          <t>Wet n Wild Photo Focus Matte Finish Setting Spray for Makeup, Long Lasting Vegan, Cruelty Free Makeup Primer and Spray 1.52 Fl Oz</t>
        </is>
      </c>
      <c r="E894" s="2">
        <f>HYPERLINK("https://www.amazon.com/wet-wild-Finish-Setting-Appeal/dp/B077TVRT43/ref=sr_1_4?keywords=Face+Finish+Setting+Spray&amp;qid=1695565704&amp;rdc=1&amp;sr=8-4", "https://www.amazon.com/wet-wild-Finish-Setting-Appeal/dp/B077TVRT43/ref=sr_1_4?keywords=Face+Finish+Setting+Spray&amp;qid=1695565704&amp;rdc=1&amp;sr=8-4")</f>
        <v/>
      </c>
      <c r="F894" t="inlineStr">
        <is>
          <t>B077TVRT43</t>
        </is>
      </c>
      <c r="G894">
        <f>_xlfn.IMAGE("https://camerareadycosmetics.com/cdn/shop/products/123008000__68153.1432251980.600.600_50x.jpeg?v=1585506354")</f>
        <v/>
      </c>
      <c r="H894">
        <f>_xlfn.IMAGE("https://m.media-amazon.com/images/I/61tKikoveGL._AC_UL320_.jpg")</f>
        <v/>
      </c>
      <c r="K894" t="inlineStr">
        <is>
          <t>40.0</t>
        </is>
      </c>
      <c r="L894" t="n">
        <v>4.89</v>
      </c>
      <c r="M894" s="1" t="inlineStr">
        <is>
          <t>-87.78%</t>
        </is>
      </c>
      <c r="N894" t="n">
        <v>4.3</v>
      </c>
      <c r="O894" t="n">
        <v>4786</v>
      </c>
      <c r="Q894" t="inlineStr">
        <is>
          <t>InStock</t>
        </is>
      </c>
      <c r="R894" t="inlineStr">
        <is>
          <t>undefined</t>
        </is>
      </c>
      <c r="S894" t="inlineStr">
        <is>
          <t>7035888455</t>
        </is>
      </c>
    </row>
    <row r="895" ht="75" customHeight="1">
      <c r="A895" s="2">
        <f>HYPERLINK("https://camerareadycosmetics.com/products/face-atelier-face-finish", "https://camerareadycosmetics.com/products/face-atelier-face-finish")</f>
        <v/>
      </c>
      <c r="B895" s="2">
        <f>HYPERLINK("https://camerareadycosmetics.com/products/face-atelier-face-finish", "https://camerareadycosmetics.com/products/face-atelier-face-finish")</f>
        <v/>
      </c>
      <c r="C895" t="inlineStr">
        <is>
          <t>Face Finish Setting Spray</t>
        </is>
      </c>
      <c r="D895" t="inlineStr">
        <is>
          <t>UCANBE Makeup Setting Spray - Matte Finishing Spray Long Lasting Face Mist, Oil Control Lightweight Hydrate Make Up Spray, 6.7 Fl Oz Large Size</t>
        </is>
      </c>
      <c r="E895" s="2">
        <f>HYPERLINK("https://www.amazon.com/UCANBE-Makeup-Setting-Spray-Lightweight/dp/B09QGJRZKF/ref=sr_1_5?keywords=Face+Finish+Setting+Spray&amp;qid=1695565704&amp;sr=8-5", "https://www.amazon.com/UCANBE-Makeup-Setting-Spray-Lightweight/dp/B09QGJRZKF/ref=sr_1_5?keywords=Face+Finish+Setting+Spray&amp;qid=1695565704&amp;sr=8-5")</f>
        <v/>
      </c>
      <c r="F895" t="inlineStr">
        <is>
          <t>B09QGJRZKF</t>
        </is>
      </c>
      <c r="G895">
        <f>_xlfn.IMAGE("https://camerareadycosmetics.com/cdn/shop/products/123008000__68153.1432251980.600.600_50x.jpeg?v=1585506354")</f>
        <v/>
      </c>
      <c r="H895">
        <f>_xlfn.IMAGE("https://m.media-amazon.com/images/I/614FGpCr-sL._AC_UL320_.jpg")</f>
        <v/>
      </c>
      <c r="K895" t="inlineStr">
        <is>
          <t>40.0</t>
        </is>
      </c>
      <c r="L895" t="n">
        <v>14.99</v>
      </c>
      <c r="M895" s="1" t="inlineStr">
        <is>
          <t>-62.52%</t>
        </is>
      </c>
      <c r="N895" t="n">
        <v>4.3</v>
      </c>
      <c r="O895" t="n">
        <v>1632</v>
      </c>
      <c r="Q895" t="inlineStr">
        <is>
          <t>InStock</t>
        </is>
      </c>
      <c r="R895" t="inlineStr">
        <is>
          <t>undefined</t>
        </is>
      </c>
      <c r="S895" t="inlineStr">
        <is>
          <t>7035888455</t>
        </is>
      </c>
    </row>
    <row r="896" ht="75" customHeight="1">
      <c r="A896" s="2">
        <f>HYPERLINK("https://camerareadycosmetics.com/products/face-atelier-face-finish", "https://camerareadycosmetics.com/products/face-atelier-face-finish")</f>
        <v/>
      </c>
      <c r="B896" s="2">
        <f>HYPERLINK("https://camerareadycosmetics.com/products/face-atelier-face-finish", "https://camerareadycosmetics.com/products/face-atelier-face-finish")</f>
        <v/>
      </c>
      <c r="C896" t="inlineStr">
        <is>
          <t>Face Finish Setting Spray</t>
        </is>
      </c>
      <c r="D896" t="inlineStr">
        <is>
          <t>Urban Decay All Nighter Long-Lasting Makeup Setting Spray - Award-Winning Makeup Finishing Spray - Lasts Up To 16 Hours - Oil-Free, Natural Finish - Non-Drying Formula for All Skin Type</t>
        </is>
      </c>
      <c r="E896" s="2">
        <f>HYPERLINK("https://www.amazon.com/Nighter-Long-Lasting-Makeup-Setting-Spray/dp/B07Z8CYZQH/ref=sr_1_7?keywords=Face+Finish+Setting+Spray&amp;qid=1695565704&amp;sr=8-7", "https://www.amazon.com/Nighter-Long-Lasting-Makeup-Setting-Spray/dp/B07Z8CYZQH/ref=sr_1_7?keywords=Face+Finish+Setting+Spray&amp;qid=1695565704&amp;sr=8-7")</f>
        <v/>
      </c>
      <c r="F896" t="inlineStr">
        <is>
          <t>B07Z8CYZQH</t>
        </is>
      </c>
      <c r="G896">
        <f>_xlfn.IMAGE("https://camerareadycosmetics.com/cdn/shop/products/123008000__68153.1432251980.600.600_50x.jpeg?v=1585506354")</f>
        <v/>
      </c>
      <c r="H896">
        <f>_xlfn.IMAGE("https://m.media-amazon.com/images/I/51TIhhtT+aL._AC_UL320_.jpg")</f>
        <v/>
      </c>
      <c r="K896" t="inlineStr">
        <is>
          <t>40.0</t>
        </is>
      </c>
      <c r="L896" t="n">
        <v>13.6</v>
      </c>
      <c r="M896" s="1" t="inlineStr">
        <is>
          <t>-66.00%</t>
        </is>
      </c>
      <c r="N896" t="n">
        <v>4.7</v>
      </c>
      <c r="O896" t="n">
        <v>11811</v>
      </c>
      <c r="Q896" t="inlineStr">
        <is>
          <t>InStock</t>
        </is>
      </c>
      <c r="R896" t="inlineStr">
        <is>
          <t>undefined</t>
        </is>
      </c>
      <c r="S896" t="inlineStr">
        <is>
          <t>7035888455</t>
        </is>
      </c>
    </row>
    <row r="897" ht="75" customHeight="1">
      <c r="A897" s="2">
        <f>HYPERLINK("https://camerareadycosmetics.com/products/face-atelier-face-finish", "https://camerareadycosmetics.com/products/face-atelier-face-finish")</f>
        <v/>
      </c>
      <c r="B897" s="2">
        <f>HYPERLINK("https://camerareadycosmetics.com/products/face-atelier-face-finish", "https://camerareadycosmetics.com/products/face-atelier-face-finish")</f>
        <v/>
      </c>
      <c r="C897" t="inlineStr">
        <is>
          <t>Face Finish Setting Spray</t>
        </is>
      </c>
      <c r="D897" t="inlineStr">
        <is>
          <t>Neutrogena Healthy Skin Radiant Makeup Setting Spray, Long-Lasting, Formulated with Antioxidants &amp; Peptides Weightless Face Setting Mist for Healthy Looking, Glowing Skin, 3.4 fl. oz</t>
        </is>
      </c>
      <c r="E897" s="2">
        <f>HYPERLINK("https://www.amazon.com/Neutrogena-Long-Lasting-Formulated-Antioxidants-Weightless/dp/B0814RK9SF/ref=sr_1_3?keywords=Face+Finish+Setting+Spray&amp;qid=1695565704&amp;sr=8-3", "https://www.amazon.com/Neutrogena-Long-Lasting-Formulated-Antioxidants-Weightless/dp/B0814RK9SF/ref=sr_1_3?keywords=Face+Finish+Setting+Spray&amp;qid=1695565704&amp;sr=8-3")</f>
        <v/>
      </c>
      <c r="F897" t="inlineStr">
        <is>
          <t>B0814RK9SF</t>
        </is>
      </c>
      <c r="G897">
        <f>_xlfn.IMAGE("https://camerareadycosmetics.com/cdn/shop/products/123008000__68153.1432251980.600.600_50x.jpeg?v=1585506354")</f>
        <v/>
      </c>
      <c r="H897">
        <f>_xlfn.IMAGE("https://m.media-amazon.com/images/I/61yk0TlYXEL._AC_UL320_.jpg")</f>
        <v/>
      </c>
      <c r="K897" t="inlineStr">
        <is>
          <t>40.0</t>
        </is>
      </c>
      <c r="L897" t="n">
        <v>12.97</v>
      </c>
      <c r="M897" s="1" t="inlineStr">
        <is>
          <t>-67.58%</t>
        </is>
      </c>
      <c r="N897" t="n">
        <v>4.4</v>
      </c>
      <c r="O897" t="n">
        <v>2335</v>
      </c>
      <c r="Q897" t="inlineStr">
        <is>
          <t>InStock</t>
        </is>
      </c>
      <c r="R897" t="inlineStr">
        <is>
          <t>undefined</t>
        </is>
      </c>
      <c r="S897" t="inlineStr">
        <is>
          <t>7035888455</t>
        </is>
      </c>
    </row>
    <row r="898" ht="75" customHeight="1">
      <c r="A898" s="2">
        <f>HYPERLINK("https://camerareadycosmetics.com/products/face-atelier-face-finish", "https://camerareadycosmetics.com/products/face-atelier-face-finish")</f>
        <v/>
      </c>
      <c r="B898" s="2">
        <f>HYPERLINK("https://camerareadycosmetics.com/products/face-atelier-face-finish", "https://camerareadycosmetics.com/products/face-atelier-face-finish")</f>
        <v/>
      </c>
      <c r="C898" t="inlineStr">
        <is>
          <t>Face Finish Setting Spray</t>
        </is>
      </c>
      <c r="D898" t="inlineStr">
        <is>
          <t>Elizabeth Mott Thank Me Later Face Makeup Setting Spray for Oily Skin-Weightless, Hydrating, Matte Finishing Spray-Cruelty Free Long-Lasting Power Grip Formula for All Day Wear,Glowy Face &amp; Skin, 95ml</t>
        </is>
      </c>
      <c r="E898" s="2">
        <f>HYPERLINK("https://www.amazon.com/Elizabeth-Mott-Cruelty-Free-Weightless-Long-lasting/dp/B07Z9RCQRK/ref=sr_1_9?keywords=Face+Finish+Setting+Spray&amp;qid=1695565704&amp;sr=8-9", "https://www.amazon.com/Elizabeth-Mott-Cruelty-Free-Weightless-Long-lasting/dp/B07Z9RCQRK/ref=sr_1_9?keywords=Face+Finish+Setting+Spray&amp;qid=1695565704&amp;sr=8-9")</f>
        <v/>
      </c>
      <c r="F898" t="inlineStr">
        <is>
          <t>B07Z9RCQRK</t>
        </is>
      </c>
      <c r="G898">
        <f>_xlfn.IMAGE("https://camerareadycosmetics.com/cdn/shop/products/123008000__68153.1432251980.600.600_50x.jpeg?v=1585506354")</f>
        <v/>
      </c>
      <c r="H898">
        <f>_xlfn.IMAGE("https://m.media-amazon.com/images/I/31dLksdrhpL._AC_UL320_.jpg")</f>
        <v/>
      </c>
      <c r="K898" t="inlineStr">
        <is>
          <t>40.0</t>
        </is>
      </c>
      <c r="L898" t="n">
        <v>12.79</v>
      </c>
      <c r="M898" s="1" t="inlineStr">
        <is>
          <t>-68.03%</t>
        </is>
      </c>
      <c r="N898" t="n">
        <v>4.3</v>
      </c>
      <c r="O898" t="n">
        <v>2316</v>
      </c>
      <c r="Q898" t="inlineStr">
        <is>
          <t>InStock</t>
        </is>
      </c>
      <c r="R898" t="inlineStr">
        <is>
          <t>undefined</t>
        </is>
      </c>
      <c r="S898" t="inlineStr">
        <is>
          <t>7035888455</t>
        </is>
      </c>
    </row>
    <row r="899" ht="75" customHeight="1">
      <c r="A899" s="2">
        <f>HYPERLINK("https://camerareadycosmetics.com/products/face-atelier-face-finish", "https://camerareadycosmetics.com/products/face-atelier-face-finish")</f>
        <v/>
      </c>
      <c r="B899" s="2">
        <f>HYPERLINK("https://camerareadycosmetics.com/products/face-atelier-face-finish", "https://camerareadycosmetics.com/products/face-atelier-face-finish")</f>
        <v/>
      </c>
      <c r="C899" t="inlineStr">
        <is>
          <t>Face Finish Setting Spray</t>
        </is>
      </c>
      <c r="D899" t="inlineStr">
        <is>
          <t>Maybelline New York Facestudio Lasting Fix Makeup Setting Spray, Matte Finish, 3.4 fl. oz.</t>
        </is>
      </c>
      <c r="E899" s="2">
        <f>HYPERLINK("https://www.amazon.com/Maybelline-New-York-Facestudio-Lasting/dp/B07PGQDBWG/ref=sr_1_2?keywords=Face+Finish+Setting+Spray&amp;qid=1695565704&amp;sr=8-2", "https://www.amazon.com/Maybelline-New-York-Facestudio-Lasting/dp/B07PGQDBWG/ref=sr_1_2?keywords=Face+Finish+Setting+Spray&amp;qid=1695565704&amp;sr=8-2")</f>
        <v/>
      </c>
      <c r="F899" t="inlineStr">
        <is>
          <t>B07PGQDBWG</t>
        </is>
      </c>
      <c r="G899">
        <f>_xlfn.IMAGE("https://camerareadycosmetics.com/cdn/shop/products/123008000__68153.1432251980.600.600_50x.jpeg?v=1585506354")</f>
        <v/>
      </c>
      <c r="H899">
        <f>_xlfn.IMAGE("https://m.media-amazon.com/images/I/71ZrDrXdybL._AC_UL320_.jpg")</f>
        <v/>
      </c>
      <c r="K899" t="inlineStr">
        <is>
          <t>40.0</t>
        </is>
      </c>
      <c r="L899" t="n">
        <v>7.94</v>
      </c>
      <c r="M899" s="1" t="inlineStr">
        <is>
          <t>-80.15%</t>
        </is>
      </c>
      <c r="N899" t="n">
        <v>4.4</v>
      </c>
      <c r="O899" t="n">
        <v>10604</v>
      </c>
      <c r="Q899" t="inlineStr">
        <is>
          <t>InStock</t>
        </is>
      </c>
      <c r="R899" t="inlineStr">
        <is>
          <t>undefined</t>
        </is>
      </c>
      <c r="S899" t="inlineStr">
        <is>
          <t>7035888455</t>
        </is>
      </c>
    </row>
    <row r="900" ht="75" customHeight="1">
      <c r="A900" s="2">
        <f>HYPERLINK("https://camerareadycosmetics.com/products/face-atelier-face-finish", "https://camerareadycosmetics.com/products/face-atelier-face-finish")</f>
        <v/>
      </c>
      <c r="B900" s="2">
        <f>HYPERLINK("https://camerareadycosmetics.com/products/face-atelier-face-finish", "https://camerareadycosmetics.com/products/face-atelier-face-finish")</f>
        <v/>
      </c>
      <c r="C900" t="inlineStr">
        <is>
          <t>Face Finish Setting Spray</t>
        </is>
      </c>
      <c r="D900" t="inlineStr">
        <is>
          <t>NYX PROFESSIONAL MAKEUP Makeup Setting Spray, Matte Finish, 2.03 Fl Oz (Pack of 1)</t>
        </is>
      </c>
      <c r="E900" s="2">
        <f>HYPERLINK("https://www.amazon.com/NYX-Professional-Makeup-Setting-Lasting/dp/B00B4YVU4G/ref=sr_1_1?keywords=Face+Finish+Setting+Spray&amp;qid=1695565704&amp;sr=8-1", "https://www.amazon.com/NYX-Professional-Makeup-Setting-Lasting/dp/B00B4YVU4G/ref=sr_1_1?keywords=Face+Finish+Setting+Spray&amp;qid=1695565704&amp;sr=8-1")</f>
        <v/>
      </c>
      <c r="F900" t="inlineStr">
        <is>
          <t>B00B4YVU4G</t>
        </is>
      </c>
      <c r="G900">
        <f>_xlfn.IMAGE("https://camerareadycosmetics.com/cdn/shop/products/123008000__68153.1432251980.600.600_50x.jpeg?v=1585506354")</f>
        <v/>
      </c>
      <c r="H900">
        <f>_xlfn.IMAGE("https://m.media-amazon.com/images/I/71UFdYoCJ3L._AC_UL320_.jpg")</f>
        <v/>
      </c>
      <c r="K900" t="inlineStr">
        <is>
          <t>40.0</t>
        </is>
      </c>
      <c r="L900" t="n">
        <v>7.84</v>
      </c>
      <c r="M900" s="1" t="inlineStr">
        <is>
          <t>-80.40%</t>
        </is>
      </c>
      <c r="N900" t="n">
        <v>4.5</v>
      </c>
      <c r="O900" t="n">
        <v>101187</v>
      </c>
      <c r="Q900" t="inlineStr">
        <is>
          <t>InStock</t>
        </is>
      </c>
      <c r="R900" t="inlineStr">
        <is>
          <t>undefined</t>
        </is>
      </c>
      <c r="S900" t="inlineStr">
        <is>
          <t>7035888455</t>
        </is>
      </c>
    </row>
    <row r="901" ht="75" customHeight="1">
      <c r="A901" s="2">
        <f>HYPERLINK("https://camerareadycosmetics.com/products/face-atelier-face-finish", "https://camerareadycosmetics.com/products/face-atelier-face-finish")</f>
        <v/>
      </c>
      <c r="B901" s="2">
        <f>HYPERLINK("https://camerareadycosmetics.com/products/face-atelier-face-finish", "https://camerareadycosmetics.com/products/face-atelier-face-finish")</f>
        <v/>
      </c>
      <c r="C901" t="inlineStr">
        <is>
          <t>Face Finish Setting Spray</t>
        </is>
      </c>
      <c r="D901" t="inlineStr">
        <is>
          <t>Ruby Kisses Setting Spray - Ultra-fine mist, Sets makeup, Long-Lasting Formula for a Flawless Finish (Matte)</t>
        </is>
      </c>
      <c r="E901" s="2">
        <f>HYPERLINK("https://www.amazon.com/Ruby-Kisses-Setting-Spray-Long-Lasting/dp/B0C1562M3T/ref=sr_1_8?keywords=Face+Finish+Setting+Spray&amp;qid=1695565704&amp;sr=8-8", "https://www.amazon.com/Ruby-Kisses-Setting-Spray-Long-Lasting/dp/B0C1562M3T/ref=sr_1_8?keywords=Face+Finish+Setting+Spray&amp;qid=1695565704&amp;sr=8-8")</f>
        <v/>
      </c>
      <c r="F901" t="inlineStr">
        <is>
          <t>B0C1562M3T</t>
        </is>
      </c>
      <c r="G901">
        <f>_xlfn.IMAGE("https://camerareadycosmetics.com/cdn/shop/products/123008000__68153.1432251980.600.600_50x.jpeg?v=1585506354")</f>
        <v/>
      </c>
      <c r="H901">
        <f>_xlfn.IMAGE("https://m.media-amazon.com/images/I/610o6EOKseL._AC_UL320_.jpg")</f>
        <v/>
      </c>
      <c r="K901" t="inlineStr">
        <is>
          <t>40.0</t>
        </is>
      </c>
      <c r="L901" t="n">
        <v>6.99</v>
      </c>
      <c r="M901" s="1" t="inlineStr">
        <is>
          <t>-82.52%</t>
        </is>
      </c>
      <c r="N901" t="n">
        <v>4.3</v>
      </c>
      <c r="O901" t="n">
        <v>36</v>
      </c>
      <c r="Q901" t="inlineStr">
        <is>
          <t>InStock</t>
        </is>
      </c>
      <c r="R901" t="inlineStr">
        <is>
          <t>undefined</t>
        </is>
      </c>
      <c r="S901" t="inlineStr">
        <is>
          <t>7035888455</t>
        </is>
      </c>
    </row>
    <row r="902" ht="75" customHeight="1">
      <c r="A902" s="2">
        <f>HYPERLINK("https://camerareadycosmetics.com/products/face-atelier-face-finish", "https://camerareadycosmetics.com/products/face-atelier-face-finish")</f>
        <v/>
      </c>
      <c r="B902" s="2">
        <f>HYPERLINK("https://camerareadycosmetics.com/products/face-atelier-face-finish", "https://camerareadycosmetics.com/products/face-atelier-face-finish")</f>
        <v/>
      </c>
      <c r="C902" t="inlineStr">
        <is>
          <t>Face Finish Setting Spray</t>
        </is>
      </c>
      <c r="D902" t="inlineStr">
        <is>
          <t>Wet n Wild Photo Focus Matte Finish Setting Spray for Makeup, Long Lasting Vegan, Cruelty Free Makeup Primer and Spray 1.52 Fl Oz</t>
        </is>
      </c>
      <c r="E902" s="2">
        <f>HYPERLINK("https://www.amazon.com/wet-wild-Finish-Setting-Appeal/dp/B077TVRT43/ref=sr_1_4?keywords=Face+Finish+Setting+Spray&amp;qid=1695565704&amp;rdc=1&amp;sr=8-4", "https://www.amazon.com/wet-wild-Finish-Setting-Appeal/dp/B077TVRT43/ref=sr_1_4?keywords=Face+Finish+Setting+Spray&amp;qid=1695565704&amp;rdc=1&amp;sr=8-4")</f>
        <v/>
      </c>
      <c r="F902" t="inlineStr">
        <is>
          <t>B077TVRT43</t>
        </is>
      </c>
      <c r="G902">
        <f>_xlfn.IMAGE("https://camerareadycosmetics.com/cdn/shop/products/123008000__68153.1432251980.600.600_50x.jpeg?v=1585506354")</f>
        <v/>
      </c>
      <c r="H902">
        <f>_xlfn.IMAGE("https://m.media-amazon.com/images/I/61tKikoveGL._AC_UL320_.jpg")</f>
        <v/>
      </c>
      <c r="K902" t="inlineStr">
        <is>
          <t>40.0</t>
        </is>
      </c>
      <c r="L902" t="n">
        <v>4.89</v>
      </c>
      <c r="M902" s="1" t="inlineStr">
        <is>
          <t>-87.78%</t>
        </is>
      </c>
      <c r="N902" t="n">
        <v>4.3</v>
      </c>
      <c r="O902" t="n">
        <v>4786</v>
      </c>
      <c r="Q902" t="inlineStr">
        <is>
          <t>InStock</t>
        </is>
      </c>
      <c r="R902" t="inlineStr">
        <is>
          <t>undefined</t>
        </is>
      </c>
      <c r="S902" t="inlineStr">
        <is>
          <t>7035888455</t>
        </is>
      </c>
    </row>
    <row r="903" ht="75" customHeight="1">
      <c r="A903" s="2">
        <f>HYPERLINK("https://camerareadycosmetics.com/products/face-atelier-lip-glaze-petite", "https://camerareadycosmetics.com/products/face-atelier-lip-glaze-petite")</f>
        <v/>
      </c>
      <c r="B903" s="2">
        <f>HYPERLINK("https://camerareadycosmetics.com/products/face-atelier-lip-glaze-petite", "https://camerareadycosmetics.com/products/face-atelier-lip-glaze-petite")</f>
        <v/>
      </c>
      <c r="C903" t="inlineStr">
        <is>
          <t>Lip Glaze Petite (Clear)</t>
        </is>
      </c>
      <c r="D903" t="inlineStr">
        <is>
          <t>Lip Glaze Petite - Clear</t>
        </is>
      </c>
      <c r="E903" s="2">
        <f>HYPERLINK("https://www.amazon.com/FACE-atelier-Lip-Glaze-Petite/dp/B084ZY6NDP/ref=sr_1_1?keywords=Lip+Glaze+Petite+%28Clear%29&amp;qid=1695565798&amp;sr=8-1", "https://www.amazon.com/FACE-atelier-Lip-Glaze-Petite/dp/B084ZY6NDP/ref=sr_1_1?keywords=Lip+Glaze+Petite+%28Clear%29&amp;qid=1695565798&amp;sr=8-1")</f>
        <v/>
      </c>
      <c r="F903" t="inlineStr">
        <is>
          <t>B084ZY6NDP</t>
        </is>
      </c>
      <c r="G903">
        <f>_xlfn.IMAGE("https://camerareadycosmetics.com/cdn/shop/products/Face-Atelier-Lip-Glaze-Petite-_Clear_50x.jpg?v=1602937771")</f>
        <v/>
      </c>
      <c r="H903">
        <f>_xlfn.IMAGE("https://m.media-amazon.com/images/I/21lKNazoOFL._AC_UL320_.jpg")</f>
        <v/>
      </c>
      <c r="K903" t="inlineStr">
        <is>
          <t>20.0</t>
        </is>
      </c>
      <c r="L903" t="n">
        <v>20</v>
      </c>
      <c r="M903" s="1" t="inlineStr">
        <is>
          <t>0.00%</t>
        </is>
      </c>
      <c r="N903" t="n">
        <v>5</v>
      </c>
      <c r="O903" t="n">
        <v>1</v>
      </c>
      <c r="Q903" t="inlineStr">
        <is>
          <t>InStock</t>
        </is>
      </c>
      <c r="R903" t="inlineStr">
        <is>
          <t>undefined</t>
        </is>
      </c>
      <c r="S903" t="inlineStr">
        <is>
          <t>4575728271471</t>
        </is>
      </c>
    </row>
    <row r="904" ht="75" customHeight="1">
      <c r="A904" s="2">
        <f>HYPERLINK("https://camerareadycosmetics.com/products/face-atelier-lip-glaze-petite", "https://camerareadycosmetics.com/products/face-atelier-lip-glaze-petite")</f>
        <v/>
      </c>
      <c r="B904" s="2">
        <f>HYPERLINK("https://camerareadycosmetics.com/products/face-atelier-lip-glaze-petite", "https://camerareadycosmetics.com/products/face-atelier-lip-glaze-petite")</f>
        <v/>
      </c>
      <c r="C904" t="inlineStr">
        <is>
          <t>Lip Glaze Petite (Clear)</t>
        </is>
      </c>
      <c r="D904" t="inlineStr">
        <is>
          <t>Moonstone Lip Gloss – Organic and Natural Ingredients to Moisturize Lips – Gluten-Free, Paraben-Free, Vegan (Glaze Clear)</t>
        </is>
      </c>
      <c r="E904" s="2">
        <f>HYPERLINK("https://www.amazon.com/Skinerals-Moonstone-Ingredients-Moisturize-Effective/dp/B01MQTOI8L/ref=sr_1_5?keywords=Lip+Glaze+Petite+%28Clear%29&amp;qid=1695565798&amp;sr=8-5", "https://www.amazon.com/Skinerals-Moonstone-Ingredients-Moisturize-Effective/dp/B01MQTOI8L/ref=sr_1_5?keywords=Lip+Glaze+Petite+%28Clear%29&amp;qid=1695565798&amp;sr=8-5")</f>
        <v/>
      </c>
      <c r="F904" t="inlineStr">
        <is>
          <t>B01MQTOI8L</t>
        </is>
      </c>
      <c r="G904">
        <f>_xlfn.IMAGE("https://camerareadycosmetics.com/cdn/shop/products/Face-Atelier-Lip-Glaze-Petite-_Clear_50x.jpg?v=1602937771")</f>
        <v/>
      </c>
      <c r="H904">
        <f>_xlfn.IMAGE("https://m.media-amazon.com/images/I/31pSTmntqUL._AC_UL320_.jpg")</f>
        <v/>
      </c>
      <c r="K904" t="inlineStr">
        <is>
          <t>20.0</t>
        </is>
      </c>
      <c r="L904" t="n">
        <v>14.99</v>
      </c>
      <c r="M904" s="1" t="inlineStr">
        <is>
          <t>-25.05%</t>
        </is>
      </c>
      <c r="N904" t="n">
        <v>4.4</v>
      </c>
      <c r="O904" t="n">
        <v>84</v>
      </c>
      <c r="Q904" t="inlineStr">
        <is>
          <t>InStock</t>
        </is>
      </c>
      <c r="R904" t="inlineStr">
        <is>
          <t>undefined</t>
        </is>
      </c>
      <c r="S904" t="inlineStr">
        <is>
          <t>4575728271471</t>
        </is>
      </c>
    </row>
    <row r="905" ht="75" customHeight="1">
      <c r="A905" s="2">
        <f>HYPERLINK("https://camerareadycosmetics.com/products/face-atelier-lip-glaze-petite", "https://camerareadycosmetics.com/products/face-atelier-lip-glaze-petite")</f>
        <v/>
      </c>
      <c r="B905" s="2">
        <f>HYPERLINK("https://camerareadycosmetics.com/products/face-atelier-lip-glaze-petite", "https://camerareadycosmetics.com/products/face-atelier-lip-glaze-petite")</f>
        <v/>
      </c>
      <c r="C905" t="inlineStr">
        <is>
          <t>Lip Glaze Petite (Clear)</t>
        </is>
      </c>
      <c r="D905" t="inlineStr">
        <is>
          <t>evpct 6Pcs Mini Clear Color Change Changing PH Tinted Lip Gloss Sets for Women Girls 10-12 Lip Oil Gloss Balm Tint Stain Glaze Pack Hydrating Moisturizer Lipstick Magic labiales magicos 0.071fl.oz *6</t>
        </is>
      </c>
      <c r="E905" s="2">
        <f>HYPERLINK("https://www.amazon.com/evpct-Changing-Hydrating-Moisturizer-0-071fl-oz/dp/B0BM7Y7ZMK/ref=sr_1_3?keywords=Lip+Glaze+Petite+%28Clear%29&amp;qid=1695565798&amp;sr=8-3", "https://www.amazon.com/evpct-Changing-Hydrating-Moisturizer-0-071fl-oz/dp/B0BM7Y7ZMK/ref=sr_1_3?keywords=Lip+Glaze+Petite+%28Clear%29&amp;qid=1695565798&amp;sr=8-3")</f>
        <v/>
      </c>
      <c r="F905" t="inlineStr">
        <is>
          <t>B0BM7Y7ZMK</t>
        </is>
      </c>
      <c r="G905">
        <f>_xlfn.IMAGE("https://camerareadycosmetics.com/cdn/shop/products/Face-Atelier-Lip-Glaze-Petite-_Clear_50x.jpg?v=1602937771")</f>
        <v/>
      </c>
      <c r="H905">
        <f>_xlfn.IMAGE("https://m.media-amazon.com/images/I/61WWai9cuaL._AC_UL320_.jpg")</f>
        <v/>
      </c>
      <c r="K905" t="inlineStr">
        <is>
          <t>20.0</t>
        </is>
      </c>
      <c r="L905" t="n">
        <v>8.99</v>
      </c>
      <c r="M905" s="1" t="inlineStr">
        <is>
          <t>-55.05%</t>
        </is>
      </c>
      <c r="N905" t="n">
        <v>4.1</v>
      </c>
      <c r="O905" t="n">
        <v>111</v>
      </c>
      <c r="Q905" t="inlineStr">
        <is>
          <t>InStock</t>
        </is>
      </c>
      <c r="R905" t="inlineStr">
        <is>
          <t>undefined</t>
        </is>
      </c>
      <c r="S905" t="inlineStr">
        <is>
          <t>4575728271471</t>
        </is>
      </c>
    </row>
    <row r="906" ht="75" customHeight="1">
      <c r="A906" s="2">
        <f>HYPERLINK("https://camerareadycosmetics.com/products/face-atelier-lip-glaze-petite", "https://camerareadycosmetics.com/products/face-atelier-lip-glaze-petite")</f>
        <v/>
      </c>
      <c r="B906" s="2">
        <f>HYPERLINK("https://camerareadycosmetics.com/products/face-atelier-lip-glaze-petite", "https://camerareadycosmetics.com/products/face-atelier-lip-glaze-petite")</f>
        <v/>
      </c>
      <c r="C906" t="inlineStr">
        <is>
          <t>Lip Glaze Petite (Clear)</t>
        </is>
      </c>
      <c r="D906" t="inlineStr">
        <is>
          <t>NYX PROFESSIONAL MAKEUP Filler Instinct Plumping Lip Polish, Lip Plumper Gloss - Let's Glaze (Clear)</t>
        </is>
      </c>
      <c r="E906" s="2">
        <f>HYPERLINK("https://www.amazon.com/NYX-PROFESSIONAL-MAKEUP-Instinct-Plumping/dp/B07SGSXF7T/ref=sr_1_8?keywords=Lip+Glaze+Petite+%28Clear%29&amp;qid=1695565798&amp;sr=8-8", "https://www.amazon.com/NYX-PROFESSIONAL-MAKEUP-Instinct-Plumping/dp/B07SGSXF7T/ref=sr_1_8?keywords=Lip+Glaze+Petite+%28Clear%29&amp;qid=1695565798&amp;sr=8-8")</f>
        <v/>
      </c>
      <c r="F906" t="inlineStr">
        <is>
          <t>B07SGSXF7T</t>
        </is>
      </c>
      <c r="G906">
        <f>_xlfn.IMAGE("https://camerareadycosmetics.com/cdn/shop/products/Face-Atelier-Lip-Glaze-Petite-_Clear_50x.jpg?v=1602937771")</f>
        <v/>
      </c>
      <c r="H906">
        <f>_xlfn.IMAGE("https://m.media-amazon.com/images/I/61OYifCVDfS._AC_UL320_.jpg")</f>
        <v/>
      </c>
      <c r="K906" t="inlineStr">
        <is>
          <t>20.0</t>
        </is>
      </c>
      <c r="L906" t="n">
        <v>5.98</v>
      </c>
      <c r="M906" s="1" t="inlineStr">
        <is>
          <t>-70.10%</t>
        </is>
      </c>
      <c r="N906" t="n">
        <v>4</v>
      </c>
      <c r="O906" t="n">
        <v>14334</v>
      </c>
      <c r="Q906" t="inlineStr">
        <is>
          <t>InStock</t>
        </is>
      </c>
      <c r="R906" t="inlineStr">
        <is>
          <t>undefined</t>
        </is>
      </c>
      <c r="S906" t="inlineStr">
        <is>
          <t>4575728271471</t>
        </is>
      </c>
    </row>
    <row r="907" ht="75" customHeight="1">
      <c r="A907" s="2">
        <f>HYPERLINK("https://camerareadycosmetics.com/products/face-atelier-lip-glaze-petite", "https://camerareadycosmetics.com/products/face-atelier-lip-glaze-petite")</f>
        <v/>
      </c>
      <c r="B907" s="2">
        <f>HYPERLINK("https://camerareadycosmetics.com/products/face-atelier-lip-glaze-petite", "https://camerareadycosmetics.com/products/face-atelier-lip-glaze-petite")</f>
        <v/>
      </c>
      <c r="C907" t="inlineStr">
        <is>
          <t>Lip Glaze Petite (Clear)</t>
        </is>
      </c>
      <c r="D907" t="inlineStr">
        <is>
          <t>evpct 6Pcs Mini Clear Color Change Changing PH Tinted Lip Gloss Sets for Women Girls 10-12 Lip Oil Gloss Balm Tint Stain Glaze Pack Hydrating Moisturizer Lipstick Magic labiales magicos 0.071fl.oz *6</t>
        </is>
      </c>
      <c r="E907" s="2">
        <f>HYPERLINK("https://www.amazon.com/evpct-Changing-Hydrating-Moisturizer-0-071fl-oz/dp/B0BM7Y7ZMK/ref=sr_1_3?keywords=Lip+Glaze+Petite+%28Clear%29&amp;qid=1695565798&amp;sr=8-3", "https://www.amazon.com/evpct-Changing-Hydrating-Moisturizer-0-071fl-oz/dp/B0BM7Y7ZMK/ref=sr_1_3?keywords=Lip+Glaze+Petite+%28Clear%29&amp;qid=1695565798&amp;sr=8-3")</f>
        <v/>
      </c>
      <c r="F907" t="inlineStr">
        <is>
          <t>B0BM7Y7ZMK</t>
        </is>
      </c>
      <c r="G907">
        <f>_xlfn.IMAGE("https://camerareadycosmetics.com/cdn/shop/products/Face-Atelier-Lip-Glaze-Petite-_Clear_50x.jpg?v=1602937771")</f>
        <v/>
      </c>
      <c r="H907">
        <f>_xlfn.IMAGE("https://m.media-amazon.com/images/I/61WWai9cuaL._AC_UL320_.jpg")</f>
        <v/>
      </c>
      <c r="K907" t="inlineStr">
        <is>
          <t>20.0</t>
        </is>
      </c>
      <c r="L907" t="n">
        <v>8.99</v>
      </c>
      <c r="M907" s="1" t="inlineStr">
        <is>
          <t>-55.05%</t>
        </is>
      </c>
      <c r="N907" t="n">
        <v>4.1</v>
      </c>
      <c r="O907" t="n">
        <v>111</v>
      </c>
      <c r="Q907" t="inlineStr">
        <is>
          <t>InStock</t>
        </is>
      </c>
      <c r="R907" t="inlineStr">
        <is>
          <t>undefined</t>
        </is>
      </c>
      <c r="S907" t="inlineStr">
        <is>
          <t>4575728271471</t>
        </is>
      </c>
    </row>
    <row r="908" ht="75" customHeight="1">
      <c r="A908" s="2">
        <f>HYPERLINK("https://camerareadycosmetics.com/products/face-atelier-lip-glaze-petite", "https://camerareadycosmetics.com/products/face-atelier-lip-glaze-petite")</f>
        <v/>
      </c>
      <c r="B908" s="2">
        <f>HYPERLINK("https://camerareadycosmetics.com/products/face-atelier-lip-glaze-petite", "https://camerareadycosmetics.com/products/face-atelier-lip-glaze-petite")</f>
        <v/>
      </c>
      <c r="C908" t="inlineStr">
        <is>
          <t>Lip Glaze Petite (Clear)</t>
        </is>
      </c>
      <c r="D908" t="inlineStr">
        <is>
          <t>NYX PROFESSIONAL MAKEUP Filler Instinct Plumping Lip Polish, Lip Plumper Gloss - Let's Glaze (Clear)</t>
        </is>
      </c>
      <c r="E908" s="2">
        <f>HYPERLINK("https://www.amazon.com/NYX-PROFESSIONAL-MAKEUP-Instinct-Plumping/dp/B07SGSXF7T/ref=sr_1_8?keywords=Lip+Glaze+Petite+%28Clear%29&amp;qid=1695565798&amp;sr=8-8", "https://www.amazon.com/NYX-PROFESSIONAL-MAKEUP-Instinct-Plumping/dp/B07SGSXF7T/ref=sr_1_8?keywords=Lip+Glaze+Petite+%28Clear%29&amp;qid=1695565798&amp;sr=8-8")</f>
        <v/>
      </c>
      <c r="F908" t="inlineStr">
        <is>
          <t>B07SGSXF7T</t>
        </is>
      </c>
      <c r="G908">
        <f>_xlfn.IMAGE("https://camerareadycosmetics.com/cdn/shop/products/Face-Atelier-Lip-Glaze-Petite-_Clear_50x.jpg?v=1602937771")</f>
        <v/>
      </c>
      <c r="H908">
        <f>_xlfn.IMAGE("https://m.media-amazon.com/images/I/61OYifCVDfS._AC_UL320_.jpg")</f>
        <v/>
      </c>
      <c r="K908" t="inlineStr">
        <is>
          <t>20.0</t>
        </is>
      </c>
      <c r="L908" t="n">
        <v>5.98</v>
      </c>
      <c r="M908" s="1" t="inlineStr">
        <is>
          <t>-70.10%</t>
        </is>
      </c>
      <c r="N908" t="n">
        <v>4</v>
      </c>
      <c r="O908" t="n">
        <v>14334</v>
      </c>
      <c r="Q908" t="inlineStr">
        <is>
          <t>InStock</t>
        </is>
      </c>
      <c r="R908" t="inlineStr">
        <is>
          <t>undefined</t>
        </is>
      </c>
      <c r="S908" t="inlineStr">
        <is>
          <t>4575728271471</t>
        </is>
      </c>
    </row>
    <row r="909" ht="75" customHeight="1">
      <c r="A909" s="2">
        <f>HYPERLINK("https://camerareadycosmetics.com/products/face-atelier-lip-lock", "https://camerareadycosmetics.com/products/face-atelier-lip-lock")</f>
        <v/>
      </c>
      <c r="B909" s="2">
        <f>HYPERLINK("https://camerareadycosmetics.com/products/face-atelier-lip-lock", "https://camerareadycosmetics.com/products/face-atelier-lip-lock")</f>
        <v/>
      </c>
      <c r="C909" t="inlineStr">
        <is>
          <t>Lip Lock</t>
        </is>
      </c>
      <c r="D909" t="inlineStr">
        <is>
          <t>CURT 23086 Trailer Lock Set for 2-Inch Receiver, Up to 2-1/2-Inch Coupler Latch Span, 1-7/8 or 2-In Lip</t>
        </is>
      </c>
      <c r="E909" s="2">
        <f>HYPERLINK("https://www.amazon.com/Curt-Manufacturing-23086-Hitch-Coupler/dp/B01MXY85E4/ref=sr_1_7?keywords=Lip+Lock&amp;qid=1695565553&amp;sr=8-7", "https://www.amazon.com/Curt-Manufacturing-23086-Hitch-Coupler/dp/B01MXY85E4/ref=sr_1_7?keywords=Lip+Lock&amp;qid=1695565553&amp;sr=8-7")</f>
        <v/>
      </c>
      <c r="F909" t="inlineStr">
        <is>
          <t>B01MXY85E4</t>
        </is>
      </c>
      <c r="G909">
        <f>_xlfn.IMAGE("https://camerareadycosmetics.com/cdn/shop/products/face-atelier-lip-lock-lip-makeup-sealer_50x.jpg?v=1585506482")</f>
        <v/>
      </c>
      <c r="H909">
        <f>_xlfn.IMAGE("https://m.media-amazon.com/images/I/61LjeGmO8JL._AC_UL320_.jpg")</f>
        <v/>
      </c>
      <c r="K909" t="inlineStr">
        <is>
          <t>24.0</t>
        </is>
      </c>
      <c r="L909" t="n">
        <v>65.26000000000001</v>
      </c>
      <c r="M909" s="1" t="inlineStr">
        <is>
          <t>171.92%</t>
        </is>
      </c>
      <c r="N909" t="n">
        <v>5</v>
      </c>
      <c r="O909" t="n">
        <v>11</v>
      </c>
      <c r="Q909" t="inlineStr">
        <is>
          <t>InStock</t>
        </is>
      </c>
      <c r="R909" t="inlineStr">
        <is>
          <t>24.0</t>
        </is>
      </c>
      <c r="S909" t="inlineStr">
        <is>
          <t>4404360609903</t>
        </is>
      </c>
    </row>
    <row r="910" ht="75" customHeight="1">
      <c r="A910" s="2">
        <f>HYPERLINK("https://camerareadycosmetics.com/products/face-atelier-lip-lock", "https://camerareadycosmetics.com/products/face-atelier-lip-lock")</f>
        <v/>
      </c>
      <c r="B910" s="2">
        <f>HYPERLINK("https://camerareadycosmetics.com/products/face-atelier-lip-lock", "https://camerareadycosmetics.com/products/face-atelier-lip-lock")</f>
        <v/>
      </c>
      <c r="C910" t="inlineStr">
        <is>
          <t>Lip Lock</t>
        </is>
      </c>
      <c r="D910" t="inlineStr">
        <is>
          <t>Kevyn Aucoin Glass Glow Lip, Spectrum Bronze: Multi-purpose lip gloss highlighter. 3D reflective glaze, comfortable wearing, non-sticky. Moisturize, protect, lock in shine. Makeup artist go to.</t>
        </is>
      </c>
      <c r="E910" s="2">
        <f>HYPERLINK("https://www.amazon.com/Kevyn-Aucoin-Glass-Glow-Gloss/dp/B07R1V6RPH/ref=sr_1_10?keywords=Lip+Lock&amp;qid=1695565553&amp;sr=8-10", "https://www.amazon.com/Kevyn-Aucoin-Glass-Glow-Gloss/dp/B07R1V6RPH/ref=sr_1_10?keywords=Lip+Lock&amp;qid=1695565553&amp;sr=8-10")</f>
        <v/>
      </c>
      <c r="F910" t="inlineStr">
        <is>
          <t>B07R1V6RPH</t>
        </is>
      </c>
      <c r="G910">
        <f>_xlfn.IMAGE("https://camerareadycosmetics.com/cdn/shop/products/face-atelier-lip-lock-lip-makeup-sealer_50x.jpg?v=1585506482")</f>
        <v/>
      </c>
      <c r="H910">
        <f>_xlfn.IMAGE("https://m.media-amazon.com/images/I/61e4vhaMTOL._AC_UL320_.jpg")</f>
        <v/>
      </c>
      <c r="K910" t="inlineStr">
        <is>
          <t>24.0</t>
        </is>
      </c>
      <c r="L910" t="n">
        <v>28.95</v>
      </c>
      <c r="M910" s="1" t="inlineStr">
        <is>
          <t>20.62%</t>
        </is>
      </c>
      <c r="N910" t="n">
        <v>4.2</v>
      </c>
      <c r="O910" t="n">
        <v>23</v>
      </c>
      <c r="Q910" t="inlineStr">
        <is>
          <t>InStock</t>
        </is>
      </c>
      <c r="R910" t="inlineStr">
        <is>
          <t>24.0</t>
        </is>
      </c>
      <c r="S910" t="inlineStr">
        <is>
          <t>4404360609903</t>
        </is>
      </c>
    </row>
    <row r="911" ht="75" customHeight="1">
      <c r="A911" s="2">
        <f>HYPERLINK("https://camerareadycosmetics.com/products/face-atelier-lip-lock", "https://camerareadycosmetics.com/products/face-atelier-lip-lock")</f>
        <v/>
      </c>
      <c r="B911" s="2">
        <f>HYPERLINK("https://camerareadycosmetics.com/products/face-atelier-lip-lock", "https://camerareadycosmetics.com/products/face-atelier-lip-lock")</f>
        <v/>
      </c>
      <c r="C911" t="inlineStr">
        <is>
          <t>Lip Lock</t>
        </is>
      </c>
      <c r="D911" t="inlineStr">
        <is>
          <t>Clear Waterproof Lip Lock Topcoat</t>
        </is>
      </c>
      <c r="E911" s="2">
        <f>HYPERLINK("https://www.amazon.com/Pixie-Cosmetics-Clear-Waterproof-Topcoat/dp/B07BKMRKNY/ref=sr_1_4?keywords=Lip+Lock&amp;qid=1695565553&amp;sr=8-4", "https://www.amazon.com/Pixie-Cosmetics-Clear-Waterproof-Topcoat/dp/B07BKMRKNY/ref=sr_1_4?keywords=Lip+Lock&amp;qid=1695565553&amp;sr=8-4")</f>
        <v/>
      </c>
      <c r="F911" t="inlineStr">
        <is>
          <t>B07BKMRKNY</t>
        </is>
      </c>
      <c r="G911">
        <f>_xlfn.IMAGE("https://camerareadycosmetics.com/cdn/shop/products/face-atelier-lip-lock-lip-makeup-sealer_50x.jpg?v=1585506482")</f>
        <v/>
      </c>
      <c r="H911">
        <f>_xlfn.IMAGE("https://m.media-amazon.com/images/I/71IJCPRqhXL._AC_UL320_.jpg")</f>
        <v/>
      </c>
      <c r="K911" t="inlineStr">
        <is>
          <t>24.0</t>
        </is>
      </c>
      <c r="L911" t="n">
        <v>15.95</v>
      </c>
      <c r="M911" s="1" t="inlineStr">
        <is>
          <t>-33.54%</t>
        </is>
      </c>
      <c r="N911" t="n">
        <v>3.5</v>
      </c>
      <c r="O911" t="n">
        <v>17</v>
      </c>
      <c r="Q911" t="inlineStr">
        <is>
          <t>InStock</t>
        </is>
      </c>
      <c r="R911" t="inlineStr">
        <is>
          <t>24.0</t>
        </is>
      </c>
      <c r="S911" t="inlineStr">
        <is>
          <t>4404360609903</t>
        </is>
      </c>
    </row>
    <row r="912" ht="75" customHeight="1">
      <c r="A912" s="2">
        <f>HYPERLINK("https://camerareadycosmetics.com/products/face-atelier-lip-lock", "https://camerareadycosmetics.com/products/face-atelier-lip-lock")</f>
        <v/>
      </c>
      <c r="B912" s="2">
        <f>HYPERLINK("https://camerareadycosmetics.com/products/face-atelier-lip-lock", "https://camerareadycosmetics.com/products/face-atelier-lip-lock")</f>
        <v/>
      </c>
      <c r="C912" t="inlineStr">
        <is>
          <t>Lip Lock</t>
        </is>
      </c>
      <c r="D912" t="inlineStr">
        <is>
          <t>Lip Lock</t>
        </is>
      </c>
      <c r="E912" s="2">
        <f>HYPERLINK("https://www.amazon.com/Your-Name-Pro-Lip-Lock/dp/B0192CUR5O/ref=sr_1_2?keywords=Lip+Lock&amp;qid=1695565553&amp;sr=8-2", "https://www.amazon.com/Your-Name-Pro-Lip-Lock/dp/B0192CUR5O/ref=sr_1_2?keywords=Lip+Lock&amp;qid=1695565553&amp;sr=8-2")</f>
        <v/>
      </c>
      <c r="F912" t="inlineStr">
        <is>
          <t>B0192CUR5O</t>
        </is>
      </c>
      <c r="G912">
        <f>_xlfn.IMAGE("https://camerareadycosmetics.com/cdn/shop/products/face-atelier-lip-lock-lip-makeup-sealer_50x.jpg?v=1585506482")</f>
        <v/>
      </c>
      <c r="H912">
        <f>_xlfn.IMAGE("https://m.media-amazon.com/images/I/51Sc-rQOO6L._AC_UL320_.jpg")</f>
        <v/>
      </c>
      <c r="K912" t="inlineStr">
        <is>
          <t>24.0</t>
        </is>
      </c>
      <c r="L912" t="n">
        <v>13.99</v>
      </c>
      <c r="M912" s="1" t="inlineStr">
        <is>
          <t>-41.71%</t>
        </is>
      </c>
      <c r="N912" t="n">
        <v>3.7</v>
      </c>
      <c r="O912" t="n">
        <v>72</v>
      </c>
      <c r="Q912" t="inlineStr">
        <is>
          <t>InStock</t>
        </is>
      </c>
      <c r="R912" t="inlineStr">
        <is>
          <t>24.0</t>
        </is>
      </c>
      <c r="S912" t="inlineStr">
        <is>
          <t>4404360609903</t>
        </is>
      </c>
    </row>
    <row r="913" ht="75" customHeight="1">
      <c r="A913" s="2">
        <f>HYPERLINK("https://camerareadycosmetics.com/products/face-atelier-lip-lock", "https://camerareadycosmetics.com/products/face-atelier-lip-lock")</f>
        <v/>
      </c>
      <c r="B913" s="2">
        <f>HYPERLINK("https://camerareadycosmetics.com/products/face-atelier-lip-lock", "https://camerareadycosmetics.com/products/face-atelier-lip-lock")</f>
        <v/>
      </c>
      <c r="C913" t="inlineStr">
        <is>
          <t>Lip Lock</t>
        </is>
      </c>
      <c r="D913" t="inlineStr">
        <is>
          <t>Mehron Makeup LipStix Sealer | Professional Lipstick Sealer| Lip Seal, Lip Lock, Lip Top Coat .5 oz (14 ml)</t>
        </is>
      </c>
      <c r="E913" s="2">
        <f>HYPERLINK("https://www.amazon.com/Mehron-Makeup-Lipstick-Sealer-5/dp/B000EGH1RU/ref=sr_1_6?keywords=Lip+Lock&amp;qid=1695565553&amp;sr=8-6", "https://www.amazon.com/Mehron-Makeup-Lipstick-Sealer-5/dp/B000EGH1RU/ref=sr_1_6?keywords=Lip+Lock&amp;qid=1695565553&amp;sr=8-6")</f>
        <v/>
      </c>
      <c r="F913" t="inlineStr">
        <is>
          <t>B000EGH1RU</t>
        </is>
      </c>
      <c r="G913">
        <f>_xlfn.IMAGE("https://camerareadycosmetics.com/cdn/shop/products/face-atelier-lip-lock-lip-makeup-sealer_50x.jpg?v=1585506482")</f>
        <v/>
      </c>
      <c r="H913">
        <f>_xlfn.IMAGE("https://m.media-amazon.com/images/I/412A1mzMt1L._AC_UL320_.jpg")</f>
        <v/>
      </c>
      <c r="K913" t="inlineStr">
        <is>
          <t>24.0</t>
        </is>
      </c>
      <c r="L913" t="n">
        <v>9.960000000000001</v>
      </c>
      <c r="M913" s="1" t="inlineStr">
        <is>
          <t>-58.50%</t>
        </is>
      </c>
      <c r="N913" t="n">
        <v>3.1</v>
      </c>
      <c r="O913" t="n">
        <v>387</v>
      </c>
      <c r="Q913" t="inlineStr">
        <is>
          <t>InStock</t>
        </is>
      </c>
      <c r="R913" t="inlineStr">
        <is>
          <t>24.0</t>
        </is>
      </c>
      <c r="S913" t="inlineStr">
        <is>
          <t>4404360609903</t>
        </is>
      </c>
    </row>
    <row r="914" ht="75" customHeight="1">
      <c r="A914" s="2">
        <f>HYPERLINK("https://camerareadycosmetics.com/products/face-atelier-lip-lock", "https://camerareadycosmetics.com/products/face-atelier-lip-lock")</f>
        <v/>
      </c>
      <c r="B914" s="2">
        <f>HYPERLINK("https://camerareadycosmetics.com/products/face-atelier-lip-lock", "https://camerareadycosmetics.com/products/face-atelier-lip-lock")</f>
        <v/>
      </c>
      <c r="C914" t="inlineStr">
        <is>
          <t>Lip Lock</t>
        </is>
      </c>
      <c r="D914" t="inlineStr">
        <is>
          <t>Lip Lock, Makeup Lipstick Sealer, Lipstick Fixed Color Raincoat, Lip Protection, Lasting Unfading Lipstick Raincoa t-4g</t>
        </is>
      </c>
      <c r="E914" s="2">
        <f>HYPERLINK("https://www.amazon.com/Lipstick-Raincoat-Protection-Lasting-Unfading/dp/B089SV9TNV/ref=sr_1_5?keywords=Lip+Lock&amp;qid=1695565553&amp;sr=8-5", "https://www.amazon.com/Lipstick-Raincoat-Protection-Lasting-Unfading/dp/B089SV9TNV/ref=sr_1_5?keywords=Lip+Lock&amp;qid=1695565553&amp;sr=8-5")</f>
        <v/>
      </c>
      <c r="F914" t="inlineStr">
        <is>
          <t>B089SV9TNV</t>
        </is>
      </c>
      <c r="G914">
        <f>_xlfn.IMAGE("https://camerareadycosmetics.com/cdn/shop/products/face-atelier-lip-lock-lip-makeup-sealer_50x.jpg?v=1585506482")</f>
        <v/>
      </c>
      <c r="H914">
        <f>_xlfn.IMAGE("https://m.media-amazon.com/images/I/41Zl1o0nYcL._AC_UL320_.jpg")</f>
        <v/>
      </c>
      <c r="K914" t="inlineStr">
        <is>
          <t>24.0</t>
        </is>
      </c>
      <c r="L914" t="n">
        <v>7.03</v>
      </c>
      <c r="M914" s="1" t="inlineStr">
        <is>
          <t>-70.71%</t>
        </is>
      </c>
      <c r="N914" t="n">
        <v>2</v>
      </c>
      <c r="O914" t="n">
        <v>7</v>
      </c>
      <c r="Q914" t="inlineStr">
        <is>
          <t>InStock</t>
        </is>
      </c>
      <c r="R914" t="inlineStr">
        <is>
          <t>24.0</t>
        </is>
      </c>
      <c r="S914" t="inlineStr">
        <is>
          <t>4404360609903</t>
        </is>
      </c>
    </row>
    <row r="915" ht="75" customHeight="1">
      <c r="A915" s="2">
        <f>HYPERLINK("https://camerareadycosmetics.com/products/face-atelier-lip-lock", "https://camerareadycosmetics.com/products/face-atelier-lip-lock")</f>
        <v/>
      </c>
      <c r="B915" s="2">
        <f>HYPERLINK("https://camerareadycosmetics.com/products/face-atelier-lip-lock", "https://camerareadycosmetics.com/products/face-atelier-lip-lock")</f>
        <v/>
      </c>
      <c r="C915" t="inlineStr">
        <is>
          <t>Lip Lock</t>
        </is>
      </c>
      <c r="D915" t="inlineStr">
        <is>
          <t>Mehron Makeup LipStix Sealer | Professional Lipstick Sealer| Lip Seal, Lip Lock, Lip Top Coat .5 oz (14 ml)</t>
        </is>
      </c>
      <c r="E915" s="2">
        <f>HYPERLINK("https://www.amazon.com/Mehron-Makeup-Lipstick-Sealer-5/dp/B000EGH1RU/ref=sr_1_6?keywords=Lip+Lock&amp;qid=1695565553&amp;sr=8-6", "https://www.amazon.com/Mehron-Makeup-Lipstick-Sealer-5/dp/B000EGH1RU/ref=sr_1_6?keywords=Lip+Lock&amp;qid=1695565553&amp;sr=8-6")</f>
        <v/>
      </c>
      <c r="F915" t="inlineStr">
        <is>
          <t>B000EGH1RU</t>
        </is>
      </c>
      <c r="G915">
        <f>_xlfn.IMAGE("https://camerareadycosmetics.com/cdn/shop/products/face-atelier-lip-lock-lip-makeup-sealer_50x.jpg?v=1585506482")</f>
        <v/>
      </c>
      <c r="H915">
        <f>_xlfn.IMAGE("https://m.media-amazon.com/images/I/412A1mzMt1L._AC_UL320_.jpg")</f>
        <v/>
      </c>
      <c r="K915" t="inlineStr">
        <is>
          <t>24.0</t>
        </is>
      </c>
      <c r="L915" t="n">
        <v>9.960000000000001</v>
      </c>
      <c r="M915" s="1" t="inlineStr">
        <is>
          <t>-58.50%</t>
        </is>
      </c>
      <c r="N915" t="n">
        <v>3.1</v>
      </c>
      <c r="O915" t="n">
        <v>387</v>
      </c>
      <c r="Q915" t="inlineStr">
        <is>
          <t>InStock</t>
        </is>
      </c>
      <c r="R915" t="inlineStr">
        <is>
          <t>24.0</t>
        </is>
      </c>
      <c r="S915" t="inlineStr">
        <is>
          <t>4404360609903</t>
        </is>
      </c>
    </row>
    <row r="916" ht="75" customHeight="1">
      <c r="A916" s="2">
        <f>HYPERLINK("https://camerareadycosmetics.com/products/face-atelier-lip-lock", "https://camerareadycosmetics.com/products/face-atelier-lip-lock")</f>
        <v/>
      </c>
      <c r="B916" s="2">
        <f>HYPERLINK("https://camerareadycosmetics.com/products/face-atelier-lip-lock", "https://camerareadycosmetics.com/products/face-atelier-lip-lock")</f>
        <v/>
      </c>
      <c r="C916" t="inlineStr">
        <is>
          <t>Lip Lock</t>
        </is>
      </c>
      <c r="D916" t="inlineStr">
        <is>
          <t>Lip Lock, Makeup Lipstick Sealer, Lipstick Fixed Color Raincoat, Lip Protection, Lasting Unfading Lipstick Raincoa t-4g</t>
        </is>
      </c>
      <c r="E916" s="2">
        <f>HYPERLINK("https://www.amazon.com/Lipstick-Raincoat-Protection-Lasting-Unfading/dp/B089SV9TNV/ref=sr_1_5?keywords=Lip+Lock&amp;qid=1695565553&amp;sr=8-5", "https://www.amazon.com/Lipstick-Raincoat-Protection-Lasting-Unfading/dp/B089SV9TNV/ref=sr_1_5?keywords=Lip+Lock&amp;qid=1695565553&amp;sr=8-5")</f>
        <v/>
      </c>
      <c r="F916" t="inlineStr">
        <is>
          <t>B089SV9TNV</t>
        </is>
      </c>
      <c r="G916">
        <f>_xlfn.IMAGE("https://camerareadycosmetics.com/cdn/shop/products/face-atelier-lip-lock-lip-makeup-sealer_50x.jpg?v=1585506482")</f>
        <v/>
      </c>
      <c r="H916">
        <f>_xlfn.IMAGE("https://m.media-amazon.com/images/I/41Zl1o0nYcL._AC_UL320_.jpg")</f>
        <v/>
      </c>
      <c r="K916" t="inlineStr">
        <is>
          <t>24.0</t>
        </is>
      </c>
      <c r="L916" t="n">
        <v>7.03</v>
      </c>
      <c r="M916" s="1" t="inlineStr">
        <is>
          <t>-70.71%</t>
        </is>
      </c>
      <c r="N916" t="n">
        <v>2</v>
      </c>
      <c r="O916" t="n">
        <v>7</v>
      </c>
      <c r="Q916" t="inlineStr">
        <is>
          <t>InStock</t>
        </is>
      </c>
      <c r="R916" t="inlineStr">
        <is>
          <t>24.0</t>
        </is>
      </c>
      <c r="S916" t="inlineStr">
        <is>
          <t>4404360609903</t>
        </is>
      </c>
    </row>
    <row r="917" ht="75" customHeight="1">
      <c r="A917" s="2">
        <f>HYPERLINK("https://camerareadycosmetics.com/products/face-atelier-skin-perfect-colour-corrector", "https://camerareadycosmetics.com/products/face-atelier-skin-perfect-colour-corrector")</f>
        <v/>
      </c>
      <c r="B917" s="2">
        <f>HYPERLINK("https://camerareadycosmetics.com/products/face-atelier-skin-perfect-colour-corrector", "https://camerareadycosmetics.com/products/face-atelier-skin-perfect-colour-corrector")</f>
        <v/>
      </c>
      <c r="C917" t="inlineStr">
        <is>
          <t>Skin Perfect Colour Corrector</t>
        </is>
      </c>
      <c r="D917" t="inlineStr">
        <is>
          <t>TEMPTU Perfect Canvas Airbrush One Step Concealer &amp; Color Corrector Airpod: Long-Wear, High-Performance Airbrush Color Correctors For Skin Discoloration | 7 Shades</t>
        </is>
      </c>
      <c r="E917" s="2">
        <f>HYPERLINK("https://www.amazon.com/Temptu-Perfect-Airbrush-Concealer-Corrector/dp/B074V8C4RY/ref=sr_1_4?keywords=Skin+Perfect+Colour+Corrector&amp;qid=1695565650&amp;sr=8-4", "https://www.amazon.com/Temptu-Perfect-Airbrush-Concealer-Corrector/dp/B074V8C4RY/ref=sr_1_4?keywords=Skin+Perfect+Colour+Corrector&amp;qid=1695565650&amp;sr=8-4")</f>
        <v/>
      </c>
      <c r="F917" t="inlineStr">
        <is>
          <t>B074V8C4RY</t>
        </is>
      </c>
      <c r="G917">
        <f>_xlfn.IMAGE("https://camerareadycosmetics.com/cdn/shop/products/neutral-Skin-Perfect-Colour-Corrector_50x.jpg?v=1585506487")</f>
        <v/>
      </c>
      <c r="H917">
        <f>_xlfn.IMAGE("https://m.media-amazon.com/images/I/61RcTJmUdWL._AC_UL320_.jpg")</f>
        <v/>
      </c>
      <c r="K917" t="inlineStr">
        <is>
          <t>34.0</t>
        </is>
      </c>
      <c r="L917" t="n">
        <v>34</v>
      </c>
      <c r="M917" s="1" t="inlineStr">
        <is>
          <t>0.00%</t>
        </is>
      </c>
      <c r="N917" t="n">
        <v>4</v>
      </c>
      <c r="O917" t="n">
        <v>35</v>
      </c>
      <c r="Q917" t="inlineStr">
        <is>
          <t>InStock</t>
        </is>
      </c>
      <c r="R917" t="inlineStr">
        <is>
          <t>undefined</t>
        </is>
      </c>
      <c r="S917" t="inlineStr">
        <is>
          <t>4404995227759</t>
        </is>
      </c>
    </row>
    <row r="918" ht="75" customHeight="1">
      <c r="A918" s="2">
        <f>HYPERLINK("https://camerareadycosmetics.com/products/face-atelier-skin-perfect-colour-corrector", "https://camerareadycosmetics.com/products/face-atelier-skin-perfect-colour-corrector")</f>
        <v/>
      </c>
      <c r="B918" s="2">
        <f>HYPERLINK("https://camerareadycosmetics.com/products/face-atelier-skin-perfect-colour-corrector", "https://camerareadycosmetics.com/products/face-atelier-skin-perfect-colour-corrector")</f>
        <v/>
      </c>
      <c r="C918" t="inlineStr">
        <is>
          <t>Skin Perfect Colour Corrector</t>
        </is>
      </c>
      <c r="D918" t="inlineStr">
        <is>
          <t>Refine + Perfect Color Corrector Setting Powder by Pure Cosmetics - 4 Shade Color Correcting Loose Matte Finishing Powders Brighten, Smooth, and Even Skin - Cruelty Free &amp; Talc Free</t>
        </is>
      </c>
      <c r="E918" s="2">
        <f>HYPERLINK("https://www.amazon.com/Pure-Cosmetics-Refine-Perfect-Finishing/dp/B08BBQS91H/ref=sr_1_2?keywords=Skin+Perfect+Colour+Corrector&amp;qid=1695565650&amp;sr=8-2", "https://www.amazon.com/Pure-Cosmetics-Refine-Perfect-Finishing/dp/B08BBQS91H/ref=sr_1_2?keywords=Skin+Perfect+Colour+Corrector&amp;qid=1695565650&amp;sr=8-2")</f>
        <v/>
      </c>
      <c r="F918" t="inlineStr">
        <is>
          <t>B08BBQS91H</t>
        </is>
      </c>
      <c r="G918">
        <f>_xlfn.IMAGE("https://camerareadycosmetics.com/cdn/shop/products/neutral-Skin-Perfect-Colour-Corrector_50x.jpg?v=1585506487")</f>
        <v/>
      </c>
      <c r="H918">
        <f>_xlfn.IMAGE("https://m.media-amazon.com/images/I/61QCLMQWCbL._AC_UL320_.jpg")</f>
        <v/>
      </c>
      <c r="K918" t="inlineStr">
        <is>
          <t>34.0</t>
        </is>
      </c>
      <c r="L918" t="n">
        <v>20</v>
      </c>
      <c r="M918" s="1" t="inlineStr">
        <is>
          <t>-41.18%</t>
        </is>
      </c>
      <c r="N918" t="n">
        <v>3.7</v>
      </c>
      <c r="O918" t="n">
        <v>20</v>
      </c>
      <c r="Q918" t="inlineStr">
        <is>
          <t>InStock</t>
        </is>
      </c>
      <c r="R918" t="inlineStr">
        <is>
          <t>undefined</t>
        </is>
      </c>
      <c r="S918" t="inlineStr">
        <is>
          <t>4404995227759</t>
        </is>
      </c>
    </row>
    <row r="919" ht="75" customHeight="1">
      <c r="A919" s="2">
        <f>HYPERLINK("https://camerareadycosmetics.com/products/face-atelier-skin-perfect-colour-corrector", "https://camerareadycosmetics.com/products/face-atelier-skin-perfect-colour-corrector")</f>
        <v/>
      </c>
      <c r="B919" s="2">
        <f>HYPERLINK("https://camerareadycosmetics.com/products/face-atelier-skin-perfect-colour-corrector", "https://camerareadycosmetics.com/products/face-atelier-skin-perfect-colour-corrector")</f>
        <v/>
      </c>
      <c r="C919" t="inlineStr">
        <is>
          <t>Skin Perfect Colour Corrector</t>
        </is>
      </c>
      <c r="D919" t="inlineStr">
        <is>
          <t>TEMPTU Perfect Canvas Airbrush Color Corrector: Long-Wear, High-Performance Airbrush Color Correctors | Weightless Color Correction For Skin Discoloration | 7 Shades</t>
        </is>
      </c>
      <c r="E919" s="2">
        <f>HYPERLINK("https://www.amazon.com/Temptu-Perfect-Canvas-Airbrush-Corrector/dp/B07BZ82LXT/ref=sr_1_3?keywords=Skin+Perfect+Colour+Corrector&amp;qid=1695565650&amp;sr=8-3", "https://www.amazon.com/Temptu-Perfect-Canvas-Airbrush-Corrector/dp/B07BZ82LXT/ref=sr_1_3?keywords=Skin+Perfect+Colour+Corrector&amp;qid=1695565650&amp;sr=8-3")</f>
        <v/>
      </c>
      <c r="F919" t="inlineStr">
        <is>
          <t>B07BZ82LXT</t>
        </is>
      </c>
      <c r="G919">
        <f>_xlfn.IMAGE("https://camerareadycosmetics.com/cdn/shop/products/neutral-Skin-Perfect-Colour-Corrector_50x.jpg?v=1585506487")</f>
        <v/>
      </c>
      <c r="H919">
        <f>_xlfn.IMAGE("https://m.media-amazon.com/images/I/51lfPSP068L._AC_UL320_.jpg")</f>
        <v/>
      </c>
      <c r="K919" t="inlineStr">
        <is>
          <t>34.0</t>
        </is>
      </c>
      <c r="L919" t="n">
        <v>18</v>
      </c>
      <c r="M919" s="1" t="inlineStr">
        <is>
          <t>-47.06%</t>
        </is>
      </c>
      <c r="N919" t="n">
        <v>3.5</v>
      </c>
      <c r="O919" t="n">
        <v>24</v>
      </c>
      <c r="Q919" t="inlineStr">
        <is>
          <t>InStock</t>
        </is>
      </c>
      <c r="R919" t="inlineStr">
        <is>
          <t>undefined</t>
        </is>
      </c>
      <c r="S919" t="inlineStr">
        <is>
          <t>4404995227759</t>
        </is>
      </c>
    </row>
    <row r="920" ht="75" customHeight="1">
      <c r="A920" s="2">
        <f>HYPERLINK("https://camerareadycosmetics.com/products/face-atelier-skin-perfect-colour-corrector", "https://camerareadycosmetics.com/products/face-atelier-skin-perfect-colour-corrector")</f>
        <v/>
      </c>
      <c r="B920" s="2">
        <f>HYPERLINK("https://camerareadycosmetics.com/products/face-atelier-skin-perfect-colour-corrector", "https://camerareadycosmetics.com/products/face-atelier-skin-perfect-colour-corrector")</f>
        <v/>
      </c>
      <c r="C920" t="inlineStr">
        <is>
          <t>Skin Perfect Colour Corrector</t>
        </is>
      </c>
      <c r="D920" t="inlineStr">
        <is>
          <t>SISTAR It's U Skin Perfecting Conceal HD Contour Color Corrector Full Coverage Smooth and Flawless (Orange)</t>
        </is>
      </c>
      <c r="E920" s="2">
        <f>HYPERLINK("https://www.amazon.com/Perfecting-Conceal-Corrector-Coverage-Flawless/dp/B0BJGSZ7HP/ref=sr_1_1?keywords=Skin+Perfect+Colour+Corrector&amp;qid=1695565650&amp;sr=8-1", "https://www.amazon.com/Perfecting-Conceal-Corrector-Coverage-Flawless/dp/B0BJGSZ7HP/ref=sr_1_1?keywords=Skin+Perfect+Colour+Corrector&amp;qid=1695565650&amp;sr=8-1")</f>
        <v/>
      </c>
      <c r="F920" t="inlineStr">
        <is>
          <t>B0BJGSZ7HP</t>
        </is>
      </c>
      <c r="G920">
        <f>_xlfn.IMAGE("https://camerareadycosmetics.com/cdn/shop/products/neutral-Skin-Perfect-Colour-Corrector_50x.jpg?v=1585506487")</f>
        <v/>
      </c>
      <c r="H920">
        <f>_xlfn.IMAGE("https://m.media-amazon.com/images/I/613TvG53XjL._AC_UL320_.jpg")</f>
        <v/>
      </c>
      <c r="K920" t="inlineStr">
        <is>
          <t>34.0</t>
        </is>
      </c>
      <c r="L920" t="n">
        <v>5.99</v>
      </c>
      <c r="M920" s="1" t="inlineStr">
        <is>
          <t>-82.38%</t>
        </is>
      </c>
      <c r="N920" t="n">
        <v>3.9</v>
      </c>
      <c r="O920" t="n">
        <v>17</v>
      </c>
      <c r="Q920" t="inlineStr">
        <is>
          <t>InStock</t>
        </is>
      </c>
      <c r="R920" t="inlineStr">
        <is>
          <t>undefined</t>
        </is>
      </c>
      <c r="S920" t="inlineStr">
        <is>
          <t>4404995227759</t>
        </is>
      </c>
    </row>
    <row r="921" ht="75" customHeight="1">
      <c r="A921" s="2">
        <f>HYPERLINK("https://camerareadycosmetics.com/products/face-atelier-skin-perfect-colour-corrector", "https://camerareadycosmetics.com/products/face-atelier-skin-perfect-colour-corrector")</f>
        <v/>
      </c>
      <c r="B921" s="2">
        <f>HYPERLINK("https://camerareadycosmetics.com/products/face-atelier-skin-perfect-colour-corrector", "https://camerareadycosmetics.com/products/face-atelier-skin-perfect-colour-corrector")</f>
        <v/>
      </c>
      <c r="C921" t="inlineStr">
        <is>
          <t>Skin Perfect Colour Corrector</t>
        </is>
      </c>
      <c r="D921" t="inlineStr">
        <is>
          <t>SISTAR It's U Skin Perfecting Conceal HD Contour Color Corrector Full Coverage Smooth and Flawless (Orange)</t>
        </is>
      </c>
      <c r="E921" s="2">
        <f>HYPERLINK("https://www.amazon.com/Perfecting-Conceal-Corrector-Coverage-Flawless/dp/B0BJGSZ7HP/ref=sr_1_1?keywords=Skin+Perfect+Colour+Corrector&amp;qid=1695565650&amp;sr=8-1", "https://www.amazon.com/Perfecting-Conceal-Corrector-Coverage-Flawless/dp/B0BJGSZ7HP/ref=sr_1_1?keywords=Skin+Perfect+Colour+Corrector&amp;qid=1695565650&amp;sr=8-1")</f>
        <v/>
      </c>
      <c r="F921" t="inlineStr">
        <is>
          <t>B0BJGSZ7HP</t>
        </is>
      </c>
      <c r="G921">
        <f>_xlfn.IMAGE("https://camerareadycosmetics.com/cdn/shop/products/neutral-Skin-Perfect-Colour-Corrector_50x.jpg?v=1585506487")</f>
        <v/>
      </c>
      <c r="H921">
        <f>_xlfn.IMAGE("https://m.media-amazon.com/images/I/613TvG53XjL._AC_UL320_.jpg")</f>
        <v/>
      </c>
      <c r="K921" t="inlineStr">
        <is>
          <t>34.0</t>
        </is>
      </c>
      <c r="L921" t="n">
        <v>5.99</v>
      </c>
      <c r="M921" s="1" t="inlineStr">
        <is>
          <t>-82.38%</t>
        </is>
      </c>
      <c r="N921" t="n">
        <v>3.9</v>
      </c>
      <c r="O921" t="n">
        <v>17</v>
      </c>
      <c r="Q921" t="inlineStr">
        <is>
          <t>InStock</t>
        </is>
      </c>
      <c r="R921" t="inlineStr">
        <is>
          <t>undefined</t>
        </is>
      </c>
      <c r="S921" t="inlineStr">
        <is>
          <t>4404995227759</t>
        </is>
      </c>
    </row>
    <row r="922" ht="75" customHeight="1">
      <c r="A922" s="2">
        <f>HYPERLINK("https://camerareadycosmetics.com/products/face-atelier-ultra-blush", "https://camerareadycosmetics.com/products/face-atelier-ultra-blush")</f>
        <v/>
      </c>
      <c r="B922" s="2">
        <f>HYPERLINK("https://camerareadycosmetics.com/products/face-atelier-ultra-blush", "https://camerareadycosmetics.com/products/face-atelier-ultra-blush")</f>
        <v/>
      </c>
      <c r="C922" t="inlineStr">
        <is>
          <t>Ultra Blush</t>
        </is>
      </c>
      <c r="D922" t="inlineStr">
        <is>
          <t>LAURA GELLER NEW YORK Blush-n-Brighten Marbleized 2-in-1 Blush, Sunlit Rose- Angled Blush Brush - Ultra Soft - Never Sheds (2PC)</t>
        </is>
      </c>
      <c r="E922" s="2" t="n"/>
      <c r="F922" t="inlineStr">
        <is>
          <t>B0BMGY2RZW</t>
        </is>
      </c>
      <c r="G922">
        <f>_xlfn.IMAGE("https://camerareadycosmetics.com/cdn/shop/products/tangerine-ultra-blush_50x.jpg?v=1585506485")</f>
        <v/>
      </c>
      <c r="H922">
        <f>_xlfn.IMAGE("https://m.media-amazon.com/images/I/711VFf5dLsL._AC_UL320_.jpg")</f>
        <v/>
      </c>
      <c r="K922" t="inlineStr">
        <is>
          <t>34.0</t>
        </is>
      </c>
      <c r="L922" t="n">
        <v>38</v>
      </c>
      <c r="M922" s="1" t="inlineStr">
        <is>
          <t>11.76%</t>
        </is>
      </c>
      <c r="N922" t="n">
        <v>4.5</v>
      </c>
      <c r="O922" t="n">
        <v>5724</v>
      </c>
      <c r="Q922" t="inlineStr">
        <is>
          <t>InStock</t>
        </is>
      </c>
      <c r="R922" t="inlineStr">
        <is>
          <t>34.0</t>
        </is>
      </c>
      <c r="S922" t="inlineStr">
        <is>
          <t>4404965605487</t>
        </is>
      </c>
    </row>
    <row r="923" ht="75" customHeight="1">
      <c r="A923" s="2">
        <f>HYPERLINK("https://camerareadycosmetics.com/products/face-atelier-ultra-blush", "https://camerareadycosmetics.com/products/face-atelier-ultra-blush")</f>
        <v/>
      </c>
      <c r="B923" s="2">
        <f>HYPERLINK("https://camerareadycosmetics.com/products/face-atelier-ultra-blush", "https://camerareadycosmetics.com/products/face-atelier-ultra-blush")</f>
        <v/>
      </c>
      <c r="C923" t="inlineStr">
        <is>
          <t>Ultra Blush</t>
        </is>
      </c>
      <c r="D923" t="inlineStr">
        <is>
          <t>LORYP Makeup Brushes Set Labeled 18 Piece Face and Eye Brush Set Ultra soft hair Foundation, Concealer, Blush, Contour, Blending, Eyeshadow Khaki Brush kit</t>
        </is>
      </c>
      <c r="E923" s="2" t="n"/>
      <c r="F923" t="inlineStr">
        <is>
          <t>B0C93WNGQJ</t>
        </is>
      </c>
      <c r="G923">
        <f>_xlfn.IMAGE("https://camerareadycosmetics.com/cdn/shop/products/tangerine-ultra-blush_50x.jpg?v=1585506485")</f>
        <v/>
      </c>
      <c r="H923">
        <f>_xlfn.IMAGE("https://m.media-amazon.com/images/I/71yhDkOYPqL._AC_UL320_.jpg")</f>
        <v/>
      </c>
      <c r="K923" t="inlineStr">
        <is>
          <t>34.0</t>
        </is>
      </c>
      <c r="L923" t="n">
        <v>29.7</v>
      </c>
      <c r="M923" s="1" t="inlineStr">
        <is>
          <t>-12.65%</t>
        </is>
      </c>
      <c r="N923" t="n">
        <v>4.6</v>
      </c>
      <c r="O923" t="n">
        <v>53</v>
      </c>
      <c r="Q923" t="inlineStr">
        <is>
          <t>InStock</t>
        </is>
      </c>
      <c r="R923" t="inlineStr">
        <is>
          <t>34.0</t>
        </is>
      </c>
      <c r="S923" t="inlineStr">
        <is>
          <t>4404965605487</t>
        </is>
      </c>
    </row>
    <row r="924" ht="75" customHeight="1">
      <c r="A924" s="2">
        <f>HYPERLINK("https://camerareadycosmetics.com/products/face-atelier-ultra-blush", "https://camerareadycosmetics.com/products/face-atelier-ultra-blush")</f>
        <v/>
      </c>
      <c r="B924" s="2">
        <f>HYPERLINK("https://camerareadycosmetics.com/products/face-atelier-ultra-blush", "https://camerareadycosmetics.com/products/face-atelier-ultra-blush")</f>
        <v/>
      </c>
      <c r="C924" t="inlineStr">
        <is>
          <t>Ultra Blush</t>
        </is>
      </c>
      <c r="D924" t="inlineStr">
        <is>
          <t>Makeup Revolution Ultra Blush Palette Golden Sugar</t>
        </is>
      </c>
      <c r="E924" s="2">
        <f>HYPERLINK("https://www.amazon.com/Makeup-Revolution-Ultra-Palette-Golden/dp/B00QU1P6TS/ref=sr_1_6?keywords=Ultra+Blush&amp;qid=1695565752&amp;sr=8-6", "https://www.amazon.com/Makeup-Revolution-Ultra-Palette-Golden/dp/B00QU1P6TS/ref=sr_1_6?keywords=Ultra+Blush&amp;qid=1695565752&amp;sr=8-6")</f>
        <v/>
      </c>
      <c r="F924" t="inlineStr">
        <is>
          <t>B00QU1P6TS</t>
        </is>
      </c>
      <c r="G924">
        <f>_xlfn.IMAGE("https://camerareadycosmetics.com/cdn/shop/products/tangerine-ultra-blush_50x.jpg?v=1585506485")</f>
        <v/>
      </c>
      <c r="H924">
        <f>_xlfn.IMAGE("https://m.media-amazon.com/images/I/61lEtM+KGvL._AC_UL320_.jpg")</f>
        <v/>
      </c>
      <c r="K924" t="inlineStr">
        <is>
          <t>34.0</t>
        </is>
      </c>
      <c r="L924" t="n">
        <v>21.95</v>
      </c>
      <c r="M924" s="1" t="inlineStr">
        <is>
          <t>-35.44%</t>
        </is>
      </c>
      <c r="N924" t="n">
        <v>4.4</v>
      </c>
      <c r="O924" t="n">
        <v>1054</v>
      </c>
      <c r="Q924" t="inlineStr">
        <is>
          <t>InStock</t>
        </is>
      </c>
      <c r="R924" t="inlineStr">
        <is>
          <t>34.0</t>
        </is>
      </c>
      <c r="S924" t="inlineStr">
        <is>
          <t>4404965605487</t>
        </is>
      </c>
    </row>
    <row r="925" ht="75" customHeight="1">
      <c r="A925" s="2">
        <f>HYPERLINK("https://camerareadycosmetics.com/products/face-atelier-ultra-blush", "https://camerareadycosmetics.com/products/face-atelier-ultra-blush")</f>
        <v/>
      </c>
      <c r="B925" s="2">
        <f>HYPERLINK("https://camerareadycosmetics.com/products/face-atelier-ultra-blush", "https://camerareadycosmetics.com/products/face-atelier-ultra-blush")</f>
        <v/>
      </c>
      <c r="C925" t="inlineStr">
        <is>
          <t>Ultra Blush</t>
        </is>
      </c>
      <c r="D925" t="inlineStr">
        <is>
          <t>EDDIE FUNKHOUSER Ultra Intensity Cheek Color, Blush, Plum Crazy, NET WT. 3g / 0.1 oz.</t>
        </is>
      </c>
      <c r="E925" s="2">
        <f>HYPERLINK("https://www.amazon.com/EDDIE-FUNKHOUSER-Ultra-Intensity-Cheek/dp/B00INZQ6Z2/ref=sr_1_7?keywords=Ultra+Blush&amp;qid=1695565752&amp;sr=8-7", "https://www.amazon.com/EDDIE-FUNKHOUSER-Ultra-Intensity-Cheek/dp/B00INZQ6Z2/ref=sr_1_7?keywords=Ultra+Blush&amp;qid=1695565752&amp;sr=8-7")</f>
        <v/>
      </c>
      <c r="F925" t="inlineStr">
        <is>
          <t>B00INZQ6Z2</t>
        </is>
      </c>
      <c r="G925">
        <f>_xlfn.IMAGE("https://camerareadycosmetics.com/cdn/shop/products/tangerine-ultra-blush_50x.jpg?v=1585506485")</f>
        <v/>
      </c>
      <c r="H925">
        <f>_xlfn.IMAGE("https://m.media-amazon.com/images/I/51pGN27PouL._AC_UL320_.jpg")</f>
        <v/>
      </c>
      <c r="K925" t="inlineStr">
        <is>
          <t>34.0</t>
        </is>
      </c>
      <c r="L925" t="n">
        <v>8.99</v>
      </c>
      <c r="M925" s="1" t="inlineStr">
        <is>
          <t>-73.56%</t>
        </is>
      </c>
      <c r="N925" t="n">
        <v>4.2</v>
      </c>
      <c r="O925" t="n">
        <v>22</v>
      </c>
      <c r="Q925" t="inlineStr">
        <is>
          <t>InStock</t>
        </is>
      </c>
      <c r="R925" t="inlineStr">
        <is>
          <t>34.0</t>
        </is>
      </c>
      <c r="S925" t="inlineStr">
        <is>
          <t>4404965605487</t>
        </is>
      </c>
    </row>
    <row r="926" ht="75" customHeight="1">
      <c r="A926" s="2">
        <f>HYPERLINK("https://camerareadycosmetics.com/products/face-atelier-ultra-blush", "https://camerareadycosmetics.com/products/face-atelier-ultra-blush")</f>
        <v/>
      </c>
      <c r="B926" s="2">
        <f>HYPERLINK("https://camerareadycosmetics.com/products/face-atelier-ultra-blush", "https://camerareadycosmetics.com/products/face-atelier-ultra-blush")</f>
        <v/>
      </c>
      <c r="C926" t="inlineStr">
        <is>
          <t>Ultra Blush</t>
        </is>
      </c>
      <c r="D926" t="inlineStr">
        <is>
          <t>e.l.f. Putty Blush, Creamy &amp; Ultra Pigmented Formula, Infused with Argan Oil &amp; Vitamin E, Fiji, 0.35 Oz (10g)</t>
        </is>
      </c>
      <c r="E926" s="2">
        <f>HYPERLINK("https://www.amazon.com/l-f-Pigmented-Formula-Infused-Vitamin/dp/B096N5YZ3H/ref=sr_1_8?keywords=Ultra+Blush&amp;qid=1695565752&amp;sr=8-8", "https://www.amazon.com/l-f-Pigmented-Formula-Infused-Vitamin/dp/B096N5YZ3H/ref=sr_1_8?keywords=Ultra+Blush&amp;qid=1695565752&amp;sr=8-8")</f>
        <v/>
      </c>
      <c r="F926" t="inlineStr">
        <is>
          <t>B096N5YZ3H</t>
        </is>
      </c>
      <c r="G926">
        <f>_xlfn.IMAGE("https://camerareadycosmetics.com/cdn/shop/products/tangerine-ultra-blush_50x.jpg?v=1585506485")</f>
        <v/>
      </c>
      <c r="H926">
        <f>_xlfn.IMAGE("https://m.media-amazon.com/images/I/41SX87U6VGS._AC_UL320_.jpg")</f>
        <v/>
      </c>
      <c r="K926" t="inlineStr">
        <is>
          <t>34.0</t>
        </is>
      </c>
      <c r="L926" t="n">
        <v>7</v>
      </c>
      <c r="M926" s="1" t="inlineStr">
        <is>
          <t>-79.41%</t>
        </is>
      </c>
      <c r="N926" t="n">
        <v>4.4</v>
      </c>
      <c r="O926" t="n">
        <v>6572</v>
      </c>
      <c r="Q926" t="inlineStr">
        <is>
          <t>InStock</t>
        </is>
      </c>
      <c r="R926" t="inlineStr">
        <is>
          <t>34.0</t>
        </is>
      </c>
      <c r="S926" t="inlineStr">
        <is>
          <t>4404965605487</t>
        </is>
      </c>
    </row>
    <row r="927" ht="75" customHeight="1">
      <c r="A927" s="2">
        <f>HYPERLINK("https://camerareadycosmetics.com/products/face-atelier-ultra-blush", "https://camerareadycosmetics.com/products/face-atelier-ultra-blush")</f>
        <v/>
      </c>
      <c r="B927" s="2">
        <f>HYPERLINK("https://camerareadycosmetics.com/products/face-atelier-ultra-blush", "https://camerareadycosmetics.com/products/face-atelier-ultra-blush")</f>
        <v/>
      </c>
      <c r="C927" t="inlineStr">
        <is>
          <t>Ultra Blush</t>
        </is>
      </c>
      <c r="D927" t="inlineStr">
        <is>
          <t>SUMEITANG Liquid Blush, Soft Cream Blush Makeup, Long-wear Colour and Ultra Blendable Super Silky Stick Blush for cheeks, Long-Lasting,Waterproof And Velvet Texture Natural Glossy For All Skin - #103</t>
        </is>
      </c>
      <c r="E927" s="2">
        <f>HYPERLINK("https://www.amazon.com/SUMEITANG-Weightless-Breathable-Natural-Looking-Long-Wearing/dp/B0BRPRCYP7/ref=sr_1_9?keywords=Ultra+Blush&amp;qid=1695565752&amp;sr=8-9", "https://www.amazon.com/SUMEITANG-Weightless-Breathable-Natural-Looking-Long-Wearing/dp/B0BRPRCYP7/ref=sr_1_9?keywords=Ultra+Blush&amp;qid=1695565752&amp;sr=8-9")</f>
        <v/>
      </c>
      <c r="F927" t="inlineStr">
        <is>
          <t>B0BRPRCYP7</t>
        </is>
      </c>
      <c r="G927">
        <f>_xlfn.IMAGE("https://camerareadycosmetics.com/cdn/shop/products/tangerine-ultra-blush_50x.jpg?v=1585506485")</f>
        <v/>
      </c>
      <c r="H927">
        <f>_xlfn.IMAGE("https://m.media-amazon.com/images/I/612oUd-E88L._AC_UL320_.jpg")</f>
        <v/>
      </c>
      <c r="K927" t="inlineStr">
        <is>
          <t>34.0</t>
        </is>
      </c>
      <c r="L927" t="n">
        <v>6.99</v>
      </c>
      <c r="M927" s="1" t="inlineStr">
        <is>
          <t>-79.44%</t>
        </is>
      </c>
      <c r="N927" t="n">
        <v>4</v>
      </c>
      <c r="O927" t="n">
        <v>92</v>
      </c>
      <c r="Q927" t="inlineStr">
        <is>
          <t>InStock</t>
        </is>
      </c>
      <c r="R927" t="inlineStr">
        <is>
          <t>34.0</t>
        </is>
      </c>
      <c r="S927" t="inlineStr">
        <is>
          <t>4404965605487</t>
        </is>
      </c>
    </row>
    <row r="928" ht="75" customHeight="1">
      <c r="A928" s="2">
        <f>HYPERLINK("https://camerareadycosmetics.com/products/face-atelier-ultra-blush", "https://camerareadycosmetics.com/products/face-atelier-ultra-blush")</f>
        <v/>
      </c>
      <c r="B928" s="2">
        <f>HYPERLINK("https://camerareadycosmetics.com/products/face-atelier-ultra-blush", "https://camerareadycosmetics.com/products/face-atelier-ultra-blush")</f>
        <v/>
      </c>
      <c r="C928" t="inlineStr">
        <is>
          <t>Ultra Blush</t>
        </is>
      </c>
      <c r="D928" t="inlineStr">
        <is>
          <t>wet n wild Powder Brush, Makeup Brush for Mineral Foundation, Blush, and Bronzer Ultra-Plush Fibers</t>
        </is>
      </c>
      <c r="E928" s="2">
        <f>HYPERLINK("https://www.amazon.com/wet-wild-Essential-Foundation-Ultra-Plush/dp/B09NX9QDWC/ref=sr_1_5?keywords=Ultra+Blush&amp;qid=1695565752&amp;sr=8-5", "https://www.amazon.com/wet-wild-Essential-Foundation-Ultra-Plush/dp/B09NX9QDWC/ref=sr_1_5?keywords=Ultra+Blush&amp;qid=1695565752&amp;sr=8-5")</f>
        <v/>
      </c>
      <c r="F928" t="inlineStr">
        <is>
          <t>B09NX9QDWC</t>
        </is>
      </c>
      <c r="G928">
        <f>_xlfn.IMAGE("https://camerareadycosmetics.com/cdn/shop/products/tangerine-ultra-blush_50x.jpg?v=1585506485")</f>
        <v/>
      </c>
      <c r="H928">
        <f>_xlfn.IMAGE("https://m.media-amazon.com/images/I/61jb3qr0YLL._AC_UL320_.jpg")</f>
        <v/>
      </c>
      <c r="K928" t="inlineStr">
        <is>
          <t>34.0</t>
        </is>
      </c>
      <c r="L928" t="n">
        <v>3.23</v>
      </c>
      <c r="M928" s="1" t="inlineStr">
        <is>
          <t>-90.50%</t>
        </is>
      </c>
      <c r="N928" t="n">
        <v>4.6</v>
      </c>
      <c r="O928" t="n">
        <v>11976</v>
      </c>
      <c r="Q928" t="inlineStr">
        <is>
          <t>InStock</t>
        </is>
      </c>
      <c r="R928" t="inlineStr">
        <is>
          <t>34.0</t>
        </is>
      </c>
      <c r="S928" t="inlineStr">
        <is>
          <t>4404965605487</t>
        </is>
      </c>
    </row>
    <row r="929" ht="75" customHeight="1">
      <c r="A929" s="2">
        <f>HYPERLINK("https://camerareadycosmetics.com/products/face-atelier-ultra-blush", "https://camerareadycosmetics.com/products/face-atelier-ultra-blush")</f>
        <v/>
      </c>
      <c r="B929" s="2">
        <f>HYPERLINK("https://camerareadycosmetics.com/products/face-atelier-ultra-blush", "https://camerareadycosmetics.com/products/face-atelier-ultra-blush")</f>
        <v/>
      </c>
      <c r="C929" t="inlineStr">
        <is>
          <t>Ultra Blush</t>
        </is>
      </c>
      <c r="D929" t="inlineStr">
        <is>
          <t>EDDIE FUNKHOUSER Ultra Intensity Cheek Color, Blush, Plum Crazy, NET WT. 3g / 0.1 oz.</t>
        </is>
      </c>
      <c r="E929" s="2">
        <f>HYPERLINK("https://www.amazon.com/EDDIE-FUNKHOUSER-Ultra-Intensity-Cheek/dp/B00INZQ6Z2/ref=sr_1_7?keywords=Ultra+Blush&amp;qid=1695565752&amp;sr=8-7", "https://www.amazon.com/EDDIE-FUNKHOUSER-Ultra-Intensity-Cheek/dp/B00INZQ6Z2/ref=sr_1_7?keywords=Ultra+Blush&amp;qid=1695565752&amp;sr=8-7")</f>
        <v/>
      </c>
      <c r="F929" t="inlineStr">
        <is>
          <t>B00INZQ6Z2</t>
        </is>
      </c>
      <c r="G929">
        <f>_xlfn.IMAGE("https://camerareadycosmetics.com/cdn/shop/products/tangerine-ultra-blush_50x.jpg?v=1585506485")</f>
        <v/>
      </c>
      <c r="H929">
        <f>_xlfn.IMAGE("https://m.media-amazon.com/images/I/51pGN27PouL._AC_UL320_.jpg")</f>
        <v/>
      </c>
      <c r="K929" t="inlineStr">
        <is>
          <t>34.0</t>
        </is>
      </c>
      <c r="L929" t="n">
        <v>8.99</v>
      </c>
      <c r="M929" s="1" t="inlineStr">
        <is>
          <t>-73.56%</t>
        </is>
      </c>
      <c r="N929" t="n">
        <v>4.2</v>
      </c>
      <c r="O929" t="n">
        <v>22</v>
      </c>
      <c r="Q929" t="inlineStr">
        <is>
          <t>InStock</t>
        </is>
      </c>
      <c r="R929" t="inlineStr">
        <is>
          <t>34.0</t>
        </is>
      </c>
      <c r="S929" t="inlineStr">
        <is>
          <t>4404965605487</t>
        </is>
      </c>
    </row>
    <row r="930" ht="75" customHeight="1">
      <c r="A930" s="2">
        <f>HYPERLINK("https://camerareadycosmetics.com/products/face-atelier-ultra-blush", "https://camerareadycosmetics.com/products/face-atelier-ultra-blush")</f>
        <v/>
      </c>
      <c r="B930" s="2">
        <f>HYPERLINK("https://camerareadycosmetics.com/products/face-atelier-ultra-blush", "https://camerareadycosmetics.com/products/face-atelier-ultra-blush")</f>
        <v/>
      </c>
      <c r="C930" t="inlineStr">
        <is>
          <t>Ultra Blush</t>
        </is>
      </c>
      <c r="D930" t="inlineStr">
        <is>
          <t>e.l.f. Putty Blush, Creamy &amp; Ultra Pigmented Formula, Infused with Argan Oil &amp; Vitamin E, Fiji, 0.35 Oz (10g)</t>
        </is>
      </c>
      <c r="E930" s="2">
        <f>HYPERLINK("https://www.amazon.com/l-f-Pigmented-Formula-Infused-Vitamin/dp/B096N5YZ3H/ref=sr_1_8?keywords=Ultra+Blush&amp;qid=1695565752&amp;sr=8-8", "https://www.amazon.com/l-f-Pigmented-Formula-Infused-Vitamin/dp/B096N5YZ3H/ref=sr_1_8?keywords=Ultra+Blush&amp;qid=1695565752&amp;sr=8-8")</f>
        <v/>
      </c>
      <c r="F930" t="inlineStr">
        <is>
          <t>B096N5YZ3H</t>
        </is>
      </c>
      <c r="G930">
        <f>_xlfn.IMAGE("https://camerareadycosmetics.com/cdn/shop/products/tangerine-ultra-blush_50x.jpg?v=1585506485")</f>
        <v/>
      </c>
      <c r="H930">
        <f>_xlfn.IMAGE("https://m.media-amazon.com/images/I/41SX87U6VGS._AC_UL320_.jpg")</f>
        <v/>
      </c>
      <c r="K930" t="inlineStr">
        <is>
          <t>34.0</t>
        </is>
      </c>
      <c r="L930" t="n">
        <v>7</v>
      </c>
      <c r="M930" s="1" t="inlineStr">
        <is>
          <t>-79.41%</t>
        </is>
      </c>
      <c r="N930" t="n">
        <v>4.4</v>
      </c>
      <c r="O930" t="n">
        <v>6572</v>
      </c>
      <c r="Q930" t="inlineStr">
        <is>
          <t>InStock</t>
        </is>
      </c>
      <c r="R930" t="inlineStr">
        <is>
          <t>34.0</t>
        </is>
      </c>
      <c r="S930" t="inlineStr">
        <is>
          <t>4404965605487</t>
        </is>
      </c>
    </row>
    <row r="931" ht="75" customHeight="1">
      <c r="A931" s="2">
        <f>HYPERLINK("https://camerareadycosmetics.com/products/face-atelier-ultra-blush", "https://camerareadycosmetics.com/products/face-atelier-ultra-blush")</f>
        <v/>
      </c>
      <c r="B931" s="2">
        <f>HYPERLINK("https://camerareadycosmetics.com/products/face-atelier-ultra-blush", "https://camerareadycosmetics.com/products/face-atelier-ultra-blush")</f>
        <v/>
      </c>
      <c r="C931" t="inlineStr">
        <is>
          <t>Ultra Blush</t>
        </is>
      </c>
      <c r="D931" t="inlineStr">
        <is>
          <t>SUMEITANG Liquid Blush, Soft Cream Blush Makeup, Long-wear Colour and Ultra Blendable Super Silky Stick Blush for cheeks, Long-Lasting,Waterproof And Velvet Texture Natural Glossy For All Skin - #103</t>
        </is>
      </c>
      <c r="E931" s="2">
        <f>HYPERLINK("https://www.amazon.com/SUMEITANG-Weightless-Breathable-Natural-Looking-Long-Wearing/dp/B0BRPRCYP7/ref=sr_1_9?keywords=Ultra+Blush&amp;qid=1695565752&amp;sr=8-9", "https://www.amazon.com/SUMEITANG-Weightless-Breathable-Natural-Looking-Long-Wearing/dp/B0BRPRCYP7/ref=sr_1_9?keywords=Ultra+Blush&amp;qid=1695565752&amp;sr=8-9")</f>
        <v/>
      </c>
      <c r="F931" t="inlineStr">
        <is>
          <t>B0BRPRCYP7</t>
        </is>
      </c>
      <c r="G931">
        <f>_xlfn.IMAGE("https://camerareadycosmetics.com/cdn/shop/products/tangerine-ultra-blush_50x.jpg?v=1585506485")</f>
        <v/>
      </c>
      <c r="H931">
        <f>_xlfn.IMAGE("https://m.media-amazon.com/images/I/612oUd-E88L._AC_UL320_.jpg")</f>
        <v/>
      </c>
      <c r="K931" t="inlineStr">
        <is>
          <t>34.0</t>
        </is>
      </c>
      <c r="L931" t="n">
        <v>6.99</v>
      </c>
      <c r="M931" s="1" t="inlineStr">
        <is>
          <t>-79.44%</t>
        </is>
      </c>
      <c r="N931" t="n">
        <v>4</v>
      </c>
      <c r="O931" t="n">
        <v>92</v>
      </c>
      <c r="Q931" t="inlineStr">
        <is>
          <t>InStock</t>
        </is>
      </c>
      <c r="R931" t="inlineStr">
        <is>
          <t>34.0</t>
        </is>
      </c>
      <c r="S931" t="inlineStr">
        <is>
          <t>4404965605487</t>
        </is>
      </c>
    </row>
    <row r="932" ht="75" customHeight="1">
      <c r="A932" s="2">
        <f>HYPERLINK("https://camerareadycosmetics.com/products/face-atelier-ultra-blush", "https://camerareadycosmetics.com/products/face-atelier-ultra-blush")</f>
        <v/>
      </c>
      <c r="B932" s="2">
        <f>HYPERLINK("https://camerareadycosmetics.com/products/face-atelier-ultra-blush", "https://camerareadycosmetics.com/products/face-atelier-ultra-blush")</f>
        <v/>
      </c>
      <c r="C932" t="inlineStr">
        <is>
          <t>Ultra Blush</t>
        </is>
      </c>
      <c r="D932" t="inlineStr">
        <is>
          <t>wet n wild Powder Brush, Makeup Brush for Mineral Foundation, Blush, and Bronzer Ultra-Plush Fibers</t>
        </is>
      </c>
      <c r="E932" s="2">
        <f>HYPERLINK("https://www.amazon.com/wet-wild-Essential-Foundation-Ultra-Plush/dp/B09NX9QDWC/ref=sr_1_5?keywords=Ultra+Blush&amp;qid=1695565752&amp;sr=8-5", "https://www.amazon.com/wet-wild-Essential-Foundation-Ultra-Plush/dp/B09NX9QDWC/ref=sr_1_5?keywords=Ultra+Blush&amp;qid=1695565752&amp;sr=8-5")</f>
        <v/>
      </c>
      <c r="F932" t="inlineStr">
        <is>
          <t>B09NX9QDWC</t>
        </is>
      </c>
      <c r="G932">
        <f>_xlfn.IMAGE("https://camerareadycosmetics.com/cdn/shop/products/tangerine-ultra-blush_50x.jpg?v=1585506485")</f>
        <v/>
      </c>
      <c r="H932">
        <f>_xlfn.IMAGE("https://m.media-amazon.com/images/I/61jb3qr0YLL._AC_UL320_.jpg")</f>
        <v/>
      </c>
      <c r="K932" t="inlineStr">
        <is>
          <t>34.0</t>
        </is>
      </c>
      <c r="L932" t="n">
        <v>3.23</v>
      </c>
      <c r="M932" s="1" t="inlineStr">
        <is>
          <t>-90.50%</t>
        </is>
      </c>
      <c r="N932" t="n">
        <v>4.6</v>
      </c>
      <c r="O932" t="n">
        <v>11976</v>
      </c>
      <c r="Q932" t="inlineStr">
        <is>
          <t>InStock</t>
        </is>
      </c>
      <c r="R932" t="inlineStr">
        <is>
          <t>34.0</t>
        </is>
      </c>
      <c r="S932" t="inlineStr">
        <is>
          <t>4404965605487</t>
        </is>
      </c>
    </row>
    <row r="933" ht="75" customHeight="1">
      <c r="A933" s="2">
        <f>HYPERLINK("https://camerareadycosmetics.com/products/face-atelier-ultra-foundation", "https://camerareadycosmetics.com/products/face-atelier-ultra-foundation")</f>
        <v/>
      </c>
      <c r="B933" s="2">
        <f>HYPERLINK("https://camerareadycosmetics.com/products/face-atelier-ultra-foundation", "https://camerareadycosmetics.com/products/face-atelier-ultra-foundation")</f>
        <v/>
      </c>
      <c r="C933" t="inlineStr">
        <is>
          <t>Ultra Foundation</t>
        </is>
      </c>
      <c r="D933" t="inlineStr">
        <is>
          <t>Lancôme Classic Teint Idole Ultra Wear Full Coverage Foundation - Lightweight &amp; Oil-Free With Natural Matte Finish - Up To 24H Wear - 160 Ivoire Warm</t>
        </is>
      </c>
      <c r="E933" s="2">
        <f>HYPERLINK("https://www.amazon.com/Lanc%C3%B4me-Foundation-Coverage-Lightweight-Oil-Free/dp/B01ENYN9OW/ref=sr_1_7?keywords=Ultra+Foundation&amp;qid=1695565447&amp;sr=8-7", "https://www.amazon.com/Lanc%C3%B4me-Foundation-Coverage-Lightweight-Oil-Free/dp/B01ENYN9OW/ref=sr_1_7?keywords=Ultra+Foundation&amp;qid=1695565447&amp;sr=8-7")</f>
        <v/>
      </c>
      <c r="F933" t="inlineStr">
        <is>
          <t>B01ENYN9OW</t>
        </is>
      </c>
      <c r="G933">
        <f>_xlfn.IMAGE("https://camerareadycosmetics.com/cdn/shop/products/12700_zoom_1432176259_50x.jpg?v=1689625762")</f>
        <v/>
      </c>
      <c r="H933">
        <f>_xlfn.IMAGE("https://m.media-amazon.com/images/I/61hXoa1BRBL._AC_UL320_.jpg")</f>
        <v/>
      </c>
      <c r="K933" t="inlineStr">
        <is>
          <t>58.0</t>
        </is>
      </c>
      <c r="L933" t="n">
        <v>57</v>
      </c>
      <c r="M933" s="1" t="inlineStr">
        <is>
          <t>-1.72%</t>
        </is>
      </c>
      <c r="N933" t="n">
        <v>4.4</v>
      </c>
      <c r="O933" t="n">
        <v>41</v>
      </c>
      <c r="Q933" t="inlineStr">
        <is>
          <t>InStock</t>
        </is>
      </c>
      <c r="R933" t="inlineStr">
        <is>
          <t>undefined</t>
        </is>
      </c>
      <c r="S933" t="inlineStr">
        <is>
          <t>7034554055</t>
        </is>
      </c>
    </row>
    <row r="934" ht="75" customHeight="1">
      <c r="A934" s="2">
        <f>HYPERLINK("https://camerareadycosmetics.com/products/face-atelier-ultra-foundation", "https://camerareadycosmetics.com/products/face-atelier-ultra-foundation")</f>
        <v/>
      </c>
      <c r="B934" s="2">
        <f>HYPERLINK("https://camerareadycosmetics.com/products/face-atelier-ultra-foundation", "https://camerareadycosmetics.com/products/face-atelier-ultra-foundation")</f>
        <v/>
      </c>
      <c r="C934" t="inlineStr">
        <is>
          <t>Ultra Foundation</t>
        </is>
      </c>
      <c r="D934" t="inlineStr">
        <is>
          <t>Lancôme Classic Teint Idole Ultra Wear Full Coverage Foundation - Lightweight &amp; Oil-Free With Natural Matte Finish - Up To 24H Wear - 380 Bisque Warm</t>
        </is>
      </c>
      <c r="E934" s="2">
        <f>HYPERLINK("https://www.amazon.com/Lanc%C3%B4me-Foundation-Coverage-Lightweight-Oil-Free/dp/B011ZJ6TMM/ref=sr_1_10?keywords=Ultra+Foundation&amp;qid=1695565447&amp;sr=8-10", "https://www.amazon.com/Lanc%C3%B4me-Foundation-Coverage-Lightweight-Oil-Free/dp/B011ZJ6TMM/ref=sr_1_10?keywords=Ultra+Foundation&amp;qid=1695565447&amp;sr=8-10")</f>
        <v/>
      </c>
      <c r="F934" t="inlineStr">
        <is>
          <t>B011ZJ6TMM</t>
        </is>
      </c>
      <c r="G934">
        <f>_xlfn.IMAGE("https://camerareadycosmetics.com/cdn/shop/products/12700_zoom_1432176259_50x.jpg?v=1689625762")</f>
        <v/>
      </c>
      <c r="H934">
        <f>_xlfn.IMAGE("https://m.media-amazon.com/images/I/61wPhfuguyL._AC_UL320_.jpg")</f>
        <v/>
      </c>
      <c r="K934" t="inlineStr">
        <is>
          <t>58.0</t>
        </is>
      </c>
      <c r="L934" t="n">
        <v>57</v>
      </c>
      <c r="M934" s="1" t="inlineStr">
        <is>
          <t>-1.72%</t>
        </is>
      </c>
      <c r="N934" t="n">
        <v>4.6</v>
      </c>
      <c r="O934" t="n">
        <v>32</v>
      </c>
      <c r="Q934" t="inlineStr">
        <is>
          <t>InStock</t>
        </is>
      </c>
      <c r="R934" t="inlineStr">
        <is>
          <t>undefined</t>
        </is>
      </c>
      <c r="S934" t="inlineStr">
        <is>
          <t>7034554055</t>
        </is>
      </c>
    </row>
    <row r="935" ht="75" customHeight="1">
      <c r="A935" s="2">
        <f>HYPERLINK("https://camerareadycosmetics.com/products/face-atelier-ultra-foundation", "https://camerareadycosmetics.com/products/face-atelier-ultra-foundation")</f>
        <v/>
      </c>
      <c r="B935" s="2">
        <f>HYPERLINK("https://camerareadycosmetics.com/products/face-atelier-ultra-foundation", "https://camerareadycosmetics.com/products/face-atelier-ultra-foundation")</f>
        <v/>
      </c>
      <c r="C935" t="inlineStr">
        <is>
          <t>Ultra Foundation</t>
        </is>
      </c>
      <c r="D935" t="inlineStr">
        <is>
          <t>Lancôme Teint Idôle Ultra Wear Care &amp; Glow Foundation for Up to 24H Healthy Glow - SPF27 - Medium Buildable Coverage &amp; Natural Glow Finish</t>
        </is>
      </c>
      <c r="E935" s="2">
        <f>HYPERLINK("https://www.amazon.com/Lanc%C3%B4me-Teint-Idole-Ultra-Foundation/dp/B0BHKQ67ZW/ref=sr_1_6?keywords=Ultra+Foundation&amp;qid=1695565447&amp;sr=8-6", "https://www.amazon.com/Lanc%C3%B4me-Teint-Idole-Ultra-Foundation/dp/B0BHKQ67ZW/ref=sr_1_6?keywords=Ultra+Foundation&amp;qid=1695565447&amp;sr=8-6")</f>
        <v/>
      </c>
      <c r="F935" t="inlineStr">
        <is>
          <t>B0BHKQ67ZW</t>
        </is>
      </c>
      <c r="G935">
        <f>_xlfn.IMAGE("https://camerareadycosmetics.com/cdn/shop/products/12700_zoom_1432176259_50x.jpg?v=1689625762")</f>
        <v/>
      </c>
      <c r="H935">
        <f>_xlfn.IMAGE("https://m.media-amazon.com/images/I/61yb3f8LFRL._AC_UL320_.jpg")</f>
        <v/>
      </c>
      <c r="K935" t="inlineStr">
        <is>
          <t>58.0</t>
        </is>
      </c>
      <c r="L935" t="n">
        <v>57</v>
      </c>
      <c r="M935" s="1" t="inlineStr">
        <is>
          <t>-1.72%</t>
        </is>
      </c>
      <c r="N935" t="n">
        <v>4.3</v>
      </c>
      <c r="O935" t="n">
        <v>130</v>
      </c>
      <c r="Q935" t="inlineStr">
        <is>
          <t>InStock</t>
        </is>
      </c>
      <c r="R935" t="inlineStr">
        <is>
          <t>undefined</t>
        </is>
      </c>
      <c r="S935" t="inlineStr">
        <is>
          <t>7034554055</t>
        </is>
      </c>
    </row>
    <row r="936" ht="75" customHeight="1">
      <c r="A936" s="2">
        <f>HYPERLINK("https://camerareadycosmetics.com/products/face-atelier-ultra-foundation", "https://camerareadycosmetics.com/products/face-atelier-ultra-foundation")</f>
        <v/>
      </c>
      <c r="B936" s="2">
        <f>HYPERLINK("https://camerareadycosmetics.com/products/face-atelier-ultra-foundation", "https://camerareadycosmetics.com/products/face-atelier-ultra-foundation")</f>
        <v/>
      </c>
      <c r="C936" t="inlineStr">
        <is>
          <t>Ultra Foundation</t>
        </is>
      </c>
      <c r="D936" t="inlineStr">
        <is>
          <t>Lancôme Classic Teint Idole Ultra Wear Full Coverage Foundation - Lightweight &amp; Oil-Free With Natural Matte Finish - Up To 24H Wear - 100 Ivoire Neutral</t>
        </is>
      </c>
      <c r="E936" s="2">
        <f>HYPERLINK("https://www.amazon.com/Lanc%C3%B4me-Teint-Idole-Coverage-Foundation/dp/B007C8G0TS/ref=sr_1_4?keywords=Ultra+Foundation&amp;qid=1695565447&amp;sr=8-4", "https://www.amazon.com/Lanc%C3%B4me-Teint-Idole-Coverage-Foundation/dp/B007C8G0TS/ref=sr_1_4?keywords=Ultra+Foundation&amp;qid=1695565447&amp;sr=8-4")</f>
        <v/>
      </c>
      <c r="F936" t="inlineStr">
        <is>
          <t>B007C8G0TS</t>
        </is>
      </c>
      <c r="G936">
        <f>_xlfn.IMAGE("https://camerareadycosmetics.com/cdn/shop/products/12700_zoom_1432176259_50x.jpg?v=1689625762")</f>
        <v/>
      </c>
      <c r="H936">
        <f>_xlfn.IMAGE("https://m.media-amazon.com/images/I/61aWTGPGV9L._AC_UL320_.jpg")</f>
        <v/>
      </c>
      <c r="K936" t="inlineStr">
        <is>
          <t>58.0</t>
        </is>
      </c>
      <c r="L936" t="n">
        <v>57</v>
      </c>
      <c r="M936" s="1" t="inlineStr">
        <is>
          <t>-1.72%</t>
        </is>
      </c>
      <c r="N936" t="n">
        <v>4.2</v>
      </c>
      <c r="O936" t="n">
        <v>6</v>
      </c>
      <c r="Q936" t="inlineStr">
        <is>
          <t>InStock</t>
        </is>
      </c>
      <c r="R936" t="inlineStr">
        <is>
          <t>undefined</t>
        </is>
      </c>
      <c r="S936" t="inlineStr">
        <is>
          <t>7034554055</t>
        </is>
      </c>
    </row>
    <row r="937" ht="75" customHeight="1">
      <c r="A937" s="2">
        <f>HYPERLINK("https://camerareadycosmetics.com/products/face-atelier-ultra-foundation", "https://camerareadycosmetics.com/products/face-atelier-ultra-foundation")</f>
        <v/>
      </c>
      <c r="B937" s="2">
        <f>HYPERLINK("https://camerareadycosmetics.com/products/face-atelier-ultra-foundation", "https://camerareadycosmetics.com/products/face-atelier-ultra-foundation")</f>
        <v/>
      </c>
      <c r="C937" t="inlineStr">
        <is>
          <t>Ultra Foundation</t>
        </is>
      </c>
      <c r="D937" t="inlineStr">
        <is>
          <t>Lancôme Classic Teint Idole Ultra Wear Full Coverage Foundation - Lightweight &amp; Oil-Free With Natural Matte Finish - Up To 24H Wear - 095 Ivoire Warm</t>
        </is>
      </c>
      <c r="E937" s="2">
        <f>HYPERLINK("https://www.amazon.com/Lanc%C3%B4me-Foundation-Coverage-Lightweight-Oil-Free/dp/B08NHQBTXQ/ref=sr_1_8?keywords=Ultra+Foundation&amp;qid=1695565447&amp;sr=8-8", "https://www.amazon.com/Lanc%C3%B4me-Foundation-Coverage-Lightweight-Oil-Free/dp/B08NHQBTXQ/ref=sr_1_8?keywords=Ultra+Foundation&amp;qid=1695565447&amp;sr=8-8")</f>
        <v/>
      </c>
      <c r="F937" t="inlineStr">
        <is>
          <t>B08NHQBTXQ</t>
        </is>
      </c>
      <c r="G937">
        <f>_xlfn.IMAGE("https://camerareadycosmetics.com/cdn/shop/products/12700_zoom_1432176259_50x.jpg?v=1689625762")</f>
        <v/>
      </c>
      <c r="H937">
        <f>_xlfn.IMAGE("https://m.media-amazon.com/images/I/61cHEbIVV2L._AC_UL320_.jpg")</f>
        <v/>
      </c>
      <c r="K937" t="inlineStr">
        <is>
          <t>58.0</t>
        </is>
      </c>
      <c r="L937" t="n">
        <v>57</v>
      </c>
      <c r="M937" s="1" t="inlineStr">
        <is>
          <t>-1.72%</t>
        </is>
      </c>
      <c r="N937" t="n">
        <v>3.7</v>
      </c>
      <c r="O937" t="n">
        <v>7</v>
      </c>
      <c r="Q937" t="inlineStr">
        <is>
          <t>InStock</t>
        </is>
      </c>
      <c r="R937" t="inlineStr">
        <is>
          <t>undefined</t>
        </is>
      </c>
      <c r="S937" t="inlineStr">
        <is>
          <t>7034554055</t>
        </is>
      </c>
    </row>
    <row r="938" ht="75" customHeight="1">
      <c r="A938" s="2">
        <f>HYPERLINK("https://camerareadycosmetics.com/products/face-atelier-ultra-foundation", "https://camerareadycosmetics.com/products/face-atelier-ultra-foundation")</f>
        <v/>
      </c>
      <c r="B938" s="2">
        <f>HYPERLINK("https://camerareadycosmetics.com/products/face-atelier-ultra-foundation", "https://camerareadycosmetics.com/products/face-atelier-ultra-foundation")</f>
        <v/>
      </c>
      <c r="C938" t="inlineStr">
        <is>
          <t>Ultra Foundation</t>
        </is>
      </c>
      <c r="D938" t="inlineStr">
        <is>
          <t>Lancôme Teint Idôle Ultra Wear Foundation Stick for up to 24H Wear - Full Coverage - Oil-Free &amp; Natural Matte Finish</t>
        </is>
      </c>
      <c r="E938" s="2">
        <f>HYPERLINK("https://www.amazon.com/Lanc%C3%B4me-Foundation-Coverage-Oil-Free-Natural/dp/B071GMTBWZ/ref=sr_1_3?keywords=Ultra+Foundation&amp;qid=1695565447&amp;sr=8-3", "https://www.amazon.com/Lanc%C3%B4me-Foundation-Coverage-Oil-Free-Natural/dp/B071GMTBWZ/ref=sr_1_3?keywords=Ultra+Foundation&amp;qid=1695565447&amp;sr=8-3")</f>
        <v/>
      </c>
      <c r="F938" t="inlineStr">
        <is>
          <t>B071GMTBWZ</t>
        </is>
      </c>
      <c r="G938">
        <f>_xlfn.IMAGE("https://camerareadycosmetics.com/cdn/shop/products/12700_zoom_1432176259_50x.jpg?v=1689625762")</f>
        <v/>
      </c>
      <c r="H938">
        <f>_xlfn.IMAGE("https://m.media-amazon.com/images/I/51hmWtkpmgL._AC_UL320_.jpg")</f>
        <v/>
      </c>
      <c r="K938" t="inlineStr">
        <is>
          <t>58.0</t>
        </is>
      </c>
      <c r="L938" t="n">
        <v>49</v>
      </c>
      <c r="M938" s="1" t="inlineStr">
        <is>
          <t>-15.52%</t>
        </is>
      </c>
      <c r="N938" t="n">
        <v>4.5</v>
      </c>
      <c r="O938" t="n">
        <v>455</v>
      </c>
      <c r="Q938" t="inlineStr">
        <is>
          <t>InStock</t>
        </is>
      </c>
      <c r="R938" t="inlineStr">
        <is>
          <t>undefined</t>
        </is>
      </c>
      <c r="S938" t="inlineStr">
        <is>
          <t>7034554055</t>
        </is>
      </c>
    </row>
    <row r="939" ht="75" customHeight="1">
      <c r="A939" s="2">
        <f>HYPERLINK("https://camerareadycosmetics.com/products/face-atelier-ultra-foundation", "https://camerareadycosmetics.com/products/face-atelier-ultra-foundation")</f>
        <v/>
      </c>
      <c r="B939" s="2">
        <f>HYPERLINK("https://camerareadycosmetics.com/products/face-atelier-ultra-foundation", "https://camerareadycosmetics.com/products/face-atelier-ultra-foundation")</f>
        <v/>
      </c>
      <c r="C939" t="inlineStr">
        <is>
          <t>Ultra Foundation</t>
        </is>
      </c>
      <c r="D939" t="inlineStr">
        <is>
          <t>Lancôme Teint Idole Ultra Wear Buildable Full Coverage Foundation - Longwear &amp; Waterproof - Natural Matte Finish - 110C (Fair Skin with Cool/Pinky Undertones), 1 Fl Oz</t>
        </is>
      </c>
      <c r="E939" s="2">
        <f>HYPERLINK("https://www.amazon.com/Lanc%C3%B4me-Teint-Buildable-Coverage-Foundation/dp/B0BNWCNN8M/ref=sr_1_1?keywords=Ultra+Foundation&amp;qid=1695565447&amp;sr=8-1", "https://www.amazon.com/Lanc%C3%B4me-Teint-Buildable-Coverage-Foundation/dp/B0BNWCNN8M/ref=sr_1_1?keywords=Ultra+Foundation&amp;qid=1695565447&amp;sr=8-1")</f>
        <v/>
      </c>
      <c r="F939" t="inlineStr">
        <is>
          <t>B0BNWCNN8M</t>
        </is>
      </c>
      <c r="G939">
        <f>_xlfn.IMAGE("https://camerareadycosmetics.com/cdn/shop/products/12700_zoom_1432176259_50x.jpg?v=1689625762")</f>
        <v/>
      </c>
      <c r="H939">
        <f>_xlfn.IMAGE("https://m.media-amazon.com/images/I/611LHga25uL._AC_UL320_.jpg")</f>
        <v/>
      </c>
      <c r="K939" t="inlineStr">
        <is>
          <t>58.0</t>
        </is>
      </c>
      <c r="L939" t="n">
        <v>48.45</v>
      </c>
      <c r="M939" s="1" t="inlineStr">
        <is>
          <t>-16.47%</t>
        </is>
      </c>
      <c r="N939" t="n">
        <v>4.6</v>
      </c>
      <c r="O939" t="n">
        <v>1234</v>
      </c>
      <c r="Q939" t="inlineStr">
        <is>
          <t>InStock</t>
        </is>
      </c>
      <c r="R939" t="inlineStr">
        <is>
          <t>undefined</t>
        </is>
      </c>
      <c r="S939" t="inlineStr">
        <is>
          <t>7034554055</t>
        </is>
      </c>
    </row>
    <row r="940" ht="75" customHeight="1">
      <c r="A940" s="2">
        <f>HYPERLINK("https://camerareadycosmetics.com/products/face-atelier-ultra-foundation", "https://camerareadycosmetics.com/products/face-atelier-ultra-foundation")</f>
        <v/>
      </c>
      <c r="B940" s="2">
        <f>HYPERLINK("https://camerareadycosmetics.com/products/face-atelier-ultra-foundation", "https://camerareadycosmetics.com/products/face-atelier-ultra-foundation")</f>
        <v/>
      </c>
      <c r="C940" t="inlineStr">
        <is>
          <t>Ultra Foundation</t>
        </is>
      </c>
      <c r="D940" t="inlineStr">
        <is>
          <t>Merle Norman Ultra Powder Foundation- Chiffon</t>
        </is>
      </c>
      <c r="E940" s="2">
        <f>HYPERLINK("https://www.amazon.com/Merle-Norman-Powder-Foundation-Chiffon/dp/B071WBF6ZD/ref=sr_1_9?keywords=Ultra+Foundation&amp;qid=1695565447&amp;sr=8-9", "https://www.amazon.com/Merle-Norman-Powder-Foundation-Chiffon/dp/B071WBF6ZD/ref=sr_1_9?keywords=Ultra+Foundation&amp;qid=1695565447&amp;sr=8-9")</f>
        <v/>
      </c>
      <c r="F940" t="inlineStr">
        <is>
          <t>B071WBF6ZD</t>
        </is>
      </c>
      <c r="G940">
        <f>_xlfn.IMAGE("https://camerareadycosmetics.com/cdn/shop/products/12700_zoom_1432176259_50x.jpg?v=1689625762")</f>
        <v/>
      </c>
      <c r="H940">
        <f>_xlfn.IMAGE("https://m.media-amazon.com/images/I/71b4Y+oA90L._AC_UL320_.jpg")</f>
        <v/>
      </c>
      <c r="K940" t="inlineStr">
        <is>
          <t>58.0</t>
        </is>
      </c>
      <c r="L940" t="n">
        <v>45.28</v>
      </c>
      <c r="M940" s="1" t="inlineStr">
        <is>
          <t>-21.93%</t>
        </is>
      </c>
      <c r="N940" t="n">
        <v>4.5</v>
      </c>
      <c r="O940" t="n">
        <v>13</v>
      </c>
      <c r="Q940" t="inlineStr">
        <is>
          <t>InStock</t>
        </is>
      </c>
      <c r="R940" t="inlineStr">
        <is>
          <t>undefined</t>
        </is>
      </c>
      <c r="S940" t="inlineStr">
        <is>
          <t>7034554055</t>
        </is>
      </c>
    </row>
    <row r="941" ht="75" customHeight="1">
      <c r="A941" s="2">
        <f>HYPERLINK("https://camerareadycosmetics.com/products/face-atelier-ultra-foundation", "https://camerareadycosmetics.com/products/face-atelier-ultra-foundation")</f>
        <v/>
      </c>
      <c r="B941" s="2">
        <f>HYPERLINK("https://camerareadycosmetics.com/products/face-atelier-ultra-foundation", "https://camerareadycosmetics.com/products/face-atelier-ultra-foundation")</f>
        <v/>
      </c>
      <c r="C941" t="inlineStr">
        <is>
          <t>Ultra Foundation</t>
        </is>
      </c>
      <c r="D941" t="inlineStr">
        <is>
          <t>Pacifica Ultra CC Cream Radiant Foundation SPF 17 - Natural-Medium Women 1 oz</t>
        </is>
      </c>
      <c r="E941" s="2">
        <f>HYPERLINK("https://www.amazon.com/Pacifica-Beauty-Radiant-Foundation-Natural/dp/B00LBGN2UC/ref=sr_1_2?keywords=Ultra+Foundation&amp;qid=1695565447&amp;sr=8-2", "https://www.amazon.com/Pacifica-Beauty-Radiant-Foundation-Natural/dp/B00LBGN2UC/ref=sr_1_2?keywords=Ultra+Foundation&amp;qid=1695565447&amp;sr=8-2")</f>
        <v/>
      </c>
      <c r="F941" t="inlineStr">
        <is>
          <t>B00LBGN2UC</t>
        </is>
      </c>
      <c r="G941">
        <f>_xlfn.IMAGE("https://camerareadycosmetics.com/cdn/shop/products/12700_zoom_1432176259_50x.jpg?v=1689625762")</f>
        <v/>
      </c>
      <c r="H941">
        <f>_xlfn.IMAGE("https://m.media-amazon.com/images/I/61AwLDw5R2L._AC_UL320_.jpg")</f>
        <v/>
      </c>
      <c r="K941" t="inlineStr">
        <is>
          <t>58.0</t>
        </is>
      </c>
      <c r="L941" t="n">
        <v>17.99</v>
      </c>
      <c r="M941" s="1" t="inlineStr">
        <is>
          <t>-68.98%</t>
        </is>
      </c>
      <c r="N941" t="n">
        <v>4.1</v>
      </c>
      <c r="O941" t="n">
        <v>1641</v>
      </c>
      <c r="Q941" t="inlineStr">
        <is>
          <t>InStock</t>
        </is>
      </c>
      <c r="R941" t="inlineStr">
        <is>
          <t>undefined</t>
        </is>
      </c>
      <c r="S941" t="inlineStr">
        <is>
          <t>7034554055</t>
        </is>
      </c>
    </row>
    <row r="942" ht="75" customHeight="1">
      <c r="A942" s="2">
        <f>HYPERLINK("https://camerareadycosmetics.com/products/face-atelier-ultra-foundation", "https://camerareadycosmetics.com/products/face-atelier-ultra-foundation")</f>
        <v/>
      </c>
      <c r="B942" s="2">
        <f>HYPERLINK("https://camerareadycosmetics.com/products/face-atelier-ultra-foundation", "https://camerareadycosmetics.com/products/face-atelier-ultra-foundation")</f>
        <v/>
      </c>
      <c r="C942" t="inlineStr">
        <is>
          <t>Ultra Foundation</t>
        </is>
      </c>
      <c r="D942" t="inlineStr">
        <is>
          <t>Pacifica Ultra CC Cream Radiant Foundation SPF 17 - Natural-Medium Women 1 oz</t>
        </is>
      </c>
      <c r="E942" s="2">
        <f>HYPERLINK("https://www.amazon.com/Pacifica-Beauty-Radiant-Foundation-Natural/dp/B00LBGN2UC/ref=sr_1_2?keywords=Ultra+Foundation&amp;qid=1695565447&amp;sr=8-2", "https://www.amazon.com/Pacifica-Beauty-Radiant-Foundation-Natural/dp/B00LBGN2UC/ref=sr_1_2?keywords=Ultra+Foundation&amp;qid=1695565447&amp;sr=8-2")</f>
        <v/>
      </c>
      <c r="F942" t="inlineStr">
        <is>
          <t>B00LBGN2UC</t>
        </is>
      </c>
      <c r="G942">
        <f>_xlfn.IMAGE("https://camerareadycosmetics.com/cdn/shop/products/12700_zoom_1432176259_50x.jpg?v=1689625762")</f>
        <v/>
      </c>
      <c r="H942">
        <f>_xlfn.IMAGE("https://m.media-amazon.com/images/I/61AwLDw5R2L._AC_UL320_.jpg")</f>
        <v/>
      </c>
      <c r="K942" t="inlineStr">
        <is>
          <t>58.0</t>
        </is>
      </c>
      <c r="L942" t="n">
        <v>17.99</v>
      </c>
      <c r="M942" s="1" t="inlineStr">
        <is>
          <t>-68.98%</t>
        </is>
      </c>
      <c r="N942" t="n">
        <v>4.1</v>
      </c>
      <c r="O942" t="n">
        <v>1641</v>
      </c>
      <c r="Q942" t="inlineStr">
        <is>
          <t>InStock</t>
        </is>
      </c>
      <c r="R942" t="inlineStr">
        <is>
          <t>undefined</t>
        </is>
      </c>
      <c r="S942" t="inlineStr">
        <is>
          <t>7034554055</t>
        </is>
      </c>
    </row>
    <row r="943" ht="75" customHeight="1">
      <c r="A943" s="2">
        <f>HYPERLINK("https://camerareadycosmetics.com/products/face-atelier-ultra-foundation-pro", "https://camerareadycosmetics.com/products/face-atelier-ultra-foundation-pro")</f>
        <v/>
      </c>
      <c r="B943" s="2">
        <f>HYPERLINK("https://camerareadycosmetics.com/products/face-atelier-ultra-foundation-pro", "https://camerareadycosmetics.com/products/face-atelier-ultra-foundation-pro")</f>
        <v/>
      </c>
      <c r="C943" t="inlineStr">
        <is>
          <t>Ultra Foundation Pro</t>
        </is>
      </c>
      <c r="D943" t="inlineStr">
        <is>
          <t>Graftobian Glamour Crème Ultra HD Foundation Super Palettes - Creme Foundation Palette, Contour Makeup, Foundation for Professional Makeup Kit, Face Makeup for Full Coverage - Inclusion Collection</t>
        </is>
      </c>
      <c r="E943" s="2">
        <f>HYPERLINK("https://www.amazon.com/Graftobian-Glamour-Creme-Foundation-Palette/dp/B07N495MB4/ref=sr_1_6?keywords=Ultra+Foundation+Pro&amp;qid=1695565412&amp;sr=8-6", "https://www.amazon.com/Graftobian-Glamour-Creme-Foundation-Palette/dp/B07N495MB4/ref=sr_1_6?keywords=Ultra+Foundation+Pro&amp;qid=1695565412&amp;sr=8-6")</f>
        <v/>
      </c>
      <c r="F943" t="inlineStr">
        <is>
          <t>B07N495MB4</t>
        </is>
      </c>
      <c r="G943">
        <f>_xlfn.IMAGE("https://camerareadycosmetics.com/cdn/shop/products/1.5_lace-face-atelier-ultra-foundation-pro_50x.jpg?v=1689623489")</f>
        <v/>
      </c>
      <c r="H943">
        <f>_xlfn.IMAGE("https://m.media-amazon.com/images/I/51qeR2cIsWL._AC_UL320_.jpg")</f>
        <v/>
      </c>
      <c r="K943" t="inlineStr">
        <is>
          <t>38.0</t>
        </is>
      </c>
      <c r="L943" t="n">
        <v>88</v>
      </c>
      <c r="M943" s="1" t="inlineStr">
        <is>
          <t>131.58%</t>
        </is>
      </c>
      <c r="N943" t="n">
        <v>4.3</v>
      </c>
      <c r="O943" t="n">
        <v>809</v>
      </c>
      <c r="Q943" t="inlineStr">
        <is>
          <t>InStock</t>
        </is>
      </c>
      <c r="R943" t="inlineStr">
        <is>
          <t>undefined</t>
        </is>
      </c>
      <c r="S943" t="inlineStr">
        <is>
          <t>7034149575</t>
        </is>
      </c>
    </row>
    <row r="944" ht="75" customHeight="1">
      <c r="A944" s="2">
        <f>HYPERLINK("https://camerareadycosmetics.com/products/face-atelier-ultra-foundation-pro", "https://camerareadycosmetics.com/products/face-atelier-ultra-foundation-pro")</f>
        <v/>
      </c>
      <c r="B944" s="2">
        <f>HYPERLINK("https://camerareadycosmetics.com/products/face-atelier-ultra-foundation-pro", "https://camerareadycosmetics.com/products/face-atelier-ultra-foundation-pro")</f>
        <v/>
      </c>
      <c r="C944" t="inlineStr">
        <is>
          <t>Ultra Foundation Pro</t>
        </is>
      </c>
      <c r="D944" t="inlineStr">
        <is>
          <t>Lancôme Teint Idole Ultra Wear Buildable Full Coverage Foundation - Longwear &amp; Waterproof - Natural Matte Finish - 250W (Light to Medium Skin with Warm/Peachy Undertones), 1 Fl Oz</t>
        </is>
      </c>
      <c r="E944" s="2">
        <f>HYPERLINK("https://www.amazon.com/Lanc%C3%B4me-Teint-Buildable-Coverage-Foundation/dp/B0BNWC57N8/ref=sr_1_3?keywords=Ultra+Foundation+Pro&amp;qid=1695565412&amp;sr=8-3", "https://www.amazon.com/Lanc%C3%B4me-Teint-Buildable-Coverage-Foundation/dp/B0BNWC57N8/ref=sr_1_3?keywords=Ultra+Foundation+Pro&amp;qid=1695565412&amp;sr=8-3")</f>
        <v/>
      </c>
      <c r="F944" t="inlineStr">
        <is>
          <t>B0BNWC57N8</t>
        </is>
      </c>
      <c r="G944">
        <f>_xlfn.IMAGE("https://camerareadycosmetics.com/cdn/shop/products/1.5_lace-face-atelier-ultra-foundation-pro_50x.jpg?v=1689623489")</f>
        <v/>
      </c>
      <c r="H944">
        <f>_xlfn.IMAGE("https://m.media-amazon.com/images/I/610ZhKY1oKL._AC_UL320_.jpg")</f>
        <v/>
      </c>
      <c r="K944" t="inlineStr">
        <is>
          <t>38.0</t>
        </is>
      </c>
      <c r="L944" t="n">
        <v>48.45</v>
      </c>
      <c r="M944" s="1" t="inlineStr">
        <is>
          <t>27.50%</t>
        </is>
      </c>
      <c r="N944" t="n">
        <v>4.6</v>
      </c>
      <c r="O944" t="n">
        <v>1234</v>
      </c>
      <c r="Q944" t="inlineStr">
        <is>
          <t>InStock</t>
        </is>
      </c>
      <c r="R944" t="inlineStr">
        <is>
          <t>undefined</t>
        </is>
      </c>
      <c r="S944" t="inlineStr">
        <is>
          <t>7034149575</t>
        </is>
      </c>
    </row>
    <row r="945" ht="75" customHeight="1">
      <c r="A945" s="2">
        <f>HYPERLINK("https://camerareadycosmetics.com/products/face-atelier-ultra-foundation-pro", "https://camerareadycosmetics.com/products/face-atelier-ultra-foundation-pro")</f>
        <v/>
      </c>
      <c r="B945" s="2">
        <f>HYPERLINK("https://camerareadycosmetics.com/products/face-atelier-ultra-foundation-pro", "https://camerareadycosmetics.com/products/face-atelier-ultra-foundation-pro")</f>
        <v/>
      </c>
      <c r="C945" t="inlineStr">
        <is>
          <t>Ultra Foundation Pro</t>
        </is>
      </c>
      <c r="D945" t="inlineStr">
        <is>
          <t>FACE atelier Ultra Foundation Pro - Tan - 7</t>
        </is>
      </c>
      <c r="E945" s="2">
        <f>HYPERLINK("https://www.amazon.com/FACE-atelier-Ultra-Foundation-Pro/dp/B0B8K5G2XL/ref=sr_1_1?keywords=Ultra+Foundation+Pro&amp;qid=1695565412&amp;sr=8-1", "https://www.amazon.com/FACE-atelier-Ultra-Foundation-Pro/dp/B0B8K5G2XL/ref=sr_1_1?keywords=Ultra+Foundation+Pro&amp;qid=1695565412&amp;sr=8-1")</f>
        <v/>
      </c>
      <c r="F945" t="inlineStr">
        <is>
          <t>B0B8K5G2XL</t>
        </is>
      </c>
      <c r="G945">
        <f>_xlfn.IMAGE("https://camerareadycosmetics.com/cdn/shop/products/1.5_lace-face-atelier-ultra-foundation-pro_50x.jpg?v=1689623489")</f>
        <v/>
      </c>
      <c r="H945">
        <f>_xlfn.IMAGE("https://m.media-amazon.com/images/I/716URtE56TL._AC_UL320_.jpg")</f>
        <v/>
      </c>
      <c r="K945" t="inlineStr">
        <is>
          <t>38.0</t>
        </is>
      </c>
      <c r="L945" t="n">
        <v>38</v>
      </c>
      <c r="M945" s="1" t="inlineStr">
        <is>
          <t>0.00%</t>
        </is>
      </c>
      <c r="N945" t="n">
        <v>4.2</v>
      </c>
      <c r="O945" t="n">
        <v>230</v>
      </c>
      <c r="Q945" t="inlineStr">
        <is>
          <t>InStock</t>
        </is>
      </c>
      <c r="R945" t="inlineStr">
        <is>
          <t>undefined</t>
        </is>
      </c>
      <c r="S945" t="inlineStr">
        <is>
          <t>7034149575</t>
        </is>
      </c>
    </row>
    <row r="946" ht="75" customHeight="1">
      <c r="A946" s="2">
        <f>HYPERLINK("https://camerareadycosmetics.com/products/face-atelier-ultra-loose-powder-pro", "https://camerareadycosmetics.com/products/face-atelier-ultra-loose-powder-pro")</f>
        <v/>
      </c>
      <c r="B946" s="2">
        <f>HYPERLINK("https://camerareadycosmetics.com/products/face-atelier-ultra-loose-powder-pro", "https://camerareadycosmetics.com/products/face-atelier-ultra-loose-powder-pro")</f>
        <v/>
      </c>
      <c r="C946" t="inlineStr">
        <is>
          <t>Ultra Loose Powder PRO</t>
        </is>
      </c>
      <c r="D946" t="inlineStr">
        <is>
          <t>Mac Studio Fix Pro Set + Blur Weightless Loose Powder Translucent</t>
        </is>
      </c>
      <c r="E946" s="2">
        <f>HYPERLINK("https://www.amazon.com/Studio-Weightless-Loose-Powder-Translucent/dp/B0C5L5PH9Z/ref=sr_1_5?keywords=Ultra+Loose+Powder+PRO&amp;qid=1695565603&amp;sr=8-5", "https://www.amazon.com/Studio-Weightless-Loose-Powder-Translucent/dp/B0C5L5PH9Z/ref=sr_1_5?keywords=Ultra+Loose+Powder+PRO&amp;qid=1695565603&amp;sr=8-5")</f>
        <v/>
      </c>
      <c r="F946" t="inlineStr">
        <is>
          <t>B0C5L5PH9Z</t>
        </is>
      </c>
      <c r="G946">
        <f>_xlfn.IMAGE("https://camerareadycosmetics.com/cdn/shop/products/face-atelier-ultra-loose-powder-pro-blaze_50x.jpg?v=1522898541")</f>
        <v/>
      </c>
      <c r="H946">
        <f>_xlfn.IMAGE("https://m.media-amazon.com/images/I/51QEEjH-YVL._AC_UL320_.jpg")</f>
        <v/>
      </c>
      <c r="K946" t="inlineStr">
        <is>
          <t>22.0</t>
        </is>
      </c>
      <c r="L946" t="n">
        <v>39.99</v>
      </c>
      <c r="M946" s="1" t="inlineStr">
        <is>
          <t>81.77%</t>
        </is>
      </c>
      <c r="N946" t="n">
        <v>5</v>
      </c>
      <c r="O946" t="n">
        <v>1</v>
      </c>
      <c r="Q946" t="inlineStr">
        <is>
          <t>InStock</t>
        </is>
      </c>
      <c r="R946" t="inlineStr">
        <is>
          <t>undefined</t>
        </is>
      </c>
      <c r="S946" t="inlineStr">
        <is>
          <t>549644795914</t>
        </is>
      </c>
    </row>
    <row r="947" ht="75" customHeight="1">
      <c r="A947" s="2">
        <f>HYPERLINK("https://camerareadycosmetics.com/products/face-atelier-ultra-loose-powder-pro", "https://camerareadycosmetics.com/products/face-atelier-ultra-loose-powder-pro")</f>
        <v/>
      </c>
      <c r="B947" s="2">
        <f>HYPERLINK("https://camerareadycosmetics.com/products/face-atelier-ultra-loose-powder-pro", "https://camerareadycosmetics.com/products/face-atelier-ultra-loose-powder-pro")</f>
        <v/>
      </c>
      <c r="C947" t="inlineStr">
        <is>
          <t>Ultra Loose Powder PRO</t>
        </is>
      </c>
      <c r="D947" t="inlineStr">
        <is>
          <t>Make Up For Ever Ultra HD Microfinishing Loose Powder Full Size Translucent 0.29 uncji</t>
        </is>
      </c>
      <c r="E947" s="2">
        <f>HYPERLINK("https://www.amazon.com/Make-Up-Ever-Microfinishing-Translucent/dp/B0719RCNVQ/ref=sr_1_4?keywords=Ultra+Loose+Powder+PRO&amp;qid=1695565603&amp;sr=8-4", "https://www.amazon.com/Make-Up-Ever-Microfinishing-Translucent/dp/B0719RCNVQ/ref=sr_1_4?keywords=Ultra+Loose+Powder+PRO&amp;qid=1695565603&amp;sr=8-4")</f>
        <v/>
      </c>
      <c r="F947" t="inlineStr">
        <is>
          <t>B0719RCNVQ</t>
        </is>
      </c>
      <c r="G947">
        <f>_xlfn.IMAGE("https://camerareadycosmetics.com/cdn/shop/products/face-atelier-ultra-loose-powder-pro-blaze_50x.jpg?v=1522898541")</f>
        <v/>
      </c>
      <c r="H947">
        <f>_xlfn.IMAGE("https://m.media-amazon.com/images/I/41mRouLbOpL._AC_UL320_.jpg")</f>
        <v/>
      </c>
      <c r="K947" t="inlineStr">
        <is>
          <t>22.0</t>
        </is>
      </c>
      <c r="L947" t="n">
        <v>30.99</v>
      </c>
      <c r="M947" s="1" t="inlineStr">
        <is>
          <t>40.86%</t>
        </is>
      </c>
      <c r="N947" t="n">
        <v>4.4</v>
      </c>
      <c r="O947" t="n">
        <v>270</v>
      </c>
      <c r="Q947" t="inlineStr">
        <is>
          <t>InStock</t>
        </is>
      </c>
      <c r="R947" t="inlineStr">
        <is>
          <t>undefined</t>
        </is>
      </c>
      <c r="S947" t="inlineStr">
        <is>
          <t>549644795914</t>
        </is>
      </c>
    </row>
    <row r="948" ht="75" customHeight="1">
      <c r="A948" s="2">
        <f>HYPERLINK("https://camerareadycosmetics.com/products/face-atelier-ultra-loose-powder-pro", "https://camerareadycosmetics.com/products/face-atelier-ultra-loose-powder-pro")</f>
        <v/>
      </c>
      <c r="B948" s="2">
        <f>HYPERLINK("https://camerareadycosmetics.com/products/face-atelier-ultra-loose-powder-pro", "https://camerareadycosmetics.com/products/face-atelier-ultra-loose-powder-pro")</f>
        <v/>
      </c>
      <c r="C948" t="inlineStr">
        <is>
          <t>Ultra Loose Powder PRO</t>
        </is>
      </c>
      <c r="D948" t="inlineStr">
        <is>
          <t>CINEMA SECRETS Pro Cosmetics Ultralucent Loose Setting Powder, Beige</t>
        </is>
      </c>
      <c r="E948" s="2">
        <f>HYPERLINK("https://www.amazon.com/Cinema-Secrets-Ultralucent-Loose-Powder/dp/B003NUMQG0/ref=sr_1_1?keywords=Ultra+Loose+Powder+PRO&amp;qid=1695565603&amp;sr=8-1", "https://www.amazon.com/Cinema-Secrets-Ultralucent-Loose-Powder/dp/B003NUMQG0/ref=sr_1_1?keywords=Ultra+Loose+Powder+PRO&amp;qid=1695565603&amp;sr=8-1")</f>
        <v/>
      </c>
      <c r="F948" t="inlineStr">
        <is>
          <t>B003NUMQG0</t>
        </is>
      </c>
      <c r="G948">
        <f>_xlfn.IMAGE("https://camerareadycosmetics.com/cdn/shop/products/face-atelier-ultra-loose-powder-pro-blaze_50x.jpg?v=1522898541")</f>
        <v/>
      </c>
      <c r="H948">
        <f>_xlfn.IMAGE("https://m.media-amazon.com/images/I/819EjlcOvtL._AC_UL320_.jpg")</f>
        <v/>
      </c>
      <c r="K948" t="inlineStr">
        <is>
          <t>22.0</t>
        </is>
      </c>
      <c r="L948" t="n">
        <v>22</v>
      </c>
      <c r="M948" s="1" t="inlineStr">
        <is>
          <t>0.00%</t>
        </is>
      </c>
      <c r="N948" t="n">
        <v>4.3</v>
      </c>
      <c r="O948" t="n">
        <v>21</v>
      </c>
      <c r="Q948" t="inlineStr">
        <is>
          <t>InStock</t>
        </is>
      </c>
      <c r="R948" t="inlineStr">
        <is>
          <t>undefined</t>
        </is>
      </c>
      <c r="S948" t="inlineStr">
        <is>
          <t>549644795914</t>
        </is>
      </c>
    </row>
    <row r="949" ht="75" customHeight="1">
      <c r="A949" s="2">
        <f>HYPERLINK("https://camerareadycosmetics.com/products/face-atelier-ultra-loose-powder-pro", "https://camerareadycosmetics.com/products/face-atelier-ultra-loose-powder-pro")</f>
        <v/>
      </c>
      <c r="B949" s="2">
        <f>HYPERLINK("https://camerareadycosmetics.com/products/face-atelier-ultra-loose-powder-pro", "https://camerareadycosmetics.com/products/face-atelier-ultra-loose-powder-pro")</f>
        <v/>
      </c>
      <c r="C949" t="inlineStr">
        <is>
          <t>Ultra Loose Powder PRO</t>
        </is>
      </c>
      <c r="D949" t="inlineStr">
        <is>
          <t>L'Oreal Paris Makeup Infallible Pro-Sweep and Lock Loose Matte Setting Face Powder</t>
        </is>
      </c>
      <c r="E949" s="2">
        <f>HYPERLINK("https://www.amazon.com/LOreal-Paris-Infallible-Pro-Sweep-Translucent/dp/B074PPZYHD/ref=sr_1_2?keywords=Ultra+Loose+Powder+PRO&amp;qid=1695565603&amp;sr=8-2", "https://www.amazon.com/LOreal-Paris-Infallible-Pro-Sweep-Translucent/dp/B074PPZYHD/ref=sr_1_2?keywords=Ultra+Loose+Powder+PRO&amp;qid=1695565603&amp;sr=8-2")</f>
        <v/>
      </c>
      <c r="F949" t="inlineStr">
        <is>
          <t>B074PPZYHD</t>
        </is>
      </c>
      <c r="G949">
        <f>_xlfn.IMAGE("https://camerareadycosmetics.com/cdn/shop/products/face-atelier-ultra-loose-powder-pro-blaze_50x.jpg?v=1522898541")</f>
        <v/>
      </c>
      <c r="H949">
        <f>_xlfn.IMAGE("https://m.media-amazon.com/images/I/81hlEfx7uUL._AC_UL320_.jpg")</f>
        <v/>
      </c>
      <c r="K949" t="inlineStr">
        <is>
          <t>22.0</t>
        </is>
      </c>
      <c r="L949" t="n">
        <v>13.99</v>
      </c>
      <c r="M949" s="1" t="inlineStr">
        <is>
          <t>-36.41%</t>
        </is>
      </c>
      <c r="N949" t="n">
        <v>4.4</v>
      </c>
      <c r="O949" t="n">
        <v>4850</v>
      </c>
      <c r="Q949" t="inlineStr">
        <is>
          <t>InStock</t>
        </is>
      </c>
      <c r="R949" t="inlineStr">
        <is>
          <t>undefined</t>
        </is>
      </c>
      <c r="S949" t="inlineStr">
        <is>
          <t>549644795914</t>
        </is>
      </c>
    </row>
    <row r="950" ht="75" customHeight="1">
      <c r="A950" s="2">
        <f>HYPERLINK("https://camerareadycosmetics.com/products/face-atelier-ultra-loose-powder-pro", "https://camerareadycosmetics.com/products/face-atelier-ultra-loose-powder-pro")</f>
        <v/>
      </c>
      <c r="B950" s="2">
        <f>HYPERLINK("https://camerareadycosmetics.com/products/face-atelier-ultra-loose-powder-pro", "https://camerareadycosmetics.com/products/face-atelier-ultra-loose-powder-pro")</f>
        <v/>
      </c>
      <c r="C950" t="inlineStr">
        <is>
          <t>Ultra Loose Powder PRO</t>
        </is>
      </c>
      <c r="D950" t="inlineStr">
        <is>
          <t>NYX PROFESSIONAL MAKEUP HD Studio Finishing Powder, Loose Setting Powder - Translucent Finish</t>
        </is>
      </c>
      <c r="E950" s="2">
        <f>HYPERLINK("https://www.amazon.com/NYX-Professional-Makeup-Finishing-Translucent/dp/B009GLQG6Q/ref=sr_1_3?keywords=Ultra+Loose+Powder+PRO&amp;qid=1695565603&amp;sr=8-3", "https://www.amazon.com/NYX-Professional-Makeup-Finishing-Translucent/dp/B009GLQG6Q/ref=sr_1_3?keywords=Ultra+Loose+Powder+PRO&amp;qid=1695565603&amp;sr=8-3")</f>
        <v/>
      </c>
      <c r="F950" t="inlineStr">
        <is>
          <t>B009GLQG6Q</t>
        </is>
      </c>
      <c r="G950">
        <f>_xlfn.IMAGE("https://camerareadycosmetics.com/cdn/shop/products/face-atelier-ultra-loose-powder-pro-blaze_50x.jpg?v=1522898541")</f>
        <v/>
      </c>
      <c r="H950">
        <f>_xlfn.IMAGE("https://m.media-amazon.com/images/I/5196xGH0ZvL._AC_UL320_.jpg")</f>
        <v/>
      </c>
      <c r="K950" t="inlineStr">
        <is>
          <t>22.0</t>
        </is>
      </c>
      <c r="L950" t="n">
        <v>9.16</v>
      </c>
      <c r="M950" s="1" t="inlineStr">
        <is>
          <t>-58.36%</t>
        </is>
      </c>
      <c r="N950" t="n">
        <v>4.3</v>
      </c>
      <c r="O950" t="n">
        <v>14881</v>
      </c>
      <c r="Q950" t="inlineStr">
        <is>
          <t>InStock</t>
        </is>
      </c>
      <c r="R950" t="inlineStr">
        <is>
          <t>undefined</t>
        </is>
      </c>
      <c r="S950" t="inlineStr">
        <is>
          <t>549644795914</t>
        </is>
      </c>
    </row>
    <row r="951" ht="75" customHeight="1">
      <c r="A951" s="2">
        <f>HYPERLINK("https://camerareadycosmetics.com/products/face-atelier-ultra-loose-powder-pro", "https://camerareadycosmetics.com/products/face-atelier-ultra-loose-powder-pro")</f>
        <v/>
      </c>
      <c r="B951" s="2">
        <f>HYPERLINK("https://camerareadycosmetics.com/products/face-atelier-ultra-loose-powder-pro", "https://camerareadycosmetics.com/products/face-atelier-ultra-loose-powder-pro")</f>
        <v/>
      </c>
      <c r="C951" t="inlineStr">
        <is>
          <t>Ultra Loose Powder PRO</t>
        </is>
      </c>
      <c r="D951" t="inlineStr">
        <is>
          <t>Setting Powder Lightweight Loose Powder Finishing Powder Long-Lasting Face Powder Waterproof with Soft Mushroom Powder Puff &amp; Mirror, Shimmery Finish,0.28 Oz (Soft Pink)</t>
        </is>
      </c>
      <c r="E951" s="2">
        <f>HYPERLINK("https://www.amazon.com/Lightweight-Finishing-Long-Lasting-Waterproof-Mushroom/dp/B0CBK6QJDZ/ref=sr_1_6?keywords=Ultra+Loose+Powder+PRO&amp;qid=1695565603&amp;sr=8-6", "https://www.amazon.com/Lightweight-Finishing-Long-Lasting-Waterproof-Mushroom/dp/B0CBK6QJDZ/ref=sr_1_6?keywords=Ultra+Loose+Powder+PRO&amp;qid=1695565603&amp;sr=8-6")</f>
        <v/>
      </c>
      <c r="F951" t="inlineStr">
        <is>
          <t>B0CBK6QJDZ</t>
        </is>
      </c>
      <c r="G951">
        <f>_xlfn.IMAGE("https://camerareadycosmetics.com/cdn/shop/products/face-atelier-ultra-loose-powder-pro-blaze_50x.jpg?v=1522898541")</f>
        <v/>
      </c>
      <c r="H951">
        <f>_xlfn.IMAGE("https://m.media-amazon.com/images/I/71bjrhGbnsL._AC_UL320_.jpg")</f>
        <v/>
      </c>
      <c r="K951" t="inlineStr">
        <is>
          <t>22.0</t>
        </is>
      </c>
      <c r="L951" t="n">
        <v>8.99</v>
      </c>
      <c r="M951" s="1" t="inlineStr">
        <is>
          <t>-59.14%</t>
        </is>
      </c>
      <c r="N951" t="n">
        <v>4.1</v>
      </c>
      <c r="O951" t="n">
        <v>22</v>
      </c>
      <c r="Q951" t="inlineStr">
        <is>
          <t>InStock</t>
        </is>
      </c>
      <c r="R951" t="inlineStr">
        <is>
          <t>undefined</t>
        </is>
      </c>
      <c r="S951" t="inlineStr">
        <is>
          <t>549644795914</t>
        </is>
      </c>
    </row>
    <row r="952" ht="75" customHeight="1">
      <c r="A952" s="2">
        <f>HYPERLINK("https://camerareadycosmetics.com/products/face-atelier-ultra-loose-powder-pro", "https://camerareadycosmetics.com/products/face-atelier-ultra-loose-powder-pro")</f>
        <v/>
      </c>
      <c r="B952" s="2">
        <f>HYPERLINK("https://camerareadycosmetics.com/products/face-atelier-ultra-loose-powder-pro", "https://camerareadycosmetics.com/products/face-atelier-ultra-loose-powder-pro")</f>
        <v/>
      </c>
      <c r="C952" t="inlineStr">
        <is>
          <t>Ultra Loose Powder PRO</t>
        </is>
      </c>
      <c r="D952" t="inlineStr">
        <is>
          <t>Kiss New York Pro Touch Setting Powder, Loose Setting Powder, Lightweight, Long-Lasting Face Powder Makeup, Controls Oil, Finishing Powder for Medium &amp; Tan Skin Tones (Earth)</t>
        </is>
      </c>
      <c r="E952" s="2">
        <f>HYPERLINK("https://www.amazon.com/Setting-Lightweight-Long-Lasting-Controls-Finishing/dp/B0742R1N5Z/ref=sr_1_8?keywords=Ultra+Loose+Powder+PRO&amp;qid=1695565603&amp;sr=8-8", "https://www.amazon.com/Setting-Lightweight-Long-Lasting-Controls-Finishing/dp/B0742R1N5Z/ref=sr_1_8?keywords=Ultra+Loose+Powder+PRO&amp;qid=1695565603&amp;sr=8-8")</f>
        <v/>
      </c>
      <c r="F952" t="inlineStr">
        <is>
          <t>B0742R1N5Z</t>
        </is>
      </c>
      <c r="G952">
        <f>_xlfn.IMAGE("https://camerareadycosmetics.com/cdn/shop/products/face-atelier-ultra-loose-powder-pro-blaze_50x.jpg?v=1522898541")</f>
        <v/>
      </c>
      <c r="H952">
        <f>_xlfn.IMAGE("https://m.media-amazon.com/images/I/71d9yslil2L._AC_UL320_.jpg")</f>
        <v/>
      </c>
      <c r="K952" t="inlineStr">
        <is>
          <t>22.0</t>
        </is>
      </c>
      <c r="L952" t="n">
        <v>7.99</v>
      </c>
      <c r="M952" s="1" t="inlineStr">
        <is>
          <t>-63.68%</t>
        </is>
      </c>
      <c r="N952" t="n">
        <v>4.6</v>
      </c>
      <c r="O952" t="n">
        <v>24</v>
      </c>
      <c r="Q952" t="inlineStr">
        <is>
          <t>InStock</t>
        </is>
      </c>
      <c r="R952" t="inlineStr">
        <is>
          <t>undefined</t>
        </is>
      </c>
      <c r="S952" t="inlineStr">
        <is>
          <t>549644795914</t>
        </is>
      </c>
    </row>
    <row r="953" ht="75" customHeight="1">
      <c r="A953" s="2">
        <f>HYPERLINK("https://camerareadycosmetics.com/products/face-atelier-ultra-loose-powder-pro", "https://camerareadycosmetics.com/products/face-atelier-ultra-loose-powder-pro")</f>
        <v/>
      </c>
      <c r="B953" s="2">
        <f>HYPERLINK("https://camerareadycosmetics.com/products/face-atelier-ultra-loose-powder-pro", "https://camerareadycosmetics.com/products/face-atelier-ultra-loose-powder-pro")</f>
        <v/>
      </c>
      <c r="C953" t="inlineStr">
        <is>
          <t>Ultra Loose Powder PRO</t>
        </is>
      </c>
      <c r="D953" t="inlineStr">
        <is>
          <t>NYX PROFESSIONAL MAKEUP HD Studio Finishing Powder, Loose Setting Powder - Translucent Finish</t>
        </is>
      </c>
      <c r="E953" s="2">
        <f>HYPERLINK("https://www.amazon.com/NYX-Professional-Makeup-Finishing-Translucent/dp/B009GLQG6Q/ref=sr_1_3?keywords=Ultra+Loose+Powder+PRO&amp;qid=1695565603&amp;sr=8-3", "https://www.amazon.com/NYX-Professional-Makeup-Finishing-Translucent/dp/B009GLQG6Q/ref=sr_1_3?keywords=Ultra+Loose+Powder+PRO&amp;qid=1695565603&amp;sr=8-3")</f>
        <v/>
      </c>
      <c r="F953" t="inlineStr">
        <is>
          <t>B009GLQG6Q</t>
        </is>
      </c>
      <c r="G953">
        <f>_xlfn.IMAGE("https://camerareadycosmetics.com/cdn/shop/products/face-atelier-ultra-loose-powder-pro-blaze_50x.jpg?v=1522898541")</f>
        <v/>
      </c>
      <c r="H953">
        <f>_xlfn.IMAGE("https://m.media-amazon.com/images/I/5196xGH0ZvL._AC_UL320_.jpg")</f>
        <v/>
      </c>
      <c r="K953" t="inlineStr">
        <is>
          <t>22.0</t>
        </is>
      </c>
      <c r="L953" t="n">
        <v>9.16</v>
      </c>
      <c r="M953" s="1" t="inlineStr">
        <is>
          <t>-58.36%</t>
        </is>
      </c>
      <c r="N953" t="n">
        <v>4.3</v>
      </c>
      <c r="O953" t="n">
        <v>14881</v>
      </c>
      <c r="Q953" t="inlineStr">
        <is>
          <t>InStock</t>
        </is>
      </c>
      <c r="R953" t="inlineStr">
        <is>
          <t>undefined</t>
        </is>
      </c>
      <c r="S953" t="inlineStr">
        <is>
          <t>549644795914</t>
        </is>
      </c>
    </row>
    <row r="954" ht="75" customHeight="1">
      <c r="A954" s="2">
        <f>HYPERLINK("https://camerareadycosmetics.com/products/face-atelier-ultra-loose-powder-pro", "https://camerareadycosmetics.com/products/face-atelier-ultra-loose-powder-pro")</f>
        <v/>
      </c>
      <c r="B954" s="2">
        <f>HYPERLINK("https://camerareadycosmetics.com/products/face-atelier-ultra-loose-powder-pro", "https://camerareadycosmetics.com/products/face-atelier-ultra-loose-powder-pro")</f>
        <v/>
      </c>
      <c r="C954" t="inlineStr">
        <is>
          <t>Ultra Loose Powder PRO</t>
        </is>
      </c>
      <c r="D954" t="inlineStr">
        <is>
          <t>Setting Powder Lightweight Loose Powder Finishing Powder Long-Lasting Face Powder Waterproof with Soft Mushroom Powder Puff &amp; Mirror, Shimmery Finish,0.28 Oz (Soft Pink)</t>
        </is>
      </c>
      <c r="E954" s="2">
        <f>HYPERLINK("https://www.amazon.com/Lightweight-Finishing-Long-Lasting-Waterproof-Mushroom/dp/B0CBK6QJDZ/ref=sr_1_6?keywords=Ultra+Loose+Powder+PRO&amp;qid=1695565603&amp;sr=8-6", "https://www.amazon.com/Lightweight-Finishing-Long-Lasting-Waterproof-Mushroom/dp/B0CBK6QJDZ/ref=sr_1_6?keywords=Ultra+Loose+Powder+PRO&amp;qid=1695565603&amp;sr=8-6")</f>
        <v/>
      </c>
      <c r="F954" t="inlineStr">
        <is>
          <t>B0CBK6QJDZ</t>
        </is>
      </c>
      <c r="G954">
        <f>_xlfn.IMAGE("https://camerareadycosmetics.com/cdn/shop/products/face-atelier-ultra-loose-powder-pro-blaze_50x.jpg?v=1522898541")</f>
        <v/>
      </c>
      <c r="H954">
        <f>_xlfn.IMAGE("https://m.media-amazon.com/images/I/71bjrhGbnsL._AC_UL320_.jpg")</f>
        <v/>
      </c>
      <c r="K954" t="inlineStr">
        <is>
          <t>22.0</t>
        </is>
      </c>
      <c r="L954" t="n">
        <v>8.99</v>
      </c>
      <c r="M954" s="1" t="inlineStr">
        <is>
          <t>-59.14%</t>
        </is>
      </c>
      <c r="N954" t="n">
        <v>4.1</v>
      </c>
      <c r="O954" t="n">
        <v>22</v>
      </c>
      <c r="Q954" t="inlineStr">
        <is>
          <t>InStock</t>
        </is>
      </c>
      <c r="R954" t="inlineStr">
        <is>
          <t>undefined</t>
        </is>
      </c>
      <c r="S954" t="inlineStr">
        <is>
          <t>549644795914</t>
        </is>
      </c>
    </row>
    <row r="955" ht="75" customHeight="1">
      <c r="A955" s="2">
        <f>HYPERLINK("https://camerareadycosmetics.com/products/face-atelier-ultra-loose-powder-pro", "https://camerareadycosmetics.com/products/face-atelier-ultra-loose-powder-pro")</f>
        <v/>
      </c>
      <c r="B955" s="2">
        <f>HYPERLINK("https://camerareadycosmetics.com/products/face-atelier-ultra-loose-powder-pro", "https://camerareadycosmetics.com/products/face-atelier-ultra-loose-powder-pro")</f>
        <v/>
      </c>
      <c r="C955" t="inlineStr">
        <is>
          <t>Ultra Loose Powder PRO</t>
        </is>
      </c>
      <c r="D955" t="inlineStr">
        <is>
          <t>Kiss New York Pro Touch Setting Powder, Loose Setting Powder, Lightweight, Long-Lasting Face Powder Makeup, Controls Oil, Finishing Powder for Medium &amp; Tan Skin Tones (Earth)</t>
        </is>
      </c>
      <c r="E955" s="2">
        <f>HYPERLINK("https://www.amazon.com/Setting-Lightweight-Long-Lasting-Controls-Finishing/dp/B0742R1N5Z/ref=sr_1_8?keywords=Ultra+Loose+Powder+PRO&amp;qid=1695565603&amp;sr=8-8", "https://www.amazon.com/Setting-Lightweight-Long-Lasting-Controls-Finishing/dp/B0742R1N5Z/ref=sr_1_8?keywords=Ultra+Loose+Powder+PRO&amp;qid=1695565603&amp;sr=8-8")</f>
        <v/>
      </c>
      <c r="F955" t="inlineStr">
        <is>
          <t>B0742R1N5Z</t>
        </is>
      </c>
      <c r="G955">
        <f>_xlfn.IMAGE("https://camerareadycosmetics.com/cdn/shop/products/face-atelier-ultra-loose-powder-pro-blaze_50x.jpg?v=1522898541")</f>
        <v/>
      </c>
      <c r="H955">
        <f>_xlfn.IMAGE("https://m.media-amazon.com/images/I/71d9yslil2L._AC_UL320_.jpg")</f>
        <v/>
      </c>
      <c r="K955" t="inlineStr">
        <is>
          <t>22.0</t>
        </is>
      </c>
      <c r="L955" t="n">
        <v>7.99</v>
      </c>
      <c r="M955" s="1" t="inlineStr">
        <is>
          <t>-63.68%</t>
        </is>
      </c>
      <c r="N955" t="n">
        <v>4.6</v>
      </c>
      <c r="O955" t="n">
        <v>24</v>
      </c>
      <c r="Q955" t="inlineStr">
        <is>
          <t>InStock</t>
        </is>
      </c>
      <c r="R955" t="inlineStr">
        <is>
          <t>undefined</t>
        </is>
      </c>
      <c r="S955" t="inlineStr">
        <is>
          <t>549644795914</t>
        </is>
      </c>
    </row>
    <row r="956" ht="75" customHeight="1">
      <c r="A956" s="2">
        <f>HYPERLINK("https://camerareadycosmetics.com/products/face-atelier-ultra-matte", "https://camerareadycosmetics.com/products/face-atelier-ultra-matte")</f>
        <v/>
      </c>
      <c r="B956" s="2">
        <f>HYPERLINK("https://camerareadycosmetics.com/products/face-atelier-ultra-matte", "https://camerareadycosmetics.com/products/face-atelier-ultra-matte")</f>
        <v/>
      </c>
      <c r="C956" t="inlineStr">
        <is>
          <t>Ultra Matte</t>
        </is>
      </c>
      <c r="D956" t="inlineStr">
        <is>
          <t>Urban Decay All Nighter Ultra Matte Setting Spray - Makeup Finishing Spray - Lasts Up To 16 Hours - Oil &amp; Shine-Controlling Mist - Great for Oily Skin</t>
        </is>
      </c>
      <c r="E956" s="2">
        <f>HYPERLINK("https://www.amazon.com/Urban-Decay-Spray-Ultra-Matte/dp/B083TY8N7Q/ref=sr_1_2?keywords=Ultra+Matte&amp;qid=1695565602&amp;sr=8-2", "https://www.amazon.com/Urban-Decay-Spray-Ultra-Matte/dp/B083TY8N7Q/ref=sr_1_2?keywords=Ultra+Matte&amp;qid=1695565602&amp;sr=8-2")</f>
        <v/>
      </c>
      <c r="F956" t="inlineStr">
        <is>
          <t>B083TY8N7Q</t>
        </is>
      </c>
      <c r="G956">
        <f>_xlfn.IMAGE("https://camerareadycosmetics.com/cdn/shop/products/123010000__97214.1432171123.600.600_50x.jpeg?v=1506731300")</f>
        <v/>
      </c>
      <c r="H956">
        <f>_xlfn.IMAGE("https://m.media-amazon.com/images/I/51Ah3OYNwbL._AC_UL320_.jpg")</f>
        <v/>
      </c>
      <c r="K956" t="inlineStr">
        <is>
          <t>46.0</t>
        </is>
      </c>
      <c r="L956" t="n">
        <v>30.6</v>
      </c>
      <c r="M956" s="1" t="inlineStr">
        <is>
          <t>-33.48%</t>
        </is>
      </c>
      <c r="N956" t="n">
        <v>4.2</v>
      </c>
      <c r="O956" t="n">
        <v>2247</v>
      </c>
      <c r="Q956" t="inlineStr">
        <is>
          <t>InStock</t>
        </is>
      </c>
      <c r="R956" t="inlineStr">
        <is>
          <t>undefined</t>
        </is>
      </c>
      <c r="S956" t="inlineStr">
        <is>
          <t>7045196679</t>
        </is>
      </c>
    </row>
    <row r="957" ht="75" customHeight="1">
      <c r="A957" s="2">
        <f>HYPERLINK("https://camerareadycosmetics.com/products/face-atelier-ultra-matte", "https://camerareadycosmetics.com/products/face-atelier-ultra-matte")</f>
        <v/>
      </c>
      <c r="B957" s="2">
        <f>HYPERLINK("https://camerareadycosmetics.com/products/face-atelier-ultra-matte", "https://camerareadycosmetics.com/products/face-atelier-ultra-matte")</f>
        <v/>
      </c>
      <c r="C957" t="inlineStr">
        <is>
          <t>Ultra Matte</t>
        </is>
      </c>
      <c r="D957" t="inlineStr">
        <is>
          <t>TORRAS Magnetic Slim Fit Designed for iPhone 15 Pro Case 2023, [Compatible with MagSafe] [Ultra Thin] Protective Matte Hard PC Cover Anti-Scratch Phone Case for iPhone 15 Pro, Elegant Purple</t>
        </is>
      </c>
      <c r="E957" s="2">
        <f>HYPERLINK("https://www.amazon.com/TORRAS-Magnetic-Compatible-Protective-Anti-Scratch/dp/B0CBK3N67P/ref=sr_1_9?keywords=Ultra+Matte&amp;qid=1695565602&amp;sr=8-9", "https://www.amazon.com/TORRAS-Magnetic-Compatible-Protective-Anti-Scratch/dp/B0CBK3N67P/ref=sr_1_9?keywords=Ultra+Matte&amp;qid=1695565602&amp;sr=8-9")</f>
        <v/>
      </c>
      <c r="F957" t="inlineStr">
        <is>
          <t>B0CBK3N67P</t>
        </is>
      </c>
      <c r="G957">
        <f>_xlfn.IMAGE("https://camerareadycosmetics.com/cdn/shop/products/123010000__97214.1432171123.600.600_50x.jpeg?v=1506731300")</f>
        <v/>
      </c>
      <c r="H957">
        <f>_xlfn.IMAGE("https://m.media-amazon.com/images/I/711CfdPS93L._AC_UL320_.jpg")</f>
        <v/>
      </c>
      <c r="K957" t="inlineStr">
        <is>
          <t>46.0</t>
        </is>
      </c>
      <c r="L957" t="n">
        <v>26.98</v>
      </c>
      <c r="M957" s="1" t="inlineStr">
        <is>
          <t>-41.35%</t>
        </is>
      </c>
      <c r="N957" t="n">
        <v>4.5</v>
      </c>
      <c r="O957" t="n">
        <v>26</v>
      </c>
      <c r="Q957" t="inlineStr">
        <is>
          <t>InStock</t>
        </is>
      </c>
      <c r="R957" t="inlineStr">
        <is>
          <t>undefined</t>
        </is>
      </c>
      <c r="S957" t="inlineStr">
        <is>
          <t>7045196679</t>
        </is>
      </c>
    </row>
    <row r="958" ht="75" customHeight="1">
      <c r="A958" s="2">
        <f>HYPERLINK("https://camerareadycosmetics.com/products/face-atelier-ultra-matte", "https://camerareadycosmetics.com/products/face-atelier-ultra-matte")</f>
        <v/>
      </c>
      <c r="B958" s="2">
        <f>HYPERLINK("https://camerareadycosmetics.com/products/face-atelier-ultra-matte", "https://camerareadycosmetics.com/products/face-atelier-ultra-matte")</f>
        <v/>
      </c>
      <c r="C958" t="inlineStr">
        <is>
          <t>Ultra Matte</t>
        </is>
      </c>
      <c r="D958" t="inlineStr">
        <is>
          <t>TORRAS Slim Fit Designed for iPhone 15 Pro Case 6.1 inch, Ultra Thin Designed for iPhone 15 Pro Case 2023, Lightweight Matte Hard PC Slim Thin Cases Designed for iPhone 15 Professional Case, Black</t>
        </is>
      </c>
      <c r="E958" s="2">
        <f>HYPERLINK("https://www.amazon.com/TORRAS-Designed-iPhone-Lightweight-Professional/dp/B0CBJHKMTW/ref=sr_1_5?keywords=Ultra+Matte&amp;qid=1695565602&amp;sr=8-5", "https://www.amazon.com/TORRAS-Designed-iPhone-Lightweight-Professional/dp/B0CBJHKMTW/ref=sr_1_5?keywords=Ultra+Matte&amp;qid=1695565602&amp;sr=8-5")</f>
        <v/>
      </c>
      <c r="F958" t="inlineStr">
        <is>
          <t>B0CBJHKMTW</t>
        </is>
      </c>
      <c r="G958">
        <f>_xlfn.IMAGE("https://camerareadycosmetics.com/cdn/shop/products/123010000__97214.1432171123.600.600_50x.jpeg?v=1506731300")</f>
        <v/>
      </c>
      <c r="H958">
        <f>_xlfn.IMAGE("https://m.media-amazon.com/images/I/71VTET9+9OL._AC_UL320_.jpg")</f>
        <v/>
      </c>
      <c r="K958" t="inlineStr">
        <is>
          <t>46.0</t>
        </is>
      </c>
      <c r="L958" t="n">
        <v>18.79</v>
      </c>
      <c r="M958" s="1" t="inlineStr">
        <is>
          <t>-59.15%</t>
        </is>
      </c>
      <c r="N958" t="n">
        <v>3.9</v>
      </c>
      <c r="O958" t="n">
        <v>12</v>
      </c>
      <c r="Q958" t="inlineStr">
        <is>
          <t>InStock</t>
        </is>
      </c>
      <c r="R958" t="inlineStr">
        <is>
          <t>undefined</t>
        </is>
      </c>
      <c r="S958" t="inlineStr">
        <is>
          <t>7045196679</t>
        </is>
      </c>
    </row>
    <row r="959" ht="75" customHeight="1">
      <c r="A959" s="2">
        <f>HYPERLINK("https://camerareadycosmetics.com/products/face-atelier-ultra-matte", "https://camerareadycosmetics.com/products/face-atelier-ultra-matte")</f>
        <v/>
      </c>
      <c r="B959" s="2">
        <f>HYPERLINK("https://camerareadycosmetics.com/products/face-atelier-ultra-matte", "https://camerareadycosmetics.com/products/face-atelier-ultra-matte")</f>
        <v/>
      </c>
      <c r="C959" t="inlineStr">
        <is>
          <t>Ultra Matte</t>
        </is>
      </c>
      <c r="D959" t="inlineStr">
        <is>
          <t>memumi for iPhone 15 Pro Ultra Thin Case, Camera Lens Cover Full Protection 0.3mm Lightweight Matte Finish Coating Hard Slim Case for iPhone 15 Pro Minimalist Design Semi-Transparent White</t>
        </is>
      </c>
      <c r="E959" s="2">
        <f>HYPERLINK("https://www.amazon.com/memumi-Protection-Lightweight-Minimalist-Semi-Transparent/dp/B0CF1B95X8/ref=sr_1_10?keywords=Ultra+Matte&amp;qid=1695565602&amp;sr=8-10", "https://www.amazon.com/memumi-Protection-Lightweight-Minimalist-Semi-Transparent/dp/B0CF1B95X8/ref=sr_1_10?keywords=Ultra+Matte&amp;qid=1695565602&amp;sr=8-10")</f>
        <v/>
      </c>
      <c r="F959" t="inlineStr">
        <is>
          <t>B0CF1B95X8</t>
        </is>
      </c>
      <c r="G959">
        <f>_xlfn.IMAGE("https://camerareadycosmetics.com/cdn/shop/products/123010000__97214.1432171123.600.600_50x.jpeg?v=1506731300")</f>
        <v/>
      </c>
      <c r="H959">
        <f>_xlfn.IMAGE("https://m.media-amazon.com/images/I/61NNxe2ppjL._AC_UL320_.jpg")</f>
        <v/>
      </c>
      <c r="K959" t="inlineStr">
        <is>
          <t>46.0</t>
        </is>
      </c>
      <c r="L959" t="n">
        <v>15.99</v>
      </c>
      <c r="M959" s="1" t="inlineStr">
        <is>
          <t>-65.24%</t>
        </is>
      </c>
      <c r="N959" t="n">
        <v>1</v>
      </c>
      <c r="O959" t="n">
        <v>2</v>
      </c>
      <c r="Q959" t="inlineStr">
        <is>
          <t>InStock</t>
        </is>
      </c>
      <c r="R959" t="inlineStr">
        <is>
          <t>undefined</t>
        </is>
      </c>
      <c r="S959" t="inlineStr">
        <is>
          <t>7045196679</t>
        </is>
      </c>
    </row>
    <row r="960" ht="75" customHeight="1">
      <c r="A960" s="2">
        <f>HYPERLINK("https://camerareadycosmetics.com/products/face-atelier-ultra-matte", "https://camerareadycosmetics.com/products/face-atelier-ultra-matte")</f>
        <v/>
      </c>
      <c r="B960" s="2">
        <f>HYPERLINK("https://camerareadycosmetics.com/products/face-atelier-ultra-matte", "https://camerareadycosmetics.com/products/face-atelier-ultra-matte")</f>
        <v/>
      </c>
      <c r="C960" t="inlineStr">
        <is>
          <t>Ultra Matte</t>
        </is>
      </c>
      <c r="D960" t="inlineStr">
        <is>
          <t>AK Interactive ultra matte varnish #183</t>
        </is>
      </c>
      <c r="E960" s="2">
        <f>HYPERLINK("https://www.amazon.com/AK-Interactive-ultra-matte-varnish/dp/B00KARY7QG/ref=sr_1_1?keywords=Ultra+Matte&amp;qid=1695565602&amp;sr=8-1", "https://www.amazon.com/AK-Interactive-ultra-matte-varnish/dp/B00KARY7QG/ref=sr_1_1?keywords=Ultra+Matte&amp;qid=1695565602&amp;sr=8-1")</f>
        <v/>
      </c>
      <c r="F960" t="inlineStr">
        <is>
          <t>B00KARY7QG</t>
        </is>
      </c>
      <c r="G960">
        <f>_xlfn.IMAGE("https://camerareadycosmetics.com/cdn/shop/products/123010000__97214.1432171123.600.600_50x.jpeg?v=1506731300")</f>
        <v/>
      </c>
      <c r="H960">
        <f>_xlfn.IMAGE("https://m.media-amazon.com/images/I/41Wy55ieKQL._AC_UL320_.jpg")</f>
        <v/>
      </c>
      <c r="K960" t="inlineStr">
        <is>
          <t>46.0</t>
        </is>
      </c>
      <c r="L960" t="n">
        <v>12.49</v>
      </c>
      <c r="M960" s="1" t="inlineStr">
        <is>
          <t>-72.85%</t>
        </is>
      </c>
      <c r="N960" t="n">
        <v>4.8</v>
      </c>
      <c r="O960" t="n">
        <v>236</v>
      </c>
      <c r="Q960" t="inlineStr">
        <is>
          <t>InStock</t>
        </is>
      </c>
      <c r="R960" t="inlineStr">
        <is>
          <t>undefined</t>
        </is>
      </c>
      <c r="S960" t="inlineStr">
        <is>
          <t>7045196679</t>
        </is>
      </c>
    </row>
    <row r="961" ht="75" customHeight="1">
      <c r="A961" s="2">
        <f>HYPERLINK("https://camerareadycosmetics.com/products/face-atelier-ultra-matte", "https://camerareadycosmetics.com/products/face-atelier-ultra-matte")</f>
        <v/>
      </c>
      <c r="B961" s="2">
        <f>HYPERLINK("https://camerareadycosmetics.com/products/face-atelier-ultra-matte", "https://camerareadycosmetics.com/products/face-atelier-ultra-matte")</f>
        <v/>
      </c>
      <c r="C961" t="inlineStr">
        <is>
          <t>Ultra Matte</t>
        </is>
      </c>
      <c r="D961" t="inlineStr">
        <is>
          <t>DecoArt Americana DuraClear Ultra Matte Varnish, 8 fl.oz</t>
        </is>
      </c>
      <c r="E961" s="2">
        <f>HYPERLINK("https://www.amazon.com/DecoArt-DAPK317-B-Americana-Enamel-Accents/dp/B00JOT3P82/ref=sr_1_6?keywords=Ultra+Matte&amp;qid=1695565602&amp;sr=8-6", "https://www.amazon.com/DecoArt-DAPK317-B-Americana-Enamel-Accents/dp/B00JOT3P82/ref=sr_1_6?keywords=Ultra+Matte&amp;qid=1695565602&amp;sr=8-6")</f>
        <v/>
      </c>
      <c r="F961" t="inlineStr">
        <is>
          <t>B00JOT3P82</t>
        </is>
      </c>
      <c r="G961">
        <f>_xlfn.IMAGE("https://camerareadycosmetics.com/cdn/shop/products/123010000__97214.1432171123.600.600_50x.jpeg?v=1506731300")</f>
        <v/>
      </c>
      <c r="H961">
        <f>_xlfn.IMAGE("https://m.media-amazon.com/images/I/81KbTL2k5SL._AC_UL320_.jpg")</f>
        <v/>
      </c>
      <c r="K961" t="inlineStr">
        <is>
          <t>46.0</t>
        </is>
      </c>
      <c r="L961" t="n">
        <v>12.26</v>
      </c>
      <c r="M961" s="1" t="inlineStr">
        <is>
          <t>-73.35%</t>
        </is>
      </c>
      <c r="N961" t="n">
        <v>4.7</v>
      </c>
      <c r="O961" t="n">
        <v>3590</v>
      </c>
      <c r="Q961" t="inlineStr">
        <is>
          <t>InStock</t>
        </is>
      </c>
      <c r="R961" t="inlineStr">
        <is>
          <t>undefined</t>
        </is>
      </c>
      <c r="S961" t="inlineStr">
        <is>
          <t>7045196679</t>
        </is>
      </c>
    </row>
    <row r="962" ht="75" customHeight="1">
      <c r="A962" s="2">
        <f>HYPERLINK("https://camerareadycosmetics.com/products/face-atelier-ultra-matte", "https://camerareadycosmetics.com/products/face-atelier-ultra-matte")</f>
        <v/>
      </c>
      <c r="B962" s="2">
        <f>HYPERLINK("https://camerareadycosmetics.com/products/face-atelier-ultra-matte", "https://camerareadycosmetics.com/products/face-atelier-ultra-matte")</f>
        <v/>
      </c>
      <c r="C962" t="inlineStr">
        <is>
          <t>Ultra Matte</t>
        </is>
      </c>
      <c r="D962" t="inlineStr">
        <is>
          <t>Slim Borderless for iPhone 15 Pro Phone Case 6.1"(2023) Ultra-Thin Lightweight Frameless Matte Hard PC Cover Case with Pull Ring Shockproof Non Slip Rope,Suppor Wireless Charging-Blue</t>
        </is>
      </c>
      <c r="E962" s="2">
        <f>HYPERLINK("https://www.amazon.com/GRECAZO-Borderless-Ultra-Thin-Lightweight-Charging-Blue/dp/B0CB1GJ92S/ref=sr_1_7?keywords=Ultra+Matte&amp;qid=1695565602&amp;sr=8-7", "https://www.amazon.com/GRECAZO-Borderless-Ultra-Thin-Lightweight-Charging-Blue/dp/B0CB1GJ92S/ref=sr_1_7?keywords=Ultra+Matte&amp;qid=1695565602&amp;sr=8-7")</f>
        <v/>
      </c>
      <c r="F962" t="inlineStr">
        <is>
          <t>B0CB1GJ92S</t>
        </is>
      </c>
      <c r="G962">
        <f>_xlfn.IMAGE("https://camerareadycosmetics.com/cdn/shop/products/123010000__97214.1432171123.600.600_50x.jpeg?v=1506731300")</f>
        <v/>
      </c>
      <c r="H962">
        <f>_xlfn.IMAGE("https://m.media-amazon.com/images/I/51x8MAw+YiL._AC_UL320_.jpg")</f>
        <v/>
      </c>
      <c r="K962" t="inlineStr">
        <is>
          <t>46.0</t>
        </is>
      </c>
      <c r="L962" t="n">
        <v>9.880000000000001</v>
      </c>
      <c r="M962" s="1" t="inlineStr">
        <is>
          <t>-78.52%</t>
        </is>
      </c>
      <c r="N962" t="n">
        <v>3.8</v>
      </c>
      <c r="O962" t="n">
        <v>68</v>
      </c>
      <c r="Q962" t="inlineStr">
        <is>
          <t>InStock</t>
        </is>
      </c>
      <c r="R962" t="inlineStr">
        <is>
          <t>undefined</t>
        </is>
      </c>
      <c r="S962" t="inlineStr">
        <is>
          <t>7045196679</t>
        </is>
      </c>
    </row>
    <row r="963" ht="75" customHeight="1">
      <c r="A963" s="2">
        <f>HYPERLINK("https://camerareadycosmetics.com/products/face-atelier-ultra-matte", "https://camerareadycosmetics.com/products/face-atelier-ultra-matte")</f>
        <v/>
      </c>
      <c r="B963" s="2">
        <f>HYPERLINK("https://camerareadycosmetics.com/products/face-atelier-ultra-matte", "https://camerareadycosmetics.com/products/face-atelier-ultra-matte")</f>
        <v/>
      </c>
      <c r="C963" t="inlineStr">
        <is>
          <t>Ultra Matte</t>
        </is>
      </c>
      <c r="D963" t="inlineStr">
        <is>
          <t>COVERGIRL Exhibitionist Ultra-Matte Lipstick, High Roller</t>
        </is>
      </c>
      <c r="E963" s="2">
        <f>HYPERLINK("https://www.amazon.com/Covergirl-Exhibitionist-Matte-Roller-Count/dp/B07S57TWQ1/ref=sr_1_4?keywords=Ultra+Matte&amp;qid=1695565602&amp;sr=8-4", "https://www.amazon.com/Covergirl-Exhibitionist-Matte-Roller-Count/dp/B07S57TWQ1/ref=sr_1_4?keywords=Ultra+Matte&amp;qid=1695565602&amp;sr=8-4")</f>
        <v/>
      </c>
      <c r="F963" t="inlineStr">
        <is>
          <t>B07S57TWQ1</t>
        </is>
      </c>
      <c r="G963">
        <f>_xlfn.IMAGE("https://camerareadycosmetics.com/cdn/shop/products/123010000__97214.1432171123.600.600_50x.jpeg?v=1506731300")</f>
        <v/>
      </c>
      <c r="H963">
        <f>_xlfn.IMAGE("https://m.media-amazon.com/images/I/71oeTXkL7ML._AC_UL320_.jpg")</f>
        <v/>
      </c>
      <c r="K963" t="inlineStr">
        <is>
          <t>46.0</t>
        </is>
      </c>
      <c r="L963" t="n">
        <v>6.75</v>
      </c>
      <c r="M963" s="1" t="inlineStr">
        <is>
          <t>-85.33%</t>
        </is>
      </c>
      <c r="N963" t="n">
        <v>4.1</v>
      </c>
      <c r="O963" t="n">
        <v>1890</v>
      </c>
      <c r="Q963" t="inlineStr">
        <is>
          <t>InStock</t>
        </is>
      </c>
      <c r="R963" t="inlineStr">
        <is>
          <t>undefined</t>
        </is>
      </c>
      <c r="S963" t="inlineStr">
        <is>
          <t>7045196679</t>
        </is>
      </c>
    </row>
    <row r="964" ht="75" customHeight="1">
      <c r="A964" s="2">
        <f>HYPERLINK("https://camerareadycosmetics.com/products/face-atelier-ultra-matte", "https://camerareadycosmetics.com/products/face-atelier-ultra-matte")</f>
        <v/>
      </c>
      <c r="B964" s="2">
        <f>HYPERLINK("https://camerareadycosmetics.com/products/face-atelier-ultra-matte", "https://camerareadycosmetics.com/products/face-atelier-ultra-matte")</f>
        <v/>
      </c>
      <c r="C964" t="inlineStr">
        <is>
          <t>Ultra Matte</t>
        </is>
      </c>
      <c r="D964" t="inlineStr">
        <is>
          <t>Revlon Ultra HD Matte Lipcolor, Velvety Lightweight Matte Liquid Lipstick in Pink, Devotion (600), 0.2 oz</t>
        </is>
      </c>
      <c r="E964" s="2">
        <f>HYPERLINK("https://www.amazon.com/Revlon-Lipcolor-Liquid-Lipstick-Devotion/dp/B017HYE1FQ/ref=sr_1_3?keywords=Ultra+Matte&amp;qid=1695565602&amp;sr=8-3", "https://www.amazon.com/Revlon-Lipcolor-Liquid-Lipstick-Devotion/dp/B017HYE1FQ/ref=sr_1_3?keywords=Ultra+Matte&amp;qid=1695565602&amp;sr=8-3")</f>
        <v/>
      </c>
      <c r="F964" t="inlineStr">
        <is>
          <t>B017HYE1FQ</t>
        </is>
      </c>
      <c r="G964">
        <f>_xlfn.IMAGE("https://camerareadycosmetics.com/cdn/shop/products/123010000__97214.1432171123.600.600_50x.jpeg?v=1506731300")</f>
        <v/>
      </c>
      <c r="H964">
        <f>_xlfn.IMAGE("https://m.media-amazon.com/images/I/61ltS7RTt3L._AC_UL320_.jpg")</f>
        <v/>
      </c>
      <c r="K964" t="inlineStr">
        <is>
          <t>46.0</t>
        </is>
      </c>
      <c r="L964" t="n">
        <v>6.75</v>
      </c>
      <c r="M964" s="1" t="inlineStr">
        <is>
          <t>-85.33%</t>
        </is>
      </c>
      <c r="N964" t="n">
        <v>4.4</v>
      </c>
      <c r="O964" t="n">
        <v>6359</v>
      </c>
      <c r="Q964" t="inlineStr">
        <is>
          <t>InStock</t>
        </is>
      </c>
      <c r="R964" t="inlineStr">
        <is>
          <t>undefined</t>
        </is>
      </c>
      <c r="S964" t="inlineStr">
        <is>
          <t>7045196679</t>
        </is>
      </c>
    </row>
    <row r="965" ht="75" customHeight="1">
      <c r="A965" s="2">
        <f>HYPERLINK("https://camerareadycosmetics.com/products/face-atelier-ultra-matte", "https://camerareadycosmetics.com/products/face-atelier-ultra-matte")</f>
        <v/>
      </c>
      <c r="B965" s="2">
        <f>HYPERLINK("https://camerareadycosmetics.com/products/face-atelier-ultra-matte", "https://camerareadycosmetics.com/products/face-atelier-ultra-matte")</f>
        <v/>
      </c>
      <c r="C965" t="inlineStr">
        <is>
          <t>Ultra Matte</t>
        </is>
      </c>
      <c r="D965" t="inlineStr">
        <is>
          <t>Rust-Oleum 331182 Painter's Touch 2X Ultra Cover Spray Paint, 12 oz, Ultra Matte Black</t>
        </is>
      </c>
      <c r="E965" s="2">
        <f>HYPERLINK("https://www.amazon.com/RUST-OLEUM-331182-Painters-Touch-Black/dp/B0787D4CMM/ref=sr_1_8?keywords=Ultra+Matte&amp;qid=1695565602&amp;sr=8-8", "https://www.amazon.com/RUST-OLEUM-331182-Painters-Touch-Black/dp/B0787D4CMM/ref=sr_1_8?keywords=Ultra+Matte&amp;qid=1695565602&amp;sr=8-8")</f>
        <v/>
      </c>
      <c r="F965" t="inlineStr">
        <is>
          <t>B0787D4CMM</t>
        </is>
      </c>
      <c r="G965">
        <f>_xlfn.IMAGE("https://camerareadycosmetics.com/cdn/shop/products/123010000__97214.1432171123.600.600_50x.jpeg?v=1506731300")</f>
        <v/>
      </c>
      <c r="H965">
        <f>_xlfn.IMAGE("https://m.media-amazon.com/images/I/51krRihwrcL._AC_UL320_.jpg")</f>
        <v/>
      </c>
      <c r="K965" t="inlineStr">
        <is>
          <t>46.0</t>
        </is>
      </c>
      <c r="L965" t="n">
        <v>6.49</v>
      </c>
      <c r="M965" s="1" t="inlineStr">
        <is>
          <t>-85.89%</t>
        </is>
      </c>
      <c r="N965" t="n">
        <v>4.7</v>
      </c>
      <c r="O965" t="n">
        <v>63129</v>
      </c>
      <c r="Q965" t="inlineStr">
        <is>
          <t>InStock</t>
        </is>
      </c>
      <c r="R965" t="inlineStr">
        <is>
          <t>undefined</t>
        </is>
      </c>
      <c r="S965" t="inlineStr">
        <is>
          <t>7045196679</t>
        </is>
      </c>
    </row>
    <row r="966" ht="75" customHeight="1">
      <c r="A966" s="2">
        <f>HYPERLINK("https://camerareadycosmetics.com/products/face-atelier-ultra-matte", "https://camerareadycosmetics.com/products/face-atelier-ultra-matte")</f>
        <v/>
      </c>
      <c r="B966" s="2">
        <f>HYPERLINK("https://camerareadycosmetics.com/products/face-atelier-ultra-matte", "https://camerareadycosmetics.com/products/face-atelier-ultra-matte")</f>
        <v/>
      </c>
      <c r="C966" t="inlineStr">
        <is>
          <t>Ultra Matte</t>
        </is>
      </c>
      <c r="D966" t="inlineStr">
        <is>
          <t>TORRAS Slim Fit Designed for iPhone 15 Pro Case 6.1 inch, Ultra Thin Designed for iPhone 15 Pro Case 2023, Lightweight Matte Hard PC Slim Thin Cases Designed for iPhone 15 Professional Case, Black</t>
        </is>
      </c>
      <c r="E966" s="2">
        <f>HYPERLINK("https://www.amazon.com/TORRAS-Designed-iPhone-Lightweight-Professional/dp/B0CBJHKMTW/ref=sr_1_5?keywords=Ultra+Matte&amp;qid=1695565602&amp;sr=8-5", "https://www.amazon.com/TORRAS-Designed-iPhone-Lightweight-Professional/dp/B0CBJHKMTW/ref=sr_1_5?keywords=Ultra+Matte&amp;qid=1695565602&amp;sr=8-5")</f>
        <v/>
      </c>
      <c r="F966" t="inlineStr">
        <is>
          <t>B0CBJHKMTW</t>
        </is>
      </c>
      <c r="G966">
        <f>_xlfn.IMAGE("https://camerareadycosmetics.com/cdn/shop/products/123010000__97214.1432171123.600.600_50x.jpeg?v=1506731300")</f>
        <v/>
      </c>
      <c r="H966">
        <f>_xlfn.IMAGE("https://m.media-amazon.com/images/I/71VTET9+9OL._AC_UL320_.jpg")</f>
        <v/>
      </c>
      <c r="K966" t="inlineStr">
        <is>
          <t>46.0</t>
        </is>
      </c>
      <c r="L966" t="n">
        <v>18.79</v>
      </c>
      <c r="M966" s="1" t="inlineStr">
        <is>
          <t>-59.15%</t>
        </is>
      </c>
      <c r="N966" t="n">
        <v>3.9</v>
      </c>
      <c r="O966" t="n">
        <v>12</v>
      </c>
      <c r="Q966" t="inlineStr">
        <is>
          <t>InStock</t>
        </is>
      </c>
      <c r="R966" t="inlineStr">
        <is>
          <t>undefined</t>
        </is>
      </c>
      <c r="S966" t="inlineStr">
        <is>
          <t>7045196679</t>
        </is>
      </c>
    </row>
    <row r="967" ht="75" customHeight="1">
      <c r="A967" s="2">
        <f>HYPERLINK("https://camerareadycosmetics.com/products/face-atelier-ultra-matte", "https://camerareadycosmetics.com/products/face-atelier-ultra-matte")</f>
        <v/>
      </c>
      <c r="B967" s="2">
        <f>HYPERLINK("https://camerareadycosmetics.com/products/face-atelier-ultra-matte", "https://camerareadycosmetics.com/products/face-atelier-ultra-matte")</f>
        <v/>
      </c>
      <c r="C967" t="inlineStr">
        <is>
          <t>Ultra Matte</t>
        </is>
      </c>
      <c r="D967" t="inlineStr">
        <is>
          <t>memumi for iPhone 15 Pro Ultra Thin Case, Camera Lens Cover Full Protection 0.3mm Lightweight Matte Finish Coating Hard Slim Case for iPhone 15 Pro Minimalist Design Semi-Transparent White</t>
        </is>
      </c>
      <c r="E967" s="2">
        <f>HYPERLINK("https://www.amazon.com/memumi-Protection-Lightweight-Minimalist-Semi-Transparent/dp/B0CF1B95X8/ref=sr_1_10?keywords=Ultra+Matte&amp;qid=1695565602&amp;sr=8-10", "https://www.amazon.com/memumi-Protection-Lightweight-Minimalist-Semi-Transparent/dp/B0CF1B95X8/ref=sr_1_10?keywords=Ultra+Matte&amp;qid=1695565602&amp;sr=8-10")</f>
        <v/>
      </c>
      <c r="F967" t="inlineStr">
        <is>
          <t>B0CF1B95X8</t>
        </is>
      </c>
      <c r="G967">
        <f>_xlfn.IMAGE("https://camerareadycosmetics.com/cdn/shop/products/123010000__97214.1432171123.600.600_50x.jpeg?v=1506731300")</f>
        <v/>
      </c>
      <c r="H967">
        <f>_xlfn.IMAGE("https://m.media-amazon.com/images/I/61NNxe2ppjL._AC_UL320_.jpg")</f>
        <v/>
      </c>
      <c r="K967" t="inlineStr">
        <is>
          <t>46.0</t>
        </is>
      </c>
      <c r="L967" t="n">
        <v>15.99</v>
      </c>
      <c r="M967" s="1" t="inlineStr">
        <is>
          <t>-65.24%</t>
        </is>
      </c>
      <c r="N967" t="n">
        <v>1</v>
      </c>
      <c r="O967" t="n">
        <v>2</v>
      </c>
      <c r="Q967" t="inlineStr">
        <is>
          <t>InStock</t>
        </is>
      </c>
      <c r="R967" t="inlineStr">
        <is>
          <t>undefined</t>
        </is>
      </c>
      <c r="S967" t="inlineStr">
        <is>
          <t>7045196679</t>
        </is>
      </c>
    </row>
    <row r="968" ht="75" customHeight="1">
      <c r="A968" s="2">
        <f>HYPERLINK("https://camerareadycosmetics.com/products/face-atelier-ultra-matte", "https://camerareadycosmetics.com/products/face-atelier-ultra-matte")</f>
        <v/>
      </c>
      <c r="B968" s="2">
        <f>HYPERLINK("https://camerareadycosmetics.com/products/face-atelier-ultra-matte", "https://camerareadycosmetics.com/products/face-atelier-ultra-matte")</f>
        <v/>
      </c>
      <c r="C968" t="inlineStr">
        <is>
          <t>Ultra Matte</t>
        </is>
      </c>
      <c r="D968" t="inlineStr">
        <is>
          <t>AK Interactive ultra matte varnish #183</t>
        </is>
      </c>
      <c r="E968" s="2">
        <f>HYPERLINK("https://www.amazon.com/AK-Interactive-ultra-matte-varnish/dp/B00KARY7QG/ref=sr_1_1?keywords=Ultra+Matte&amp;qid=1695565602&amp;sr=8-1", "https://www.amazon.com/AK-Interactive-ultra-matte-varnish/dp/B00KARY7QG/ref=sr_1_1?keywords=Ultra+Matte&amp;qid=1695565602&amp;sr=8-1")</f>
        <v/>
      </c>
      <c r="F968" t="inlineStr">
        <is>
          <t>B00KARY7QG</t>
        </is>
      </c>
      <c r="G968">
        <f>_xlfn.IMAGE("https://camerareadycosmetics.com/cdn/shop/products/123010000__97214.1432171123.600.600_50x.jpeg?v=1506731300")</f>
        <v/>
      </c>
      <c r="H968">
        <f>_xlfn.IMAGE("https://m.media-amazon.com/images/I/41Wy55ieKQL._AC_UL320_.jpg")</f>
        <v/>
      </c>
      <c r="K968" t="inlineStr">
        <is>
          <t>46.0</t>
        </is>
      </c>
      <c r="L968" t="n">
        <v>12.49</v>
      </c>
      <c r="M968" s="1" t="inlineStr">
        <is>
          <t>-72.85%</t>
        </is>
      </c>
      <c r="N968" t="n">
        <v>4.8</v>
      </c>
      <c r="O968" t="n">
        <v>236</v>
      </c>
      <c r="Q968" t="inlineStr">
        <is>
          <t>InStock</t>
        </is>
      </c>
      <c r="R968" t="inlineStr">
        <is>
          <t>undefined</t>
        </is>
      </c>
      <c r="S968" t="inlineStr">
        <is>
          <t>7045196679</t>
        </is>
      </c>
    </row>
    <row r="969" ht="75" customHeight="1">
      <c r="A969" s="2">
        <f>HYPERLINK("https://camerareadycosmetics.com/products/face-atelier-ultra-matte", "https://camerareadycosmetics.com/products/face-atelier-ultra-matte")</f>
        <v/>
      </c>
      <c r="B969" s="2">
        <f>HYPERLINK("https://camerareadycosmetics.com/products/face-atelier-ultra-matte", "https://camerareadycosmetics.com/products/face-atelier-ultra-matte")</f>
        <v/>
      </c>
      <c r="C969" t="inlineStr">
        <is>
          <t>Ultra Matte</t>
        </is>
      </c>
      <c r="D969" t="inlineStr">
        <is>
          <t>DecoArt Americana DuraClear Ultra Matte Varnish, 8 fl.oz</t>
        </is>
      </c>
      <c r="E969" s="2">
        <f>HYPERLINK("https://www.amazon.com/DecoArt-DAPK317-B-Americana-Enamel-Accents/dp/B00JOT3P82/ref=sr_1_6?keywords=Ultra+Matte&amp;qid=1695565602&amp;sr=8-6", "https://www.amazon.com/DecoArt-DAPK317-B-Americana-Enamel-Accents/dp/B00JOT3P82/ref=sr_1_6?keywords=Ultra+Matte&amp;qid=1695565602&amp;sr=8-6")</f>
        <v/>
      </c>
      <c r="F969" t="inlineStr">
        <is>
          <t>B00JOT3P82</t>
        </is>
      </c>
      <c r="G969">
        <f>_xlfn.IMAGE("https://camerareadycosmetics.com/cdn/shop/products/123010000__97214.1432171123.600.600_50x.jpeg?v=1506731300")</f>
        <v/>
      </c>
      <c r="H969">
        <f>_xlfn.IMAGE("https://m.media-amazon.com/images/I/81KbTL2k5SL._AC_UL320_.jpg")</f>
        <v/>
      </c>
      <c r="K969" t="inlineStr">
        <is>
          <t>46.0</t>
        </is>
      </c>
      <c r="L969" t="n">
        <v>12.26</v>
      </c>
      <c r="M969" s="1" t="inlineStr">
        <is>
          <t>-73.35%</t>
        </is>
      </c>
      <c r="N969" t="n">
        <v>4.7</v>
      </c>
      <c r="O969" t="n">
        <v>3590</v>
      </c>
      <c r="Q969" t="inlineStr">
        <is>
          <t>InStock</t>
        </is>
      </c>
      <c r="R969" t="inlineStr">
        <is>
          <t>undefined</t>
        </is>
      </c>
      <c r="S969" t="inlineStr">
        <is>
          <t>7045196679</t>
        </is>
      </c>
    </row>
    <row r="970" ht="75" customHeight="1">
      <c r="A970" s="2">
        <f>HYPERLINK("https://camerareadycosmetics.com/products/face-atelier-ultra-matte", "https://camerareadycosmetics.com/products/face-atelier-ultra-matte")</f>
        <v/>
      </c>
      <c r="B970" s="2">
        <f>HYPERLINK("https://camerareadycosmetics.com/products/face-atelier-ultra-matte", "https://camerareadycosmetics.com/products/face-atelier-ultra-matte")</f>
        <v/>
      </c>
      <c r="C970" t="inlineStr">
        <is>
          <t>Ultra Matte</t>
        </is>
      </c>
      <c r="D970" t="inlineStr">
        <is>
          <t>Slim Borderless for iPhone 15 Pro Phone Case 6.1"(2023) Ultra-Thin Lightweight Frameless Matte Hard PC Cover Case with Pull Ring Shockproof Non Slip Rope,Suppor Wireless Charging-Blue</t>
        </is>
      </c>
      <c r="E970" s="2">
        <f>HYPERLINK("https://www.amazon.com/GRECAZO-Borderless-Ultra-Thin-Lightweight-Charging-Blue/dp/B0CB1GJ92S/ref=sr_1_7?keywords=Ultra+Matte&amp;qid=1695565602&amp;sr=8-7", "https://www.amazon.com/GRECAZO-Borderless-Ultra-Thin-Lightweight-Charging-Blue/dp/B0CB1GJ92S/ref=sr_1_7?keywords=Ultra+Matte&amp;qid=1695565602&amp;sr=8-7")</f>
        <v/>
      </c>
      <c r="F970" t="inlineStr">
        <is>
          <t>B0CB1GJ92S</t>
        </is>
      </c>
      <c r="G970">
        <f>_xlfn.IMAGE("https://camerareadycosmetics.com/cdn/shop/products/123010000__97214.1432171123.600.600_50x.jpeg?v=1506731300")</f>
        <v/>
      </c>
      <c r="H970">
        <f>_xlfn.IMAGE("https://m.media-amazon.com/images/I/51x8MAw+YiL._AC_UL320_.jpg")</f>
        <v/>
      </c>
      <c r="K970" t="inlineStr">
        <is>
          <t>46.0</t>
        </is>
      </c>
      <c r="L970" t="n">
        <v>9.880000000000001</v>
      </c>
      <c r="M970" s="1" t="inlineStr">
        <is>
          <t>-78.52%</t>
        </is>
      </c>
      <c r="N970" t="n">
        <v>3.8</v>
      </c>
      <c r="O970" t="n">
        <v>68</v>
      </c>
      <c r="Q970" t="inlineStr">
        <is>
          <t>InStock</t>
        </is>
      </c>
      <c r="R970" t="inlineStr">
        <is>
          <t>undefined</t>
        </is>
      </c>
      <c r="S970" t="inlineStr">
        <is>
          <t>7045196679</t>
        </is>
      </c>
    </row>
    <row r="971" ht="75" customHeight="1">
      <c r="A971" s="2">
        <f>HYPERLINK("https://camerareadycosmetics.com/products/face-atelier-ultra-matte", "https://camerareadycosmetics.com/products/face-atelier-ultra-matte")</f>
        <v/>
      </c>
      <c r="B971" s="2">
        <f>HYPERLINK("https://camerareadycosmetics.com/products/face-atelier-ultra-matte", "https://camerareadycosmetics.com/products/face-atelier-ultra-matte")</f>
        <v/>
      </c>
      <c r="C971" t="inlineStr">
        <is>
          <t>Ultra Matte</t>
        </is>
      </c>
      <c r="D971" t="inlineStr">
        <is>
          <t>COVERGIRL Exhibitionist Ultra-Matte Lipstick, High Roller</t>
        </is>
      </c>
      <c r="E971" s="2">
        <f>HYPERLINK("https://www.amazon.com/Covergirl-Exhibitionist-Matte-Roller-Count/dp/B07S57TWQ1/ref=sr_1_4?keywords=Ultra+Matte&amp;qid=1695565602&amp;sr=8-4", "https://www.amazon.com/Covergirl-Exhibitionist-Matte-Roller-Count/dp/B07S57TWQ1/ref=sr_1_4?keywords=Ultra+Matte&amp;qid=1695565602&amp;sr=8-4")</f>
        <v/>
      </c>
      <c r="F971" t="inlineStr">
        <is>
          <t>B07S57TWQ1</t>
        </is>
      </c>
      <c r="G971">
        <f>_xlfn.IMAGE("https://camerareadycosmetics.com/cdn/shop/products/123010000__97214.1432171123.600.600_50x.jpeg?v=1506731300")</f>
        <v/>
      </c>
      <c r="H971">
        <f>_xlfn.IMAGE("https://m.media-amazon.com/images/I/71oeTXkL7ML._AC_UL320_.jpg")</f>
        <v/>
      </c>
      <c r="K971" t="inlineStr">
        <is>
          <t>46.0</t>
        </is>
      </c>
      <c r="L971" t="n">
        <v>6.75</v>
      </c>
      <c r="M971" s="1" t="inlineStr">
        <is>
          <t>-85.33%</t>
        </is>
      </c>
      <c r="N971" t="n">
        <v>4.1</v>
      </c>
      <c r="O971" t="n">
        <v>1890</v>
      </c>
      <c r="Q971" t="inlineStr">
        <is>
          <t>InStock</t>
        </is>
      </c>
      <c r="R971" t="inlineStr">
        <is>
          <t>undefined</t>
        </is>
      </c>
      <c r="S971" t="inlineStr">
        <is>
          <t>7045196679</t>
        </is>
      </c>
    </row>
    <row r="972" ht="75" customHeight="1">
      <c r="A972" s="2">
        <f>HYPERLINK("https://camerareadycosmetics.com/products/face-atelier-ultra-matte", "https://camerareadycosmetics.com/products/face-atelier-ultra-matte")</f>
        <v/>
      </c>
      <c r="B972" s="2">
        <f>HYPERLINK("https://camerareadycosmetics.com/products/face-atelier-ultra-matte", "https://camerareadycosmetics.com/products/face-atelier-ultra-matte")</f>
        <v/>
      </c>
      <c r="C972" t="inlineStr">
        <is>
          <t>Ultra Matte</t>
        </is>
      </c>
      <c r="D972" t="inlineStr">
        <is>
          <t>Revlon Ultra HD Matte Lipcolor, Velvety Lightweight Matte Liquid Lipstick in Pink, Devotion (600), 0.2 oz</t>
        </is>
      </c>
      <c r="E972" s="2">
        <f>HYPERLINK("https://www.amazon.com/Revlon-Lipcolor-Liquid-Lipstick-Devotion/dp/B017HYE1FQ/ref=sr_1_3?keywords=Ultra+Matte&amp;qid=1695565602&amp;sr=8-3", "https://www.amazon.com/Revlon-Lipcolor-Liquid-Lipstick-Devotion/dp/B017HYE1FQ/ref=sr_1_3?keywords=Ultra+Matte&amp;qid=1695565602&amp;sr=8-3")</f>
        <v/>
      </c>
      <c r="F972" t="inlineStr">
        <is>
          <t>B017HYE1FQ</t>
        </is>
      </c>
      <c r="G972">
        <f>_xlfn.IMAGE("https://camerareadycosmetics.com/cdn/shop/products/123010000__97214.1432171123.600.600_50x.jpeg?v=1506731300")</f>
        <v/>
      </c>
      <c r="H972">
        <f>_xlfn.IMAGE("https://m.media-amazon.com/images/I/61ltS7RTt3L._AC_UL320_.jpg")</f>
        <v/>
      </c>
      <c r="K972" t="inlineStr">
        <is>
          <t>46.0</t>
        </is>
      </c>
      <c r="L972" t="n">
        <v>6.75</v>
      </c>
      <c r="M972" s="1" t="inlineStr">
        <is>
          <t>-85.33%</t>
        </is>
      </c>
      <c r="N972" t="n">
        <v>4.4</v>
      </c>
      <c r="O972" t="n">
        <v>6359</v>
      </c>
      <c r="Q972" t="inlineStr">
        <is>
          <t>InStock</t>
        </is>
      </c>
      <c r="R972" t="inlineStr">
        <is>
          <t>undefined</t>
        </is>
      </c>
      <c r="S972" t="inlineStr">
        <is>
          <t>7045196679</t>
        </is>
      </c>
    </row>
    <row r="973" ht="75" customHeight="1">
      <c r="A973" s="2">
        <f>HYPERLINK("https://camerareadycosmetics.com/products/face-atelier-ultra-matte", "https://camerareadycosmetics.com/products/face-atelier-ultra-matte")</f>
        <v/>
      </c>
      <c r="B973" s="2">
        <f>HYPERLINK("https://camerareadycosmetics.com/products/face-atelier-ultra-matte", "https://camerareadycosmetics.com/products/face-atelier-ultra-matte")</f>
        <v/>
      </c>
      <c r="C973" t="inlineStr">
        <is>
          <t>Ultra Matte</t>
        </is>
      </c>
      <c r="D973" t="inlineStr">
        <is>
          <t>Rust-Oleum 331182 Painter's Touch 2X Ultra Cover Spray Paint, 12 oz, Ultra Matte Black</t>
        </is>
      </c>
      <c r="E973" s="2">
        <f>HYPERLINK("https://www.amazon.com/RUST-OLEUM-331182-Painters-Touch-Black/dp/B0787D4CMM/ref=sr_1_8?keywords=Ultra+Matte&amp;qid=1695565602&amp;sr=8-8", "https://www.amazon.com/RUST-OLEUM-331182-Painters-Touch-Black/dp/B0787D4CMM/ref=sr_1_8?keywords=Ultra+Matte&amp;qid=1695565602&amp;sr=8-8")</f>
        <v/>
      </c>
      <c r="F973" t="inlineStr">
        <is>
          <t>B0787D4CMM</t>
        </is>
      </c>
      <c r="G973">
        <f>_xlfn.IMAGE("https://camerareadycosmetics.com/cdn/shop/products/123010000__97214.1432171123.600.600_50x.jpeg?v=1506731300")</f>
        <v/>
      </c>
      <c r="H973">
        <f>_xlfn.IMAGE("https://m.media-amazon.com/images/I/51krRihwrcL._AC_UL320_.jpg")</f>
        <v/>
      </c>
      <c r="K973" t="inlineStr">
        <is>
          <t>46.0</t>
        </is>
      </c>
      <c r="L973" t="n">
        <v>6.49</v>
      </c>
      <c r="M973" s="1" t="inlineStr">
        <is>
          <t>-85.89%</t>
        </is>
      </c>
      <c r="N973" t="n">
        <v>4.7</v>
      </c>
      <c r="O973" t="n">
        <v>63129</v>
      </c>
      <c r="Q973" t="inlineStr">
        <is>
          <t>InStock</t>
        </is>
      </c>
      <c r="R973" t="inlineStr">
        <is>
          <t>undefined</t>
        </is>
      </c>
      <c r="S973" t="inlineStr">
        <is>
          <t>7045196679</t>
        </is>
      </c>
    </row>
    <row r="974" ht="75" customHeight="1">
      <c r="A974" s="2">
        <f>HYPERLINK("https://camerareadycosmetics.com/products/face-atelier-ultra-pressed-powder", "https://camerareadycosmetics.com/products/face-atelier-ultra-pressed-powder")</f>
        <v/>
      </c>
      <c r="B974" s="2">
        <f>HYPERLINK("https://camerareadycosmetics.com/products/face-atelier-ultra-pressed-powder", "https://camerareadycosmetics.com/products/face-atelier-ultra-pressed-powder")</f>
        <v/>
      </c>
      <c r="C974" t="inlineStr">
        <is>
          <t>Ultra Pressed Powder</t>
        </is>
      </c>
      <c r="D974" t="inlineStr">
        <is>
          <t>Soap &amp; Glory Glow &amp; Dew it Highlighting Pressed Powder - Soft, Velvety Pressed Highlighter Makeup - Lasting Ultra-Reflective Dewy Highlighter - Jojoba Seed Oil &amp; Aloe Vera Leaf Extract (7g)</t>
        </is>
      </c>
      <c r="E974" s="2">
        <f>HYPERLINK("https://www.amazon.com/Pressed-Highlighting-Powder-Soap-Glory/dp/B0853ZKPYS/ref=sr_1_7?keywords=Ultra+Pressed+Powder&amp;qid=1695565597&amp;sr=8-7", "https://www.amazon.com/Pressed-Highlighting-Powder-Soap-Glory/dp/B0853ZKPYS/ref=sr_1_7?keywords=Ultra+Pressed+Powder&amp;qid=1695565597&amp;sr=8-7")</f>
        <v/>
      </c>
      <c r="F974" t="inlineStr">
        <is>
          <t>B0853ZKPYS</t>
        </is>
      </c>
      <c r="G974">
        <f>_xlfn.IMAGE("https://camerareadycosmetics.com/cdn/shop/products/123002000__40754.1432092970.600.600_50x.jpeg?v=1689622634")</f>
        <v/>
      </c>
      <c r="H974">
        <f>_xlfn.IMAGE("https://m.media-amazon.com/images/I/51l8P4JdhJL._AC_UL320_.jpg")</f>
        <v/>
      </c>
      <c r="K974" t="inlineStr">
        <is>
          <t>14.5</t>
        </is>
      </c>
      <c r="L974" t="n">
        <v>32</v>
      </c>
      <c r="M974" s="1" t="inlineStr">
        <is>
          <t>120.69%</t>
        </is>
      </c>
      <c r="N974" t="n">
        <v>4.4</v>
      </c>
      <c r="O974" t="n">
        <v>21</v>
      </c>
      <c r="Q974" t="inlineStr">
        <is>
          <t>OutOfStock</t>
        </is>
      </c>
      <c r="R974" t="inlineStr">
        <is>
          <t>36.0</t>
        </is>
      </c>
      <c r="S974" t="inlineStr">
        <is>
          <t>7033969479</t>
        </is>
      </c>
    </row>
    <row r="975" ht="75" customHeight="1">
      <c r="A975" s="2">
        <f>HYPERLINK("https://camerareadycosmetics.com/products/face-atelier-ultra-pressed-powder", "https://camerareadycosmetics.com/products/face-atelier-ultra-pressed-powder")</f>
        <v/>
      </c>
      <c r="B975" s="2">
        <f>HYPERLINK("https://camerareadycosmetics.com/products/face-atelier-ultra-pressed-powder", "https://camerareadycosmetics.com/products/face-atelier-ultra-pressed-powder")</f>
        <v/>
      </c>
      <c r="C975" t="inlineStr">
        <is>
          <t>Ultra Pressed Powder</t>
        </is>
      </c>
      <c r="D975" t="inlineStr">
        <is>
          <t>Kett Sett Powder Pressed - Ultra Translucent Setting Shine Control Face Powder - 10g</t>
        </is>
      </c>
      <c r="E975" s="2">
        <f>HYPERLINK("https://www.amazon.com/Kett-Sett-Powder-Pressed-Translucent/dp/B00TTV8N64/ref=sr_1_4?keywords=Ultra+Pressed+Powder&amp;qid=1695565597&amp;sr=8-4", "https://www.amazon.com/Kett-Sett-Powder-Pressed-Translucent/dp/B00TTV8N64/ref=sr_1_4?keywords=Ultra+Pressed+Powder&amp;qid=1695565597&amp;sr=8-4")</f>
        <v/>
      </c>
      <c r="F975" t="inlineStr">
        <is>
          <t>B00TTV8N64</t>
        </is>
      </c>
      <c r="G975">
        <f>_xlfn.IMAGE("https://camerareadycosmetics.com/cdn/shop/products/123002000__40754.1432092970.600.600_50x.jpeg?v=1689622634")</f>
        <v/>
      </c>
      <c r="H975">
        <f>_xlfn.IMAGE("https://m.media-amazon.com/images/I/21BeG7MnWRL._AC_UL320_.jpg")</f>
        <v/>
      </c>
      <c r="K975" t="inlineStr">
        <is>
          <t>14.5</t>
        </is>
      </c>
      <c r="L975" t="n">
        <v>24</v>
      </c>
      <c r="M975" s="1" t="inlineStr">
        <is>
          <t>65.52%</t>
        </is>
      </c>
      <c r="N975" t="n">
        <v>4.2</v>
      </c>
      <c r="O975" t="n">
        <v>36</v>
      </c>
      <c r="Q975" t="inlineStr">
        <is>
          <t>OutOfStock</t>
        </is>
      </c>
      <c r="R975" t="inlineStr">
        <is>
          <t>36.0</t>
        </is>
      </c>
      <c r="S975" t="inlineStr">
        <is>
          <t>7033969479</t>
        </is>
      </c>
    </row>
    <row r="976" ht="75" customHeight="1">
      <c r="A976" s="2">
        <f>HYPERLINK("https://camerareadycosmetics.com/products/face-atelier-ultra-pressed-powder", "https://camerareadycosmetics.com/products/face-atelier-ultra-pressed-powder")</f>
        <v/>
      </c>
      <c r="B976" s="2">
        <f>HYPERLINK("https://camerareadycosmetics.com/products/face-atelier-ultra-pressed-powder", "https://camerareadycosmetics.com/products/face-atelier-ultra-pressed-powder")</f>
        <v/>
      </c>
      <c r="C976" t="inlineStr">
        <is>
          <t>Ultra Pressed Powder</t>
        </is>
      </c>
      <c r="D976" t="inlineStr">
        <is>
          <t>MANIC PANIC Vampyre's Veil White Pressed Powder - Ultra Matte White Face Powder Makeup for Buildable Light to Full Coverage - Long Lasting Setting Powder for Makeup - With Mirror &amp; Applicator (2.4oz)</t>
        </is>
      </c>
      <c r="E976" s="2">
        <f>HYPERLINK("https://www.amazon.com/Manic-Panic-Pressed-Compact-Vampire/dp/B0026IJ1IG/ref=sr_1_3?keywords=Ultra+Pressed+Powder&amp;qid=1695565597&amp;sr=8-3", "https://www.amazon.com/Manic-Panic-Pressed-Compact-Vampire/dp/B0026IJ1IG/ref=sr_1_3?keywords=Ultra+Pressed+Powder&amp;qid=1695565597&amp;sr=8-3")</f>
        <v/>
      </c>
      <c r="F976" t="inlineStr">
        <is>
          <t>B0026IJ1IG</t>
        </is>
      </c>
      <c r="G976">
        <f>_xlfn.IMAGE("https://camerareadycosmetics.com/cdn/shop/products/123002000__40754.1432092970.600.600_50x.jpeg?v=1689622634")</f>
        <v/>
      </c>
      <c r="H976">
        <f>_xlfn.IMAGE("https://m.media-amazon.com/images/I/61nIQ1MzmuL._AC_UL320_.jpg")</f>
        <v/>
      </c>
      <c r="K976" t="inlineStr">
        <is>
          <t>14.5</t>
        </is>
      </c>
      <c r="L976" t="n">
        <v>19.5</v>
      </c>
      <c r="M976" s="1" t="inlineStr">
        <is>
          <t>34.48%</t>
        </is>
      </c>
      <c r="N976" t="n">
        <v>4.5</v>
      </c>
      <c r="O976" t="n">
        <v>1327</v>
      </c>
      <c r="Q976" t="inlineStr">
        <is>
          <t>OutOfStock</t>
        </is>
      </c>
      <c r="R976" t="inlineStr">
        <is>
          <t>36.0</t>
        </is>
      </c>
      <c r="S976" t="inlineStr">
        <is>
          <t>7033969479</t>
        </is>
      </c>
    </row>
    <row r="977" ht="75" customHeight="1">
      <c r="A977" s="2">
        <f>HYPERLINK("https://camerareadycosmetics.com/products/face-atelier-ultra-pressed-powder", "https://camerareadycosmetics.com/products/face-atelier-ultra-pressed-powder")</f>
        <v/>
      </c>
      <c r="B977" s="2">
        <f>HYPERLINK("https://camerareadycosmetics.com/products/face-atelier-ultra-pressed-powder", "https://camerareadycosmetics.com/products/face-atelier-ultra-pressed-powder")</f>
        <v/>
      </c>
      <c r="C977" t="inlineStr">
        <is>
          <t>Ultra Pressed Powder</t>
        </is>
      </c>
      <c r="D977" t="inlineStr">
        <is>
          <t>MAKE UP FOR EVER Ultra HD Microfinishing Pressed Powder Translucent</t>
        </is>
      </c>
      <c r="E977" s="2">
        <f>HYPERLINK("https://www.amazon.com/MAKE-Ultra-Microfinishing-Pressed-Powder/dp/B0716F3DHR/ref=sr_1_1?keywords=Ultra+Pressed+Powder&amp;qid=1695565597&amp;sr=8-1", "https://www.amazon.com/MAKE-Ultra-Microfinishing-Pressed-Powder/dp/B0716F3DHR/ref=sr_1_1?keywords=Ultra+Pressed+Powder&amp;qid=1695565597&amp;sr=8-1")</f>
        <v/>
      </c>
      <c r="F977" t="inlineStr">
        <is>
          <t>B0716F3DHR</t>
        </is>
      </c>
      <c r="G977">
        <f>_xlfn.IMAGE("https://camerareadycosmetics.com/cdn/shop/products/123002000__40754.1432092970.600.600_50x.jpeg?v=1689622634")</f>
        <v/>
      </c>
      <c r="H977">
        <f>_xlfn.IMAGE("https://m.media-amazon.com/images/I/611llduh92L._AC_UL320_.jpg")</f>
        <v/>
      </c>
      <c r="K977" t="inlineStr">
        <is>
          <t>14.5</t>
        </is>
      </c>
      <c r="L977" t="n">
        <v>14.99</v>
      </c>
      <c r="M977" s="1" t="inlineStr">
        <is>
          <t>3.38%</t>
        </is>
      </c>
      <c r="N977" t="n">
        <v>3.8</v>
      </c>
      <c r="O977" t="n">
        <v>199</v>
      </c>
      <c r="Q977" t="inlineStr">
        <is>
          <t>OutOfStock</t>
        </is>
      </c>
      <c r="R977" t="inlineStr">
        <is>
          <t>36.0</t>
        </is>
      </c>
      <c r="S977" t="inlineStr">
        <is>
          <t>7033969479</t>
        </is>
      </c>
    </row>
    <row r="978" ht="75" customHeight="1">
      <c r="A978" s="2">
        <f>HYPERLINK("https://camerareadycosmetics.com/products/face-atelier-ultra-skin-foundation", "https://camerareadycosmetics.com/products/face-atelier-ultra-skin-foundation")</f>
        <v/>
      </c>
      <c r="B978" s="2">
        <f>HYPERLINK("https://camerareadycosmetics.com/products/face-atelier-ultra-skin-foundation", "https://camerareadycosmetics.com/products/face-atelier-ultra-skin-foundation")</f>
        <v/>
      </c>
      <c r="C978" t="inlineStr">
        <is>
          <t>Ultra Skin Foundation</t>
        </is>
      </c>
      <c r="D978" t="inlineStr">
        <is>
          <t>Lancôme Teint Idole Ultra Wear Buildable Full Coverage Foundation - Longwear &amp; Waterproof - Natural Matte Finish - 110C (Fair Skin with Cool/Pinky Undertones), 1 Fl Oz</t>
        </is>
      </c>
      <c r="E978" s="2">
        <f>HYPERLINK("https://www.amazon.com/Lanc%C3%B4me-Teint-Buildable-Coverage-Foundation/dp/B0BNWCNN8M/ref=sr_1_1?keywords=Ultra+Skin+Foundation&amp;qid=1695565516&amp;sr=8-1", "https://www.amazon.com/Lanc%C3%B4me-Teint-Buildable-Coverage-Foundation/dp/B0BNWCNN8M/ref=sr_1_1?keywords=Ultra+Skin+Foundation&amp;qid=1695565516&amp;sr=8-1")</f>
        <v/>
      </c>
      <c r="F978" t="inlineStr">
        <is>
          <t>B0BNWCNN8M</t>
        </is>
      </c>
      <c r="G978">
        <f>_xlfn.IMAGE("https://camerareadycosmetics.com/cdn/shop/products/123011000__19803.1432094482.600.600_large_fbc0f335-37cc-495d-a74b-c81fc469f67d_50x.jpg?v=1689648683")</f>
        <v/>
      </c>
      <c r="H978">
        <f>_xlfn.IMAGE("https://m.media-amazon.com/images/I/611LHga25uL._AC_UL320_.jpg")</f>
        <v/>
      </c>
      <c r="K978" t="inlineStr">
        <is>
          <t>52.0</t>
        </is>
      </c>
      <c r="L978" t="n">
        <v>48.45</v>
      </c>
      <c r="M978" s="1" t="inlineStr">
        <is>
          <t>-6.83%</t>
        </is>
      </c>
      <c r="N978" t="n">
        <v>4.6</v>
      </c>
      <c r="O978" t="n">
        <v>1234</v>
      </c>
      <c r="Q978" t="inlineStr">
        <is>
          <t>InStock</t>
        </is>
      </c>
      <c r="R978" t="inlineStr">
        <is>
          <t>undefined</t>
        </is>
      </c>
      <c r="S978" t="inlineStr">
        <is>
          <t>7045616007</t>
        </is>
      </c>
    </row>
    <row r="979" ht="75" customHeight="1">
      <c r="A979" s="2">
        <f>HYPERLINK("https://camerareadycosmetics.com/products/fitish-beauty-dont-sweat-it", "https://camerareadycosmetics.com/products/fitish-beauty-dont-sweat-it")</f>
        <v/>
      </c>
      <c r="B979" s="2">
        <f>HYPERLINK("https://camerareadycosmetics.com/products/fitish-beauty-dont-sweat-it", "https://camerareadycosmetics.com/products/fitish-beauty-dont-sweat-it")</f>
        <v/>
      </c>
      <c r="C979" t="inlineStr">
        <is>
          <t>Don't Sweat It</t>
        </is>
      </c>
      <c r="D979" t="inlineStr">
        <is>
          <t>SUPERDRIP "don't sweat it" Full Body Excessive Sweating Relief and Body Odor Control - 4 Fluid Oz</t>
        </is>
      </c>
      <c r="E979" s="2">
        <f>HYPERLINK("https://www.amazon.com/SUPERDRIP-Excessive-Sweating-Relief-Control/dp/B0BWSQHBZJ/ref=sr_1_2?keywords=Dont+Sweat+It&amp;qid=1695565438&amp;sr=8-2", "https://www.amazon.com/SUPERDRIP-Excessive-Sweating-Relief-Control/dp/B0BWSQHBZJ/ref=sr_1_2?keywords=Dont+Sweat+It&amp;qid=1695565438&amp;sr=8-2")</f>
        <v/>
      </c>
      <c r="F979" t="inlineStr">
        <is>
          <t>B0BWSQHBZJ</t>
        </is>
      </c>
      <c r="G979">
        <f>_xlfn.IMAGE("https://camerareadycosmetics.com/cdn/shop/products/fitish-beauty-dont-sweat-it_product_50x.jpg?v=1550190377")</f>
        <v/>
      </c>
      <c r="H979">
        <f>_xlfn.IMAGE("https://m.media-amazon.com/images/I/41GoM8XGPEL._AC_UY218_.jpg")</f>
        <v/>
      </c>
      <c r="K979" t="inlineStr">
        <is>
          <t>24.0</t>
        </is>
      </c>
      <c r="L979" t="n">
        <v>39</v>
      </c>
      <c r="M979" s="1" t="inlineStr">
        <is>
          <t>62.50%</t>
        </is>
      </c>
      <c r="N979" t="n">
        <v>3.3</v>
      </c>
      <c r="O979" t="n">
        <v>3</v>
      </c>
      <c r="Q979" t="inlineStr">
        <is>
          <t>InStock</t>
        </is>
      </c>
      <c r="R979" t="inlineStr">
        <is>
          <t>undefined</t>
        </is>
      </c>
      <c r="S979" t="inlineStr">
        <is>
          <t>2125007978607</t>
        </is>
      </c>
    </row>
    <row r="980" ht="75" customHeight="1">
      <c r="A980" s="2">
        <f>HYPERLINK("https://camerareadycosmetics.com/products/fitish-beauty-dont-sweat-it", "https://camerareadycosmetics.com/products/fitish-beauty-dont-sweat-it")</f>
        <v/>
      </c>
      <c r="B980" s="2">
        <f>HYPERLINK("https://camerareadycosmetics.com/products/fitish-beauty-dont-sweat-it", "https://camerareadycosmetics.com/products/fitish-beauty-dont-sweat-it")</f>
        <v/>
      </c>
      <c r="C980" t="inlineStr">
        <is>
          <t>Don't Sweat It</t>
        </is>
      </c>
      <c r="D980" t="inlineStr">
        <is>
          <t>Don't Sweat the Small Stuff--and it's all small stuff (Don't Sweat the Small Stuff Series)</t>
        </is>
      </c>
      <c r="E980" s="2">
        <f>HYPERLINK("https://www.amazon.com/Sweat-Small-Stuff-small-stuff/dp/B000JGWDT6/ref=sr_1_10?keywords=Dont+Sweat+It&amp;qid=1695565438&amp;sr=8-10", "https://www.amazon.com/Sweat-Small-Stuff-small-stuff/dp/B000JGWDT6/ref=sr_1_10?keywords=Dont+Sweat+It&amp;qid=1695565438&amp;sr=8-10")</f>
        <v/>
      </c>
      <c r="F980" t="inlineStr">
        <is>
          <t>B000JGWDT6</t>
        </is>
      </c>
      <c r="G980">
        <f>_xlfn.IMAGE("https://camerareadycosmetics.com/cdn/shop/products/fitish-beauty-dont-sweat-it_product_50x.jpg?v=1550190377")</f>
        <v/>
      </c>
      <c r="H980">
        <f>_xlfn.IMAGE("https://m.media-amazon.com/images/I/91IyfHwVueL._AC_UY218_.jpg")</f>
        <v/>
      </c>
      <c r="K980" t="inlineStr">
        <is>
          <t>24.0</t>
        </is>
      </c>
      <c r="L980" t="n">
        <v>22.89</v>
      </c>
      <c r="M980" s="1" t="inlineStr">
        <is>
          <t>-4.62%</t>
        </is>
      </c>
      <c r="N980" t="n">
        <v>4.8</v>
      </c>
      <c r="O980" t="n">
        <v>170</v>
      </c>
      <c r="Q980" t="inlineStr">
        <is>
          <t>InStock</t>
        </is>
      </c>
      <c r="R980" t="inlineStr">
        <is>
          <t>undefined</t>
        </is>
      </c>
      <c r="S980" t="inlineStr">
        <is>
          <t>2125007978607</t>
        </is>
      </c>
    </row>
    <row r="981" ht="75" customHeight="1">
      <c r="A981" s="2">
        <f>HYPERLINK("https://camerareadycosmetics.com/products/fitish-beauty-dont-sweat-it", "https://camerareadycosmetics.com/products/fitish-beauty-dont-sweat-it")</f>
        <v/>
      </c>
      <c r="B981" s="2">
        <f>HYPERLINK("https://camerareadycosmetics.com/products/fitish-beauty-dont-sweat-it", "https://camerareadycosmetics.com/products/fitish-beauty-dont-sweat-it")</f>
        <v/>
      </c>
      <c r="C981" t="inlineStr">
        <is>
          <t>Don't Sweat It</t>
        </is>
      </c>
      <c r="D981" t="inlineStr">
        <is>
          <t>Don't Sweat the Small Stuff . . . and It's All Small Stuff: Simple Ways to Keep the Little Things from Taking Over Your Life (Don't Sweat the Small Stuff Series)</t>
        </is>
      </c>
      <c r="E981" s="2">
        <f>HYPERLINK("https://www.amazon.com/Dont-Sweat-Small-Stuff-Its/dp/0786881852/ref=sr_1_3?keywords=Dont+Sweat+It&amp;qid=1695565438&amp;sr=8-3", "https://www.amazon.com/Dont-Sweat-Small-Stuff-Its/dp/0786881852/ref=sr_1_3?keywords=Dont+Sweat+It&amp;qid=1695565438&amp;sr=8-3")</f>
        <v/>
      </c>
      <c r="F981" t="inlineStr">
        <is>
          <t>0786881852</t>
        </is>
      </c>
      <c r="G981">
        <f>_xlfn.IMAGE("https://camerareadycosmetics.com/cdn/shop/products/fitish-beauty-dont-sweat-it_product_50x.jpg?v=1550190377")</f>
        <v/>
      </c>
      <c r="H981">
        <f>_xlfn.IMAGE("https://m.media-amazon.com/images/I/61OQIfAMHiL._AC_UY218_.jpg")</f>
        <v/>
      </c>
      <c r="K981" t="inlineStr">
        <is>
          <t>24.0</t>
        </is>
      </c>
      <c r="L981" t="n">
        <v>16.99</v>
      </c>
      <c r="M981" s="1" t="inlineStr">
        <is>
          <t>-29.21%</t>
        </is>
      </c>
      <c r="N981" t="n">
        <v>4.6</v>
      </c>
      <c r="O981" t="n">
        <v>5066</v>
      </c>
      <c r="Q981" t="inlineStr">
        <is>
          <t>InStock</t>
        </is>
      </c>
      <c r="R981" t="inlineStr">
        <is>
          <t>undefined</t>
        </is>
      </c>
      <c r="S981" t="inlineStr">
        <is>
          <t>2125007978607</t>
        </is>
      </c>
    </row>
    <row r="982" ht="75" customHeight="1">
      <c r="A982" s="2">
        <f>HYPERLINK("https://camerareadycosmetics.com/products/fitish-beauty-dont-sweat-it", "https://camerareadycosmetics.com/products/fitish-beauty-dont-sweat-it")</f>
        <v/>
      </c>
      <c r="B982" s="2">
        <f>HYPERLINK("https://camerareadycosmetics.com/products/fitish-beauty-dont-sweat-it", "https://camerareadycosmetics.com/products/fitish-beauty-dont-sweat-it")</f>
        <v/>
      </c>
      <c r="C982" t="inlineStr">
        <is>
          <t>Don't Sweat It</t>
        </is>
      </c>
      <c r="D982" t="inlineStr">
        <is>
          <t>Don't Sweat it, Sweetheart - the anxiety calming journal</t>
        </is>
      </c>
      <c r="E982" s="2">
        <f>HYPERLINK("https://www.amazon.com/Dont-Sweat-Sweetheart-anxiety-calming/dp/B0C524L29V/ref=sr_1_5?keywords=Dont+Sweat+It&amp;qid=1695565438&amp;sr=8-5", "https://www.amazon.com/Dont-Sweat-Sweetheart-anxiety-calming/dp/B0C524L29V/ref=sr_1_5?keywords=Dont+Sweat+It&amp;qid=1695565438&amp;sr=8-5")</f>
        <v/>
      </c>
      <c r="F982" t="inlineStr">
        <is>
          <t>B0C524L29V</t>
        </is>
      </c>
      <c r="G982">
        <f>_xlfn.IMAGE("https://camerareadycosmetics.com/cdn/shop/products/fitish-beauty-dont-sweat-it_product_50x.jpg?v=1550190377")</f>
        <v/>
      </c>
      <c r="H982">
        <f>_xlfn.IMAGE("https://m.media-amazon.com/images/I/61rc8VOQN-L._AC_UY218_.jpg")</f>
        <v/>
      </c>
      <c r="K982" t="inlineStr">
        <is>
          <t>24.0</t>
        </is>
      </c>
      <c r="L982" t="n">
        <v>15</v>
      </c>
      <c r="M982" s="1" t="inlineStr">
        <is>
          <t>-37.50%</t>
        </is>
      </c>
      <c r="N982" t="n">
        <v>5</v>
      </c>
      <c r="O982" t="n">
        <v>3</v>
      </c>
      <c r="Q982" t="inlineStr">
        <is>
          <t>InStock</t>
        </is>
      </c>
      <c r="R982" t="inlineStr">
        <is>
          <t>undefined</t>
        </is>
      </c>
      <c r="S982" t="inlineStr">
        <is>
          <t>2125007978607</t>
        </is>
      </c>
    </row>
    <row r="983" ht="75" customHeight="1">
      <c r="A983" s="2">
        <f>HYPERLINK("https://camerareadycosmetics.com/products/fitish-beauty-dont-sweat-it", "https://camerareadycosmetics.com/products/fitish-beauty-dont-sweat-it")</f>
        <v/>
      </c>
      <c r="B983" s="2">
        <f>HYPERLINK("https://camerareadycosmetics.com/products/fitish-beauty-dont-sweat-it", "https://camerareadycosmetics.com/products/fitish-beauty-dont-sweat-it")</f>
        <v/>
      </c>
      <c r="C983" t="inlineStr">
        <is>
          <t>Don't Sweat It</t>
        </is>
      </c>
      <c r="D983" t="inlineStr">
        <is>
          <t>Mixlore Don't Sweat it! (DS01EN)</t>
        </is>
      </c>
      <c r="E983" s="2">
        <f>HYPERLINK("https://www.amazon.com/Prospero-Hall-DS01-Sweat-Colours/dp/B07SL6FB7Q/ref=sr_1_9?keywords=Dont+Sweat+It&amp;qid=1695565438&amp;sr=8-9", "https://www.amazon.com/Prospero-Hall-DS01-Sweat-Colours/dp/B07SL6FB7Q/ref=sr_1_9?keywords=Dont+Sweat+It&amp;qid=1695565438&amp;sr=8-9")</f>
        <v/>
      </c>
      <c r="F983" t="inlineStr">
        <is>
          <t>B07SL6FB7Q</t>
        </is>
      </c>
      <c r="G983">
        <f>_xlfn.IMAGE("https://camerareadycosmetics.com/cdn/shop/products/fitish-beauty-dont-sweat-it_product_50x.jpg?v=1550190377")</f>
        <v/>
      </c>
      <c r="H983">
        <f>_xlfn.IMAGE("https://m.media-amazon.com/images/I/71tKmUmlyIL._AC_UY218_.jpg")</f>
        <v/>
      </c>
      <c r="K983" t="inlineStr">
        <is>
          <t>24.0</t>
        </is>
      </c>
      <c r="L983" t="n">
        <v>9.99</v>
      </c>
      <c r="M983" s="1" t="inlineStr">
        <is>
          <t>-58.38%</t>
        </is>
      </c>
      <c r="N983" t="n">
        <v>4.4</v>
      </c>
      <c r="O983" t="n">
        <v>21</v>
      </c>
      <c r="Q983" t="inlineStr">
        <is>
          <t>InStock</t>
        </is>
      </c>
      <c r="R983" t="inlineStr">
        <is>
          <t>undefined</t>
        </is>
      </c>
      <c r="S983" t="inlineStr">
        <is>
          <t>2125007978607</t>
        </is>
      </c>
    </row>
    <row r="984" ht="75" customHeight="1">
      <c r="A984" s="2">
        <f>HYPERLINK("https://camerareadycosmetics.com/products/fitish-beauty-dont-sweat-it", "https://camerareadycosmetics.com/products/fitish-beauty-dont-sweat-it")</f>
        <v/>
      </c>
      <c r="B984" s="2">
        <f>HYPERLINK("https://camerareadycosmetics.com/products/fitish-beauty-dont-sweat-it", "https://camerareadycosmetics.com/products/fitish-beauty-dont-sweat-it")</f>
        <v/>
      </c>
      <c r="C984" t="inlineStr">
        <is>
          <t>Don't Sweat It</t>
        </is>
      </c>
      <c r="D984" t="inlineStr">
        <is>
          <t>Don't Sweat It</t>
        </is>
      </c>
      <c r="E984" s="2">
        <f>HYPERLINK("https://www.amazon.com/Dont-Sweat-Nicky-Pellegrino-ebook/dp/B0BG91T1Y7/ref=sr_1_1?keywords=Dont+Sweat+It&amp;qid=1695565438&amp;sr=8-1", "https://www.amazon.com/Dont-Sweat-Nicky-Pellegrino-ebook/dp/B0BG91T1Y7/ref=sr_1_1?keywords=Dont+Sweat+It&amp;qid=1695565438&amp;sr=8-1")</f>
        <v/>
      </c>
      <c r="F984" t="inlineStr">
        <is>
          <t>B0BG91T1Y7</t>
        </is>
      </c>
      <c r="G984">
        <f>_xlfn.IMAGE("https://camerareadycosmetics.com/cdn/shop/products/fitish-beauty-dont-sweat-it_product_50x.jpg?v=1550190377")</f>
        <v/>
      </c>
      <c r="H984">
        <f>_xlfn.IMAGE("https://m.media-amazon.com/images/I/71WAddoi2QL._AC_UY218_.jpg")</f>
        <v/>
      </c>
      <c r="K984" t="inlineStr">
        <is>
          <t>24.0</t>
        </is>
      </c>
      <c r="L984" t="n">
        <v>9.49</v>
      </c>
      <c r="M984" s="1" t="inlineStr">
        <is>
          <t>-60.46%</t>
        </is>
      </c>
      <c r="N984" t="n">
        <v>4.7</v>
      </c>
      <c r="O984" t="n">
        <v>32</v>
      </c>
      <c r="Q984" t="inlineStr">
        <is>
          <t>InStock</t>
        </is>
      </c>
      <c r="R984" t="inlineStr">
        <is>
          <t>undefined</t>
        </is>
      </c>
      <c r="S984" t="inlineStr">
        <is>
          <t>2125007978607</t>
        </is>
      </c>
    </row>
    <row r="985" ht="75" customHeight="1">
      <c r="A985" s="2">
        <f>HYPERLINK("https://camerareadycosmetics.com/products/fitish-beauty-dont-sweat-it", "https://camerareadycosmetics.com/products/fitish-beauty-dont-sweat-it")</f>
        <v/>
      </c>
      <c r="B985" s="2">
        <f>HYPERLINK("https://camerareadycosmetics.com/products/fitish-beauty-dont-sweat-it", "https://camerareadycosmetics.com/products/fitish-beauty-dont-sweat-it")</f>
        <v/>
      </c>
      <c r="C985" t="inlineStr">
        <is>
          <t>Don't Sweat It</t>
        </is>
      </c>
      <c r="D985" t="inlineStr">
        <is>
          <t>Mixlore Don't Sweat it! (DS01EN)</t>
        </is>
      </c>
      <c r="E985" s="2">
        <f>HYPERLINK("https://www.amazon.com/Prospero-Hall-DS01-Sweat-Colours/dp/B07SL6FB7Q/ref=sr_1_9?keywords=Dont+Sweat+It&amp;qid=1695565438&amp;sr=8-9", "https://www.amazon.com/Prospero-Hall-DS01-Sweat-Colours/dp/B07SL6FB7Q/ref=sr_1_9?keywords=Dont+Sweat+It&amp;qid=1695565438&amp;sr=8-9")</f>
        <v/>
      </c>
      <c r="F985" t="inlineStr">
        <is>
          <t>B07SL6FB7Q</t>
        </is>
      </c>
      <c r="G985">
        <f>_xlfn.IMAGE("https://camerareadycosmetics.com/cdn/shop/products/fitish-beauty-dont-sweat-it_product_50x.jpg?v=1550190377")</f>
        <v/>
      </c>
      <c r="H985">
        <f>_xlfn.IMAGE("https://m.media-amazon.com/images/I/71tKmUmlyIL._AC_UY218_.jpg")</f>
        <v/>
      </c>
      <c r="K985" t="inlineStr">
        <is>
          <t>24.0</t>
        </is>
      </c>
      <c r="L985" t="n">
        <v>9.99</v>
      </c>
      <c r="M985" s="1" t="inlineStr">
        <is>
          <t>-58.38%</t>
        </is>
      </c>
      <c r="N985" t="n">
        <v>4.4</v>
      </c>
      <c r="O985" t="n">
        <v>21</v>
      </c>
      <c r="Q985" t="inlineStr">
        <is>
          <t>InStock</t>
        </is>
      </c>
      <c r="R985" t="inlineStr">
        <is>
          <t>undefined</t>
        </is>
      </c>
      <c r="S985" t="inlineStr">
        <is>
          <t>2125007978607</t>
        </is>
      </c>
    </row>
    <row r="986" ht="75" customHeight="1">
      <c r="A986" s="2">
        <f>HYPERLINK("https://camerareadycosmetics.com/products/fitish-beauty-dont-sweat-it", "https://camerareadycosmetics.com/products/fitish-beauty-dont-sweat-it")</f>
        <v/>
      </c>
      <c r="B986" s="2">
        <f>HYPERLINK("https://camerareadycosmetics.com/products/fitish-beauty-dont-sweat-it", "https://camerareadycosmetics.com/products/fitish-beauty-dont-sweat-it")</f>
        <v/>
      </c>
      <c r="C986" t="inlineStr">
        <is>
          <t>Don't Sweat It</t>
        </is>
      </c>
      <c r="D986" t="inlineStr">
        <is>
          <t>Don't Sweat It</t>
        </is>
      </c>
      <c r="E986" s="2">
        <f>HYPERLINK("https://www.amazon.com/Dont-Sweat-Nicky-Pellegrino-ebook/dp/B0BG91T1Y7/ref=sr_1_1?keywords=Dont+Sweat+It&amp;qid=1695565438&amp;sr=8-1", "https://www.amazon.com/Dont-Sweat-Nicky-Pellegrino-ebook/dp/B0BG91T1Y7/ref=sr_1_1?keywords=Dont+Sweat+It&amp;qid=1695565438&amp;sr=8-1")</f>
        <v/>
      </c>
      <c r="F986" t="inlineStr">
        <is>
          <t>B0BG91T1Y7</t>
        </is>
      </c>
      <c r="G986">
        <f>_xlfn.IMAGE("https://camerareadycosmetics.com/cdn/shop/products/fitish-beauty-dont-sweat-it_product_50x.jpg?v=1550190377")</f>
        <v/>
      </c>
      <c r="H986">
        <f>_xlfn.IMAGE("https://m.media-amazon.com/images/I/71WAddoi2QL._AC_UY218_.jpg")</f>
        <v/>
      </c>
      <c r="K986" t="inlineStr">
        <is>
          <t>24.0</t>
        </is>
      </c>
      <c r="L986" t="n">
        <v>9.49</v>
      </c>
      <c r="M986" s="1" t="inlineStr">
        <is>
          <t>-60.46%</t>
        </is>
      </c>
      <c r="N986" t="n">
        <v>4.7</v>
      </c>
      <c r="O986" t="n">
        <v>32</v>
      </c>
      <c r="Q986" t="inlineStr">
        <is>
          <t>InStock</t>
        </is>
      </c>
      <c r="R986" t="inlineStr">
        <is>
          <t>undefined</t>
        </is>
      </c>
      <c r="S986" t="inlineStr">
        <is>
          <t>2125007978607</t>
        </is>
      </c>
    </row>
    <row r="987" ht="75" customHeight="1">
      <c r="A987" s="2">
        <f>HYPERLINK("https://camerareadycosmetics.com/products/fitish-beauty-lip-therapy", "https://camerareadycosmetics.com/products/fitish-beauty-lip-therapy")</f>
        <v/>
      </c>
      <c r="B987" s="2">
        <f>HYPERLINK("https://camerareadycosmetics.com/products/fitish-beauty-lip-therapy", "https://camerareadycosmetics.com/products/fitish-beauty-lip-therapy")</f>
        <v/>
      </c>
      <c r="C987" t="inlineStr">
        <is>
          <t>Lip Game</t>
        </is>
      </c>
      <c r="D987" t="inlineStr">
        <is>
          <t>Lip Service - Nasty, Freaky, Fun | Ultimate Adult Game Night | Perfect, Bachelorette Parties, Pre Game and Couples Game Night | Adults ONLY</t>
        </is>
      </c>
      <c r="E987" s="2">
        <f>HYPERLINK("https://www.amazon.com/Lip-Service-Nasty-Freaky-Fun/dp/B099X98WKM/ref=sr_1_2?keywords=Lip+Game&amp;qid=1695565500&amp;sr=8-2", "https://www.amazon.com/Lip-Service-Nasty-Freaky-Fun/dp/B099X98WKM/ref=sr_1_2?keywords=Lip+Game&amp;qid=1695565500&amp;sr=8-2")</f>
        <v/>
      </c>
      <c r="F987" t="inlineStr">
        <is>
          <t>B099X98WKM</t>
        </is>
      </c>
      <c r="G987">
        <f>_xlfn.IMAGE("https://camerareadycosmetics.com/cdn/shop/products/fitish-beauty-LipGameWeb_50x.jpg?v=1622259359")</f>
        <v/>
      </c>
      <c r="H987">
        <f>_xlfn.IMAGE("https://m.media-amazon.com/images/I/61EH9RngcvL._AC_UL320_.jpg")</f>
        <v/>
      </c>
      <c r="K987" t="inlineStr">
        <is>
          <t>13.0</t>
        </is>
      </c>
      <c r="L987" t="n">
        <v>16.99</v>
      </c>
      <c r="M987" s="1" t="inlineStr">
        <is>
          <t>30.69%</t>
        </is>
      </c>
      <c r="N987" t="n">
        <v>3.7</v>
      </c>
      <c r="O987" t="n">
        <v>6</v>
      </c>
      <c r="Q987" t="inlineStr">
        <is>
          <t>InStock</t>
        </is>
      </c>
      <c r="R987" t="inlineStr">
        <is>
          <t>undefined</t>
        </is>
      </c>
      <c r="S987" t="inlineStr">
        <is>
          <t>2195004784751</t>
        </is>
      </c>
    </row>
    <row r="988" ht="75" customHeight="1">
      <c r="A988" s="2">
        <f>HYPERLINK("https://camerareadycosmetics.com/products/gavissi-caramel-3-color-split-liner", "https://camerareadycosmetics.com/products/gavissi-caramel-3-color-split-liner")</f>
        <v/>
      </c>
      <c r="B988" s="2">
        <f>HYPERLINK("https://camerareadycosmetics.com/products/gavissi-caramel-3-color-split-liner", "https://camerareadycosmetics.com/products/gavissi-caramel-3-color-split-liner")</f>
        <v/>
      </c>
      <c r="C988" t="inlineStr">
        <is>
          <t>Caramel 3 Color Split Liner</t>
        </is>
      </c>
      <c r="D988" t="inlineStr">
        <is>
          <t>Beauty 3 Color Split Cake Retro Liner, Face &amp; Body Paint Palette - Water Activated, Eyeliner, Aqua Graphic Liner, Professional SFX Makeup, Special Effects, 8g (Bahamas)</t>
        </is>
      </c>
      <c r="E988" s="2">
        <f>HYPERLINK("https://www.amazon.com/Gavissi-Beauty-Color-Split-Palette/dp/B0B27RHHDY/ref=sr_1_1?keywords=Caramel+3+Color+Split+Liner&amp;qid=1695565785&amp;sr=8-1", "https://www.amazon.com/Gavissi-Beauty-Color-Split-Palette/dp/B0B27RHHDY/ref=sr_1_1?keywords=Caramel+3+Color+Split+Liner&amp;qid=1695565785&amp;sr=8-1")</f>
        <v/>
      </c>
      <c r="F988" t="inlineStr">
        <is>
          <t>B0B27RHHDY</t>
        </is>
      </c>
      <c r="G988">
        <f>_xlfn.IMAGE("https://camerareadycosmetics.com/cdn/shop/products/gavissi-split-liner-Caramel1_50x.jpg?v=1635880426")</f>
        <v/>
      </c>
      <c r="H988">
        <f>_xlfn.IMAGE("https://m.media-amazon.com/images/I/71fZQjUlngL._AC_UL320_.jpg")</f>
        <v/>
      </c>
      <c r="K988" t="inlineStr">
        <is>
          <t>12.0</t>
        </is>
      </c>
      <c r="L988" t="n">
        <v>8.99</v>
      </c>
      <c r="M988" s="1" t="inlineStr">
        <is>
          <t>-25.08%</t>
        </is>
      </c>
      <c r="N988" t="n">
        <v>4.3</v>
      </c>
      <c r="O988" t="n">
        <v>53</v>
      </c>
      <c r="Q988" t="inlineStr">
        <is>
          <t>InStock</t>
        </is>
      </c>
      <c r="R988" t="inlineStr">
        <is>
          <t>undefined</t>
        </is>
      </c>
      <c r="S988" t="inlineStr">
        <is>
          <t>7067372224697</t>
        </is>
      </c>
    </row>
    <row r="989" ht="75" customHeight="1">
      <c r="A989" s="2">
        <f>HYPERLINK("https://camerareadycosmetics.com/products/gavissi-chrome-rainbow-6-color-split-liner", "https://camerareadycosmetics.com/products/gavissi-chrome-rainbow-6-color-split-liner")</f>
        <v/>
      </c>
      <c r="B989" s="2">
        <f>HYPERLINK("https://camerareadycosmetics.com/products/gavissi-chrome-rainbow-6-color-split-liner", "https://camerareadycosmetics.com/products/gavissi-chrome-rainbow-6-color-split-liner")</f>
        <v/>
      </c>
      <c r="C989" t="inlineStr">
        <is>
          <t>Chrome Rainbow 6 Color Split Liner</t>
        </is>
      </c>
      <c r="D989" t="inlineStr">
        <is>
          <t>Rainbow Split Liner Cake Hydra Wet Eyeliner 6 Color FREE WHITE PIGMENT convert into pastels</t>
        </is>
      </c>
      <c r="E989" s="2">
        <f>HYPERLINK("https://www.amazon.com/Rainbow-Eyeliner-PIGMENT-convert-pastels/dp/B09YMPZL7H/ref=sr_1_1?keywords=Chrome+Rainbow+6+Color+Split+Liner&amp;qid=1695565758&amp;sr=8-1", "https://www.amazon.com/Rainbow-Eyeliner-PIGMENT-convert-pastels/dp/B09YMPZL7H/ref=sr_1_1?keywords=Chrome+Rainbow+6+Color+Split+Liner&amp;qid=1695565758&amp;sr=8-1")</f>
        <v/>
      </c>
      <c r="F989" t="inlineStr">
        <is>
          <t>B09YMPZL7H</t>
        </is>
      </c>
      <c r="G989">
        <f>_xlfn.IMAGE("https://camerareadycosmetics.com/cdn/shop/products/GavissiChromeRainbow6ColorSplitLiner-SplitLinerChrome2_50x.jpg?v=1635872242")</f>
        <v/>
      </c>
      <c r="H989">
        <f>_xlfn.IMAGE("https://m.media-amazon.com/images/I/61NUiR6HJ5L._AC_UL320_.jpg")</f>
        <v/>
      </c>
      <c r="K989" t="inlineStr">
        <is>
          <t>18.0</t>
        </is>
      </c>
      <c r="L989" t="n">
        <v>9.99</v>
      </c>
      <c r="M989" s="1" t="inlineStr">
        <is>
          <t>-44.50%</t>
        </is>
      </c>
      <c r="N989" t="n">
        <v>3</v>
      </c>
      <c r="O989" t="n">
        <v>7</v>
      </c>
      <c r="Q989" t="inlineStr">
        <is>
          <t>InStock</t>
        </is>
      </c>
      <c r="R989" t="inlineStr">
        <is>
          <t>18.0</t>
        </is>
      </c>
      <c r="S989" t="inlineStr">
        <is>
          <t>7067270414521</t>
        </is>
      </c>
    </row>
    <row r="990" ht="75" customHeight="1">
      <c r="A990" s="2">
        <f>HYPERLINK("https://camerareadycosmetics.com/products/gavissi-duochrome-retro-liner", "https://camerareadycosmetics.com/products/gavissi-duochrome-retro-liner")</f>
        <v/>
      </c>
      <c r="B990" s="2">
        <f>HYPERLINK("https://camerareadycosmetics.com/products/gavissi-duochrome-retro-liner", "https://camerareadycosmetics.com/products/gavissi-duochrome-retro-liner")</f>
        <v/>
      </c>
      <c r="C990" t="inlineStr">
        <is>
          <t>Duochrome Retro Liner</t>
        </is>
      </c>
      <c r="D990" t="inlineStr">
        <is>
          <t>Bowitzki Duochrome Eyeliner Shimmer Gradient Color Retro Liner Makeup Water Activated Eye Liner (Chameleon)</t>
        </is>
      </c>
      <c r="E990" s="2">
        <f>HYPERLINK("https://www.amazon.com/Bowitzki-Duochrome-Eyeliner-Activated-Chameleon/dp/B09BJHJYKP/ref=sr_1_1?keywords=Duochrome+Retro+Liner&amp;qid=1695565555&amp;sr=8-1", "https://www.amazon.com/Bowitzki-Duochrome-Eyeliner-Activated-Chameleon/dp/B09BJHJYKP/ref=sr_1_1?keywords=Duochrome+Retro+Liner&amp;qid=1695565555&amp;sr=8-1")</f>
        <v/>
      </c>
      <c r="F990" t="inlineStr">
        <is>
          <t>B09BJHJYKP</t>
        </is>
      </c>
      <c r="G990">
        <f>_xlfn.IMAGE("https://camerareadycosmetics.com/cdn/shop/products/Gavissi_Duochrome_Retro_Liner-magic-forest_50x.jpg?v=1635866212")</f>
        <v/>
      </c>
      <c r="H990">
        <f>_xlfn.IMAGE("https://m.media-amazon.com/images/I/71xdwM0MmxL._AC_UL320_.jpg")</f>
        <v/>
      </c>
      <c r="K990" t="inlineStr">
        <is>
          <t>10.0</t>
        </is>
      </c>
      <c r="L990" t="n">
        <v>9.99</v>
      </c>
      <c r="M990" s="1" t="inlineStr">
        <is>
          <t>-0.10%</t>
        </is>
      </c>
      <c r="N990" t="n">
        <v>2.8</v>
      </c>
      <c r="O990" t="n">
        <v>29</v>
      </c>
      <c r="Q990" t="inlineStr">
        <is>
          <t>InStock</t>
        </is>
      </c>
      <c r="R990" t="inlineStr">
        <is>
          <t>10.0</t>
        </is>
      </c>
      <c r="S990" t="inlineStr">
        <is>
          <t>7066236780729</t>
        </is>
      </c>
    </row>
    <row r="991" ht="75" customHeight="1">
      <c r="A991" s="2">
        <f>HYPERLINK("https://camerareadycosmetics.com/products/gavissi-duochrome-retro-liner", "https://camerareadycosmetics.com/products/gavissi-duochrome-retro-liner")</f>
        <v/>
      </c>
      <c r="B991" s="2">
        <f>HYPERLINK("https://camerareadycosmetics.com/products/gavissi-duochrome-retro-liner", "https://camerareadycosmetics.com/products/gavissi-duochrome-retro-liner")</f>
        <v/>
      </c>
      <c r="C991" t="inlineStr">
        <is>
          <t>Duochrome Retro Liner</t>
        </is>
      </c>
      <c r="D991" t="inlineStr">
        <is>
          <t>Bowitzki Duochrome Eyeliner Shimmer Gradient Color Retro Liner Makeup Water Activated Eye Liner (Galaxy)</t>
        </is>
      </c>
      <c r="E991" s="2">
        <f>HYPERLINK("https://www.amazon.com/Bowitzki-Duochrome-Eyeliner-Gradient-Activated/dp/B09BJFJQ4G/ref=sr_1_fkmr0_1?keywords=Duochrome+Retro+Liner&amp;qid=1695565555&amp;sr=8-1-fkmr0", "https://www.amazon.com/Bowitzki-Duochrome-Eyeliner-Gradient-Activated/dp/B09BJFJQ4G/ref=sr_1_fkmr0_1?keywords=Duochrome+Retro+Liner&amp;qid=1695565555&amp;sr=8-1-fkmr0")</f>
        <v/>
      </c>
      <c r="F991" t="inlineStr">
        <is>
          <t>B09BJFJQ4G</t>
        </is>
      </c>
      <c r="G991">
        <f>_xlfn.IMAGE("https://camerareadycosmetics.com/cdn/shop/products/Gavissi_Duochrome_Retro_Liner-magic-forest_50x.jpg?v=1635866212")</f>
        <v/>
      </c>
      <c r="H991">
        <f>_xlfn.IMAGE("https://m.media-amazon.com/images/I/61LqbnNtQBL._AC_UL320_.jpg")</f>
        <v/>
      </c>
      <c r="K991" t="inlineStr">
        <is>
          <t>10.0</t>
        </is>
      </c>
      <c r="L991" t="n">
        <v>9.99</v>
      </c>
      <c r="M991" s="1" t="inlineStr">
        <is>
          <t>-0.10%</t>
        </is>
      </c>
      <c r="N991" t="n">
        <v>2.8</v>
      </c>
      <c r="O991" t="n">
        <v>29</v>
      </c>
      <c r="Q991" t="inlineStr">
        <is>
          <t>InStock</t>
        </is>
      </c>
      <c r="R991" t="inlineStr">
        <is>
          <t>10.0</t>
        </is>
      </c>
      <c r="S991" t="inlineStr">
        <is>
          <t>7066236780729</t>
        </is>
      </c>
    </row>
    <row r="992" ht="75" customHeight="1">
      <c r="A992" s="2">
        <f>HYPERLINK("https://camerareadycosmetics.com/products/gavissi-frost-3-color-split-liner", "https://camerareadycosmetics.com/products/gavissi-frost-3-color-split-liner")</f>
        <v/>
      </c>
      <c r="B992" s="2">
        <f>HYPERLINK("https://camerareadycosmetics.com/products/gavissi-frost-3-color-split-liner", "https://camerareadycosmetics.com/products/gavissi-frost-3-color-split-liner")</f>
        <v/>
      </c>
      <c r="C992" t="inlineStr">
        <is>
          <t>Frost 3 Color Split Liner</t>
        </is>
      </c>
      <c r="D992" t="inlineStr">
        <is>
          <t>Beauty 3 Color Split Cake Retro Liner, Face &amp; Body Paint Palette - Water Activated, Eyeliner, Aqua Graphic Liner, Professional SFX Makeup, Special Effects, 8g (Bahamas)</t>
        </is>
      </c>
      <c r="E992" s="2">
        <f>HYPERLINK("https://www.amazon.com/Gavissi-Beauty-Color-Split-Palette/dp/B0B27RHHDY/ref=sr_1_2?keywords=Frost+3+Color+Split+Liner&amp;qid=1695565812&amp;sr=8-2", "https://www.amazon.com/Gavissi-Beauty-Color-Split-Palette/dp/B0B27RHHDY/ref=sr_1_2?keywords=Frost+3+Color+Split+Liner&amp;qid=1695565812&amp;sr=8-2")</f>
        <v/>
      </c>
      <c r="F992" t="inlineStr">
        <is>
          <t>B0B27RHHDY</t>
        </is>
      </c>
      <c r="G992">
        <f>_xlfn.IMAGE("https://camerareadycosmetics.com/cdn/shop/products/gavissi-split-liner-Frost1_50x.jpg?v=1635876395")</f>
        <v/>
      </c>
      <c r="H992">
        <f>_xlfn.IMAGE("https://m.media-amazon.com/images/I/71fZQjUlngL._AC_UL320_.jpg")</f>
        <v/>
      </c>
      <c r="K992" t="inlineStr">
        <is>
          <t>12.0</t>
        </is>
      </c>
      <c r="L992" t="n">
        <v>8.99</v>
      </c>
      <c r="M992" s="1" t="inlineStr">
        <is>
          <t>-25.08%</t>
        </is>
      </c>
      <c r="N992" t="n">
        <v>4.3</v>
      </c>
      <c r="O992" t="n">
        <v>53</v>
      </c>
      <c r="Q992" t="inlineStr">
        <is>
          <t>InStock</t>
        </is>
      </c>
      <c r="R992" t="inlineStr">
        <is>
          <t>undefined</t>
        </is>
      </c>
      <c r="S992" t="inlineStr">
        <is>
          <t>7067310850233</t>
        </is>
      </c>
    </row>
    <row r="993" ht="75" customHeight="1">
      <c r="A993" s="2">
        <f>HYPERLINK("https://camerareadycosmetics.com/products/gavissi-grape-3-color-split-liner", "https://camerareadycosmetics.com/products/gavissi-grape-3-color-split-liner")</f>
        <v/>
      </c>
      <c r="B993" s="2">
        <f>HYPERLINK("https://camerareadycosmetics.com/products/gavissi-grape-3-color-split-liner", "https://camerareadycosmetics.com/products/gavissi-grape-3-color-split-liner")</f>
        <v/>
      </c>
      <c r="C993" t="inlineStr">
        <is>
          <t>Grape 3 Color Split Liner</t>
        </is>
      </c>
      <c r="D993" t="inlineStr">
        <is>
          <t>Gavissi Beauty 3 Color Split Cake Retro Liner, Face &amp; Body Paint Palette - Water Activated, Eyeliner, Aqua Graphic Liner, Professional SFX Makeup, Special Effects, 8g (Bahamas)</t>
        </is>
      </c>
      <c r="E993" s="2">
        <f>HYPERLINK("https://www.amazon.com/Gavissi-Beauty-Color-Split-Palette/dp/B0B27RHHDY/ref=sr_1_1?keywords=Grape+3+Color+Split+Liner&amp;qid=1695565782&amp;sr=8-1", "https://www.amazon.com/Gavissi-Beauty-Color-Split-Palette/dp/B0B27RHHDY/ref=sr_1_1?keywords=Grape+3+Color+Split+Liner&amp;qid=1695565782&amp;sr=8-1")</f>
        <v/>
      </c>
      <c r="F993" t="inlineStr">
        <is>
          <t>B0B27RHHDY</t>
        </is>
      </c>
      <c r="G993">
        <f>_xlfn.IMAGE("https://camerareadycosmetics.com/cdn/shop/products/gavissi-split-liner-Grape1copy_50x.jpg?v=1635879964")</f>
        <v/>
      </c>
      <c r="H993">
        <f>_xlfn.IMAGE("https://m.media-amazon.com/images/I/71fZQjUlngL._AC_UL320_.jpg")</f>
        <v/>
      </c>
      <c r="K993" t="inlineStr">
        <is>
          <t>12.0</t>
        </is>
      </c>
      <c r="L993" t="n">
        <v>8.99</v>
      </c>
      <c r="M993" s="1" t="inlineStr">
        <is>
          <t>-25.08%</t>
        </is>
      </c>
      <c r="N993" t="n">
        <v>4.3</v>
      </c>
      <c r="O993" t="n">
        <v>53</v>
      </c>
      <c r="Q993" t="inlineStr">
        <is>
          <t>InStock</t>
        </is>
      </c>
      <c r="R993" t="inlineStr">
        <is>
          <t>undefined</t>
        </is>
      </c>
      <c r="S993" t="inlineStr">
        <is>
          <t>7067367211193</t>
        </is>
      </c>
    </row>
    <row r="994" ht="75" customHeight="1">
      <c r="A994" s="2">
        <f>HYPERLINK("https://camerareadycosmetics.com/products/gavissi-kiwi-3-color-split-liner", "https://camerareadycosmetics.com/products/gavissi-kiwi-3-color-split-liner")</f>
        <v/>
      </c>
      <c r="B994" s="2">
        <f>HYPERLINK("https://camerareadycosmetics.com/products/gavissi-kiwi-3-color-split-liner", "https://camerareadycosmetics.com/products/gavissi-kiwi-3-color-split-liner")</f>
        <v/>
      </c>
      <c r="C994" t="inlineStr">
        <is>
          <t>Kiwi 3 Color Split Liner</t>
        </is>
      </c>
      <c r="D994" t="inlineStr">
        <is>
          <t>Beauty 3 Color Split Cake Retro Liner, Face &amp; Body Paint Palette - Water Activated, Eyeliner, Aqua Graphic Liner, Professional SFX Makeup, Special Effects, 8g (Bahamas)</t>
        </is>
      </c>
      <c r="E994" s="2">
        <f>HYPERLINK("https://www.amazon.com/Gavissi-Beauty-Color-Split-Palette/dp/B0B27RHHDY/ref=sr_1_1?keywords=Kiwi+3+Color+Split+Liner&amp;qid=1695565819&amp;sr=8-1", "https://www.amazon.com/Gavissi-Beauty-Color-Split-Palette/dp/B0B27RHHDY/ref=sr_1_1?keywords=Kiwi+3+Color+Split+Liner&amp;qid=1695565819&amp;sr=8-1")</f>
        <v/>
      </c>
      <c r="F994" t="inlineStr">
        <is>
          <t>B0B27RHHDY</t>
        </is>
      </c>
      <c r="G994">
        <f>_xlfn.IMAGE("https://camerareadycosmetics.com/cdn/shop/products/gavissi-3-color-split-Kiwi1_50x.jpg?v=1635875695")</f>
        <v/>
      </c>
      <c r="H994">
        <f>_xlfn.IMAGE("https://m.media-amazon.com/images/I/71fZQjUlngL._AC_UL320_.jpg")</f>
        <v/>
      </c>
      <c r="K994" t="inlineStr">
        <is>
          <t>12.0</t>
        </is>
      </c>
      <c r="L994" t="n">
        <v>8.99</v>
      </c>
      <c r="M994" s="1" t="inlineStr">
        <is>
          <t>-25.08%</t>
        </is>
      </c>
      <c r="N994" t="n">
        <v>4.3</v>
      </c>
      <c r="O994" t="n">
        <v>53</v>
      </c>
      <c r="Q994" t="inlineStr">
        <is>
          <t>InStock</t>
        </is>
      </c>
      <c r="R994" t="inlineStr">
        <is>
          <t>undefined</t>
        </is>
      </c>
      <c r="S994" t="inlineStr">
        <is>
          <t>7067291943097</t>
        </is>
      </c>
    </row>
    <row r="995" ht="75" customHeight="1">
      <c r="A995" s="2">
        <f>HYPERLINK("https://camerareadycosmetics.com/products/gavissi-lemonade-3-color-split-liner", "https://camerareadycosmetics.com/products/gavissi-lemonade-3-color-split-liner")</f>
        <v/>
      </c>
      <c r="B995" s="2">
        <f>HYPERLINK("https://camerareadycosmetics.com/products/gavissi-lemonade-3-color-split-liner", "https://camerareadycosmetics.com/products/gavissi-lemonade-3-color-split-liner")</f>
        <v/>
      </c>
      <c r="C995" t="inlineStr">
        <is>
          <t>Lemonade 3 Color Split Liner</t>
        </is>
      </c>
      <c r="D995" t="inlineStr">
        <is>
          <t>Beauty 3 Color Split Cake Retro Liner, Face &amp; Body Paint Palette - Water Activated, Eyeliner, Aqua Graphic Liner, Professional SFX Makeup, Special Effects, 8g (Carnival)</t>
        </is>
      </c>
      <c r="E995" s="2">
        <f>HYPERLINK("https://www.amazon.com/Gavissi-Beauty-Color-Split-Palette/dp/B0B27KYPKK/ref=sr_1_fkmr2_1?keywords=Lemonade+3+Color+Split+Liner&amp;qid=1695565881&amp;sr=8-1-fkmr2", "https://www.amazon.com/Gavissi-Beauty-Color-Split-Palette/dp/B0B27KYPKK/ref=sr_1_fkmr2_1?keywords=Lemonade+3+Color+Split+Liner&amp;qid=1695565881&amp;sr=8-1-fkmr2")</f>
        <v/>
      </c>
      <c r="F995" t="inlineStr">
        <is>
          <t>B0B27KYPKK</t>
        </is>
      </c>
      <c r="G995">
        <f>_xlfn.IMAGE("https://camerareadycosmetics.com/cdn/shop/products/gavissi-3-color-split-liner-Lemonade1_50x.jpg?v=1635873649")</f>
        <v/>
      </c>
      <c r="H995">
        <f>_xlfn.IMAGE("https://m.media-amazon.com/images/I/71tqXGZm4HL._AC_UL320_.jpg")</f>
        <v/>
      </c>
      <c r="K995" t="inlineStr">
        <is>
          <t>12.0</t>
        </is>
      </c>
      <c r="L995" t="n">
        <v>8.99</v>
      </c>
      <c r="M995" s="1" t="inlineStr">
        <is>
          <t>-25.08%</t>
        </is>
      </c>
      <c r="N995" t="n">
        <v>4.3</v>
      </c>
      <c r="O995" t="n">
        <v>53</v>
      </c>
      <c r="Q995" t="inlineStr">
        <is>
          <t>InStock</t>
        </is>
      </c>
      <c r="R995" t="inlineStr">
        <is>
          <t>undefined</t>
        </is>
      </c>
      <c r="S995" t="inlineStr">
        <is>
          <t>7067276869817</t>
        </is>
      </c>
    </row>
    <row r="996" ht="75" customHeight="1">
      <c r="A996" s="2">
        <f>HYPERLINK("https://camerareadycosmetics.com/products/gavissi-lemonade-3-color-split-liner", "https://camerareadycosmetics.com/products/gavissi-lemonade-3-color-split-liner")</f>
        <v/>
      </c>
      <c r="B996" s="2">
        <f>HYPERLINK("https://camerareadycosmetics.com/products/gavissi-lemonade-3-color-split-liner", "https://camerareadycosmetics.com/products/gavissi-lemonade-3-color-split-liner")</f>
        <v/>
      </c>
      <c r="C996" t="inlineStr">
        <is>
          <t>Lemonade 3 Color Split Liner</t>
        </is>
      </c>
      <c r="D996" t="inlineStr">
        <is>
          <t>Beauty 3 Color Split Cake Retro Liner, Face &amp; Body Paint Palette - Water Activated, Eyeliner, Aqua Graphic Liner, Professional SFX Makeup, Special Effects, 8g (Lemonade)</t>
        </is>
      </c>
      <c r="E996" s="2">
        <f>HYPERLINK("https://www.amazon.com/Gavissi-Beauty-Color-Split-Palette/dp/B0B27SK2LS/ref=sr_1_1?keywords=Lemonade+3+Color+Split+Liner&amp;qid=1695565881&amp;sr=8-1", "https://www.amazon.com/Gavissi-Beauty-Color-Split-Palette/dp/B0B27SK2LS/ref=sr_1_1?keywords=Lemonade+3+Color+Split+Liner&amp;qid=1695565881&amp;sr=8-1")</f>
        <v/>
      </c>
      <c r="F996" t="inlineStr">
        <is>
          <t>B0B27SK2LS</t>
        </is>
      </c>
      <c r="G996">
        <f>_xlfn.IMAGE("https://camerareadycosmetics.com/cdn/shop/products/gavissi-3-color-split-liner-Lemonade1_50x.jpg?v=1635873649")</f>
        <v/>
      </c>
      <c r="H996">
        <f>_xlfn.IMAGE("https://m.media-amazon.com/images/I/71DEVWxrjOL._AC_UL320_.jpg")</f>
        <v/>
      </c>
      <c r="K996" t="inlineStr">
        <is>
          <t>12.0</t>
        </is>
      </c>
      <c r="L996" t="n">
        <v>8.99</v>
      </c>
      <c r="M996" s="1" t="inlineStr">
        <is>
          <t>-25.08%</t>
        </is>
      </c>
      <c r="N996" t="n">
        <v>4.3</v>
      </c>
      <c r="O996" t="n">
        <v>53</v>
      </c>
      <c r="Q996" t="inlineStr">
        <is>
          <t>InStock</t>
        </is>
      </c>
      <c r="R996" t="inlineStr">
        <is>
          <t>undefined</t>
        </is>
      </c>
      <c r="S996" t="inlineStr">
        <is>
          <t>7067276869817</t>
        </is>
      </c>
    </row>
    <row r="997" ht="75" customHeight="1">
      <c r="A997" s="2">
        <f>HYPERLINK("https://camerareadycosmetics.com/products/gavissi-mango-3-color-split-liner", "https://camerareadycosmetics.com/products/gavissi-mango-3-color-split-liner")</f>
        <v/>
      </c>
      <c r="B997" s="2">
        <f>HYPERLINK("https://camerareadycosmetics.com/products/gavissi-mango-3-color-split-liner", "https://camerareadycosmetics.com/products/gavissi-mango-3-color-split-liner")</f>
        <v/>
      </c>
      <c r="C997" t="inlineStr">
        <is>
          <t>Mango 3 Color Split Liner</t>
        </is>
      </c>
      <c r="D997" t="inlineStr">
        <is>
          <t>Gavissi Beauty 3 Color Split Cake Retro Liner, Face &amp; Body Paint Palette - Water Activated, Eyeliner, Aqua Graphic Liner, Professional SFX Makeup, Special Effects, 8g (Bahamas)</t>
        </is>
      </c>
      <c r="E997" s="2">
        <f>HYPERLINK("https://www.amazon.com/Gavissi-Beauty-Color-Split-Palette/dp/B0B27RHHDY/ref=sr_1_1?keywords=Mango+3+Color+Split+Liner&amp;qid=1695565834&amp;sr=8-1", "https://www.amazon.com/Gavissi-Beauty-Color-Split-Palette/dp/B0B27RHHDY/ref=sr_1_1?keywords=Mango+3+Color+Split+Liner&amp;qid=1695565834&amp;sr=8-1")</f>
        <v/>
      </c>
      <c r="F997" t="inlineStr">
        <is>
          <t>B0B27RHHDY</t>
        </is>
      </c>
      <c r="G997">
        <f>_xlfn.IMAGE("https://camerareadycosmetics.com/cdn/shop/products/gavissi-3-color-split-liner-Mango1_50x.jpg?v=1635880226")</f>
        <v/>
      </c>
      <c r="H997">
        <f>_xlfn.IMAGE("https://m.media-amazon.com/images/I/71fZQjUlngL._AC_UL320_.jpg")</f>
        <v/>
      </c>
      <c r="K997" t="inlineStr">
        <is>
          <t>12.0</t>
        </is>
      </c>
      <c r="L997" t="n">
        <v>8.99</v>
      </c>
      <c r="M997" s="1" t="inlineStr">
        <is>
          <t>-25.08%</t>
        </is>
      </c>
      <c r="N997" t="n">
        <v>4.3</v>
      </c>
      <c r="O997" t="n">
        <v>53</v>
      </c>
      <c r="Q997" t="inlineStr">
        <is>
          <t>InStock</t>
        </is>
      </c>
      <c r="R997" t="inlineStr">
        <is>
          <t>undefined</t>
        </is>
      </c>
      <c r="S997" t="inlineStr">
        <is>
          <t>7067371405497</t>
        </is>
      </c>
    </row>
    <row r="998" ht="75" customHeight="1">
      <c r="A998" s="2">
        <f>HYPERLINK("https://camerareadycosmetics.com/products/gavissi-matte-retro-liner", "https://camerareadycosmetics.com/products/gavissi-matte-retro-liner")</f>
        <v/>
      </c>
      <c r="B998" s="2">
        <f>HYPERLINK("https://camerareadycosmetics.com/products/gavissi-matte-retro-liner", "https://camerareadycosmetics.com/products/gavissi-matte-retro-liner")</f>
        <v/>
      </c>
      <c r="C998" t="inlineStr">
        <is>
          <t>Matte Retro Liner</t>
        </is>
      </c>
      <c r="D998" t="inlineStr">
        <is>
          <t>MEICOLY 2 Packs Water Activated Eyeliner Palette, Neon Face Paint Colored Retro Hydra Liner,Matte Graphic Eyeliner, UV Glow Fluorescent Halloween Black White Face Body Paint,16 Colors</t>
        </is>
      </c>
      <c r="E998" s="2">
        <f>HYPERLINK("https://www.amazon.com/MEICOLY-Activated-Eyeliner-Palette-Fluorescent/dp/B09K7ZM9FW/ref=sr_1_3?keywords=Matte+Retro+Liner&amp;qid=1695565713&amp;sr=8-3", "https://www.amazon.com/MEICOLY-Activated-Eyeliner-Palette-Fluorescent/dp/B09K7ZM9FW/ref=sr_1_3?keywords=Matte+Retro+Liner&amp;qid=1695565713&amp;sr=8-3")</f>
        <v/>
      </c>
      <c r="F998" t="inlineStr">
        <is>
          <t>B09K7ZM9FW</t>
        </is>
      </c>
      <c r="G998">
        <f>_xlfn.IMAGE("https://camerareadycosmetics.com/cdn/shop/products/Gavissi_Matte_Retro_Liner-vanillaretroliner_50x.jpg?v=1635804255")</f>
        <v/>
      </c>
      <c r="H998">
        <f>_xlfn.IMAGE("https://m.media-amazon.com/images/I/61kqkHo8PTL._AC_UL320_.jpg")</f>
        <v/>
      </c>
      <c r="K998" t="inlineStr">
        <is>
          <t>8.0</t>
        </is>
      </c>
      <c r="L998" t="n">
        <v>9.99</v>
      </c>
      <c r="M998" s="1" t="inlineStr">
        <is>
          <t>24.88%</t>
        </is>
      </c>
      <c r="N998" t="n">
        <v>4.4</v>
      </c>
      <c r="O998" t="n">
        <v>891</v>
      </c>
      <c r="Q998" t="inlineStr">
        <is>
          <t>InStock</t>
        </is>
      </c>
      <c r="R998" t="inlineStr">
        <is>
          <t>undefined</t>
        </is>
      </c>
      <c r="S998" t="inlineStr">
        <is>
          <t>7063677632697</t>
        </is>
      </c>
    </row>
    <row r="999" ht="75" customHeight="1">
      <c r="A999" s="2">
        <f>HYPERLINK("https://camerareadycosmetics.com/products/gavissi-matte-retro-liner", "https://camerareadycosmetics.com/products/gavissi-matte-retro-liner")</f>
        <v/>
      </c>
      <c r="B999" s="2">
        <f>HYPERLINK("https://camerareadycosmetics.com/products/gavissi-matte-retro-liner", "https://camerareadycosmetics.com/products/gavissi-matte-retro-liner")</f>
        <v/>
      </c>
      <c r="C999" t="inlineStr">
        <is>
          <t>Matte Retro Liner</t>
        </is>
      </c>
      <c r="D999" t="inlineStr">
        <is>
          <t>2 Packs Water Activated Eyeliner Palette UV Glow Eye Liner Graphic Eyeliner Fluorescent Black White Body Paint Neon Colored Makeup Matte Retro Hydra Liner,16 Colors</t>
        </is>
      </c>
      <c r="E999" s="2">
        <f>HYPERLINK("https://www.amazon.com/Paminify-Activated-Eyeliner-Palette-Fluorescent/dp/B09TY455HR/ref=sr_1_5?keywords=Matte+Retro+Liner&amp;qid=1695565713&amp;sr=8-5", "https://www.amazon.com/Paminify-Activated-Eyeliner-Palette-Fluorescent/dp/B09TY455HR/ref=sr_1_5?keywords=Matte+Retro+Liner&amp;qid=1695565713&amp;sr=8-5")</f>
        <v/>
      </c>
      <c r="F999" t="inlineStr">
        <is>
          <t>B09TY455HR</t>
        </is>
      </c>
      <c r="G999">
        <f>_xlfn.IMAGE("https://camerareadycosmetics.com/cdn/shop/products/Gavissi_Matte_Retro_Liner-vanillaretroliner_50x.jpg?v=1635804255")</f>
        <v/>
      </c>
      <c r="H999">
        <f>_xlfn.IMAGE("https://m.media-amazon.com/images/I/518EBpoYVKL._AC_UL320_.jpg")</f>
        <v/>
      </c>
      <c r="K999" t="inlineStr">
        <is>
          <t>8.0</t>
        </is>
      </c>
      <c r="L999" t="n">
        <v>9.99</v>
      </c>
      <c r="M999" s="1" t="inlineStr">
        <is>
          <t>24.88%</t>
        </is>
      </c>
      <c r="N999" t="n">
        <v>4.2</v>
      </c>
      <c r="O999" t="n">
        <v>45</v>
      </c>
      <c r="Q999" t="inlineStr">
        <is>
          <t>InStock</t>
        </is>
      </c>
      <c r="R999" t="inlineStr">
        <is>
          <t>undefined</t>
        </is>
      </c>
      <c r="S999" t="inlineStr">
        <is>
          <t>7063677632697</t>
        </is>
      </c>
    </row>
    <row r="1000" ht="75" customHeight="1">
      <c r="A1000" s="2">
        <f>HYPERLINK("https://camerareadycosmetics.com/products/gavissi-neon-festival-uv-paint-palette", "https://camerareadycosmetics.com/products/gavissi-neon-festival-uv-paint-palette")</f>
        <v/>
      </c>
      <c r="B1000" s="2">
        <f>HYPERLINK("https://camerareadycosmetics.com/products/gavissi-neon-festival-uv-paint-palette", "https://camerareadycosmetics.com/products/gavissi-neon-festival-uv-paint-palette")</f>
        <v/>
      </c>
      <c r="C1000" t="inlineStr">
        <is>
          <t>Neon Festival UV Paint Palette</t>
        </is>
      </c>
      <c r="D1000" t="inlineStr">
        <is>
          <t>Body Paint Glow in the Dark UV Neon Blacklight Face Paint Makeup with 0.4oz Set of 8 Tubes 6 Art Brushes and 1 Palette for Adults Music Festivals Party Halloween Christmas</t>
        </is>
      </c>
      <c r="E1000" s="2">
        <f>HYPERLINK("https://www.amazon.com/Blacklight-Brushes-Festivals-Halloween-Christmas/dp/B09W98RJQJ/ref=sr_1_3?keywords=Neon+Festival+UV+Paint+Palette&amp;qid=1695565773&amp;sr=8-3", "https://www.amazon.com/Blacklight-Brushes-Festivals-Halloween-Christmas/dp/B09W98RJQJ/ref=sr_1_3?keywords=Neon+Festival+UV+Paint+Palette&amp;qid=1695565773&amp;sr=8-3")</f>
        <v/>
      </c>
      <c r="F1000" t="inlineStr">
        <is>
          <t>B09W98RJQJ</t>
        </is>
      </c>
      <c r="G1000">
        <f>_xlfn.IMAGE("https://camerareadycosmetics.com/cdn/shop/products/gavissi-NeonFestivalpaintpalette3_50x.jpg?v=1635881178")</f>
        <v/>
      </c>
      <c r="H1000">
        <f>_xlfn.IMAGE("https://m.media-amazon.com/images/I/81+6RwggRVL._AC_UL320_.jpg")</f>
        <v/>
      </c>
      <c r="K1000" t="inlineStr">
        <is>
          <t>45.0</t>
        </is>
      </c>
      <c r="L1000" t="n">
        <v>15.99</v>
      </c>
      <c r="M1000" s="1" t="inlineStr">
        <is>
          <t>-64.47%</t>
        </is>
      </c>
      <c r="N1000" t="n">
        <v>4.1</v>
      </c>
      <c r="O1000" t="n">
        <v>28</v>
      </c>
      <c r="Q1000" t="inlineStr">
        <is>
          <t>InStock</t>
        </is>
      </c>
      <c r="R1000" t="inlineStr">
        <is>
          <t>undefined</t>
        </is>
      </c>
      <c r="S1000" t="inlineStr">
        <is>
          <t>7067386577081</t>
        </is>
      </c>
    </row>
    <row r="1001" ht="75" customHeight="1">
      <c r="A1001" s="2">
        <f>HYPERLINK("https://camerareadycosmetics.com/products/gavissi-neon-festival-uv-paint-palette", "https://camerareadycosmetics.com/products/gavissi-neon-festival-uv-paint-palette")</f>
        <v/>
      </c>
      <c r="B1001" s="2">
        <f>HYPERLINK("https://camerareadycosmetics.com/products/gavissi-neon-festival-uv-paint-palette", "https://camerareadycosmetics.com/products/gavissi-neon-festival-uv-paint-palette")</f>
        <v/>
      </c>
      <c r="C1001" t="inlineStr">
        <is>
          <t>Neon Festival UV Paint Palette</t>
        </is>
      </c>
      <c r="D1001" t="inlineStr">
        <is>
          <t>UV Face Paint Kit, Glow In The Dark Paint, Neon Fluorescent Body Painting 8 Bright Colors Professional Brush, Water Based Black Lights Makeup for Kids Adults,Halloween Party Supplies, Projects Costumes Theater Special Festivals</t>
        </is>
      </c>
      <c r="E1001" s="2">
        <f>HYPERLINK("https://www.amazon.com/Face-Paint-Kit-Fluorescent-Professional/dp/B083N76K9N/ref=sr_1_4?keywords=Neon+Festival+UV+Paint+Palette&amp;qid=1695565773&amp;sr=8-4", "https://www.amazon.com/Face-Paint-Kit-Fluorescent-Professional/dp/B083N76K9N/ref=sr_1_4?keywords=Neon+Festival+UV+Paint+Palette&amp;qid=1695565773&amp;sr=8-4")</f>
        <v/>
      </c>
      <c r="F1001" t="inlineStr">
        <is>
          <t>B083N76K9N</t>
        </is>
      </c>
      <c r="G1001">
        <f>_xlfn.IMAGE("https://camerareadycosmetics.com/cdn/shop/products/gavissi-NeonFestivalpaintpalette3_50x.jpg?v=1635881178")</f>
        <v/>
      </c>
      <c r="H1001">
        <f>_xlfn.IMAGE("https://m.media-amazon.com/images/I/71eHubkN0cL._AC_UL320_.jpg")</f>
        <v/>
      </c>
      <c r="K1001" t="inlineStr">
        <is>
          <t>45.0</t>
        </is>
      </c>
      <c r="L1001" t="n">
        <v>13.99</v>
      </c>
      <c r="M1001" s="1" t="inlineStr">
        <is>
          <t>-68.91%</t>
        </is>
      </c>
      <c r="N1001" t="n">
        <v>4.2</v>
      </c>
      <c r="O1001" t="n">
        <v>373</v>
      </c>
      <c r="Q1001" t="inlineStr">
        <is>
          <t>InStock</t>
        </is>
      </c>
      <c r="R1001" t="inlineStr">
        <is>
          <t>undefined</t>
        </is>
      </c>
      <c r="S1001" t="inlineStr">
        <is>
          <t>7067386577081</t>
        </is>
      </c>
    </row>
    <row r="1002" ht="75" customHeight="1">
      <c r="A1002" s="2">
        <f>HYPERLINK("https://camerareadycosmetics.com/products/gavissi-neon-festival-uv-paint-palette", "https://camerareadycosmetics.com/products/gavissi-neon-festival-uv-paint-palette")</f>
        <v/>
      </c>
      <c r="B1002" s="2">
        <f>HYPERLINK("https://camerareadycosmetics.com/products/gavissi-neon-festival-uv-paint-palette", "https://camerareadycosmetics.com/products/gavissi-neon-festival-uv-paint-palette")</f>
        <v/>
      </c>
      <c r="C1002" t="inlineStr">
        <is>
          <t>Neon Festival UV Paint Palette</t>
        </is>
      </c>
      <c r="D1002" t="inlineStr">
        <is>
          <t>CCbeauty Pro Large UV Glow Face Body Paint Palette, 8 Neon Glow In The Black Lights Makeup, Water Based Activated Eyeliner Painting Palette, Non-Toxic Washable for Kids Adults, Halloween Costume Masquerades Club Makeup</t>
        </is>
      </c>
      <c r="E1002" s="2">
        <f>HYPERLINK("https://www.amazon.com/CCbeauty-Activated-Non-Toxic-Halloween-Masquerades/dp/B0B4G6KWSD/ref=sr_1_9?keywords=Neon+Festival+UV+Paint+Palette&amp;qid=1695565773&amp;sr=8-9", "https://www.amazon.com/CCbeauty-Activated-Non-Toxic-Halloween-Masquerades/dp/B0B4G6KWSD/ref=sr_1_9?keywords=Neon+Festival+UV+Paint+Palette&amp;qid=1695565773&amp;sr=8-9")</f>
        <v/>
      </c>
      <c r="F1002" t="inlineStr">
        <is>
          <t>B0B4G6KWSD</t>
        </is>
      </c>
      <c r="G1002">
        <f>_xlfn.IMAGE("https://camerareadycosmetics.com/cdn/shop/products/gavissi-NeonFestivalpaintpalette3_50x.jpg?v=1635881178")</f>
        <v/>
      </c>
      <c r="H1002">
        <f>_xlfn.IMAGE("https://m.media-amazon.com/images/I/61lio7PUvDL._AC_UL320_.jpg")</f>
        <v/>
      </c>
      <c r="K1002" t="inlineStr">
        <is>
          <t>45.0</t>
        </is>
      </c>
      <c r="L1002" t="n">
        <v>9.99</v>
      </c>
      <c r="M1002" s="1" t="inlineStr">
        <is>
          <t>-77.80%</t>
        </is>
      </c>
      <c r="N1002" t="n">
        <v>4.3</v>
      </c>
      <c r="O1002" t="n">
        <v>422</v>
      </c>
      <c r="Q1002" t="inlineStr">
        <is>
          <t>InStock</t>
        </is>
      </c>
      <c r="R1002" t="inlineStr">
        <is>
          <t>undefined</t>
        </is>
      </c>
      <c r="S1002" t="inlineStr">
        <is>
          <t>7067386577081</t>
        </is>
      </c>
    </row>
    <row r="1003" ht="75" customHeight="1">
      <c r="A1003" s="2">
        <f>HYPERLINK("https://camerareadycosmetics.com/products/gavissi-neon-festival-uv-paint-palette", "https://camerareadycosmetics.com/products/gavissi-neon-festival-uv-paint-palette")</f>
        <v/>
      </c>
      <c r="B1003" s="2">
        <f>HYPERLINK("https://camerareadycosmetics.com/products/gavissi-neon-festival-uv-paint-palette", "https://camerareadycosmetics.com/products/gavissi-neon-festival-uv-paint-palette")</f>
        <v/>
      </c>
      <c r="C1003" t="inlineStr">
        <is>
          <t>Neon Festival UV Paint Palette</t>
        </is>
      </c>
      <c r="D1003" t="inlineStr">
        <is>
          <t>MEICOLY Glow UV Blacklight Face Paint, 8 Bright Colors Neon Fluorescent Body Painting Palette,Water Activated Eyeliner,Water Based Makeup Glow In The Dark Party Halloween Washable for Kids Adult Body Paint</t>
        </is>
      </c>
      <c r="E1003" s="2">
        <f>HYPERLINK("https://www.amazon.com/MEICOLY-Blacklight-Fluorescent-Activated-Halloween/dp/B0B3LL2RPC/ref=sr_1_5?keywords=Neon+Festival+UV+Paint+Palette&amp;qid=1695565773&amp;sr=8-5", "https://www.amazon.com/MEICOLY-Blacklight-Fluorescent-Activated-Halloween/dp/B0B3LL2RPC/ref=sr_1_5?keywords=Neon+Festival+UV+Paint+Palette&amp;qid=1695565773&amp;sr=8-5")</f>
        <v/>
      </c>
      <c r="F1003" t="inlineStr">
        <is>
          <t>B0B3LL2RPC</t>
        </is>
      </c>
      <c r="G1003">
        <f>_xlfn.IMAGE("https://camerareadycosmetics.com/cdn/shop/products/gavissi-NeonFestivalpaintpalette3_50x.jpg?v=1635881178")</f>
        <v/>
      </c>
      <c r="H1003">
        <f>_xlfn.IMAGE("https://m.media-amazon.com/images/I/71zTuzutNlL._AC_UL320_.jpg")</f>
        <v/>
      </c>
      <c r="K1003" t="inlineStr">
        <is>
          <t>45.0</t>
        </is>
      </c>
      <c r="L1003" t="n">
        <v>9.99</v>
      </c>
      <c r="M1003" s="1" t="inlineStr">
        <is>
          <t>-77.80%</t>
        </is>
      </c>
      <c r="N1003" t="n">
        <v>4.4</v>
      </c>
      <c r="O1003" t="n">
        <v>266</v>
      </c>
      <c r="Q1003" t="inlineStr">
        <is>
          <t>InStock</t>
        </is>
      </c>
      <c r="R1003" t="inlineStr">
        <is>
          <t>undefined</t>
        </is>
      </c>
      <c r="S1003" t="inlineStr">
        <is>
          <t>7067386577081</t>
        </is>
      </c>
    </row>
    <row r="1004" ht="75" customHeight="1">
      <c r="A1004" s="2">
        <f>HYPERLINK("https://camerareadycosmetics.com/products/gavissi-neon-festival-uv-paint-palette", "https://camerareadycosmetics.com/products/gavissi-neon-festival-uv-paint-palette")</f>
        <v/>
      </c>
      <c r="B1004" s="2">
        <f>HYPERLINK("https://camerareadycosmetics.com/products/gavissi-neon-festival-uv-paint-palette", "https://camerareadycosmetics.com/products/gavissi-neon-festival-uv-paint-palette")</f>
        <v/>
      </c>
      <c r="C1004" t="inlineStr">
        <is>
          <t>Neon Festival UV Paint Palette</t>
        </is>
      </c>
      <c r="D1004" t="inlineStr">
        <is>
          <t>Glow UV Face Paint, 15 Colors Water Based Neon Blacklight Face Body Paint - UV Glow Eyeliner Makeup Palette for Halloween Kids Party Club Music Festivals</t>
        </is>
      </c>
      <c r="E1004" s="2">
        <f>HYPERLINK("https://www.amazon.com/BADCOLOR-Paint-Colors-Water-Blacklight/dp/B0CCRSCR5T/ref=sr_1_1?keywords=Neon+Festival+UV+Paint+Palette&amp;qid=1695565773&amp;sr=8-1", "https://www.amazon.com/BADCOLOR-Paint-Colors-Water-Blacklight/dp/B0CCRSCR5T/ref=sr_1_1?keywords=Neon+Festival+UV+Paint+Palette&amp;qid=1695565773&amp;sr=8-1")</f>
        <v/>
      </c>
      <c r="F1004" t="inlineStr">
        <is>
          <t>B0CCRSCR5T</t>
        </is>
      </c>
      <c r="G1004">
        <f>_xlfn.IMAGE("https://camerareadycosmetics.com/cdn/shop/products/gavissi-NeonFestivalpaintpalette3_50x.jpg?v=1635881178")</f>
        <v/>
      </c>
      <c r="H1004">
        <f>_xlfn.IMAGE("https://m.media-amazon.com/images/I/61geBLRP3PL._AC_UL320_.jpg")</f>
        <v/>
      </c>
      <c r="K1004" t="inlineStr">
        <is>
          <t>45.0</t>
        </is>
      </c>
      <c r="L1004" t="n">
        <v>9.99</v>
      </c>
      <c r="M1004" s="1" t="inlineStr">
        <is>
          <t>-77.80%</t>
        </is>
      </c>
      <c r="N1004" t="n">
        <v>1</v>
      </c>
      <c r="O1004" t="n">
        <v>1</v>
      </c>
      <c r="Q1004" t="inlineStr">
        <is>
          <t>InStock</t>
        </is>
      </c>
      <c r="R1004" t="inlineStr">
        <is>
          <t>undefined</t>
        </is>
      </c>
      <c r="S1004" t="inlineStr">
        <is>
          <t>7067386577081</t>
        </is>
      </c>
    </row>
    <row r="1005" ht="75" customHeight="1">
      <c r="A1005" s="2">
        <f>HYPERLINK("https://camerareadycosmetics.com/products/gavissi-neon-festival-uv-paint-palette", "https://camerareadycosmetics.com/products/gavissi-neon-festival-uv-paint-palette")</f>
        <v/>
      </c>
      <c r="B1005" s="2">
        <f>HYPERLINK("https://camerareadycosmetics.com/products/gavissi-neon-festival-uv-paint-palette", "https://camerareadycosmetics.com/products/gavissi-neon-festival-uv-paint-palette")</f>
        <v/>
      </c>
      <c r="C1005" t="inlineStr">
        <is>
          <t>Neon Festival UV Paint Palette</t>
        </is>
      </c>
      <c r="D1005" t="inlineStr">
        <is>
          <t>Glow UV Blacklight Face Paint, 8 Colors Glow in Dark Body Paint Neon Fluorescent Body Painting Palette, Non-Toxic Washable Glow Face Paint Kits for Kids Adult Halloween Party Club Makeup</t>
        </is>
      </c>
      <c r="E1005" s="2">
        <f>HYPERLINK("https://www.amazon.com/Blacklight-Paint-Body-Fluorescent-Non-Toxic/dp/B0C7L23JV6/ref=sr_1_10?keywords=Neon+Festival+UV+Paint+Palette&amp;qid=1695565773&amp;sr=8-10", "https://www.amazon.com/Blacklight-Paint-Body-Fluorescent-Non-Toxic/dp/B0C7L23JV6/ref=sr_1_10?keywords=Neon+Festival+UV+Paint+Palette&amp;qid=1695565773&amp;sr=8-10")</f>
        <v/>
      </c>
      <c r="F1005" t="inlineStr">
        <is>
          <t>B0C7L23JV6</t>
        </is>
      </c>
      <c r="G1005">
        <f>_xlfn.IMAGE("https://camerareadycosmetics.com/cdn/shop/products/gavissi-NeonFestivalpaintpalette3_50x.jpg?v=1635881178")</f>
        <v/>
      </c>
      <c r="H1005">
        <f>_xlfn.IMAGE("https://m.media-amazon.com/images/I/71ZDW18iBXL._AC_UL320_.jpg")</f>
        <v/>
      </c>
      <c r="K1005" t="inlineStr">
        <is>
          <t>45.0</t>
        </is>
      </c>
      <c r="L1005" t="n">
        <v>8.99</v>
      </c>
      <c r="M1005" s="1" t="inlineStr">
        <is>
          <t>-80.02%</t>
        </is>
      </c>
      <c r="N1005" t="n">
        <v>4.3</v>
      </c>
      <c r="O1005" t="n">
        <v>3</v>
      </c>
      <c r="Q1005" t="inlineStr">
        <is>
          <t>InStock</t>
        </is>
      </c>
      <c r="R1005" t="inlineStr">
        <is>
          <t>undefined</t>
        </is>
      </c>
      <c r="S1005" t="inlineStr">
        <is>
          <t>7067386577081</t>
        </is>
      </c>
    </row>
    <row r="1006" ht="75" customHeight="1">
      <c r="A1006" s="2">
        <f>HYPERLINK("https://camerareadycosmetics.com/products/gavissi-neon-festival-uv-paint-palette", "https://camerareadycosmetics.com/products/gavissi-neon-festival-uv-paint-palette")</f>
        <v/>
      </c>
      <c r="B1006" s="2">
        <f>HYPERLINK("https://camerareadycosmetics.com/products/gavissi-neon-festival-uv-paint-palette", "https://camerareadycosmetics.com/products/gavissi-neon-festival-uv-paint-palette")</f>
        <v/>
      </c>
      <c r="C1006" t="inlineStr">
        <is>
          <t>Neon Festival UV Paint Palette</t>
        </is>
      </c>
      <c r="D1006" t="inlineStr">
        <is>
          <t>Go Ho Neon Face Body Paint Palette,UV Glow in the Dark Face Paint,UV Blacklight Fun Makeup 8 Colors Professional Water Activated Face Painting Kit for Festivals Neon Makeup with Professional Brushes</t>
        </is>
      </c>
      <c r="E1006" s="2">
        <f>HYPERLINK("https://www.amazon.com/Go-Ho-Blacklight-Professional-Activated/dp/B0B183W9P8/ref=sr_1_8?keywords=Neon+Festival+UV+Paint+Palette&amp;qid=1695565773&amp;sr=8-8", "https://www.amazon.com/Go-Ho-Blacklight-Professional-Activated/dp/B0B183W9P8/ref=sr_1_8?keywords=Neon+Festival+UV+Paint+Palette&amp;qid=1695565773&amp;sr=8-8")</f>
        <v/>
      </c>
      <c r="F1006" t="inlineStr">
        <is>
          <t>B0B183W9P8</t>
        </is>
      </c>
      <c r="G1006">
        <f>_xlfn.IMAGE("https://camerareadycosmetics.com/cdn/shop/products/gavissi-NeonFestivalpaintpalette3_50x.jpg?v=1635881178")</f>
        <v/>
      </c>
      <c r="H1006">
        <f>_xlfn.IMAGE("https://m.media-amazon.com/images/I/517W0Ku+0GL._AC_UL320_.jpg")</f>
        <v/>
      </c>
      <c r="K1006" t="inlineStr">
        <is>
          <t>45.0</t>
        </is>
      </c>
      <c r="L1006" t="n">
        <v>8.880000000000001</v>
      </c>
      <c r="M1006" s="1" t="inlineStr">
        <is>
          <t>-80.27%</t>
        </is>
      </c>
      <c r="N1006" t="n">
        <v>4.3</v>
      </c>
      <c r="O1006" t="n">
        <v>16</v>
      </c>
      <c r="Q1006" t="inlineStr">
        <is>
          <t>InStock</t>
        </is>
      </c>
      <c r="R1006" t="inlineStr">
        <is>
          <t>undefined</t>
        </is>
      </c>
      <c r="S1006" t="inlineStr">
        <is>
          <t>7067386577081</t>
        </is>
      </c>
    </row>
    <row r="1007" ht="75" customHeight="1">
      <c r="A1007" s="2">
        <f>HYPERLINK("https://camerareadycosmetics.com/products/gavissi-neon-festival-uv-paint-palette", "https://camerareadycosmetics.com/products/gavissi-neon-festival-uv-paint-palette")</f>
        <v/>
      </c>
      <c r="B1007" s="2">
        <f>HYPERLINK("https://camerareadycosmetics.com/products/gavissi-neon-festival-uv-paint-palette", "https://camerareadycosmetics.com/products/gavissi-neon-festival-uv-paint-palette")</f>
        <v/>
      </c>
      <c r="C1007" t="inlineStr">
        <is>
          <t>Neon Festival UV Paint Palette</t>
        </is>
      </c>
      <c r="D1007" t="inlineStr">
        <is>
          <t>Body Paint Glow in the Dark UV Neon Blacklight Face Paint Makeup with 0.4oz Set of 8 Tubes 6 Art Brushes and 1 Palette for Adults Music Festivals Party Halloween Christmas</t>
        </is>
      </c>
      <c r="E1007" s="2">
        <f>HYPERLINK("https://www.amazon.com/Blacklight-Brushes-Festivals-Halloween-Christmas/dp/B09W98RJQJ/ref=sr_1_3?keywords=Neon+Festival+UV+Paint+Palette&amp;qid=1695565773&amp;sr=8-3", "https://www.amazon.com/Blacklight-Brushes-Festivals-Halloween-Christmas/dp/B09W98RJQJ/ref=sr_1_3?keywords=Neon+Festival+UV+Paint+Palette&amp;qid=1695565773&amp;sr=8-3")</f>
        <v/>
      </c>
      <c r="F1007" t="inlineStr">
        <is>
          <t>B09W98RJQJ</t>
        </is>
      </c>
      <c r="G1007">
        <f>_xlfn.IMAGE("https://camerareadycosmetics.com/cdn/shop/products/gavissi-NeonFestivalpaintpalette3_50x.jpg?v=1635881178")</f>
        <v/>
      </c>
      <c r="H1007">
        <f>_xlfn.IMAGE("https://m.media-amazon.com/images/I/81+6RwggRVL._AC_UL320_.jpg")</f>
        <v/>
      </c>
      <c r="K1007" t="inlineStr">
        <is>
          <t>45.0</t>
        </is>
      </c>
      <c r="L1007" t="n">
        <v>15.99</v>
      </c>
      <c r="M1007" s="1" t="inlineStr">
        <is>
          <t>-64.47%</t>
        </is>
      </c>
      <c r="N1007" t="n">
        <v>4.1</v>
      </c>
      <c r="O1007" t="n">
        <v>28</v>
      </c>
      <c r="Q1007" t="inlineStr">
        <is>
          <t>InStock</t>
        </is>
      </c>
      <c r="R1007" t="inlineStr">
        <is>
          <t>undefined</t>
        </is>
      </c>
      <c r="S1007" t="inlineStr">
        <is>
          <t>7067386577081</t>
        </is>
      </c>
    </row>
    <row r="1008" ht="75" customHeight="1">
      <c r="A1008" s="2">
        <f>HYPERLINK("https://camerareadycosmetics.com/products/gavissi-neon-festival-uv-paint-palette", "https://camerareadycosmetics.com/products/gavissi-neon-festival-uv-paint-palette")</f>
        <v/>
      </c>
      <c r="B1008" s="2">
        <f>HYPERLINK("https://camerareadycosmetics.com/products/gavissi-neon-festival-uv-paint-palette", "https://camerareadycosmetics.com/products/gavissi-neon-festival-uv-paint-palette")</f>
        <v/>
      </c>
      <c r="C1008" t="inlineStr">
        <is>
          <t>Neon Festival UV Paint Palette</t>
        </is>
      </c>
      <c r="D1008" t="inlineStr">
        <is>
          <t>UV Face Paint Kit, Glow In The Dark Paint, Neon Fluorescent Body Painting 8 Bright Colors Professional Brush, Water Based Black Lights Makeup for Kids Adults,Halloween Party Supplies, Projects Costumes Theater Special Festivals</t>
        </is>
      </c>
      <c r="E1008" s="2">
        <f>HYPERLINK("https://www.amazon.com/Face-Paint-Kit-Fluorescent-Professional/dp/B083N76K9N/ref=sr_1_4?keywords=Neon+Festival+UV+Paint+Palette&amp;qid=1695565773&amp;sr=8-4", "https://www.amazon.com/Face-Paint-Kit-Fluorescent-Professional/dp/B083N76K9N/ref=sr_1_4?keywords=Neon+Festival+UV+Paint+Palette&amp;qid=1695565773&amp;sr=8-4")</f>
        <v/>
      </c>
      <c r="F1008" t="inlineStr">
        <is>
          <t>B083N76K9N</t>
        </is>
      </c>
      <c r="G1008">
        <f>_xlfn.IMAGE("https://camerareadycosmetics.com/cdn/shop/products/gavissi-NeonFestivalpaintpalette3_50x.jpg?v=1635881178")</f>
        <v/>
      </c>
      <c r="H1008">
        <f>_xlfn.IMAGE("https://m.media-amazon.com/images/I/71eHubkN0cL._AC_UL320_.jpg")</f>
        <v/>
      </c>
      <c r="K1008" t="inlineStr">
        <is>
          <t>45.0</t>
        </is>
      </c>
      <c r="L1008" t="n">
        <v>13.99</v>
      </c>
      <c r="M1008" s="1" t="inlineStr">
        <is>
          <t>-68.91%</t>
        </is>
      </c>
      <c r="N1008" t="n">
        <v>4.2</v>
      </c>
      <c r="O1008" t="n">
        <v>373</v>
      </c>
      <c r="Q1008" t="inlineStr">
        <is>
          <t>InStock</t>
        </is>
      </c>
      <c r="R1008" t="inlineStr">
        <is>
          <t>undefined</t>
        </is>
      </c>
      <c r="S1008" t="inlineStr">
        <is>
          <t>7067386577081</t>
        </is>
      </c>
    </row>
    <row r="1009" ht="75" customHeight="1">
      <c r="A1009" s="2">
        <f>HYPERLINK("https://camerareadycosmetics.com/products/gavissi-neon-festival-uv-paint-palette", "https://camerareadycosmetics.com/products/gavissi-neon-festival-uv-paint-palette")</f>
        <v/>
      </c>
      <c r="B1009" s="2">
        <f>HYPERLINK("https://camerareadycosmetics.com/products/gavissi-neon-festival-uv-paint-palette", "https://camerareadycosmetics.com/products/gavissi-neon-festival-uv-paint-palette")</f>
        <v/>
      </c>
      <c r="C1009" t="inlineStr">
        <is>
          <t>Neon Festival UV Paint Palette</t>
        </is>
      </c>
      <c r="D1009" t="inlineStr">
        <is>
          <t>CCbeauty Pro Large UV Glow Face Body Paint Palette, 8 Neon Glow In The Black Lights Makeup, Water Based Activated Eyeliner Painting Palette, Non-Toxic Washable for Kids Adults, Halloween Costume Masquerades Club Makeup</t>
        </is>
      </c>
      <c r="E1009" s="2">
        <f>HYPERLINK("https://www.amazon.com/CCbeauty-Activated-Non-Toxic-Halloween-Masquerades/dp/B0B4G6KWSD/ref=sr_1_9?keywords=Neon+Festival+UV+Paint+Palette&amp;qid=1695565773&amp;sr=8-9", "https://www.amazon.com/CCbeauty-Activated-Non-Toxic-Halloween-Masquerades/dp/B0B4G6KWSD/ref=sr_1_9?keywords=Neon+Festival+UV+Paint+Palette&amp;qid=1695565773&amp;sr=8-9")</f>
        <v/>
      </c>
      <c r="F1009" t="inlineStr">
        <is>
          <t>B0B4G6KWSD</t>
        </is>
      </c>
      <c r="G1009">
        <f>_xlfn.IMAGE("https://camerareadycosmetics.com/cdn/shop/products/gavissi-NeonFestivalpaintpalette3_50x.jpg?v=1635881178")</f>
        <v/>
      </c>
      <c r="H1009">
        <f>_xlfn.IMAGE("https://m.media-amazon.com/images/I/61lio7PUvDL._AC_UL320_.jpg")</f>
        <v/>
      </c>
      <c r="K1009" t="inlineStr">
        <is>
          <t>45.0</t>
        </is>
      </c>
      <c r="L1009" t="n">
        <v>9.99</v>
      </c>
      <c r="M1009" s="1" t="inlineStr">
        <is>
          <t>-77.80%</t>
        </is>
      </c>
      <c r="N1009" t="n">
        <v>4.3</v>
      </c>
      <c r="O1009" t="n">
        <v>422</v>
      </c>
      <c r="Q1009" t="inlineStr">
        <is>
          <t>InStock</t>
        </is>
      </c>
      <c r="R1009" t="inlineStr">
        <is>
          <t>undefined</t>
        </is>
      </c>
      <c r="S1009" t="inlineStr">
        <is>
          <t>7067386577081</t>
        </is>
      </c>
    </row>
    <row r="1010" ht="75" customHeight="1">
      <c r="A1010" s="2">
        <f>HYPERLINK("https://camerareadycosmetics.com/products/gavissi-neon-festival-uv-paint-palette", "https://camerareadycosmetics.com/products/gavissi-neon-festival-uv-paint-palette")</f>
        <v/>
      </c>
      <c r="B1010" s="2">
        <f>HYPERLINK("https://camerareadycosmetics.com/products/gavissi-neon-festival-uv-paint-palette", "https://camerareadycosmetics.com/products/gavissi-neon-festival-uv-paint-palette")</f>
        <v/>
      </c>
      <c r="C1010" t="inlineStr">
        <is>
          <t>Neon Festival UV Paint Palette</t>
        </is>
      </c>
      <c r="D1010" t="inlineStr">
        <is>
          <t>MEICOLY Glow UV Blacklight Face Paint, 8 Bright Colors Neon Fluorescent Body Painting Palette,Water Activated Eyeliner,Water Based Makeup Glow In The Dark Party Halloween Washable for Kids Adult Body Paint</t>
        </is>
      </c>
      <c r="E1010" s="2">
        <f>HYPERLINK("https://www.amazon.com/MEICOLY-Blacklight-Fluorescent-Activated-Halloween/dp/B0B3LL2RPC/ref=sr_1_5?keywords=Neon+Festival+UV+Paint+Palette&amp;qid=1695565773&amp;sr=8-5", "https://www.amazon.com/MEICOLY-Blacklight-Fluorescent-Activated-Halloween/dp/B0B3LL2RPC/ref=sr_1_5?keywords=Neon+Festival+UV+Paint+Palette&amp;qid=1695565773&amp;sr=8-5")</f>
        <v/>
      </c>
      <c r="F1010" t="inlineStr">
        <is>
          <t>B0B3LL2RPC</t>
        </is>
      </c>
      <c r="G1010">
        <f>_xlfn.IMAGE("https://camerareadycosmetics.com/cdn/shop/products/gavissi-NeonFestivalpaintpalette3_50x.jpg?v=1635881178")</f>
        <v/>
      </c>
      <c r="H1010">
        <f>_xlfn.IMAGE("https://m.media-amazon.com/images/I/71zTuzutNlL._AC_UL320_.jpg")</f>
        <v/>
      </c>
      <c r="K1010" t="inlineStr">
        <is>
          <t>45.0</t>
        </is>
      </c>
      <c r="L1010" t="n">
        <v>9.99</v>
      </c>
      <c r="M1010" s="1" t="inlineStr">
        <is>
          <t>-77.80%</t>
        </is>
      </c>
      <c r="N1010" t="n">
        <v>4.4</v>
      </c>
      <c r="O1010" t="n">
        <v>266</v>
      </c>
      <c r="Q1010" t="inlineStr">
        <is>
          <t>InStock</t>
        </is>
      </c>
      <c r="R1010" t="inlineStr">
        <is>
          <t>undefined</t>
        </is>
      </c>
      <c r="S1010" t="inlineStr">
        <is>
          <t>7067386577081</t>
        </is>
      </c>
    </row>
    <row r="1011" ht="75" customHeight="1">
      <c r="A1011" s="2">
        <f>HYPERLINK("https://camerareadycosmetics.com/products/gavissi-neon-festival-uv-paint-palette", "https://camerareadycosmetics.com/products/gavissi-neon-festival-uv-paint-palette")</f>
        <v/>
      </c>
      <c r="B1011" s="2">
        <f>HYPERLINK("https://camerareadycosmetics.com/products/gavissi-neon-festival-uv-paint-palette", "https://camerareadycosmetics.com/products/gavissi-neon-festival-uv-paint-palette")</f>
        <v/>
      </c>
      <c r="C1011" t="inlineStr">
        <is>
          <t>Neon Festival UV Paint Palette</t>
        </is>
      </c>
      <c r="D1011" t="inlineStr">
        <is>
          <t>Glow UV Face Paint, 15 Colors Water Based Neon Blacklight Face Body Paint - UV Glow Eyeliner Makeup Palette for Halloween Kids Party Club Music Festivals</t>
        </is>
      </c>
      <c r="E1011" s="2">
        <f>HYPERLINK("https://www.amazon.com/BADCOLOR-Paint-Colors-Water-Blacklight/dp/B0CCRSCR5T/ref=sr_1_1?keywords=Neon+Festival+UV+Paint+Palette&amp;qid=1695565773&amp;sr=8-1", "https://www.amazon.com/BADCOLOR-Paint-Colors-Water-Blacklight/dp/B0CCRSCR5T/ref=sr_1_1?keywords=Neon+Festival+UV+Paint+Palette&amp;qid=1695565773&amp;sr=8-1")</f>
        <v/>
      </c>
      <c r="F1011" t="inlineStr">
        <is>
          <t>B0CCRSCR5T</t>
        </is>
      </c>
      <c r="G1011">
        <f>_xlfn.IMAGE("https://camerareadycosmetics.com/cdn/shop/products/gavissi-NeonFestivalpaintpalette3_50x.jpg?v=1635881178")</f>
        <v/>
      </c>
      <c r="H1011">
        <f>_xlfn.IMAGE("https://m.media-amazon.com/images/I/61geBLRP3PL._AC_UL320_.jpg")</f>
        <v/>
      </c>
      <c r="K1011" t="inlineStr">
        <is>
          <t>45.0</t>
        </is>
      </c>
      <c r="L1011" t="n">
        <v>9.99</v>
      </c>
      <c r="M1011" s="1" t="inlineStr">
        <is>
          <t>-77.80%</t>
        </is>
      </c>
      <c r="N1011" t="n">
        <v>1</v>
      </c>
      <c r="O1011" t="n">
        <v>1</v>
      </c>
      <c r="Q1011" t="inlineStr">
        <is>
          <t>InStock</t>
        </is>
      </c>
      <c r="R1011" t="inlineStr">
        <is>
          <t>undefined</t>
        </is>
      </c>
      <c r="S1011" t="inlineStr">
        <is>
          <t>7067386577081</t>
        </is>
      </c>
    </row>
    <row r="1012" ht="75" customHeight="1">
      <c r="A1012" s="2">
        <f>HYPERLINK("https://camerareadycosmetics.com/products/gavissi-neon-festival-uv-paint-palette", "https://camerareadycosmetics.com/products/gavissi-neon-festival-uv-paint-palette")</f>
        <v/>
      </c>
      <c r="B1012" s="2">
        <f>HYPERLINK("https://camerareadycosmetics.com/products/gavissi-neon-festival-uv-paint-palette", "https://camerareadycosmetics.com/products/gavissi-neon-festival-uv-paint-palette")</f>
        <v/>
      </c>
      <c r="C1012" t="inlineStr">
        <is>
          <t>Neon Festival UV Paint Palette</t>
        </is>
      </c>
      <c r="D1012" t="inlineStr">
        <is>
          <t>Glow UV Blacklight Face Paint, 8 Colors Glow in Dark Body Paint Neon Fluorescent Body Painting Palette, Non-Toxic Washable Glow Face Paint Kits for Kids Adult Halloween Party Club Makeup</t>
        </is>
      </c>
      <c r="E1012" s="2">
        <f>HYPERLINK("https://www.amazon.com/Blacklight-Paint-Body-Fluorescent-Non-Toxic/dp/B0C7L23JV6/ref=sr_1_10?keywords=Neon+Festival+UV+Paint+Palette&amp;qid=1695565773&amp;sr=8-10", "https://www.amazon.com/Blacklight-Paint-Body-Fluorescent-Non-Toxic/dp/B0C7L23JV6/ref=sr_1_10?keywords=Neon+Festival+UV+Paint+Palette&amp;qid=1695565773&amp;sr=8-10")</f>
        <v/>
      </c>
      <c r="F1012" t="inlineStr">
        <is>
          <t>B0C7L23JV6</t>
        </is>
      </c>
      <c r="G1012">
        <f>_xlfn.IMAGE("https://camerareadycosmetics.com/cdn/shop/products/gavissi-NeonFestivalpaintpalette3_50x.jpg?v=1635881178")</f>
        <v/>
      </c>
      <c r="H1012">
        <f>_xlfn.IMAGE("https://m.media-amazon.com/images/I/71ZDW18iBXL._AC_UL320_.jpg")</f>
        <v/>
      </c>
      <c r="K1012" t="inlineStr">
        <is>
          <t>45.0</t>
        </is>
      </c>
      <c r="L1012" t="n">
        <v>8.99</v>
      </c>
      <c r="M1012" s="1" t="inlineStr">
        <is>
          <t>-80.02%</t>
        </is>
      </c>
      <c r="N1012" t="n">
        <v>4.3</v>
      </c>
      <c r="O1012" t="n">
        <v>3</v>
      </c>
      <c r="Q1012" t="inlineStr">
        <is>
          <t>InStock</t>
        </is>
      </c>
      <c r="R1012" t="inlineStr">
        <is>
          <t>undefined</t>
        </is>
      </c>
      <c r="S1012" t="inlineStr">
        <is>
          <t>7067386577081</t>
        </is>
      </c>
    </row>
    <row r="1013" ht="75" customHeight="1">
      <c r="A1013" s="2">
        <f>HYPERLINK("https://camerareadycosmetics.com/products/gavissi-neon-festival-uv-paint-palette", "https://camerareadycosmetics.com/products/gavissi-neon-festival-uv-paint-palette")</f>
        <v/>
      </c>
      <c r="B1013" s="2">
        <f>HYPERLINK("https://camerareadycosmetics.com/products/gavissi-neon-festival-uv-paint-palette", "https://camerareadycosmetics.com/products/gavissi-neon-festival-uv-paint-palette")</f>
        <v/>
      </c>
      <c r="C1013" t="inlineStr">
        <is>
          <t>Neon Festival UV Paint Palette</t>
        </is>
      </c>
      <c r="D1013" t="inlineStr">
        <is>
          <t>Go Ho Neon Face Body Paint Palette,UV Glow in the Dark Face Paint,UV Blacklight Fun Makeup 8 Colors Professional Water Activated Face Painting Kit for Festivals Neon Makeup with Professional Brushes</t>
        </is>
      </c>
      <c r="E1013" s="2">
        <f>HYPERLINK("https://www.amazon.com/Go-Ho-Blacklight-Professional-Activated/dp/B0B183W9P8/ref=sr_1_8?keywords=Neon+Festival+UV+Paint+Palette&amp;qid=1695565773&amp;sr=8-8", "https://www.amazon.com/Go-Ho-Blacklight-Professional-Activated/dp/B0B183W9P8/ref=sr_1_8?keywords=Neon+Festival+UV+Paint+Palette&amp;qid=1695565773&amp;sr=8-8")</f>
        <v/>
      </c>
      <c r="F1013" t="inlineStr">
        <is>
          <t>B0B183W9P8</t>
        </is>
      </c>
      <c r="G1013">
        <f>_xlfn.IMAGE("https://camerareadycosmetics.com/cdn/shop/products/gavissi-NeonFestivalpaintpalette3_50x.jpg?v=1635881178")</f>
        <v/>
      </c>
      <c r="H1013">
        <f>_xlfn.IMAGE("https://m.media-amazon.com/images/I/517W0Ku+0GL._AC_UL320_.jpg")</f>
        <v/>
      </c>
      <c r="K1013" t="inlineStr">
        <is>
          <t>45.0</t>
        </is>
      </c>
      <c r="L1013" t="n">
        <v>8.880000000000001</v>
      </c>
      <c r="M1013" s="1" t="inlineStr">
        <is>
          <t>-80.27%</t>
        </is>
      </c>
      <c r="N1013" t="n">
        <v>4.3</v>
      </c>
      <c r="O1013" t="n">
        <v>16</v>
      </c>
      <c r="Q1013" t="inlineStr">
        <is>
          <t>InStock</t>
        </is>
      </c>
      <c r="R1013" t="inlineStr">
        <is>
          <t>undefined</t>
        </is>
      </c>
      <c r="S1013" t="inlineStr">
        <is>
          <t>7067386577081</t>
        </is>
      </c>
    </row>
    <row r="1014" ht="75" customHeight="1">
      <c r="A1014" s="2">
        <f>HYPERLINK("https://camerareadycosmetics.com/products/gavissi-pastel-paradise-uv-paint-palette", "https://camerareadycosmetics.com/products/gavissi-pastel-paradise-uv-paint-palette")</f>
        <v/>
      </c>
      <c r="B1014" s="2">
        <f>HYPERLINK("https://camerareadycosmetics.com/products/gavissi-pastel-paradise-uv-paint-palette", "https://camerareadycosmetics.com/products/gavissi-pastel-paradise-uv-paint-palette")</f>
        <v/>
      </c>
      <c r="C1014" t="inlineStr">
        <is>
          <t>Pastel Paradise UV Paint Palette</t>
        </is>
      </c>
      <c r="D1014" t="inlineStr">
        <is>
          <t>Mehron Makeup Paradise Makeup AQ 8 Color Pastel Palette | Magnetic Refillable Body Paint &amp; Face Paint Palette | Professional Water Activated Makeup for Costumes, SFX, Halloween, &amp; Cosplay</t>
        </is>
      </c>
      <c r="E1014" s="2">
        <f>HYPERLINK("https://www.amazon.com/Mehron-Makeup-Paradise-Palette-PASTEL/dp/B001BXXG7Y/ref=sr_1_4?keywords=Pastel+Paradise+UV+Paint+Palette&amp;qid=1695565818&amp;sr=8-4", "https://www.amazon.com/Mehron-Makeup-Paradise-Palette-PASTEL/dp/B001BXXG7Y/ref=sr_1_4?keywords=Pastel+Paradise+UV+Paint+Palette&amp;qid=1695565818&amp;sr=8-4")</f>
        <v/>
      </c>
      <c r="F1014" t="inlineStr">
        <is>
          <t>B001BXXG7Y</t>
        </is>
      </c>
      <c r="G1014">
        <f>_xlfn.IMAGE("https://camerareadycosmetics.com/cdn/shop/products/gavissi-PastelParadisepaintpalette2_50x.jpg?v=1635880961")</f>
        <v/>
      </c>
      <c r="H1014">
        <f>_xlfn.IMAGE("https://m.media-amazon.com/images/I/71UQe3MQksL._AC_UL320_.jpg")</f>
        <v/>
      </c>
      <c r="K1014" t="inlineStr">
        <is>
          <t>45.0</t>
        </is>
      </c>
      <c r="L1014" t="n">
        <v>34.95</v>
      </c>
      <c r="M1014" s="1" t="inlineStr">
        <is>
          <t>-22.33%</t>
        </is>
      </c>
      <c r="N1014" t="n">
        <v>4.7</v>
      </c>
      <c r="O1014" t="n">
        <v>3425</v>
      </c>
      <c r="Q1014" t="inlineStr">
        <is>
          <t>InStock</t>
        </is>
      </c>
      <c r="R1014" t="inlineStr">
        <is>
          <t>undefined</t>
        </is>
      </c>
      <c r="S1014" t="inlineStr">
        <is>
          <t>7067378155705</t>
        </is>
      </c>
    </row>
    <row r="1015" ht="75" customHeight="1">
      <c r="A1015" s="2">
        <f>HYPERLINK("https://camerareadycosmetics.com/products/gavissi-stone-3-color-split-liner", "https://camerareadycosmetics.com/products/gavissi-stone-3-color-split-liner")</f>
        <v/>
      </c>
      <c r="B1015" s="2">
        <f>HYPERLINK("https://camerareadycosmetics.com/products/gavissi-stone-3-color-split-liner", "https://camerareadycosmetics.com/products/gavissi-stone-3-color-split-liner")</f>
        <v/>
      </c>
      <c r="C1015" t="inlineStr">
        <is>
          <t>Stone 3 Color Split Liner</t>
        </is>
      </c>
      <c r="D1015" t="inlineStr">
        <is>
          <t>Andersen Split Arm Operator (Left Hand) in Stone Color (1982-1995) - 1361316</t>
        </is>
      </c>
      <c r="E1015" s="2">
        <f>HYPERLINK("https://www.amazon.com/Andersen-Split-Operator-Stone-1982-1995/dp/B005E0N6IY/ref=sr_1_fkmr1_2?keywords=Stone+3+Color+Split+Liner&amp;qid=1695565795&amp;sr=8-2-fkmr1", "https://www.amazon.com/Andersen-Split-Operator-Stone-1982-1995/dp/B005E0N6IY/ref=sr_1_fkmr1_2?keywords=Stone+3+Color+Split+Liner&amp;qid=1695565795&amp;sr=8-2-fkmr1")</f>
        <v/>
      </c>
      <c r="F1015" t="inlineStr">
        <is>
          <t>B005E0N6IY</t>
        </is>
      </c>
      <c r="G1015">
        <f>_xlfn.IMAGE("https://camerareadycosmetics.com/cdn/shop/products/gavissi-split-liner-Stone2_50x.jpg?v=1635880548")</f>
        <v/>
      </c>
      <c r="H1015">
        <f>_xlfn.IMAGE("https://m.media-amazon.com/images/I/31l7T8J+ouL._AC_UL320_.jpg")</f>
        <v/>
      </c>
      <c r="K1015" t="inlineStr">
        <is>
          <t>12.0</t>
        </is>
      </c>
      <c r="L1015" t="n">
        <v>39.56</v>
      </c>
      <c r="M1015" s="1" t="inlineStr">
        <is>
          <t>229.67%</t>
        </is>
      </c>
      <c r="N1015" t="n">
        <v>4.6</v>
      </c>
      <c r="O1015" t="n">
        <v>1449</v>
      </c>
      <c r="Q1015" t="inlineStr">
        <is>
          <t>InStock</t>
        </is>
      </c>
      <c r="R1015" t="inlineStr">
        <is>
          <t>undefined</t>
        </is>
      </c>
      <c r="S1015" t="inlineStr">
        <is>
          <t>7067375468729</t>
        </is>
      </c>
    </row>
    <row r="1016" ht="75" customHeight="1">
      <c r="A1016" s="2">
        <f>HYPERLINK("https://camerareadycosmetics.com/products/gavissi-stone-3-color-split-liner", "https://camerareadycosmetics.com/products/gavissi-stone-3-color-split-liner")</f>
        <v/>
      </c>
      <c r="B1016" s="2">
        <f>HYPERLINK("https://camerareadycosmetics.com/products/gavissi-stone-3-color-split-liner", "https://camerareadycosmetics.com/products/gavissi-stone-3-color-split-liner")</f>
        <v/>
      </c>
      <c r="C1016" t="inlineStr">
        <is>
          <t>Stone 3 Color Split Liner</t>
        </is>
      </c>
      <c r="D1016" t="inlineStr">
        <is>
          <t>Gavissi Beauty 3 Color Split Cake Retro Liner, Face &amp; Body Paint Palette - Water Activated, Eyeliner, Aqua Graphic Liner, Professional SFX Makeup, Special Effects, 8g (Carnival)</t>
        </is>
      </c>
      <c r="E1016" s="2">
        <f>HYPERLINK("https://www.amazon.com/Gavissi-Beauty-Color-Split-Palette/dp/B0B27KYPKK/ref=sr_1_fkmr2_1?keywords=Stone+3+Color+Split+Liner&amp;qid=1695565795&amp;sr=8-1-fkmr2", "https://www.amazon.com/Gavissi-Beauty-Color-Split-Palette/dp/B0B27KYPKK/ref=sr_1_fkmr2_1?keywords=Stone+3+Color+Split+Liner&amp;qid=1695565795&amp;sr=8-1-fkmr2")</f>
        <v/>
      </c>
      <c r="F1016" t="inlineStr">
        <is>
          <t>B0B27KYPKK</t>
        </is>
      </c>
      <c r="G1016">
        <f>_xlfn.IMAGE("https://camerareadycosmetics.com/cdn/shop/products/gavissi-split-liner-Stone2_50x.jpg?v=1635880548")</f>
        <v/>
      </c>
      <c r="H1016">
        <f>_xlfn.IMAGE("https://m.media-amazon.com/images/I/71tqXGZm4HL._AC_UL320_.jpg")</f>
        <v/>
      </c>
      <c r="K1016" t="inlineStr">
        <is>
          <t>12.0</t>
        </is>
      </c>
      <c r="L1016" t="n">
        <v>8.99</v>
      </c>
      <c r="M1016" s="1" t="inlineStr">
        <is>
          <t>-25.08%</t>
        </is>
      </c>
      <c r="N1016" t="n">
        <v>4.3</v>
      </c>
      <c r="O1016" t="n">
        <v>53</v>
      </c>
      <c r="Q1016" t="inlineStr">
        <is>
          <t>InStock</t>
        </is>
      </c>
      <c r="R1016" t="inlineStr">
        <is>
          <t>undefined</t>
        </is>
      </c>
      <c r="S1016" t="inlineStr">
        <is>
          <t>7067375468729</t>
        </is>
      </c>
    </row>
    <row r="1017" ht="75" customHeight="1">
      <c r="A1017" s="2">
        <f>HYPERLINK("https://camerareadycosmetics.com/products/gavissi-strawberry-3-color-split-liner", "https://camerareadycosmetics.com/products/gavissi-strawberry-3-color-split-liner")</f>
        <v/>
      </c>
      <c r="B1017" s="2">
        <f>HYPERLINK("https://camerareadycosmetics.com/products/gavissi-strawberry-3-color-split-liner", "https://camerareadycosmetics.com/products/gavissi-strawberry-3-color-split-liner")</f>
        <v/>
      </c>
      <c r="C1017" t="inlineStr">
        <is>
          <t>Strawberry 3 Color Split Liner</t>
        </is>
      </c>
      <c r="D1017" t="inlineStr">
        <is>
          <t>Gavissi Beauty 3 Color Split Cake Retro Liner, Face &amp; Body Paint Palette - Water Activated, Eyeliner, Aqua Graphic Liner, Professional SFX Makeup, Special Effects, 8g (Bahamas)</t>
        </is>
      </c>
      <c r="E1017" s="2">
        <f>HYPERLINK("https://www.amazon.com/Gavissi-Beauty-Color-Split-Palette/dp/B0B27RHHDY/ref=sr_1_1?keywords=Strawberry+3+Color+Split+Liner&amp;qid=1695565754&amp;sr=8-1", "https://www.amazon.com/Gavissi-Beauty-Color-Split-Palette/dp/B0B27RHHDY/ref=sr_1_1?keywords=Strawberry+3+Color+Split+Liner&amp;qid=1695565754&amp;sr=8-1")</f>
        <v/>
      </c>
      <c r="F1017" t="inlineStr">
        <is>
          <t>B0B27RHHDY</t>
        </is>
      </c>
      <c r="G1017">
        <f>_xlfn.IMAGE("https://camerareadycosmetics.com/cdn/shop/products/gavissi-3-color-split-Strawberry1_50x.jpg?v=1635875954")</f>
        <v/>
      </c>
      <c r="H1017">
        <f>_xlfn.IMAGE("https://m.media-amazon.com/images/I/71fZQjUlngL._AC_UL320_.jpg")</f>
        <v/>
      </c>
      <c r="K1017" t="inlineStr">
        <is>
          <t>12.0</t>
        </is>
      </c>
      <c r="L1017" t="n">
        <v>8.99</v>
      </c>
      <c r="M1017" s="1" t="inlineStr">
        <is>
          <t>-25.08%</t>
        </is>
      </c>
      <c r="N1017" t="n">
        <v>4.3</v>
      </c>
      <c r="O1017" t="n">
        <v>53</v>
      </c>
      <c r="Q1017" t="inlineStr">
        <is>
          <t>InStock</t>
        </is>
      </c>
      <c r="R1017" t="inlineStr">
        <is>
          <t>undefined</t>
        </is>
      </c>
      <c r="S1017" t="inlineStr">
        <is>
          <t>7067294826681</t>
        </is>
      </c>
    </row>
    <row r="1018" ht="75" customHeight="1">
      <c r="A1018" s="2">
        <f>HYPERLINK("https://camerareadycosmetics.com/products/gavissi-uv-matte-retro-liner", "https://camerareadycosmetics.com/products/gavissi-uv-matte-retro-liner")</f>
        <v/>
      </c>
      <c r="B1018" s="2">
        <f>HYPERLINK("https://camerareadycosmetics.com/products/gavissi-uv-matte-retro-liner", "https://camerareadycosmetics.com/products/gavissi-uv-matte-retro-liner")</f>
        <v/>
      </c>
      <c r="C1018" t="inlineStr">
        <is>
          <t>UV Matte Retro Liner</t>
        </is>
      </c>
      <c r="D1018" t="inlineStr">
        <is>
          <t>Water Activated Split Cake Eyeliner, UV Glow Blacklight Fluorescent Paint, Onmay 14 Bright Color Retro Graphic Hydra Eye Liner, Body Face Paint, Halloween Makeup (14color)</t>
        </is>
      </c>
      <c r="E1018" s="2">
        <f>HYPERLINK("https://www.amazon.com/Activated-Eyeliner-Blacklight-Fluorescent-Halloween/dp/B09ZTVYMGT/ref=sr_1_10?keywords=UV+Matte+Retro+Liner&amp;qid=1695565769&amp;sr=8-10", "https://www.amazon.com/Activated-Eyeliner-Blacklight-Fluorescent-Halloween/dp/B09ZTVYMGT/ref=sr_1_10?keywords=UV+Matte+Retro+Liner&amp;qid=1695565769&amp;sr=8-10")</f>
        <v/>
      </c>
      <c r="F1018" t="inlineStr">
        <is>
          <t>B09ZTVYMGT</t>
        </is>
      </c>
      <c r="G1018">
        <f>_xlfn.IMAGE("https://camerareadycosmetics.com/cdn/shop/products/gavissi-uv-retro-liner-FrenchVanilla_50x.jpg?v=1635546659")</f>
        <v/>
      </c>
      <c r="H1018">
        <f>_xlfn.IMAGE("https://m.media-amazon.com/images/I/71T5GWunzCL._AC_UL320_.jpg")</f>
        <v/>
      </c>
      <c r="K1018" t="inlineStr">
        <is>
          <t>8.0</t>
        </is>
      </c>
      <c r="L1018" t="n">
        <v>19.99</v>
      </c>
      <c r="M1018" s="1" t="inlineStr">
        <is>
          <t>149.87%</t>
        </is>
      </c>
      <c r="N1018" t="n">
        <v>4.5</v>
      </c>
      <c r="O1018" t="n">
        <v>299</v>
      </c>
      <c r="Q1018" t="inlineStr">
        <is>
          <t>InStock</t>
        </is>
      </c>
      <c r="R1018" t="inlineStr">
        <is>
          <t>undefined</t>
        </is>
      </c>
      <c r="S1018" t="inlineStr">
        <is>
          <t>7063600038073</t>
        </is>
      </c>
    </row>
    <row r="1019" ht="75" customHeight="1">
      <c r="A1019" s="2">
        <f>HYPERLINK("https://camerareadycosmetics.com/products/gavissi-uv-matte-retro-liner", "https://camerareadycosmetics.com/products/gavissi-uv-matte-retro-liner")</f>
        <v/>
      </c>
      <c r="B1019" s="2">
        <f>HYPERLINK("https://camerareadycosmetics.com/products/gavissi-uv-matte-retro-liner", "https://camerareadycosmetics.com/products/gavissi-uv-matte-retro-liner")</f>
        <v/>
      </c>
      <c r="C1019" t="inlineStr">
        <is>
          <t>UV Matte Retro Liner</t>
        </is>
      </c>
      <c r="D1019" t="inlineStr">
        <is>
          <t>8x5 Gram Water Activated Eyeliner Hydra Liner Makeup UV Glow Fluorescent Color Graphic Retro Face and Body Paint (UV Color)</t>
        </is>
      </c>
      <c r="E1019" s="2">
        <f>HYPERLINK("https://www.amazon.com/Bowitzki-Activated-Eyeliner-Makeup-Fluorescent/dp/B089Y9QMYH/ref=sr_1_8?keywords=UV+Matte+Retro+Liner&amp;qid=1695565769&amp;sr=8-8", "https://www.amazon.com/Bowitzki-Activated-Eyeliner-Makeup-Fluorescent/dp/B089Y9QMYH/ref=sr_1_8?keywords=UV+Matte+Retro+Liner&amp;qid=1695565769&amp;sr=8-8")</f>
        <v/>
      </c>
      <c r="F1019" t="inlineStr">
        <is>
          <t>B089Y9QMYH</t>
        </is>
      </c>
      <c r="G1019">
        <f>_xlfn.IMAGE("https://camerareadycosmetics.com/cdn/shop/products/gavissi-uv-retro-liner-FrenchVanilla_50x.jpg?v=1635546659")</f>
        <v/>
      </c>
      <c r="H1019">
        <f>_xlfn.IMAGE("https://m.media-amazon.com/images/I/81qJSDpYpvL._AC_UL320_.jpg")</f>
        <v/>
      </c>
      <c r="K1019" t="inlineStr">
        <is>
          <t>8.0</t>
        </is>
      </c>
      <c r="L1019" t="n">
        <v>16.99</v>
      </c>
      <c r="M1019" s="1" t="inlineStr">
        <is>
          <t>112.37%</t>
        </is>
      </c>
      <c r="N1019" t="n">
        <v>4.4</v>
      </c>
      <c r="O1019" t="n">
        <v>217</v>
      </c>
      <c r="Q1019" t="inlineStr">
        <is>
          <t>InStock</t>
        </is>
      </c>
      <c r="R1019" t="inlineStr">
        <is>
          <t>undefined</t>
        </is>
      </c>
      <c r="S1019" t="inlineStr">
        <is>
          <t>7063600038073</t>
        </is>
      </c>
    </row>
    <row r="1020" ht="75" customHeight="1">
      <c r="A1020" s="2">
        <f>HYPERLINK("https://camerareadycosmetics.com/products/gavissi-uv-matte-retro-liner", "https://camerareadycosmetics.com/products/gavissi-uv-matte-retro-liner")</f>
        <v/>
      </c>
      <c r="B1020" s="2">
        <f>HYPERLINK("https://camerareadycosmetics.com/products/gavissi-uv-matte-retro-liner", "https://camerareadycosmetics.com/products/gavissi-uv-matte-retro-liner")</f>
        <v/>
      </c>
      <c r="C1020" t="inlineStr">
        <is>
          <t>UV Matte Retro Liner</t>
        </is>
      </c>
      <c r="D1020" t="inlineStr">
        <is>
          <t>8x5 Gram Water Activated Eyeliner Hydra Liner Makeup UV Glow Fluorescent Color Graphic Retro Face and Body Paint (Pastel Color)</t>
        </is>
      </c>
      <c r="E1020" s="2">
        <f>HYPERLINK("https://www.amazon.com/Bowitzki-Activated-Eyeliner-Makeup-Pastel/dp/B089YB6NNW/ref=sr_1_7?keywords=UV+Matte+Retro+Liner&amp;qid=1695565769&amp;sr=8-7", "https://www.amazon.com/Bowitzki-Activated-Eyeliner-Makeup-Pastel/dp/B089YB6NNW/ref=sr_1_7?keywords=UV+Matte+Retro+Liner&amp;qid=1695565769&amp;sr=8-7")</f>
        <v/>
      </c>
      <c r="F1020" t="inlineStr">
        <is>
          <t>B089YB6NNW</t>
        </is>
      </c>
      <c r="G1020">
        <f>_xlfn.IMAGE("https://camerareadycosmetics.com/cdn/shop/products/gavissi-uv-retro-liner-FrenchVanilla_50x.jpg?v=1635546659")</f>
        <v/>
      </c>
      <c r="H1020">
        <f>_xlfn.IMAGE("https://m.media-amazon.com/images/I/81WIZ8r+7lL._AC_UL320_.jpg")</f>
        <v/>
      </c>
      <c r="K1020" t="inlineStr">
        <is>
          <t>8.0</t>
        </is>
      </c>
      <c r="L1020" t="n">
        <v>16.99</v>
      </c>
      <c r="M1020" s="1" t="inlineStr">
        <is>
          <t>112.37%</t>
        </is>
      </c>
      <c r="N1020" t="n">
        <v>4.5</v>
      </c>
      <c r="O1020" t="n">
        <v>373</v>
      </c>
      <c r="Q1020" t="inlineStr">
        <is>
          <t>InStock</t>
        </is>
      </c>
      <c r="R1020" t="inlineStr">
        <is>
          <t>undefined</t>
        </is>
      </c>
      <c r="S1020" t="inlineStr">
        <is>
          <t>7063600038073</t>
        </is>
      </c>
    </row>
    <row r="1021" ht="75" customHeight="1">
      <c r="A1021" s="2">
        <f>HYPERLINK("https://camerareadycosmetics.com/products/gavissi-uv-matte-retro-liner", "https://camerareadycosmetics.com/products/gavissi-uv-matte-retro-liner")</f>
        <v/>
      </c>
      <c r="B1021" s="2">
        <f>HYPERLINK("https://camerareadycosmetics.com/products/gavissi-uv-matte-retro-liner", "https://camerareadycosmetics.com/products/gavissi-uv-matte-retro-liner")</f>
        <v/>
      </c>
      <c r="C1021" t="inlineStr">
        <is>
          <t>UV Matte Retro Liner</t>
        </is>
      </c>
      <c r="D1021" t="inlineStr">
        <is>
          <t>MEICOLY Neon UV Face Paint,Glow In The Dark Paint,9 Colors Water Activated Eyeliner Palette Blacklight Fluorescent White Body Paint Retro Hydra Liner Makeup Matte Graphic Eyeliner with 4 Eyeliner Brushes (NET:0.95 oz/27g)</t>
        </is>
      </c>
      <c r="E1021" s="2">
        <f>HYPERLINK("https://www.amazon.com/MEICOLY-Activated-Eyeliner-Blacklight-Fluorescent/dp/B09WRXPT2L/ref=sr_1_5?keywords=UV+Matte+Retro+Liner&amp;qid=1695565769&amp;sr=8-5", "https://www.amazon.com/MEICOLY-Activated-Eyeliner-Blacklight-Fluorescent/dp/B09WRXPT2L/ref=sr_1_5?keywords=UV+Matte+Retro+Liner&amp;qid=1695565769&amp;sr=8-5")</f>
        <v/>
      </c>
      <c r="F1021" t="inlineStr">
        <is>
          <t>B09WRXPT2L</t>
        </is>
      </c>
      <c r="G1021">
        <f>_xlfn.IMAGE("https://camerareadycosmetics.com/cdn/shop/products/gavissi-uv-retro-liner-FrenchVanilla_50x.jpg?v=1635546659")</f>
        <v/>
      </c>
      <c r="H1021">
        <f>_xlfn.IMAGE("https://m.media-amazon.com/images/I/71wzQ02ivTL._AC_UL320_.jpg")</f>
        <v/>
      </c>
      <c r="K1021" t="inlineStr">
        <is>
          <t>8.0</t>
        </is>
      </c>
      <c r="L1021" t="n">
        <v>16.99</v>
      </c>
      <c r="M1021" s="1" t="inlineStr">
        <is>
          <t>112.37%</t>
        </is>
      </c>
      <c r="N1021" t="n">
        <v>2.8</v>
      </c>
      <c r="O1021" t="n">
        <v>2</v>
      </c>
      <c r="Q1021" t="inlineStr">
        <is>
          <t>InStock</t>
        </is>
      </c>
      <c r="R1021" t="inlineStr">
        <is>
          <t>undefined</t>
        </is>
      </c>
      <c r="S1021" t="inlineStr">
        <is>
          <t>7063600038073</t>
        </is>
      </c>
    </row>
    <row r="1022" ht="75" customHeight="1">
      <c r="A1022" s="2">
        <f>HYPERLINK("https://camerareadycosmetics.com/products/gavissi-uv-matte-retro-liner", "https://camerareadycosmetics.com/products/gavissi-uv-matte-retro-liner")</f>
        <v/>
      </c>
      <c r="B1022" s="2">
        <f>HYPERLINK("https://camerareadycosmetics.com/products/gavissi-uv-matte-retro-liner", "https://camerareadycosmetics.com/products/gavissi-uv-matte-retro-liner")</f>
        <v/>
      </c>
      <c r="C1022" t="inlineStr">
        <is>
          <t>UV Matte Retro Liner</t>
        </is>
      </c>
      <c r="D1022" t="inlineStr">
        <is>
          <t>9 Colors Water Activated Eyeliner Hydra Liner Graphic Cake Aqua Eye Liner Retro Makeup Pastel UV Glow Color Neon Face Body Paint</t>
        </is>
      </c>
      <c r="E1022" s="2">
        <f>HYPERLINK("https://www.amazon.com/Bowitzki-Colors-Activated-Eyeliner-Graphic/dp/B08WYLSGD7/ref=sr_1_9?keywords=UV+Matte+Retro+Liner&amp;qid=1695565769&amp;sr=8-9", "https://www.amazon.com/Bowitzki-Colors-Activated-Eyeliner-Graphic/dp/B08WYLSGD7/ref=sr_1_9?keywords=UV+Matte+Retro+Liner&amp;qid=1695565769&amp;sr=8-9")</f>
        <v/>
      </c>
      <c r="F1022" t="inlineStr">
        <is>
          <t>B08WYLSGD7</t>
        </is>
      </c>
      <c r="G1022">
        <f>_xlfn.IMAGE("https://camerareadycosmetics.com/cdn/shop/products/gavissi-uv-retro-liner-FrenchVanilla_50x.jpg?v=1635546659")</f>
        <v/>
      </c>
      <c r="H1022">
        <f>_xlfn.IMAGE("https://m.media-amazon.com/images/I/61o9gHRFnDL._AC_UL320_.jpg")</f>
        <v/>
      </c>
      <c r="K1022" t="inlineStr">
        <is>
          <t>8.0</t>
        </is>
      </c>
      <c r="L1022" t="n">
        <v>12.99</v>
      </c>
      <c r="M1022" s="1" t="inlineStr">
        <is>
          <t>62.38%</t>
        </is>
      </c>
      <c r="N1022" t="n">
        <v>4.5</v>
      </c>
      <c r="O1022" t="n">
        <v>143</v>
      </c>
      <c r="Q1022" t="inlineStr">
        <is>
          <t>InStock</t>
        </is>
      </c>
      <c r="R1022" t="inlineStr">
        <is>
          <t>undefined</t>
        </is>
      </c>
      <c r="S1022" t="inlineStr">
        <is>
          <t>7063600038073</t>
        </is>
      </c>
    </row>
    <row r="1023" ht="75" customHeight="1">
      <c r="A1023" s="2">
        <f>HYPERLINK("https://camerareadycosmetics.com/products/gavissi-uv-matte-retro-liner", "https://camerareadycosmetics.com/products/gavissi-uv-matte-retro-liner")</f>
        <v/>
      </c>
      <c r="B1023" s="2">
        <f>HYPERLINK("https://camerareadycosmetics.com/products/gavissi-uv-matte-retro-liner", "https://camerareadycosmetics.com/products/gavissi-uv-matte-retro-liner")</f>
        <v/>
      </c>
      <c r="C1023" t="inlineStr">
        <is>
          <t>UV Matte Retro Liner</t>
        </is>
      </c>
      <c r="D1023" t="inlineStr">
        <is>
          <t>9 Colors Water Activated Eyeliner Retro Hydra Liner Makeup Graphic Eyeliner UV Glow Fluorescent Color Face and Body Paint</t>
        </is>
      </c>
      <c r="E1023" s="2">
        <f>HYPERLINK("https://www.amazon.com/Bowitzki-Activated-Eyeliner-Graphic-Fluorescent/dp/B08WYXHK8D/ref=sr_1_6?keywords=UV+Matte+Retro+Liner&amp;qid=1695565769&amp;sr=8-6", "https://www.amazon.com/Bowitzki-Activated-Eyeliner-Graphic-Fluorescent/dp/B08WYXHK8D/ref=sr_1_6?keywords=UV+Matte+Retro+Liner&amp;qid=1695565769&amp;sr=8-6")</f>
        <v/>
      </c>
      <c r="F1023" t="inlineStr">
        <is>
          <t>B08WYXHK8D</t>
        </is>
      </c>
      <c r="G1023">
        <f>_xlfn.IMAGE("https://camerareadycosmetics.com/cdn/shop/products/gavissi-uv-retro-liner-FrenchVanilla_50x.jpg?v=1635546659")</f>
        <v/>
      </c>
      <c r="H1023">
        <f>_xlfn.IMAGE("https://m.media-amazon.com/images/I/61UdQexJXAL._AC_UL320_.jpg")</f>
        <v/>
      </c>
      <c r="K1023" t="inlineStr">
        <is>
          <t>8.0</t>
        </is>
      </c>
      <c r="L1023" t="n">
        <v>12.99</v>
      </c>
      <c r="M1023" s="1" t="inlineStr">
        <is>
          <t>62.38%</t>
        </is>
      </c>
      <c r="N1023" t="n">
        <v>4.4</v>
      </c>
      <c r="O1023" t="n">
        <v>226</v>
      </c>
      <c r="Q1023" t="inlineStr">
        <is>
          <t>InStock</t>
        </is>
      </c>
      <c r="R1023" t="inlineStr">
        <is>
          <t>undefined</t>
        </is>
      </c>
      <c r="S1023" t="inlineStr">
        <is>
          <t>7063600038073</t>
        </is>
      </c>
    </row>
    <row r="1024" ht="75" customHeight="1">
      <c r="A1024" s="2">
        <f>HYPERLINK("https://camerareadycosmetics.com/products/gavissi-uv-matte-retro-liner", "https://camerareadycosmetics.com/products/gavissi-uv-matte-retro-liner")</f>
        <v/>
      </c>
      <c r="B1024" s="2">
        <f>HYPERLINK("https://camerareadycosmetics.com/products/gavissi-uv-matte-retro-liner", "https://camerareadycosmetics.com/products/gavissi-uv-matte-retro-liner")</f>
        <v/>
      </c>
      <c r="C1024" t="inlineStr">
        <is>
          <t>UV Matte Retro Liner</t>
        </is>
      </c>
      <c r="D1024" t="inlineStr">
        <is>
          <t>Water Activated Split Cake Eyeliner Retro Hydra Liner Makeup UV Pastel Neon Green and Orange Color Face Body Paint</t>
        </is>
      </c>
      <c r="E1024" s="2">
        <f>HYPERLINK("https://www.amazon.com/Bowitzki-Activated-Eyeliner-Makeup-Pastel/dp/B08WYS1527/ref=sr_1_2?keywords=UV+Matte+Retro+Liner&amp;qid=1695565769&amp;sr=8-2", "https://www.amazon.com/Bowitzki-Activated-Eyeliner-Makeup-Pastel/dp/B08WYS1527/ref=sr_1_2?keywords=UV+Matte+Retro+Liner&amp;qid=1695565769&amp;sr=8-2")</f>
        <v/>
      </c>
      <c r="F1024" t="inlineStr">
        <is>
          <t>B08WYS1527</t>
        </is>
      </c>
      <c r="G1024">
        <f>_xlfn.IMAGE("https://camerareadycosmetics.com/cdn/shop/products/gavissi-uv-retro-liner-FrenchVanilla_50x.jpg?v=1635546659")</f>
        <v/>
      </c>
      <c r="H1024">
        <f>_xlfn.IMAGE("https://m.media-amazon.com/images/I/61Uo9q-UJ4L._AC_UL320_.jpg")</f>
        <v/>
      </c>
      <c r="K1024" t="inlineStr">
        <is>
          <t>8.0</t>
        </is>
      </c>
      <c r="L1024" t="n">
        <v>9.99</v>
      </c>
      <c r="M1024" s="1" t="inlineStr">
        <is>
          <t>24.88%</t>
        </is>
      </c>
      <c r="N1024" t="n">
        <v>4.3</v>
      </c>
      <c r="O1024" t="n">
        <v>117</v>
      </c>
      <c r="Q1024" t="inlineStr">
        <is>
          <t>InStock</t>
        </is>
      </c>
      <c r="R1024" t="inlineStr">
        <is>
          <t>undefined</t>
        </is>
      </c>
      <c r="S1024" t="inlineStr">
        <is>
          <t>7063600038073</t>
        </is>
      </c>
    </row>
    <row r="1025" ht="75" customHeight="1">
      <c r="A1025" s="2">
        <f>HYPERLINK("https://camerareadycosmetics.com/products/gavissi-uv-matte-retro-liner", "https://camerareadycosmetics.com/products/gavissi-uv-matte-retro-liner")</f>
        <v/>
      </c>
      <c r="B1025" s="2">
        <f>HYPERLINK("https://camerareadycosmetics.com/products/gavissi-uv-matte-retro-liner", "https://camerareadycosmetics.com/products/gavissi-uv-matte-retro-liner")</f>
        <v/>
      </c>
      <c r="C1025" t="inlineStr">
        <is>
          <t>UV Matte Retro Liner</t>
        </is>
      </c>
      <c r="D1025" t="inlineStr">
        <is>
          <t>2 Packs Water Activated Eyeliner Palette UV Glow Eye Liner Graphic Eyeliner Fluorescent Black White Body Paint Neon Colored Makeup Matte Retro Hydra Liner,16 Colors</t>
        </is>
      </c>
      <c r="E1025" s="2">
        <f>HYPERLINK("https://www.amazon.com/Paminify-Activated-Eyeliner-Palette-Fluorescent/dp/B09TY455HR/ref=sr_1_4?keywords=UV+Matte+Retro+Liner&amp;qid=1695565769&amp;sr=8-4", "https://www.amazon.com/Paminify-Activated-Eyeliner-Palette-Fluorescent/dp/B09TY455HR/ref=sr_1_4?keywords=UV+Matte+Retro+Liner&amp;qid=1695565769&amp;sr=8-4")</f>
        <v/>
      </c>
      <c r="F1025" t="inlineStr">
        <is>
          <t>B09TY455HR</t>
        </is>
      </c>
      <c r="G1025">
        <f>_xlfn.IMAGE("https://camerareadycosmetics.com/cdn/shop/products/gavissi-uv-retro-liner-FrenchVanilla_50x.jpg?v=1635546659")</f>
        <v/>
      </c>
      <c r="H1025">
        <f>_xlfn.IMAGE("https://m.media-amazon.com/images/I/518EBpoYVKL._AC_UL320_.jpg")</f>
        <v/>
      </c>
      <c r="K1025" t="inlineStr">
        <is>
          <t>8.0</t>
        </is>
      </c>
      <c r="L1025" t="n">
        <v>9.99</v>
      </c>
      <c r="M1025" s="1" t="inlineStr">
        <is>
          <t>24.88%</t>
        </is>
      </c>
      <c r="N1025" t="n">
        <v>4.2</v>
      </c>
      <c r="O1025" t="n">
        <v>45</v>
      </c>
      <c r="Q1025" t="inlineStr">
        <is>
          <t>InStock</t>
        </is>
      </c>
      <c r="R1025" t="inlineStr">
        <is>
          <t>undefined</t>
        </is>
      </c>
      <c r="S1025" t="inlineStr">
        <is>
          <t>7063600038073</t>
        </is>
      </c>
    </row>
    <row r="1026" ht="75" customHeight="1">
      <c r="A1026" s="2">
        <f>HYPERLINK("https://camerareadycosmetics.com/products/gavissi-uv-matte-retro-liner", "https://camerareadycosmetics.com/products/gavissi-uv-matte-retro-liner")</f>
        <v/>
      </c>
      <c r="B1026" s="2">
        <f>HYPERLINK("https://camerareadycosmetics.com/products/gavissi-uv-matte-retro-liner", "https://camerareadycosmetics.com/products/gavissi-uv-matte-retro-liner")</f>
        <v/>
      </c>
      <c r="C1026" t="inlineStr">
        <is>
          <t>UV Matte Retro Liner</t>
        </is>
      </c>
      <c r="D1026" t="inlineStr">
        <is>
          <t>MEICOLY 10 Colors Water Activated Eyeliner Palette, Neon Face Paint Colored Retro Halloween Hydra Liner,Matte Graphic Eyeliner, UV Glow Fluorescent Blacklight Face Body Paint,02</t>
        </is>
      </c>
      <c r="E1026" s="2">
        <f>HYPERLINK("https://www.amazon.com/MEICOLY-Activated-Halloween-Fluorescent-Blacklight/dp/B0CF4K225C/ref=sr_1_1?keywords=UV+Matte+Retro+Liner&amp;qid=1695565769&amp;sr=8-1", "https://www.amazon.com/MEICOLY-Activated-Halloween-Fluorescent-Blacklight/dp/B0CF4K225C/ref=sr_1_1?keywords=UV+Matte+Retro+Liner&amp;qid=1695565769&amp;sr=8-1")</f>
        <v/>
      </c>
      <c r="F1026" t="inlineStr">
        <is>
          <t>B0CF4K225C</t>
        </is>
      </c>
      <c r="G1026">
        <f>_xlfn.IMAGE("https://camerareadycosmetics.com/cdn/shop/products/gavissi-uv-retro-liner-FrenchVanilla_50x.jpg?v=1635546659")</f>
        <v/>
      </c>
      <c r="H1026">
        <f>_xlfn.IMAGE("https://m.media-amazon.com/images/I/71GFy6RTw6L._AC_UL320_.jpg")</f>
        <v/>
      </c>
      <c r="K1026" t="inlineStr">
        <is>
          <t>8.0</t>
        </is>
      </c>
      <c r="L1026" t="n">
        <v>7.98</v>
      </c>
      <c r="M1026" s="1" t="inlineStr">
        <is>
          <t>-0.25%</t>
        </is>
      </c>
      <c r="N1026" t="n">
        <v>4.4</v>
      </c>
      <c r="O1026" t="n">
        <v>891</v>
      </c>
      <c r="Q1026" t="inlineStr">
        <is>
          <t>InStock</t>
        </is>
      </c>
      <c r="R1026" t="inlineStr">
        <is>
          <t>undefined</t>
        </is>
      </c>
      <c r="S1026" t="inlineStr">
        <is>
          <t>7063600038073</t>
        </is>
      </c>
    </row>
    <row r="1027" ht="75" customHeight="1">
      <c r="A1027" s="2">
        <f>HYPERLINK("https://camerareadycosmetics.com/products/gavissi-uv-neon-rainbow-split-liner", "https://camerareadycosmetics.com/products/gavissi-uv-neon-rainbow-split-liner")</f>
        <v/>
      </c>
      <c r="B1027" s="2">
        <f>HYPERLINK("https://camerareadycosmetics.com/products/gavissi-uv-neon-rainbow-split-liner", "https://camerareadycosmetics.com/products/gavissi-uv-neon-rainbow-split-liner")</f>
        <v/>
      </c>
      <c r="C1027" t="inlineStr">
        <is>
          <t>UV Neon Rainbow 6 Color Split Liner</t>
        </is>
      </c>
      <c r="D1027" t="inlineStr">
        <is>
          <t>Rechoo 6 Colors Eyeliner UV Glow in Dark 6 Color Matte Liquid Multi-colored Eye liner Set for Eye Makeup, Waterproof Superstay Long Lasting Bright Color Eye Liners Pencil (6 Neon Colors)</t>
        </is>
      </c>
      <c r="E1027" s="2">
        <f>HYPERLINK("https://www.amazon.com/Rechoo-Eyeliner-Multi-colored-Waterproof-Superstay/dp/B0CD3YQZV6/ref=sr_1_6?keywords=UV+Neon+Rainbow+6+Color+Split+Liner&amp;qid=1695565624&amp;sr=8-6", "https://www.amazon.com/Rechoo-Eyeliner-Multi-colored-Waterproof-Superstay/dp/B0CD3YQZV6/ref=sr_1_6?keywords=UV+Neon+Rainbow+6+Color+Split+Liner&amp;qid=1695565624&amp;sr=8-6")</f>
        <v/>
      </c>
      <c r="F1027" t="inlineStr">
        <is>
          <t>B0CD3YQZV6</t>
        </is>
      </c>
      <c r="G1027">
        <f>_xlfn.IMAGE("https://camerareadycosmetics.com/cdn/shop/products/SplitLinerUVNeon7_50x.jpg?v=1635871452")</f>
        <v/>
      </c>
      <c r="H1027">
        <f>_xlfn.IMAGE("https://m.media-amazon.com/images/I/71M7Q7JrJoL._AC_UL320_.jpg")</f>
        <v/>
      </c>
      <c r="K1027" t="inlineStr">
        <is>
          <t>18.0</t>
        </is>
      </c>
      <c r="L1027" t="n">
        <v>14.99</v>
      </c>
      <c r="M1027" s="1" t="inlineStr">
        <is>
          <t>-16.72%</t>
        </is>
      </c>
      <c r="N1027" t="n">
        <v>3.8</v>
      </c>
      <c r="O1027" t="n">
        <v>4126</v>
      </c>
      <c r="Q1027" t="inlineStr">
        <is>
          <t>InStock</t>
        </is>
      </c>
      <c r="R1027" t="inlineStr">
        <is>
          <t>undefined</t>
        </is>
      </c>
      <c r="S1027" t="inlineStr">
        <is>
          <t>7067259306169</t>
        </is>
      </c>
    </row>
    <row r="1028" ht="75" customHeight="1">
      <c r="A1028" s="2">
        <f>HYPERLINK("https://camerareadycosmetics.com/products/gavissi-uv-neon-rainbow-split-liner", "https://camerareadycosmetics.com/products/gavissi-uv-neon-rainbow-split-liner")</f>
        <v/>
      </c>
      <c r="B1028" s="2">
        <f>HYPERLINK("https://camerareadycosmetics.com/products/gavissi-uv-neon-rainbow-split-liner", "https://camerareadycosmetics.com/products/gavissi-uv-neon-rainbow-split-liner")</f>
        <v/>
      </c>
      <c r="C1028" t="inlineStr">
        <is>
          <t>UV Neon Rainbow 6 Color Split Liner</t>
        </is>
      </c>
      <c r="D1028" t="inlineStr">
        <is>
          <t>NVLEPTAP Water Activated Eyeliner Palette Liquid Eyeliner Colorful Set,Neon Rainbow Colorful Face Body Paint Colored Eyeliners,UV Glow In The Dark Eyeliner - 01+02</t>
        </is>
      </c>
      <c r="E1028" s="2">
        <f>HYPERLINK("https://www.amazon.com/NVLEPTAP-Activated-Eyeliner-Colorful-Eyeliners/dp/B0CCJLXBRK/ref=sr_1_8?keywords=UV+Neon+Rainbow+6+Color+Split+Liner&amp;qid=1695565624&amp;sr=8-8", "https://www.amazon.com/NVLEPTAP-Activated-Eyeliner-Colorful-Eyeliners/dp/B0CCJLXBRK/ref=sr_1_8?keywords=UV+Neon+Rainbow+6+Color+Split+Liner&amp;qid=1695565624&amp;sr=8-8")</f>
        <v/>
      </c>
      <c r="F1028" t="inlineStr">
        <is>
          <t>B0CCJLXBRK</t>
        </is>
      </c>
      <c r="G1028">
        <f>_xlfn.IMAGE("https://camerareadycosmetics.com/cdn/shop/products/SplitLinerUVNeon7_50x.jpg?v=1635871452")</f>
        <v/>
      </c>
      <c r="H1028">
        <f>_xlfn.IMAGE("https://m.media-amazon.com/images/I/71+ZnrKrjOL._AC_UL320_.jpg")</f>
        <v/>
      </c>
      <c r="K1028" t="inlineStr">
        <is>
          <t>18.0</t>
        </is>
      </c>
      <c r="L1028" t="n">
        <v>9.99</v>
      </c>
      <c r="M1028" s="1" t="inlineStr">
        <is>
          <t>-44.50%</t>
        </is>
      </c>
      <c r="N1028" t="n">
        <v>4.8</v>
      </c>
      <c r="O1028" t="n">
        <v>9</v>
      </c>
      <c r="Q1028" t="inlineStr">
        <is>
          <t>InStock</t>
        </is>
      </c>
      <c r="R1028" t="inlineStr">
        <is>
          <t>undefined</t>
        </is>
      </c>
      <c r="S1028" t="inlineStr">
        <is>
          <t>7067259306169</t>
        </is>
      </c>
    </row>
    <row r="1029" ht="75" customHeight="1">
      <c r="A1029" s="2">
        <f>HYPERLINK("https://camerareadycosmetics.com/products/gavissi-uv-neon-rainbow-split-liner", "https://camerareadycosmetics.com/products/gavissi-uv-neon-rainbow-split-liner")</f>
        <v/>
      </c>
      <c r="B1029" s="2">
        <f>HYPERLINK("https://camerareadycosmetics.com/products/gavissi-uv-neon-rainbow-split-liner", "https://camerareadycosmetics.com/products/gavissi-uv-neon-rainbow-split-liner")</f>
        <v/>
      </c>
      <c r="C1029" t="inlineStr">
        <is>
          <t>UV Neon Rainbow 6 Color Split Liner</t>
        </is>
      </c>
      <c r="D1029" t="inlineStr">
        <is>
          <t>Bowitzki Water Activated Split Cake Eyeliner Retro Hydra Liner Makeup UV Pastel Neon Green and Orange Color Face Body Paint</t>
        </is>
      </c>
      <c r="E1029" s="2">
        <f>HYPERLINK("https://www.amazon.com/Bowitzki-Activated-Eyeliner-Makeup-Pastel/dp/B08WYS1527/ref=sr_1_1?keywords=UV+Neon+Rainbow+6+Color+Split+Liner&amp;qid=1695565624&amp;sr=8-1", "https://www.amazon.com/Bowitzki-Activated-Eyeliner-Makeup-Pastel/dp/B08WYS1527/ref=sr_1_1?keywords=UV+Neon+Rainbow+6+Color+Split+Liner&amp;qid=1695565624&amp;sr=8-1")</f>
        <v/>
      </c>
      <c r="F1029" t="inlineStr">
        <is>
          <t>B08WYS1527</t>
        </is>
      </c>
      <c r="G1029">
        <f>_xlfn.IMAGE("https://camerareadycosmetics.com/cdn/shop/products/SplitLinerUVNeon7_50x.jpg?v=1635871452")</f>
        <v/>
      </c>
      <c r="H1029">
        <f>_xlfn.IMAGE("https://m.media-amazon.com/images/I/61Uo9q-UJ4L._AC_UL320_.jpg")</f>
        <v/>
      </c>
      <c r="K1029" t="inlineStr">
        <is>
          <t>18.0</t>
        </is>
      </c>
      <c r="L1029" t="n">
        <v>9.99</v>
      </c>
      <c r="M1029" s="1" t="inlineStr">
        <is>
          <t>-44.50%</t>
        </is>
      </c>
      <c r="N1029" t="n">
        <v>4.3</v>
      </c>
      <c r="O1029" t="n">
        <v>117</v>
      </c>
      <c r="Q1029" t="inlineStr">
        <is>
          <t>InStock</t>
        </is>
      </c>
      <c r="R1029" t="inlineStr">
        <is>
          <t>undefined</t>
        </is>
      </c>
      <c r="S1029" t="inlineStr">
        <is>
          <t>7067259306169</t>
        </is>
      </c>
    </row>
    <row r="1030" ht="75" customHeight="1">
      <c r="A1030" s="2">
        <f>HYPERLINK("https://camerareadycosmetics.com/products/gavissi-uv-neon-rainbow-split-liner", "https://camerareadycosmetics.com/products/gavissi-uv-neon-rainbow-split-liner")</f>
        <v/>
      </c>
      <c r="B1030" s="2">
        <f>HYPERLINK("https://camerareadycosmetics.com/products/gavissi-uv-neon-rainbow-split-liner", "https://camerareadycosmetics.com/products/gavissi-uv-neon-rainbow-split-liner")</f>
        <v/>
      </c>
      <c r="C1030" t="inlineStr">
        <is>
          <t>UV Neon Rainbow 6 Color Split Liner</t>
        </is>
      </c>
      <c r="D1030" t="inlineStr">
        <is>
          <t>KYDA 8 Colors UV Glow Liquid Eyeliner, Lasting Neon Matte Tint, Glow in the Dark Liner Pen, Quick Dry Fluorescent Rainbow Eyes Makeup, Under the Blacklight Colorful Eyeliner, by Ownest Beauty</t>
        </is>
      </c>
      <c r="E1030" s="2">
        <f>HYPERLINK("https://www.amazon.com/KYDA-Eyeliner-Fluorescent-Blacklight-Colorful/dp/B0C7JSXHD4/ref=sr_1_3?keywords=UV+Neon+Rainbow+6+Color+Split+Liner&amp;qid=1695565624&amp;sr=8-3", "https://www.amazon.com/KYDA-Eyeliner-Fluorescent-Blacklight-Colorful/dp/B0C7JSXHD4/ref=sr_1_3?keywords=UV+Neon+Rainbow+6+Color+Split+Liner&amp;qid=1695565624&amp;sr=8-3")</f>
        <v/>
      </c>
      <c r="F1030" t="inlineStr">
        <is>
          <t>B0C7JSXHD4</t>
        </is>
      </c>
      <c r="G1030">
        <f>_xlfn.IMAGE("https://camerareadycosmetics.com/cdn/shop/products/SplitLinerUVNeon7_50x.jpg?v=1635871452")</f>
        <v/>
      </c>
      <c r="H1030">
        <f>_xlfn.IMAGE("https://m.media-amazon.com/images/I/71+8VVuTZdL._AC_UL320_.jpg")</f>
        <v/>
      </c>
      <c r="K1030" t="inlineStr">
        <is>
          <t>18.0</t>
        </is>
      </c>
      <c r="L1030" t="n">
        <v>9.99</v>
      </c>
      <c r="M1030" s="1" t="inlineStr">
        <is>
          <t>-44.50%</t>
        </is>
      </c>
      <c r="N1030" t="n">
        <v>4.3</v>
      </c>
      <c r="O1030" t="n">
        <v>3</v>
      </c>
      <c r="Q1030" t="inlineStr">
        <is>
          <t>InStock</t>
        </is>
      </c>
      <c r="R1030" t="inlineStr">
        <is>
          <t>undefined</t>
        </is>
      </c>
      <c r="S1030" t="inlineStr">
        <is>
          <t>7067259306169</t>
        </is>
      </c>
    </row>
    <row r="1031" ht="75" customHeight="1">
      <c r="A1031" s="2">
        <f>HYPERLINK("https://camerareadycosmetics.com/products/gavissi-uv-neon-rainbow-split-liner", "https://camerareadycosmetics.com/products/gavissi-uv-neon-rainbow-split-liner")</f>
        <v/>
      </c>
      <c r="B1031" s="2">
        <f>HYPERLINK("https://camerareadycosmetics.com/products/gavissi-uv-neon-rainbow-split-liner", "https://camerareadycosmetics.com/products/gavissi-uv-neon-rainbow-split-liner")</f>
        <v/>
      </c>
      <c r="C1031" t="inlineStr">
        <is>
          <t>UV Neon Rainbow 6 Color Split Liner</t>
        </is>
      </c>
      <c r="D1031" t="inlineStr">
        <is>
          <t>Bowitzki 50g Pastel Color Split Cake Water Activated eyeliner UV Glow Graphic eye liner Hydra Liner Rainbow Face Body Paint Makeup</t>
        </is>
      </c>
      <c r="E1031" s="2">
        <f>HYPERLINK("https://www.amazon.com/Bowitzki-Activated-eyeliner-Graphic-Rainbow/dp/B091GC2FPT/ref=sr_1_5?keywords=UV+Neon+Rainbow+6+Color+Split+Liner&amp;qid=1695565624&amp;sr=8-5", "https://www.amazon.com/Bowitzki-Activated-eyeliner-Graphic-Rainbow/dp/B091GC2FPT/ref=sr_1_5?keywords=UV+Neon+Rainbow+6+Color+Split+Liner&amp;qid=1695565624&amp;sr=8-5")</f>
        <v/>
      </c>
      <c r="F1031" t="inlineStr">
        <is>
          <t>B091GC2FPT</t>
        </is>
      </c>
      <c r="G1031">
        <f>_xlfn.IMAGE("https://camerareadycosmetics.com/cdn/shop/products/SplitLinerUVNeon7_50x.jpg?v=1635871452")</f>
        <v/>
      </c>
      <c r="H1031">
        <f>_xlfn.IMAGE("https://m.media-amazon.com/images/I/61ZQdqVgtTL._AC_UL320_.jpg")</f>
        <v/>
      </c>
      <c r="K1031" t="inlineStr">
        <is>
          <t>18.0</t>
        </is>
      </c>
      <c r="L1031" t="n">
        <v>9.99</v>
      </c>
      <c r="M1031" s="1" t="inlineStr">
        <is>
          <t>-44.50%</t>
        </is>
      </c>
      <c r="N1031" t="n">
        <v>4.4</v>
      </c>
      <c r="O1031" t="n">
        <v>433</v>
      </c>
      <c r="Q1031" t="inlineStr">
        <is>
          <t>InStock</t>
        </is>
      </c>
      <c r="R1031" t="inlineStr">
        <is>
          <t>undefined</t>
        </is>
      </c>
      <c r="S1031" t="inlineStr">
        <is>
          <t>7067259306169</t>
        </is>
      </c>
    </row>
    <row r="1032" ht="75" customHeight="1">
      <c r="A1032" s="2">
        <f>HYPERLINK("https://camerareadycosmetics.com/products/gavissi-uv-neon-rainbow-split-liner", "https://camerareadycosmetics.com/products/gavissi-uv-neon-rainbow-split-liner")</f>
        <v/>
      </c>
      <c r="B1032" s="2">
        <f>HYPERLINK("https://camerareadycosmetics.com/products/gavissi-uv-neon-rainbow-split-liner", "https://camerareadycosmetics.com/products/gavissi-uv-neon-rainbow-split-liner")</f>
        <v/>
      </c>
      <c r="C1032" t="inlineStr">
        <is>
          <t>UV Neon Rainbow 6 Color Split Liner</t>
        </is>
      </c>
      <c r="D1032" t="inlineStr">
        <is>
          <t>Bowitzki Pastel Color Water Activated eyeliner UV Glow Hydra Liner Graphic Eye Liner Rainbow Split Cake Face Body Paint Makeup 50g</t>
        </is>
      </c>
      <c r="E1032" s="2">
        <f>HYPERLINK("https://www.amazon.com/Bowitzki-Rainbow-Activated-eyeliner-Graphic/dp/B09BYC3S1W/ref=sr_1_7?keywords=UV+Neon+Rainbow+6+Color+Split+Liner&amp;qid=1695565624&amp;sr=8-7", "https://www.amazon.com/Bowitzki-Rainbow-Activated-eyeliner-Graphic/dp/B09BYC3S1W/ref=sr_1_7?keywords=UV+Neon+Rainbow+6+Color+Split+Liner&amp;qid=1695565624&amp;sr=8-7")</f>
        <v/>
      </c>
      <c r="F1032" t="inlineStr">
        <is>
          <t>B09BYC3S1W</t>
        </is>
      </c>
      <c r="G1032">
        <f>_xlfn.IMAGE("https://camerareadycosmetics.com/cdn/shop/products/SplitLinerUVNeon7_50x.jpg?v=1635871452")</f>
        <v/>
      </c>
      <c r="H1032">
        <f>_xlfn.IMAGE("https://m.media-amazon.com/images/I/61ePrpoMEwL._AC_UL320_.jpg")</f>
        <v/>
      </c>
      <c r="K1032" t="inlineStr">
        <is>
          <t>18.0</t>
        </is>
      </c>
      <c r="L1032" t="n">
        <v>9.99</v>
      </c>
      <c r="M1032" s="1" t="inlineStr">
        <is>
          <t>-44.50%</t>
        </is>
      </c>
      <c r="N1032" t="n">
        <v>4.4</v>
      </c>
      <c r="O1032" t="n">
        <v>52</v>
      </c>
      <c r="Q1032" t="inlineStr">
        <is>
          <t>InStock</t>
        </is>
      </c>
      <c r="R1032" t="inlineStr">
        <is>
          <t>undefined</t>
        </is>
      </c>
      <c r="S1032" t="inlineStr">
        <is>
          <t>7067259306169</t>
        </is>
      </c>
    </row>
    <row r="1033" ht="75" customHeight="1">
      <c r="A1033" s="2">
        <f>HYPERLINK("https://camerareadycosmetics.com/products/gavissi-uv-neon-rainbow-split-liner", "https://camerareadycosmetics.com/products/gavissi-uv-neon-rainbow-split-liner")</f>
        <v/>
      </c>
      <c r="B1033" s="2">
        <f>HYPERLINK("https://camerareadycosmetics.com/products/gavissi-uv-neon-rainbow-split-liner", "https://camerareadycosmetics.com/products/gavissi-uv-neon-rainbow-split-liner")</f>
        <v/>
      </c>
      <c r="C1033" t="inlineStr">
        <is>
          <t>UV Neon Rainbow 6 Color Split Liner</t>
        </is>
      </c>
      <c r="D1033" t="inlineStr">
        <is>
          <t>MEICOLY 2 Packs Water Activated Eyeliner Palette, Neon Face Paint Colored Retro Hydra Liner,Matte Graphic Eyeliner, UV Glow Fluorescent Halloween Black White Face Body Paint,16 Colors</t>
        </is>
      </c>
      <c r="E1033" s="2">
        <f>HYPERLINK("https://www.amazon.com/MEICOLY-Activated-Eyeliner-Palette-Fluorescent/dp/B09K7ZM9FW/ref=sr_1_9?keywords=UV+Neon+Rainbow+6+Color+Split+Liner&amp;qid=1695565624&amp;sr=8-9", "https://www.amazon.com/MEICOLY-Activated-Eyeliner-Palette-Fluorescent/dp/B09K7ZM9FW/ref=sr_1_9?keywords=UV+Neon+Rainbow+6+Color+Split+Liner&amp;qid=1695565624&amp;sr=8-9")</f>
        <v/>
      </c>
      <c r="F1033" t="inlineStr">
        <is>
          <t>B09K7ZM9FW</t>
        </is>
      </c>
      <c r="G1033">
        <f>_xlfn.IMAGE("https://camerareadycosmetics.com/cdn/shop/products/SplitLinerUVNeon7_50x.jpg?v=1635871452")</f>
        <v/>
      </c>
      <c r="H1033">
        <f>_xlfn.IMAGE("https://m.media-amazon.com/images/I/61kqkHo8PTL._AC_UL320_.jpg")</f>
        <v/>
      </c>
      <c r="K1033" t="inlineStr">
        <is>
          <t>18.0</t>
        </is>
      </c>
      <c r="L1033" t="n">
        <v>9.99</v>
      </c>
      <c r="M1033" s="1" t="inlineStr">
        <is>
          <t>-44.50%</t>
        </is>
      </c>
      <c r="N1033" t="n">
        <v>4.4</v>
      </c>
      <c r="O1033" t="n">
        <v>891</v>
      </c>
      <c r="Q1033" t="inlineStr">
        <is>
          <t>InStock</t>
        </is>
      </c>
      <c r="R1033" t="inlineStr">
        <is>
          <t>undefined</t>
        </is>
      </c>
      <c r="S1033" t="inlineStr">
        <is>
          <t>7067259306169</t>
        </is>
      </c>
    </row>
    <row r="1034" ht="75" customHeight="1">
      <c r="A1034" s="2">
        <f>HYPERLINK("https://camerareadycosmetics.com/products/gavissi-uv-neon-rainbow-split-liner", "https://camerareadycosmetics.com/products/gavissi-uv-neon-rainbow-split-liner")</f>
        <v/>
      </c>
      <c r="B1034" s="2">
        <f>HYPERLINK("https://camerareadycosmetics.com/products/gavissi-uv-neon-rainbow-split-liner", "https://camerareadycosmetics.com/products/gavissi-uv-neon-rainbow-split-liner")</f>
        <v/>
      </c>
      <c r="C1034" t="inlineStr">
        <is>
          <t>UV Neon Rainbow 6 Color Split Liner</t>
        </is>
      </c>
      <c r="D1034" t="inlineStr">
        <is>
          <t>BADCOLOR 6 Colors UV Glow Liquid Eyeliner Set, Pigmented Neon Colored Makeup Eyeliners Pen, Colorful Waterproof Smudge-proof Graphic Eye Liners Kit for Music Festival Concert Rave Party</t>
        </is>
      </c>
      <c r="E1034" s="2">
        <f>HYPERLINK("https://www.amazon.com/BADCOLOR-Pigmented-Eyeliners-Waterproof-Smudge-proof/dp/B0CCNZLQ6S/ref=sr_1_4?keywords=UV+Neon+Rainbow+6+Color+Split+Liner&amp;qid=1695565624&amp;sr=8-4", "https://www.amazon.com/BADCOLOR-Pigmented-Eyeliners-Waterproof-Smudge-proof/dp/B0CCNZLQ6S/ref=sr_1_4?keywords=UV+Neon+Rainbow+6+Color+Split+Liner&amp;qid=1695565624&amp;sr=8-4")</f>
        <v/>
      </c>
      <c r="F1034" t="inlineStr">
        <is>
          <t>B0CCNZLQ6S</t>
        </is>
      </c>
      <c r="G1034">
        <f>_xlfn.IMAGE("https://camerareadycosmetics.com/cdn/shop/products/SplitLinerUVNeon7_50x.jpg?v=1635871452")</f>
        <v/>
      </c>
      <c r="H1034">
        <f>_xlfn.IMAGE("https://m.media-amazon.com/images/I/71r4QiJmvKL._AC_UL320_.jpg")</f>
        <v/>
      </c>
      <c r="K1034" t="inlineStr">
        <is>
          <t>18.0</t>
        </is>
      </c>
      <c r="L1034" t="n">
        <v>8.99</v>
      </c>
      <c r="M1034" s="1" t="inlineStr">
        <is>
          <t>-50.06%</t>
        </is>
      </c>
      <c r="N1034" t="n">
        <v>4.5</v>
      </c>
      <c r="O1034" t="n">
        <v>15</v>
      </c>
      <c r="Q1034" t="inlineStr">
        <is>
          <t>InStock</t>
        </is>
      </c>
      <c r="R1034" t="inlineStr">
        <is>
          <t>undefined</t>
        </is>
      </c>
      <c r="S1034" t="inlineStr">
        <is>
          <t>7067259306169</t>
        </is>
      </c>
    </row>
    <row r="1035" ht="75" customHeight="1">
      <c r="A1035" s="2">
        <f>HYPERLINK("https://camerareadycosmetics.com/products/gavissi-uv-neon-rainbow-split-liner", "https://camerareadycosmetics.com/products/gavissi-uv-neon-rainbow-split-liner")</f>
        <v/>
      </c>
      <c r="B1035" s="2">
        <f>HYPERLINK("https://camerareadycosmetics.com/products/gavissi-uv-neon-rainbow-split-liner", "https://camerareadycosmetics.com/products/gavissi-uv-neon-rainbow-split-liner")</f>
        <v/>
      </c>
      <c r="C1035" t="inlineStr">
        <is>
          <t>UV Neon Rainbow 6 Color Split Liner</t>
        </is>
      </c>
      <c r="D1035" t="inlineStr">
        <is>
          <t>BADCOLOR 6 Colors UV Glow Liquid Eyeliner Set, Pigmented Neon Colored Makeup Eyeliners Pen, Colorful Waterproof Smudge-proof Graphic Eye Liners Kit for Music Festival Concert Rave Party</t>
        </is>
      </c>
      <c r="E1035" s="2">
        <f>HYPERLINK("https://www.amazon.com/BADCOLOR-Pigmented-Eyeliners-Waterproof-Smudge-proof/dp/B0CCNZLQ6S/ref=sr_1_4?keywords=UV+Neon+Rainbow+6+Color+Split+Liner&amp;qid=1695565624&amp;sr=8-4", "https://www.amazon.com/BADCOLOR-Pigmented-Eyeliners-Waterproof-Smudge-proof/dp/B0CCNZLQ6S/ref=sr_1_4?keywords=UV+Neon+Rainbow+6+Color+Split+Liner&amp;qid=1695565624&amp;sr=8-4")</f>
        <v/>
      </c>
      <c r="F1035" t="inlineStr">
        <is>
          <t>B0CCNZLQ6S</t>
        </is>
      </c>
      <c r="G1035">
        <f>_xlfn.IMAGE("https://camerareadycosmetics.com/cdn/shop/products/SplitLinerUVNeon7_50x.jpg?v=1635871452")</f>
        <v/>
      </c>
      <c r="H1035">
        <f>_xlfn.IMAGE("https://m.media-amazon.com/images/I/71r4QiJmvKL._AC_UL320_.jpg")</f>
        <v/>
      </c>
      <c r="K1035" t="inlineStr">
        <is>
          <t>18.0</t>
        </is>
      </c>
      <c r="L1035" t="n">
        <v>8.99</v>
      </c>
      <c r="M1035" s="1" t="inlineStr">
        <is>
          <t>-50.06%</t>
        </is>
      </c>
      <c r="N1035" t="n">
        <v>4.5</v>
      </c>
      <c r="O1035" t="n">
        <v>15</v>
      </c>
      <c r="Q1035" t="inlineStr">
        <is>
          <t>InStock</t>
        </is>
      </c>
      <c r="R1035" t="inlineStr">
        <is>
          <t>undefined</t>
        </is>
      </c>
      <c r="S1035" t="inlineStr">
        <is>
          <t>7067259306169</t>
        </is>
      </c>
    </row>
    <row r="1036" ht="75" customHeight="1">
      <c r="A1036" s="2">
        <f>HYPERLINK("https://camerareadycosmetics.com/products/gavissi-uv-pastel-rainbow-split-liner", "https://camerareadycosmetics.com/products/gavissi-uv-pastel-rainbow-split-liner")</f>
        <v/>
      </c>
      <c r="B1036" s="2">
        <f>HYPERLINK("https://camerareadycosmetics.com/products/gavissi-uv-pastel-rainbow-split-liner", "https://camerareadycosmetics.com/products/gavissi-uv-pastel-rainbow-split-liner")</f>
        <v/>
      </c>
      <c r="C1036" t="inlineStr">
        <is>
          <t>UV Pastel Rainbow 6 Color Split Liner</t>
        </is>
      </c>
      <c r="D1036" t="inlineStr">
        <is>
          <t>KLDSCP 6 Color Rainbow Halloween Split Paint Liner | UV NEON | Water Activated | Festival &amp; Party (3 pieces)</t>
        </is>
      </c>
      <c r="E1036" s="2">
        <f>HYPERLINK("https://www.amazon.com/KLDSCP-Rainbow-Halloween-Activated-Festival/dp/B0B71NDCRR/ref=sr_1_6?keywords=UV+Pastel+Rainbow+6+Color+Split+Liner&amp;qid=1695565651&amp;sr=8-6", "https://www.amazon.com/KLDSCP-Rainbow-Halloween-Activated-Festival/dp/B0B71NDCRR/ref=sr_1_6?keywords=UV+Pastel+Rainbow+6+Color+Split+Liner&amp;qid=1695565651&amp;sr=8-6")</f>
        <v/>
      </c>
      <c r="F1036" t="inlineStr">
        <is>
          <t>B0B71NDCRR</t>
        </is>
      </c>
      <c r="G1036">
        <f>_xlfn.IMAGE("https://camerareadycosmetics.com/cdn/shop/products/GavissiUVPastelRainbow6ColorSplitLinerSplitLinerPastel6_50x.jpg?v=1635871848")</f>
        <v/>
      </c>
      <c r="H1036">
        <f>_xlfn.IMAGE("https://m.media-amazon.com/images/I/71Q9RjBU9XL._AC_UL320_.jpg")</f>
        <v/>
      </c>
      <c r="K1036" t="inlineStr">
        <is>
          <t>18.0</t>
        </is>
      </c>
      <c r="L1036" t="n">
        <v>21.99</v>
      </c>
      <c r="M1036" s="1" t="inlineStr">
        <is>
          <t>22.17%</t>
        </is>
      </c>
      <c r="N1036" t="n">
        <v>4.3</v>
      </c>
      <c r="O1036" t="n">
        <v>28</v>
      </c>
      <c r="Q1036" t="inlineStr">
        <is>
          <t>InStock</t>
        </is>
      </c>
      <c r="R1036" t="inlineStr">
        <is>
          <t>18.0</t>
        </is>
      </c>
      <c r="S1036" t="inlineStr">
        <is>
          <t>7067266842809</t>
        </is>
      </c>
    </row>
    <row r="1037" ht="75" customHeight="1">
      <c r="A1037" s="2">
        <f>HYPERLINK("https://camerareadycosmetics.com/products/gavissi-uv-pastel-rainbow-split-liner", "https://camerareadycosmetics.com/products/gavissi-uv-pastel-rainbow-split-liner")</f>
        <v/>
      </c>
      <c r="B1037" s="2">
        <f>HYPERLINK("https://camerareadycosmetics.com/products/gavissi-uv-pastel-rainbow-split-liner", "https://camerareadycosmetics.com/products/gavissi-uv-pastel-rainbow-split-liner")</f>
        <v/>
      </c>
      <c r="C1037" t="inlineStr">
        <is>
          <t>UV Pastel Rainbow 6 Color Split Liner</t>
        </is>
      </c>
      <c r="D1037" t="inlineStr">
        <is>
          <t>KLDSCP 6 Color Pastel Rainbow Halloween Split Paint Liner | UV NEON | Water Activated | Festival &amp; Party | Rainbow Diamond &amp; Brush Included (3pieces)</t>
        </is>
      </c>
      <c r="E1037" s="2">
        <f>HYPERLINK("https://www.amazon.com/KLDSCP-Halloween-Activated-Festival-Included/dp/B0B71TQM3L/ref=sr_1_1?keywords=UV+Pastel+Rainbow+6+Color+Split+Liner&amp;qid=1695565651&amp;sr=8-1", "https://www.amazon.com/KLDSCP-Halloween-Activated-Festival-Included/dp/B0B71TQM3L/ref=sr_1_1?keywords=UV+Pastel+Rainbow+6+Color+Split+Liner&amp;qid=1695565651&amp;sr=8-1")</f>
        <v/>
      </c>
      <c r="F1037" t="inlineStr">
        <is>
          <t>B0B71TQM3L</t>
        </is>
      </c>
      <c r="G1037">
        <f>_xlfn.IMAGE("https://camerareadycosmetics.com/cdn/shop/products/GavissiUVPastelRainbow6ColorSplitLinerSplitLinerPastel6_50x.jpg?v=1635871848")</f>
        <v/>
      </c>
      <c r="H1037">
        <f>_xlfn.IMAGE("https://m.media-amazon.com/images/I/61mS43A6ZgL._AC_UL320_.jpg")</f>
        <v/>
      </c>
      <c r="K1037" t="inlineStr">
        <is>
          <t>18.0</t>
        </is>
      </c>
      <c r="L1037" t="n">
        <v>21.99</v>
      </c>
      <c r="M1037" s="1" t="inlineStr">
        <is>
          <t>22.17%</t>
        </is>
      </c>
      <c r="N1037" t="n">
        <v>4.1</v>
      </c>
      <c r="O1037" t="n">
        <v>29</v>
      </c>
      <c r="Q1037" t="inlineStr">
        <is>
          <t>InStock</t>
        </is>
      </c>
      <c r="R1037" t="inlineStr">
        <is>
          <t>18.0</t>
        </is>
      </c>
      <c r="S1037" t="inlineStr">
        <is>
          <t>7067266842809</t>
        </is>
      </c>
    </row>
    <row r="1038" ht="75" customHeight="1">
      <c r="A1038" s="2">
        <f>HYPERLINK("https://camerareadycosmetics.com/products/gavissi-uv-pastel-rainbow-split-liner", "https://camerareadycosmetics.com/products/gavissi-uv-pastel-rainbow-split-liner")</f>
        <v/>
      </c>
      <c r="B1038" s="2">
        <f>HYPERLINK("https://camerareadycosmetics.com/products/gavissi-uv-pastel-rainbow-split-liner", "https://camerareadycosmetics.com/products/gavissi-uv-pastel-rainbow-split-liner")</f>
        <v/>
      </c>
      <c r="C1038" t="inlineStr">
        <is>
          <t>UV Pastel Rainbow 6 Color Split Liner</t>
        </is>
      </c>
      <c r="D1038" t="inlineStr">
        <is>
          <t>Bowitzki 50g Water Activated Eyeliner Retro Graphic Hydra Eye Liner Makeup UV Glow Fluorescent Cake Aqua Color Split Cakes Neon Rainbow Face Paints Body Painting for Halloween Christmas Pride (Nature)</t>
        </is>
      </c>
      <c r="E1038" s="2">
        <f>HYPERLINK("https://www.amazon.com/Bowitzki-Activated-Fluorescent-Halloween-Christmas/dp/B09ZTSWGH8/ref=sr_1_9?keywords=UV+Pastel+Rainbow+6+Color+Split+Liner&amp;qid=1695565651&amp;sr=8-9", "https://www.amazon.com/Bowitzki-Activated-Fluorescent-Halloween-Christmas/dp/B09ZTSWGH8/ref=sr_1_9?keywords=UV+Pastel+Rainbow+6+Color+Split+Liner&amp;qid=1695565651&amp;sr=8-9")</f>
        <v/>
      </c>
      <c r="F1038" t="inlineStr">
        <is>
          <t>B09ZTSWGH8</t>
        </is>
      </c>
      <c r="G1038">
        <f>_xlfn.IMAGE("https://camerareadycosmetics.com/cdn/shop/products/GavissiUVPastelRainbow6ColorSplitLinerSplitLinerPastel6_50x.jpg?v=1635871848")</f>
        <v/>
      </c>
      <c r="H1038">
        <f>_xlfn.IMAGE("https://m.media-amazon.com/images/I/61-RE4cy4oL._AC_UL320_.jpg")</f>
        <v/>
      </c>
      <c r="K1038" t="inlineStr">
        <is>
          <t>18.0</t>
        </is>
      </c>
      <c r="L1038" t="n">
        <v>9.99</v>
      </c>
      <c r="M1038" s="1" t="inlineStr">
        <is>
          <t>-44.50%</t>
        </is>
      </c>
      <c r="N1038" t="n">
        <v>4.1</v>
      </c>
      <c r="O1038" t="n">
        <v>9</v>
      </c>
      <c r="Q1038" t="inlineStr">
        <is>
          <t>InStock</t>
        </is>
      </c>
      <c r="R1038" t="inlineStr">
        <is>
          <t>18.0</t>
        </is>
      </c>
      <c r="S1038" t="inlineStr">
        <is>
          <t>7067266842809</t>
        </is>
      </c>
    </row>
    <row r="1039" ht="75" customHeight="1">
      <c r="A1039" s="2">
        <f>HYPERLINK("https://camerareadycosmetics.com/products/gavissi-uv-pastel-rainbow-split-liner", "https://camerareadycosmetics.com/products/gavissi-uv-pastel-rainbow-split-liner")</f>
        <v/>
      </c>
      <c r="B1039" s="2">
        <f>HYPERLINK("https://camerareadycosmetics.com/products/gavissi-uv-pastel-rainbow-split-liner", "https://camerareadycosmetics.com/products/gavissi-uv-pastel-rainbow-split-liner")</f>
        <v/>
      </c>
      <c r="C1039" t="inlineStr">
        <is>
          <t>UV Pastel Rainbow 6 Color Split Liner</t>
        </is>
      </c>
      <c r="D1039" t="inlineStr">
        <is>
          <t>Bowitzki 50g Water Activated Eyeliner Retro Graphic Hydra Eye Liner Makeup UV Glow Fluorescent Cake Aqua Color Split Cakes Neon Rainbow Face Paints Body Painting for Halloween Christmas Pride (Sun &amp; Sea)</t>
        </is>
      </c>
      <c r="E1039" s="2">
        <f>HYPERLINK("https://www.amazon.com/Bowitzki-Activated-Fluorescent-Halloween-Christmas/dp/B09ZTSYVV7/ref=sr_1_8?keywords=UV+Pastel+Rainbow+6+Color+Split+Liner&amp;qid=1695565651&amp;sr=8-8", "https://www.amazon.com/Bowitzki-Activated-Fluorescent-Halloween-Christmas/dp/B09ZTSYVV7/ref=sr_1_8?keywords=UV+Pastel+Rainbow+6+Color+Split+Liner&amp;qid=1695565651&amp;sr=8-8")</f>
        <v/>
      </c>
      <c r="F1039" t="inlineStr">
        <is>
          <t>B09ZTSYVV7</t>
        </is>
      </c>
      <c r="G1039">
        <f>_xlfn.IMAGE("https://camerareadycosmetics.com/cdn/shop/products/GavissiUVPastelRainbow6ColorSplitLinerSplitLinerPastel6_50x.jpg?v=1635871848")</f>
        <v/>
      </c>
      <c r="H1039">
        <f>_xlfn.IMAGE("https://m.media-amazon.com/images/I/61FFSP0cPsL._AC_UL320_.jpg")</f>
        <v/>
      </c>
      <c r="K1039" t="inlineStr">
        <is>
          <t>18.0</t>
        </is>
      </c>
      <c r="L1039" t="n">
        <v>9.99</v>
      </c>
      <c r="M1039" s="1" t="inlineStr">
        <is>
          <t>-44.50%</t>
        </is>
      </c>
      <c r="N1039" t="n">
        <v>4.3</v>
      </c>
      <c r="O1039" t="n">
        <v>22</v>
      </c>
      <c r="Q1039" t="inlineStr">
        <is>
          <t>InStock</t>
        </is>
      </c>
      <c r="R1039" t="inlineStr">
        <is>
          <t>18.0</t>
        </is>
      </c>
      <c r="S1039" t="inlineStr">
        <is>
          <t>7067266842809</t>
        </is>
      </c>
    </row>
    <row r="1040" ht="75" customHeight="1">
      <c r="A1040" s="2">
        <f>HYPERLINK("https://camerareadycosmetics.com/products/gavissi-uv-pastel-rainbow-split-liner", "https://camerareadycosmetics.com/products/gavissi-uv-pastel-rainbow-split-liner")</f>
        <v/>
      </c>
      <c r="B1040" s="2">
        <f>HYPERLINK("https://camerareadycosmetics.com/products/gavissi-uv-pastel-rainbow-split-liner", "https://camerareadycosmetics.com/products/gavissi-uv-pastel-rainbow-split-liner")</f>
        <v/>
      </c>
      <c r="C1040" t="inlineStr">
        <is>
          <t>UV Pastel Rainbow 6 Color Split Liner</t>
        </is>
      </c>
      <c r="D1040" t="inlineStr">
        <is>
          <t>Bowitzki Pastel Color Water Activated eyeliner UV Glow Hydra Liner Graphic Eye Liner Rainbow Split Cake Face Body Paint Makeup 50g</t>
        </is>
      </c>
      <c r="E1040" s="2">
        <f>HYPERLINK("https://www.amazon.com/Bowitzki-Rainbow-Activated-eyeliner-Graphic/dp/B09BYC3S1W/ref=sr_1_7?keywords=UV+Pastel+Rainbow+6+Color+Split+Liner&amp;qid=1695565651&amp;sr=8-7", "https://www.amazon.com/Bowitzki-Rainbow-Activated-eyeliner-Graphic/dp/B09BYC3S1W/ref=sr_1_7?keywords=UV+Pastel+Rainbow+6+Color+Split+Liner&amp;qid=1695565651&amp;sr=8-7")</f>
        <v/>
      </c>
      <c r="F1040" t="inlineStr">
        <is>
          <t>B09BYC3S1W</t>
        </is>
      </c>
      <c r="G1040">
        <f>_xlfn.IMAGE("https://camerareadycosmetics.com/cdn/shop/products/GavissiUVPastelRainbow6ColorSplitLinerSplitLinerPastel6_50x.jpg?v=1635871848")</f>
        <v/>
      </c>
      <c r="H1040">
        <f>_xlfn.IMAGE("https://m.media-amazon.com/images/I/61ePrpoMEwL._AC_UL320_.jpg")</f>
        <v/>
      </c>
      <c r="K1040" t="inlineStr">
        <is>
          <t>18.0</t>
        </is>
      </c>
      <c r="L1040" t="n">
        <v>9.99</v>
      </c>
      <c r="M1040" s="1" t="inlineStr">
        <is>
          <t>-44.50%</t>
        </is>
      </c>
      <c r="N1040" t="n">
        <v>4.4</v>
      </c>
      <c r="O1040" t="n">
        <v>52</v>
      </c>
      <c r="Q1040" t="inlineStr">
        <is>
          <t>InStock</t>
        </is>
      </c>
      <c r="R1040" t="inlineStr">
        <is>
          <t>18.0</t>
        </is>
      </c>
      <c r="S1040" t="inlineStr">
        <is>
          <t>7067266842809</t>
        </is>
      </c>
    </row>
    <row r="1041" ht="75" customHeight="1">
      <c r="A1041" s="2">
        <f>HYPERLINK("https://camerareadycosmetics.com/products/gavissi-uv-pastel-rainbow-split-liner", "https://camerareadycosmetics.com/products/gavissi-uv-pastel-rainbow-split-liner")</f>
        <v/>
      </c>
      <c r="B1041" s="2">
        <f>HYPERLINK("https://camerareadycosmetics.com/products/gavissi-uv-pastel-rainbow-split-liner", "https://camerareadycosmetics.com/products/gavissi-uv-pastel-rainbow-split-liner")</f>
        <v/>
      </c>
      <c r="C1041" t="inlineStr">
        <is>
          <t>UV Pastel Rainbow 6 Color Split Liner</t>
        </is>
      </c>
      <c r="D1041" t="inlineStr">
        <is>
          <t>slayisha Rainbow Split Liner Cake Hydra Wet Eyeliner 6 Color FREE WHITE PIGMENT convert into pastels</t>
        </is>
      </c>
      <c r="E1041" s="2">
        <f>HYPERLINK("https://www.amazon.com/Rainbow-Eyeliner-PIGMENT-convert-pastels/dp/B09YMPZL7H/ref=sr_1_4?keywords=UV+Pastel+Rainbow+6+Color+Split+Liner&amp;qid=1695565651&amp;sr=8-4", "https://www.amazon.com/Rainbow-Eyeliner-PIGMENT-convert-pastels/dp/B09YMPZL7H/ref=sr_1_4?keywords=UV+Pastel+Rainbow+6+Color+Split+Liner&amp;qid=1695565651&amp;sr=8-4")</f>
        <v/>
      </c>
      <c r="F1041" t="inlineStr">
        <is>
          <t>B09YMPZL7H</t>
        </is>
      </c>
      <c r="G1041">
        <f>_xlfn.IMAGE("https://camerareadycosmetics.com/cdn/shop/products/GavissiUVPastelRainbow6ColorSplitLinerSplitLinerPastel6_50x.jpg?v=1635871848")</f>
        <v/>
      </c>
      <c r="H1041">
        <f>_xlfn.IMAGE("https://m.media-amazon.com/images/I/61NUiR6HJ5L._AC_UL320_.jpg")</f>
        <v/>
      </c>
      <c r="K1041" t="inlineStr">
        <is>
          <t>18.0</t>
        </is>
      </c>
      <c r="L1041" t="n">
        <v>9.99</v>
      </c>
      <c r="M1041" s="1" t="inlineStr">
        <is>
          <t>-44.50%</t>
        </is>
      </c>
      <c r="N1041" t="n">
        <v>3</v>
      </c>
      <c r="O1041" t="n">
        <v>7</v>
      </c>
      <c r="Q1041" t="inlineStr">
        <is>
          <t>InStock</t>
        </is>
      </c>
      <c r="R1041" t="inlineStr">
        <is>
          <t>18.0</t>
        </is>
      </c>
      <c r="S1041" t="inlineStr">
        <is>
          <t>7067266842809</t>
        </is>
      </c>
    </row>
    <row r="1042" ht="75" customHeight="1">
      <c r="A1042" s="2">
        <f>HYPERLINK("https://camerareadycosmetics.com/products/gavissi-uv-pastel-rainbow-split-liner", "https://camerareadycosmetics.com/products/gavissi-uv-pastel-rainbow-split-liner")</f>
        <v/>
      </c>
      <c r="B1042" s="2">
        <f>HYPERLINK("https://camerareadycosmetics.com/products/gavissi-uv-pastel-rainbow-split-liner", "https://camerareadycosmetics.com/products/gavissi-uv-pastel-rainbow-split-liner")</f>
        <v/>
      </c>
      <c r="C1042" t="inlineStr">
        <is>
          <t>UV Pastel Rainbow 6 Color Split Liner</t>
        </is>
      </c>
      <c r="D1042" t="inlineStr">
        <is>
          <t>Bowitzki 50g Pastel Color Split Cake Water Activated eyeliner UV Glow Graphic eye liner Hydra Liner Rainbow Face Body Paint Makeup</t>
        </is>
      </c>
      <c r="E1042" s="2">
        <f>HYPERLINK("https://www.amazon.com/Bowitzki-Activated-eyeliner-Graphic-Rainbow/dp/B091GC2FPT/ref=sr_1_3?keywords=UV+Pastel+Rainbow+6+Color+Split+Liner&amp;qid=1695565651&amp;sr=8-3", "https://www.amazon.com/Bowitzki-Activated-eyeliner-Graphic-Rainbow/dp/B091GC2FPT/ref=sr_1_3?keywords=UV+Pastel+Rainbow+6+Color+Split+Liner&amp;qid=1695565651&amp;sr=8-3")</f>
        <v/>
      </c>
      <c r="F1042" t="inlineStr">
        <is>
          <t>B091GC2FPT</t>
        </is>
      </c>
      <c r="G1042">
        <f>_xlfn.IMAGE("https://camerareadycosmetics.com/cdn/shop/products/GavissiUVPastelRainbow6ColorSplitLinerSplitLinerPastel6_50x.jpg?v=1635871848")</f>
        <v/>
      </c>
      <c r="H1042">
        <f>_xlfn.IMAGE("https://m.media-amazon.com/images/I/61ZQdqVgtTL._AC_UL320_.jpg")</f>
        <v/>
      </c>
      <c r="K1042" t="inlineStr">
        <is>
          <t>18.0</t>
        </is>
      </c>
      <c r="L1042" t="n">
        <v>9.99</v>
      </c>
      <c r="M1042" s="1" t="inlineStr">
        <is>
          <t>-44.50%</t>
        </is>
      </c>
      <c r="N1042" t="n">
        <v>4.4</v>
      </c>
      <c r="O1042" t="n">
        <v>433</v>
      </c>
      <c r="Q1042" t="inlineStr">
        <is>
          <t>InStock</t>
        </is>
      </c>
      <c r="R1042" t="inlineStr">
        <is>
          <t>18.0</t>
        </is>
      </c>
      <c r="S1042" t="inlineStr">
        <is>
          <t>7067266842809</t>
        </is>
      </c>
    </row>
    <row r="1043" ht="75" customHeight="1">
      <c r="A1043" s="2">
        <f>HYPERLINK("https://camerareadycosmetics.com/products/gavissi-uv-pastel-rainbow-split-liner", "https://camerareadycosmetics.com/products/gavissi-uv-pastel-rainbow-split-liner")</f>
        <v/>
      </c>
      <c r="B1043" s="2">
        <f>HYPERLINK("https://camerareadycosmetics.com/products/gavissi-uv-pastel-rainbow-split-liner", "https://camerareadycosmetics.com/products/gavissi-uv-pastel-rainbow-split-liner")</f>
        <v/>
      </c>
      <c r="C1043" t="inlineStr">
        <is>
          <t>UV Pastel Rainbow 6 Color Split Liner</t>
        </is>
      </c>
      <c r="D1043" t="inlineStr">
        <is>
          <t>Bowitzki 50g Water Activated Eyeliner Retro Graphic Hydra Eye Liner Makeup UV Glow Fluorescent Cake Aqua Color Split Cakes Neon Rainbow Face Paints Body Painting for Halloween Christmas Pride (UV Rainbow)</t>
        </is>
      </c>
      <c r="E1043" s="2">
        <f>HYPERLINK("https://www.amazon.com/Bowitzki-Split-Rainbow-Paints-Painting/dp/B07WW44BHX/ref=sr_1_2?keywords=UV+Pastel+Rainbow+6+Color+Split+Liner&amp;qid=1695565651&amp;sr=8-2", "https://www.amazon.com/Bowitzki-Split-Rainbow-Paints-Painting/dp/B07WW44BHX/ref=sr_1_2?keywords=UV+Pastel+Rainbow+6+Color+Split+Liner&amp;qid=1695565651&amp;sr=8-2")</f>
        <v/>
      </c>
      <c r="F1043" t="inlineStr">
        <is>
          <t>B07WW44BHX</t>
        </is>
      </c>
      <c r="G1043">
        <f>_xlfn.IMAGE("https://camerareadycosmetics.com/cdn/shop/products/GavissiUVPastelRainbow6ColorSplitLinerSplitLinerPastel6_50x.jpg?v=1635871848")</f>
        <v/>
      </c>
      <c r="H1043">
        <f>_xlfn.IMAGE("https://m.media-amazon.com/images/I/61OISXgn2qL._AC_UL320_.jpg")</f>
        <v/>
      </c>
      <c r="K1043" t="inlineStr">
        <is>
          <t>18.0</t>
        </is>
      </c>
      <c r="L1043" t="n">
        <v>9.99</v>
      </c>
      <c r="M1043" s="1" t="inlineStr">
        <is>
          <t>-44.50%</t>
        </is>
      </c>
      <c r="N1043" t="n">
        <v>4.3</v>
      </c>
      <c r="O1043" t="n">
        <v>1503</v>
      </c>
      <c r="Q1043" t="inlineStr">
        <is>
          <t>InStock</t>
        </is>
      </c>
      <c r="R1043" t="inlineStr">
        <is>
          <t>18.0</t>
        </is>
      </c>
      <c r="S1043" t="inlineStr">
        <is>
          <t>7067266842809</t>
        </is>
      </c>
    </row>
    <row r="1044" ht="75" customHeight="1">
      <c r="A1044" s="2">
        <f>HYPERLINK("https://camerareadycosmetics.com/products/gavissi-uv-pastel-rainbow-split-liner", "https://camerareadycosmetics.com/products/gavissi-uv-pastel-rainbow-split-liner")</f>
        <v/>
      </c>
      <c r="B1044" s="2">
        <f>HYPERLINK("https://camerareadycosmetics.com/products/gavissi-uv-pastel-rainbow-split-liner", "https://camerareadycosmetics.com/products/gavissi-uv-pastel-rainbow-split-liner")</f>
        <v/>
      </c>
      <c r="C1044" t="inlineStr">
        <is>
          <t>UV Pastel Rainbow 6 Color Split Liner</t>
        </is>
      </c>
      <c r="D1044" t="inlineStr">
        <is>
          <t>slayisha Pastel Wet Split Eyeliner 6 Colors</t>
        </is>
      </c>
      <c r="E1044" s="2">
        <f>HYPERLINK("https://www.amazon.com/slayisha-Pastel-Split-Eyeliner-Colors/dp/B09S9WCZNL/ref=sr_1_10?keywords=UV+Pastel+Rainbow+6+Color+Split+Liner&amp;qid=1695565651&amp;sr=8-10", "https://www.amazon.com/slayisha-Pastel-Split-Eyeliner-Colors/dp/B09S9WCZNL/ref=sr_1_10?keywords=UV+Pastel+Rainbow+6+Color+Split+Liner&amp;qid=1695565651&amp;sr=8-10")</f>
        <v/>
      </c>
      <c r="F1044" t="inlineStr">
        <is>
          <t>B09S9WCZNL</t>
        </is>
      </c>
      <c r="G1044">
        <f>_xlfn.IMAGE("https://camerareadycosmetics.com/cdn/shop/products/GavissiUVPastelRainbow6ColorSplitLinerSplitLinerPastel6_50x.jpg?v=1635871848")</f>
        <v/>
      </c>
      <c r="H1044">
        <f>_xlfn.IMAGE("https://m.media-amazon.com/images/I/71-LTePTntL._AC_UL320_.jpg")</f>
        <v/>
      </c>
      <c r="K1044" t="inlineStr">
        <is>
          <t>18.0</t>
        </is>
      </c>
      <c r="L1044" t="n">
        <v>5.99</v>
      </c>
      <c r="M1044" s="1" t="inlineStr">
        <is>
          <t>-66.72%</t>
        </is>
      </c>
      <c r="N1044" t="n">
        <v>1</v>
      </c>
      <c r="O1044" t="n">
        <v>1</v>
      </c>
      <c r="Q1044" t="inlineStr">
        <is>
          <t>InStock</t>
        </is>
      </c>
      <c r="R1044" t="inlineStr">
        <is>
          <t>18.0</t>
        </is>
      </c>
      <c r="S1044" t="inlineStr">
        <is>
          <t>7067266842809</t>
        </is>
      </c>
    </row>
    <row r="1045" ht="75" customHeight="1">
      <c r="A1045" s="2">
        <f>HYPERLINK("https://camerareadycosmetics.com/products/gavissi-uv-pastel-rainbow-split-liner", "https://camerareadycosmetics.com/products/gavissi-uv-pastel-rainbow-split-liner")</f>
        <v/>
      </c>
      <c r="B1045" s="2">
        <f>HYPERLINK("https://camerareadycosmetics.com/products/gavissi-uv-pastel-rainbow-split-liner", "https://camerareadycosmetics.com/products/gavissi-uv-pastel-rainbow-split-liner")</f>
        <v/>
      </c>
      <c r="C1045" t="inlineStr">
        <is>
          <t>UV Pastel Rainbow 6 Color Split Liner</t>
        </is>
      </c>
      <c r="D1045" t="inlineStr">
        <is>
          <t>slayisha Pastel Wet Split Eyeliner 6 Colors</t>
        </is>
      </c>
      <c r="E1045" s="2">
        <f>HYPERLINK("https://www.amazon.com/slayisha-Pastel-Split-Eyeliner-Colors/dp/B09S9WCZNL/ref=sr_1_10?keywords=UV+Pastel+Rainbow+6+Color+Split+Liner&amp;qid=1695565651&amp;sr=8-10", "https://www.amazon.com/slayisha-Pastel-Split-Eyeliner-Colors/dp/B09S9WCZNL/ref=sr_1_10?keywords=UV+Pastel+Rainbow+6+Color+Split+Liner&amp;qid=1695565651&amp;sr=8-10")</f>
        <v/>
      </c>
      <c r="F1045" t="inlineStr">
        <is>
          <t>B09S9WCZNL</t>
        </is>
      </c>
      <c r="G1045">
        <f>_xlfn.IMAGE("https://camerareadycosmetics.com/cdn/shop/products/GavissiUVPastelRainbow6ColorSplitLinerSplitLinerPastel6_50x.jpg?v=1635871848")</f>
        <v/>
      </c>
      <c r="H1045">
        <f>_xlfn.IMAGE("https://m.media-amazon.com/images/I/71-LTePTntL._AC_UL320_.jpg")</f>
        <v/>
      </c>
      <c r="K1045" t="inlineStr">
        <is>
          <t>18.0</t>
        </is>
      </c>
      <c r="L1045" t="n">
        <v>5.99</v>
      </c>
      <c r="M1045" s="1" t="inlineStr">
        <is>
          <t>-66.72%</t>
        </is>
      </c>
      <c r="N1045" t="n">
        <v>1</v>
      </c>
      <c r="O1045" t="n">
        <v>1</v>
      </c>
      <c r="Q1045" t="inlineStr">
        <is>
          <t>InStock</t>
        </is>
      </c>
      <c r="R1045" t="inlineStr">
        <is>
          <t>18.0</t>
        </is>
      </c>
      <c r="S1045" t="inlineStr">
        <is>
          <t>7067266842809</t>
        </is>
      </c>
    </row>
    <row r="1046" ht="75" customHeight="1">
      <c r="A1046" s="2">
        <f>HYPERLINK("https://camerareadycosmetics.com/products/graftobian-cake-eye-liner", "https://camerareadycosmetics.com/products/graftobian-cake-eye-liner")</f>
        <v/>
      </c>
      <c r="B1046" s="2">
        <f>HYPERLINK("https://camerareadycosmetics.com/products/graftobian-cake-eye-liner", "https://camerareadycosmetics.com/products/graftobian-cake-eye-liner")</f>
        <v/>
      </c>
      <c r="C1046" t="inlineStr">
        <is>
          <t>Cake Eye Liner</t>
        </is>
      </c>
      <c r="D1046" t="inlineStr">
        <is>
          <t>Laura Mercier Tightline Cake Eye Liner, Black Ebony , 0.05 Ounce (Pack of 1)</t>
        </is>
      </c>
      <c r="E1046" s="2">
        <f>HYPERLINK("https://www.amazon.com/Laura-Mercier-Tightline-Cake-Liner/dp/B004O46T30/ref=sr_1_6?keywords=Cake+Eye+Liner&amp;qid=1695565565&amp;sr=8-6", "https://www.amazon.com/Laura-Mercier-Tightline-Cake-Liner/dp/B004O46T30/ref=sr_1_6?keywords=Cake+Eye+Liner&amp;qid=1695565565&amp;sr=8-6")</f>
        <v/>
      </c>
      <c r="F1046" t="inlineStr">
        <is>
          <t>B004O46T30</t>
        </is>
      </c>
      <c r="G1046">
        <f>_xlfn.IMAGE("https://camerareadycosmetics.com/cdn/shop/products/Untitled_1__50140.1433211096.600.600_50x.jpeg?v=1689639683")</f>
        <v/>
      </c>
      <c r="H1046">
        <f>_xlfn.IMAGE("https://m.media-amazon.com/images/I/71X-XUtkTOL._AC_UL320_.jpg")</f>
        <v/>
      </c>
      <c r="K1046" t="inlineStr">
        <is>
          <t>16.0</t>
        </is>
      </c>
      <c r="L1046" t="n">
        <v>42.87</v>
      </c>
      <c r="M1046" s="1" t="inlineStr">
        <is>
          <t>167.94%</t>
        </is>
      </c>
      <c r="N1046" t="n">
        <v>4.4</v>
      </c>
      <c r="O1046" t="n">
        <v>543</v>
      </c>
      <c r="Q1046" t="inlineStr">
        <is>
          <t>InStock</t>
        </is>
      </c>
      <c r="R1046" t="inlineStr">
        <is>
          <t>undefined</t>
        </is>
      </c>
      <c r="S1046" t="inlineStr">
        <is>
          <t>7039615687</t>
        </is>
      </c>
    </row>
    <row r="1047" ht="75" customHeight="1">
      <c r="A1047" s="2">
        <f>HYPERLINK("https://camerareadycosmetics.com/products/graftobian-cake-eye-liner", "https://camerareadycosmetics.com/products/graftobian-cake-eye-liner")</f>
        <v/>
      </c>
      <c r="B1047" s="2">
        <f>HYPERLINK("https://camerareadycosmetics.com/products/graftobian-cake-eye-liner", "https://camerareadycosmetics.com/products/graftobian-cake-eye-liner")</f>
        <v/>
      </c>
      <c r="C1047" t="inlineStr">
        <is>
          <t>Cake Eye Liner</t>
        </is>
      </c>
      <c r="D1047" t="inlineStr">
        <is>
          <t>Cake Eyeliner &amp; Brush - 2 Piece Water Activated Dry Pressed Eyeliner &amp; Professional Brush - Long-Lasting, Vibrant Color, Smudge Resistant - Cruelty Free Paraben Free (Espresso)</t>
        </is>
      </c>
      <c r="E1047" s="2">
        <f>HYPERLINK("https://www.amazon.com/Michael-Marcus-Eyeliner-Brush-Espresso/dp/B07B7QQW9Q/ref=sr_1_4?keywords=Cake+Eye+Liner&amp;qid=1695565565&amp;sr=8-4", "https://www.amazon.com/Michael-Marcus-Eyeliner-Brush-Espresso/dp/B07B7QQW9Q/ref=sr_1_4?keywords=Cake+Eye+Liner&amp;qid=1695565565&amp;sr=8-4")</f>
        <v/>
      </c>
      <c r="F1047" t="inlineStr">
        <is>
          <t>B07B7QQW9Q</t>
        </is>
      </c>
      <c r="G1047">
        <f>_xlfn.IMAGE("https://camerareadycosmetics.com/cdn/shop/products/Untitled_1__50140.1433211096.600.600_50x.jpeg?v=1689639683")</f>
        <v/>
      </c>
      <c r="H1047">
        <f>_xlfn.IMAGE("https://m.media-amazon.com/images/I/515ZC0-xG1L._AC_UL320_.jpg")</f>
        <v/>
      </c>
      <c r="K1047" t="inlineStr">
        <is>
          <t>16.0</t>
        </is>
      </c>
      <c r="L1047" t="n">
        <v>38</v>
      </c>
      <c r="M1047" s="1" t="inlineStr">
        <is>
          <t>137.50%</t>
        </is>
      </c>
      <c r="N1047" t="n">
        <v>4.1</v>
      </c>
      <c r="O1047" t="n">
        <v>284</v>
      </c>
      <c r="Q1047" t="inlineStr">
        <is>
          <t>InStock</t>
        </is>
      </c>
      <c r="R1047" t="inlineStr">
        <is>
          <t>undefined</t>
        </is>
      </c>
      <c r="S1047" t="inlineStr">
        <is>
          <t>7039615687</t>
        </is>
      </c>
    </row>
    <row r="1048" ht="75" customHeight="1">
      <c r="A1048" s="2">
        <f>HYPERLINK("https://camerareadycosmetics.com/products/graftobian-cake-eye-liner", "https://camerareadycosmetics.com/products/graftobian-cake-eye-liner")</f>
        <v/>
      </c>
      <c r="B1048" s="2">
        <f>HYPERLINK("https://camerareadycosmetics.com/products/graftobian-cake-eye-liner", "https://camerareadycosmetics.com/products/graftobian-cake-eye-liner")</f>
        <v/>
      </c>
      <c r="C1048" t="inlineStr">
        <is>
          <t>Cake Eye Liner</t>
        </is>
      </c>
      <c r="D1048" t="inlineStr">
        <is>
          <t>Jolie Extra Long-Wear Cake Eyeliner (Black-Brown)</t>
        </is>
      </c>
      <c r="E1048" s="2">
        <f>HYPERLINK("https://www.amazon.com/Jolie-Extra-Long-Wear-Eyeliner-Black-Brown/dp/B01N2QZO3F/ref=sr_1_7?keywords=Cake+Eye+Liner&amp;qid=1695565565&amp;sr=8-7", "https://www.amazon.com/Jolie-Extra-Long-Wear-Eyeliner-Black-Brown/dp/B01N2QZO3F/ref=sr_1_7?keywords=Cake+Eye+Liner&amp;qid=1695565565&amp;sr=8-7")</f>
        <v/>
      </c>
      <c r="F1048" t="inlineStr">
        <is>
          <t>B01N2QZO3F</t>
        </is>
      </c>
      <c r="G1048">
        <f>_xlfn.IMAGE("https://camerareadycosmetics.com/cdn/shop/products/Untitled_1__50140.1433211096.600.600_50x.jpeg?v=1689639683")</f>
        <v/>
      </c>
      <c r="H1048">
        <f>_xlfn.IMAGE("https://m.media-amazon.com/images/I/81GMo3z9ZRL._AC_UL320_.jpg")</f>
        <v/>
      </c>
      <c r="K1048" t="inlineStr">
        <is>
          <t>16.0</t>
        </is>
      </c>
      <c r="L1048" t="n">
        <v>24</v>
      </c>
      <c r="M1048" s="1" t="inlineStr">
        <is>
          <t>50.00%</t>
        </is>
      </c>
      <c r="N1048" t="n">
        <v>4</v>
      </c>
      <c r="O1048" t="n">
        <v>281</v>
      </c>
      <c r="Q1048" t="inlineStr">
        <is>
          <t>InStock</t>
        </is>
      </c>
      <c r="R1048" t="inlineStr">
        <is>
          <t>undefined</t>
        </is>
      </c>
      <c r="S1048" t="inlineStr">
        <is>
          <t>7039615687</t>
        </is>
      </c>
    </row>
    <row r="1049" ht="75" customHeight="1">
      <c r="A1049" s="2">
        <f>HYPERLINK("https://camerareadycosmetics.com/products/graftobian-cake-eye-liner", "https://camerareadycosmetics.com/products/graftobian-cake-eye-liner")</f>
        <v/>
      </c>
      <c r="B1049" s="2">
        <f>HYPERLINK("https://camerareadycosmetics.com/products/graftobian-cake-eye-liner", "https://camerareadycosmetics.com/products/graftobian-cake-eye-liner")</f>
        <v/>
      </c>
      <c r="C1049" t="inlineStr">
        <is>
          <t>Cake Eye Liner</t>
        </is>
      </c>
      <c r="D1049" t="inlineStr">
        <is>
          <t>Cake Eyeliner - Water Activated Dry Pressed Eyeliner - Long-Lasting, Vibrant Color, Smudge Resistant - Cruelty Free Paraben Free (Espresso)</t>
        </is>
      </c>
      <c r="E1049" s="2">
        <f>HYPERLINK("https://www.amazon.com/michael-marcus-Cake-Eyeliner-Long-Lasting/dp/B0B5NKF3HX/ref=sr_1_5?keywords=Cake+Eye+Liner&amp;qid=1695565565&amp;sr=8-5", "https://www.amazon.com/michael-marcus-Cake-Eyeliner-Long-Lasting/dp/B0B5NKF3HX/ref=sr_1_5?keywords=Cake+Eye+Liner&amp;qid=1695565565&amp;sr=8-5")</f>
        <v/>
      </c>
      <c r="F1049" t="inlineStr">
        <is>
          <t>B0B5NKF3HX</t>
        </is>
      </c>
      <c r="G1049">
        <f>_xlfn.IMAGE("https://camerareadycosmetics.com/cdn/shop/products/Untitled_1__50140.1433211096.600.600_50x.jpeg?v=1689639683")</f>
        <v/>
      </c>
      <c r="H1049">
        <f>_xlfn.IMAGE("https://m.media-amazon.com/images/I/515ZC0-xG1L._AC_UL320_.jpg")</f>
        <v/>
      </c>
      <c r="K1049" t="inlineStr">
        <is>
          <t>16.0</t>
        </is>
      </c>
      <c r="L1049" t="n">
        <v>23</v>
      </c>
      <c r="M1049" s="1" t="inlineStr">
        <is>
          <t>43.75%</t>
        </is>
      </c>
      <c r="N1049" t="n">
        <v>4.1</v>
      </c>
      <c r="O1049" t="n">
        <v>94</v>
      </c>
      <c r="Q1049" t="inlineStr">
        <is>
          <t>InStock</t>
        </is>
      </c>
      <c r="R1049" t="inlineStr">
        <is>
          <t>undefined</t>
        </is>
      </c>
      <c r="S1049" t="inlineStr">
        <is>
          <t>7039615687</t>
        </is>
      </c>
    </row>
    <row r="1050" ht="75" customHeight="1">
      <c r="A1050" s="2">
        <f>HYPERLINK("https://camerareadycosmetics.com/products/graftobian-cake-eye-liner", "https://camerareadycosmetics.com/products/graftobian-cake-eye-liner")</f>
        <v/>
      </c>
      <c r="B1050" s="2">
        <f>HYPERLINK("https://camerareadycosmetics.com/products/graftobian-cake-eye-liner", "https://camerareadycosmetics.com/products/graftobian-cake-eye-liner")</f>
        <v/>
      </c>
      <c r="C1050" t="inlineStr">
        <is>
          <t>Cake Eye Liner</t>
        </is>
      </c>
      <c r="D1050" t="inlineStr">
        <is>
          <t>Matte Black Eyeliner- Cake Eyeliner with Applicator Brush - Water Activated Dry Pressed Eyeliner - Long-Lasting, Vibrant Color, Smudge Resistant - Vegan Cruelty Free Paraben Free (Matte Black)</t>
        </is>
      </c>
      <c r="E1050" s="2">
        <f>HYPERLINK("https://www.amazon.com/Addictive-Cosmetics-Eyeliner-Eyeliner-Applicator/dp/B0BJ6B2J2F/ref=sr_1_1?keywords=Cake+Eye+Liner&amp;qid=1695565565&amp;sr=8-1", "https://www.amazon.com/Addictive-Cosmetics-Eyeliner-Eyeliner-Applicator/dp/B0BJ6B2J2F/ref=sr_1_1?keywords=Cake+Eye+Liner&amp;qid=1695565565&amp;sr=8-1")</f>
        <v/>
      </c>
      <c r="F1050" t="inlineStr">
        <is>
          <t>B0BJ6B2J2F</t>
        </is>
      </c>
      <c r="G1050">
        <f>_xlfn.IMAGE("https://camerareadycosmetics.com/cdn/shop/products/Untitled_1__50140.1433211096.600.600_50x.jpeg?v=1689639683")</f>
        <v/>
      </c>
      <c r="H1050">
        <f>_xlfn.IMAGE("https://m.media-amazon.com/images/I/718xjK5-rkL._AC_UL320_.jpg")</f>
        <v/>
      </c>
      <c r="K1050" t="inlineStr">
        <is>
          <t>16.0</t>
        </is>
      </c>
      <c r="L1050" t="n">
        <v>19.99</v>
      </c>
      <c r="M1050" s="1" t="inlineStr">
        <is>
          <t>24.94%</t>
        </is>
      </c>
      <c r="N1050" t="n">
        <v>4.5</v>
      </c>
      <c r="O1050" t="n">
        <v>92</v>
      </c>
      <c r="Q1050" t="inlineStr">
        <is>
          <t>InStock</t>
        </is>
      </c>
      <c r="R1050" t="inlineStr">
        <is>
          <t>undefined</t>
        </is>
      </c>
      <c r="S1050" t="inlineStr">
        <is>
          <t>7039615687</t>
        </is>
      </c>
    </row>
    <row r="1051" ht="75" customHeight="1">
      <c r="A1051" s="2">
        <f>HYPERLINK("https://camerareadycosmetics.com/products/graftobian-cake-eye-liner", "https://camerareadycosmetics.com/products/graftobian-cake-eye-liner")</f>
        <v/>
      </c>
      <c r="B1051" s="2">
        <f>HYPERLINK("https://camerareadycosmetics.com/products/graftobian-cake-eye-liner", "https://camerareadycosmetics.com/products/graftobian-cake-eye-liner")</f>
        <v/>
      </c>
      <c r="C1051" t="inlineStr">
        <is>
          <t>Cake Eye Liner</t>
        </is>
      </c>
      <c r="D1051" t="inlineStr">
        <is>
          <t>SACE LADY Eyeliner, Pro Cake Eyeliner Powder, Long Lasting Water-Soluble Eyeliner Pressed Powder, Waterproof, Smudge-Proof, Cruelty Free for Makeup Beginner and Pro Makeup Artist 0.12Oz (Coffee)</t>
        </is>
      </c>
      <c r="E1051" s="2">
        <f>HYPERLINK("https://www.amazon.com/SACE-LADY-Water-Soluble-Waterproof-Smudge-Proof/dp/B075P2TT75/ref=sr_1_8?keywords=Cake+Eye+Liner&amp;qid=1695565565&amp;sr=8-8", "https://www.amazon.com/SACE-LADY-Water-Soluble-Waterproof-Smudge-Proof/dp/B075P2TT75/ref=sr_1_8?keywords=Cake+Eye+Liner&amp;qid=1695565565&amp;sr=8-8")</f>
        <v/>
      </c>
      <c r="F1051" t="inlineStr">
        <is>
          <t>B075P2TT75</t>
        </is>
      </c>
      <c r="G1051">
        <f>_xlfn.IMAGE("https://camerareadycosmetics.com/cdn/shop/products/Untitled_1__50140.1433211096.600.600_50x.jpeg?v=1689639683")</f>
        <v/>
      </c>
      <c r="H1051">
        <f>_xlfn.IMAGE("https://m.media-amazon.com/images/I/61Tc4VJsQIL._AC_UL320_.jpg")</f>
        <v/>
      </c>
      <c r="K1051" t="inlineStr">
        <is>
          <t>16.0</t>
        </is>
      </c>
      <c r="L1051" t="n">
        <v>16.99</v>
      </c>
      <c r="M1051" s="1" t="inlineStr">
        <is>
          <t>6.19%</t>
        </is>
      </c>
      <c r="N1051" t="n">
        <v>3.7</v>
      </c>
      <c r="O1051" t="n">
        <v>344</v>
      </c>
      <c r="Q1051" t="inlineStr">
        <is>
          <t>InStock</t>
        </is>
      </c>
      <c r="R1051" t="inlineStr">
        <is>
          <t>undefined</t>
        </is>
      </c>
      <c r="S1051" t="inlineStr">
        <is>
          <t>7039615687</t>
        </is>
      </c>
    </row>
    <row r="1052" ht="75" customHeight="1">
      <c r="A1052" s="2">
        <f>HYPERLINK("https://camerareadycosmetics.com/products/graftobian-cake-eye-liner", "https://camerareadycosmetics.com/products/graftobian-cake-eye-liner")</f>
        <v/>
      </c>
      <c r="B1052" s="2">
        <f>HYPERLINK("https://camerareadycosmetics.com/products/graftobian-cake-eye-liner", "https://camerareadycosmetics.com/products/graftobian-cake-eye-liner")</f>
        <v/>
      </c>
      <c r="C1052" t="inlineStr">
        <is>
          <t>Cake Eye Liner</t>
        </is>
      </c>
      <c r="D1052" t="inlineStr">
        <is>
          <t>Mineral Effects Baked Cake Eyeliner (Navy)</t>
        </is>
      </c>
      <c r="E1052" s="2">
        <f>HYPERLINK("https://www.amazon.com/Femme-Couture-Mineral-Effects-Eyeliner/dp/B003Z65F0G/ref=sr_1_10?keywords=Cake+Eye+Liner&amp;qid=1695565565&amp;sr=8-10", "https://www.amazon.com/Femme-Couture-Mineral-Effects-Eyeliner/dp/B003Z65F0G/ref=sr_1_10?keywords=Cake+Eye+Liner&amp;qid=1695565565&amp;sr=8-10")</f>
        <v/>
      </c>
      <c r="F1052" t="inlineStr">
        <is>
          <t>B003Z65F0G</t>
        </is>
      </c>
      <c r="G1052">
        <f>_xlfn.IMAGE("https://camerareadycosmetics.com/cdn/shop/products/Untitled_1__50140.1433211096.600.600_50x.jpeg?v=1689639683")</f>
        <v/>
      </c>
      <c r="H1052">
        <f>_xlfn.IMAGE("https://m.media-amazon.com/images/I/71bSFzfikKL._AC_UL320_.jpg")</f>
        <v/>
      </c>
      <c r="K1052" t="inlineStr">
        <is>
          <t>16.0</t>
        </is>
      </c>
      <c r="L1052" t="n">
        <v>16.49</v>
      </c>
      <c r="M1052" s="1" t="inlineStr">
        <is>
          <t>3.06%</t>
        </is>
      </c>
      <c r="N1052" t="n">
        <v>4.4</v>
      </c>
      <c r="O1052" t="n">
        <v>32</v>
      </c>
      <c r="Q1052" t="inlineStr">
        <is>
          <t>InStock</t>
        </is>
      </c>
      <c r="R1052" t="inlineStr">
        <is>
          <t>undefined</t>
        </is>
      </c>
      <c r="S1052" t="inlineStr">
        <is>
          <t>7039615687</t>
        </is>
      </c>
    </row>
    <row r="1053" ht="75" customHeight="1">
      <c r="A1053" s="2">
        <f>HYPERLINK("https://camerareadycosmetics.com/products/graftobian-cake-eye-liner", "https://camerareadycosmetics.com/products/graftobian-cake-eye-liner")</f>
        <v/>
      </c>
      <c r="B1053" s="2">
        <f>HYPERLINK("https://camerareadycosmetics.com/products/graftobian-cake-eye-liner", "https://camerareadycosmetics.com/products/graftobian-cake-eye-liner")</f>
        <v/>
      </c>
      <c r="C1053" t="inlineStr">
        <is>
          <t>Cake Eye Liner</t>
        </is>
      </c>
      <c r="D1053" t="inlineStr">
        <is>
          <t>Graftobian Professional HD Cake Eyeliner (Espresso Brown) Get Precise Lines, Water-Activated Pressed Powder Eyeliner, Long-Lasting Wear, For Bold Graphic Liner Or Subtle Tightline Effect, Made in USA</t>
        </is>
      </c>
      <c r="E1053" s="2">
        <f>HYPERLINK("https://www.amazon.com/Graftobian-Professional-Hd-Cake-Eyeliner/dp/B004LOX7F6/ref=sr_1_3?keywords=Cake+Eye+Liner&amp;qid=1695565565&amp;sr=8-3", "https://www.amazon.com/Graftobian-Professional-Hd-Cake-Eyeliner/dp/B004LOX7F6/ref=sr_1_3?keywords=Cake+Eye+Liner&amp;qid=1695565565&amp;sr=8-3")</f>
        <v/>
      </c>
      <c r="F1053" t="inlineStr">
        <is>
          <t>B004LOX7F6</t>
        </is>
      </c>
      <c r="G1053">
        <f>_xlfn.IMAGE("https://camerareadycosmetics.com/cdn/shop/products/Untitled_1__50140.1433211096.600.600_50x.jpeg?v=1689639683")</f>
        <v/>
      </c>
      <c r="H1053">
        <f>_xlfn.IMAGE("https://m.media-amazon.com/images/I/71OqE5aXJnL._AC_UL320_.jpg")</f>
        <v/>
      </c>
      <c r="K1053" t="inlineStr">
        <is>
          <t>16.0</t>
        </is>
      </c>
      <c r="L1053" t="n">
        <v>14.4</v>
      </c>
      <c r="M1053" s="1" t="inlineStr">
        <is>
          <t>-10.00%</t>
        </is>
      </c>
      <c r="N1053" t="n">
        <v>4.2</v>
      </c>
      <c r="O1053" t="n">
        <v>806</v>
      </c>
      <c r="Q1053" t="inlineStr">
        <is>
          <t>InStock</t>
        </is>
      </c>
      <c r="R1053" t="inlineStr">
        <is>
          <t>undefined</t>
        </is>
      </c>
      <c r="S1053" t="inlineStr">
        <is>
          <t>7039615687</t>
        </is>
      </c>
    </row>
    <row r="1054" ht="75" customHeight="1">
      <c r="A1054" s="2">
        <f>HYPERLINK("https://camerareadycosmetics.com/products/graftobian-cake-eye-liner", "https://camerareadycosmetics.com/products/graftobian-cake-eye-liner")</f>
        <v/>
      </c>
      <c r="B1054" s="2">
        <f>HYPERLINK("https://camerareadycosmetics.com/products/graftobian-cake-eye-liner", "https://camerareadycosmetics.com/products/graftobian-cake-eye-liner")</f>
        <v/>
      </c>
      <c r="C1054" t="inlineStr">
        <is>
          <t>Cake Eye Liner</t>
        </is>
      </c>
      <c r="D1054" t="inlineStr">
        <is>
          <t>Pure Zivaª Black Matte Cake Eyeliner &amp; Eyeshadow, Water Activated Pressed Powder; Gluten &amp; Cruelty Free</t>
        </is>
      </c>
      <c r="E1054" s="2">
        <f>HYPERLINK("https://www.amazon.com/Pure-Ziva-Pressed-Eyeliner-Eyeshadow/dp/B00XQ6J3RG/ref=sr_1_2?keywords=Cake+Eye+Liner&amp;qid=1695565565&amp;sr=8-2", "https://www.amazon.com/Pure-Ziva-Pressed-Eyeliner-Eyeshadow/dp/B00XQ6J3RG/ref=sr_1_2?keywords=Cake+Eye+Liner&amp;qid=1695565565&amp;sr=8-2")</f>
        <v/>
      </c>
      <c r="F1054" t="inlineStr">
        <is>
          <t>B00XQ6J3RG</t>
        </is>
      </c>
      <c r="G1054">
        <f>_xlfn.IMAGE("https://camerareadycosmetics.com/cdn/shop/products/Untitled_1__50140.1433211096.600.600_50x.jpeg?v=1689639683")</f>
        <v/>
      </c>
      <c r="H1054">
        <f>_xlfn.IMAGE("https://m.media-amazon.com/images/I/81hq8IkcRRL._AC_UL320_.jpg")</f>
        <v/>
      </c>
      <c r="K1054" t="inlineStr">
        <is>
          <t>16.0</t>
        </is>
      </c>
      <c r="L1054" t="n">
        <v>13.99</v>
      </c>
      <c r="M1054" s="1" t="inlineStr">
        <is>
          <t>-12.56%</t>
        </is>
      </c>
      <c r="N1054" t="n">
        <v>4.1</v>
      </c>
      <c r="O1054" t="n">
        <v>1204</v>
      </c>
      <c r="Q1054" t="inlineStr">
        <is>
          <t>InStock</t>
        </is>
      </c>
      <c r="R1054" t="inlineStr">
        <is>
          <t>undefined</t>
        </is>
      </c>
      <c r="S1054" t="inlineStr">
        <is>
          <t>7039615687</t>
        </is>
      </c>
    </row>
    <row r="1055" ht="75" customHeight="1">
      <c r="A1055" s="2">
        <f>HYPERLINK("https://camerareadycosmetics.com/products/graftobian-castor-seal", "https://camerareadycosmetics.com/products/graftobian-castor-seal")</f>
        <v/>
      </c>
      <c r="B1055" s="2">
        <f>HYPERLINK("https://camerareadycosmetics.com/products/graftobian-castor-seal", "https://camerareadycosmetics.com/products/graftobian-castor-seal")</f>
        <v/>
      </c>
      <c r="C1055" t="inlineStr">
        <is>
          <t>Castor Seal</t>
        </is>
      </c>
      <c r="D1055" t="inlineStr">
        <is>
          <t>Essential Depot Castor Oil -1 Gallon - 128 oz - safety sealed HDPE container with resealable cap</t>
        </is>
      </c>
      <c r="E1055" s="2">
        <f>HYPERLINK("https://www.amazon.com/Castor-Oil-Finest-Quality-Gallon/dp/B06XDFMMN4/ref=sr_1_9?keywords=Castor+Seal&amp;qid=1695565707&amp;sr=8-9", "https://www.amazon.com/Castor-Oil-Finest-Quality-Gallon/dp/B06XDFMMN4/ref=sr_1_9?keywords=Castor+Seal&amp;qid=1695565707&amp;sr=8-9")</f>
        <v/>
      </c>
      <c r="F1055" t="inlineStr">
        <is>
          <t>B06XDFMMN4</t>
        </is>
      </c>
      <c r="G1055">
        <f>_xlfn.IMAGE("https://camerareadycosmetics.com/cdn/shop/products/castor_seal_50x.jpg?v=1506754856")</f>
        <v/>
      </c>
      <c r="H1055">
        <f>_xlfn.IMAGE("https://m.media-amazon.com/images/I/61LupUDbdaL._AC_UL320_.jpg")</f>
        <v/>
      </c>
      <c r="K1055" t="inlineStr">
        <is>
          <t>4.5</t>
        </is>
      </c>
      <c r="L1055" t="n">
        <v>59.97</v>
      </c>
      <c r="M1055" s="1" t="inlineStr">
        <is>
          <t>1,232.67%</t>
        </is>
      </c>
      <c r="N1055" t="n">
        <v>4.7</v>
      </c>
      <c r="O1055" t="n">
        <v>286</v>
      </c>
      <c r="Q1055" t="inlineStr">
        <is>
          <t>InStock</t>
        </is>
      </c>
      <c r="R1055" t="inlineStr">
        <is>
          <t>undefined</t>
        </is>
      </c>
      <c r="S1055" t="inlineStr">
        <is>
          <t>10813948170</t>
        </is>
      </c>
    </row>
    <row r="1056" ht="75" customHeight="1">
      <c r="A1056" s="2">
        <f>HYPERLINK("https://camerareadycosmetics.com/products/graftobian-castor-seal", "https://camerareadycosmetics.com/products/graftobian-castor-seal")</f>
        <v/>
      </c>
      <c r="B1056" s="2">
        <f>HYPERLINK("https://camerareadycosmetics.com/products/graftobian-castor-seal", "https://camerareadycosmetics.com/products/graftobian-castor-seal")</f>
        <v/>
      </c>
      <c r="C1056" t="inlineStr">
        <is>
          <t>Castor Seal</t>
        </is>
      </c>
      <c r="D1056" t="inlineStr">
        <is>
          <t>Castor Oil - 1 Quart - 32 oz - safety sealed HDPE container with resealable cap</t>
        </is>
      </c>
      <c r="E1056" s="2">
        <f>HYPERLINK("https://www.amazon.com/Castor-Oil-Quart-32-oz/dp/B005KBS8LM/ref=sr_1_7?keywords=Castor+Seal&amp;qid=1695565707&amp;sr=8-7", "https://www.amazon.com/Castor-Oil-Quart-32-oz/dp/B005KBS8LM/ref=sr_1_7?keywords=Castor+Seal&amp;qid=1695565707&amp;sr=8-7")</f>
        <v/>
      </c>
      <c r="F1056" t="inlineStr">
        <is>
          <t>B005KBS8LM</t>
        </is>
      </c>
      <c r="G1056">
        <f>_xlfn.IMAGE("https://camerareadycosmetics.com/cdn/shop/products/castor_seal_50x.jpg?v=1506754856")</f>
        <v/>
      </c>
      <c r="H1056">
        <f>_xlfn.IMAGE("https://m.media-amazon.com/images/I/71DdKtPZKfL._AC_UL320_.jpg")</f>
        <v/>
      </c>
      <c r="K1056" t="inlineStr">
        <is>
          <t>4.5</t>
        </is>
      </c>
      <c r="L1056" t="n">
        <v>27.92</v>
      </c>
      <c r="M1056" s="1" t="inlineStr">
        <is>
          <t>520.44%</t>
        </is>
      </c>
      <c r="N1056" t="n">
        <v>4.8</v>
      </c>
      <c r="O1056" t="n">
        <v>369</v>
      </c>
      <c r="Q1056" t="inlineStr">
        <is>
          <t>InStock</t>
        </is>
      </c>
      <c r="R1056" t="inlineStr">
        <is>
          <t>undefined</t>
        </is>
      </c>
      <c r="S1056" t="inlineStr">
        <is>
          <t>10813948170</t>
        </is>
      </c>
    </row>
    <row r="1057" ht="75" customHeight="1">
      <c r="A1057" s="2">
        <f>HYPERLINK("https://camerareadycosmetics.com/products/graftobian-castor-seal", "https://camerareadycosmetics.com/products/graftobian-castor-seal")</f>
        <v/>
      </c>
      <c r="B1057" s="2">
        <f>HYPERLINK("https://camerareadycosmetics.com/products/graftobian-castor-seal", "https://camerareadycosmetics.com/products/graftobian-castor-seal")</f>
        <v/>
      </c>
      <c r="C1057" t="inlineStr">
        <is>
          <t>Castor Seal</t>
        </is>
      </c>
      <c r="D1057" t="inlineStr">
        <is>
          <t>Castor Oil USP. 32oz 1 Quart Jug. Safety Sealed Container. Soap Making</t>
        </is>
      </c>
      <c r="E1057" s="2">
        <f>HYPERLINK("https://www.amazon.com/Castor-safety-sealed-container-Soap/dp/B01HLDZJB8/ref=sr_1_10?keywords=Castor+Seal&amp;qid=1695565707&amp;sr=8-10", "https://www.amazon.com/Castor-safety-sealed-container-Soap/dp/B01HLDZJB8/ref=sr_1_10?keywords=Castor+Seal&amp;qid=1695565707&amp;sr=8-10")</f>
        <v/>
      </c>
      <c r="F1057" t="inlineStr">
        <is>
          <t>B01HLDZJB8</t>
        </is>
      </c>
      <c r="G1057">
        <f>_xlfn.IMAGE("https://camerareadycosmetics.com/cdn/shop/products/castor_seal_50x.jpg?v=1506754856")</f>
        <v/>
      </c>
      <c r="H1057">
        <f>_xlfn.IMAGE("https://m.media-amazon.com/images/I/41Q-MVvOpxL._AC_UL320_.jpg")</f>
        <v/>
      </c>
      <c r="K1057" t="inlineStr">
        <is>
          <t>4.5</t>
        </is>
      </c>
      <c r="L1057" t="n">
        <v>17.5</v>
      </c>
      <c r="M1057" s="1" t="inlineStr">
        <is>
          <t>288.89%</t>
        </is>
      </c>
      <c r="N1057" t="n">
        <v>4.5</v>
      </c>
      <c r="O1057" t="n">
        <v>82</v>
      </c>
      <c r="Q1057" t="inlineStr">
        <is>
          <t>InStock</t>
        </is>
      </c>
      <c r="R1057" t="inlineStr">
        <is>
          <t>undefined</t>
        </is>
      </c>
      <c r="S1057" t="inlineStr">
        <is>
          <t>10813948170</t>
        </is>
      </c>
    </row>
    <row r="1058" ht="75" customHeight="1">
      <c r="A1058" s="2">
        <f>HYPERLINK("https://camerareadycosmetics.com/products/graftobian-castor-seal", "https://camerareadycosmetics.com/products/graftobian-castor-seal")</f>
        <v/>
      </c>
      <c r="B1058" s="2">
        <f>HYPERLINK("https://camerareadycosmetics.com/products/graftobian-castor-seal", "https://camerareadycosmetics.com/products/graftobian-castor-seal")</f>
        <v/>
      </c>
      <c r="C1058" t="inlineStr">
        <is>
          <t>Castor Seal</t>
        </is>
      </c>
      <c r="D1058" t="inlineStr">
        <is>
          <t>Castor oil, Turkey Red, 16 oz safety sealed container</t>
        </is>
      </c>
      <c r="E1058" s="2">
        <f>HYPERLINK("https://www.amazon.com/Castor-Turkey-safety-sealed-container/dp/B01FGRFIQW/ref=sr_1_8?keywords=Castor+Seal&amp;qid=1695565707&amp;sr=8-8", "https://www.amazon.com/Castor-Turkey-safety-sealed-container/dp/B01FGRFIQW/ref=sr_1_8?keywords=Castor+Seal&amp;qid=1695565707&amp;sr=8-8")</f>
        <v/>
      </c>
      <c r="F1058" t="inlineStr">
        <is>
          <t>B01FGRFIQW</t>
        </is>
      </c>
      <c r="G1058">
        <f>_xlfn.IMAGE("https://camerareadycosmetics.com/cdn/shop/products/castor_seal_50x.jpg?v=1506754856")</f>
        <v/>
      </c>
      <c r="H1058">
        <f>_xlfn.IMAGE("https://m.media-amazon.com/images/I/518N5q9ZfCL._AC_UL320_.jpg")</f>
        <v/>
      </c>
      <c r="K1058" t="inlineStr">
        <is>
          <t>4.5</t>
        </is>
      </c>
      <c r="L1058" t="n">
        <v>14.95</v>
      </c>
      <c r="M1058" s="1" t="inlineStr">
        <is>
          <t>232.22%</t>
        </is>
      </c>
      <c r="N1058" t="n">
        <v>4.4</v>
      </c>
      <c r="O1058" t="n">
        <v>18</v>
      </c>
      <c r="Q1058" t="inlineStr">
        <is>
          <t>InStock</t>
        </is>
      </c>
      <c r="R1058" t="inlineStr">
        <is>
          <t>undefined</t>
        </is>
      </c>
      <c r="S1058" t="inlineStr">
        <is>
          <t>10813948170</t>
        </is>
      </c>
    </row>
    <row r="1059" ht="75" customHeight="1">
      <c r="A1059" s="2">
        <f>HYPERLINK("https://camerareadycosmetics.com/products/graftobian-castor-seal", "https://camerareadycosmetics.com/products/graftobian-castor-seal")</f>
        <v/>
      </c>
      <c r="B1059" s="2">
        <f>HYPERLINK("https://camerareadycosmetics.com/products/graftobian-castor-seal", "https://camerareadycosmetics.com/products/graftobian-castor-seal")</f>
        <v/>
      </c>
      <c r="C1059" t="inlineStr">
        <is>
          <t>Castor Seal</t>
        </is>
      </c>
      <c r="D1059" t="inlineStr">
        <is>
          <t>MEICOLY 5 Pcs Scars Wax SFX Special Effects Makeup Kit,Halloween Fake Blood Gel,Fake Wound Modeling Wax(1.67Oz) with Spatula,Stipple Sponge,Scab Coagulated Blood Gel(1.06Oz),5ml Castor Sealer,01</t>
        </is>
      </c>
      <c r="E1059" s="2">
        <f>HYPERLINK("https://www.amazon.com/MEICOLY-Special-Halloween-Modeling-Coagulated/dp/B09B6C5T7N/ref=sr_1_4?keywords=Castor+Seal&amp;qid=1695565707&amp;sr=8-4", "https://www.amazon.com/MEICOLY-Special-Halloween-Modeling-Coagulated/dp/B09B6C5T7N/ref=sr_1_4?keywords=Castor+Seal&amp;qid=1695565707&amp;sr=8-4")</f>
        <v/>
      </c>
      <c r="F1059" t="inlineStr">
        <is>
          <t>B09B6C5T7N</t>
        </is>
      </c>
      <c r="G1059">
        <f>_xlfn.IMAGE("https://camerareadycosmetics.com/cdn/shop/products/castor_seal_50x.jpg?v=1506754856")</f>
        <v/>
      </c>
      <c r="H1059">
        <f>_xlfn.IMAGE("https://m.media-amazon.com/images/I/61mHvcsDFWL._AC_UL320_.jpg")</f>
        <v/>
      </c>
      <c r="K1059" t="inlineStr">
        <is>
          <t>4.5</t>
        </is>
      </c>
      <c r="L1059" t="n">
        <v>11.99</v>
      </c>
      <c r="M1059" s="1" t="inlineStr">
        <is>
          <t>166.44%</t>
        </is>
      </c>
      <c r="N1059" t="n">
        <v>4.3</v>
      </c>
      <c r="O1059" t="n">
        <v>1866</v>
      </c>
      <c r="Q1059" t="inlineStr">
        <is>
          <t>InStock</t>
        </is>
      </c>
      <c r="R1059" t="inlineStr">
        <is>
          <t>undefined</t>
        </is>
      </c>
      <c r="S1059" t="inlineStr">
        <is>
          <t>10813948170</t>
        </is>
      </c>
    </row>
    <row r="1060" ht="75" customHeight="1">
      <c r="A1060" s="2">
        <f>HYPERLINK("https://camerareadycosmetics.com/products/graftobian-castor-seal", "https://camerareadycosmetics.com/products/graftobian-castor-seal")</f>
        <v/>
      </c>
      <c r="B1060" s="2">
        <f>HYPERLINK("https://camerareadycosmetics.com/products/graftobian-castor-seal", "https://camerareadycosmetics.com/products/graftobian-castor-seal")</f>
        <v/>
      </c>
      <c r="C1060" t="inlineStr">
        <is>
          <t>Castor Seal</t>
        </is>
      </c>
      <c r="D1060" t="inlineStr">
        <is>
          <t>Mehron Castor Sealer Makeup 1 OZ / 30 ML</t>
        </is>
      </c>
      <c r="E1060" s="2">
        <f>HYPERLINK("https://www.amazon.com/Mehron-Makeup-Castor-Sealer-Latex/dp/B008J15EFS/ref=sr_1_1?keywords=Castor+Seal&amp;qid=1695565707&amp;sr=8-1", "https://www.amazon.com/Mehron-Makeup-Castor-Sealer-Latex/dp/B008J15EFS/ref=sr_1_1?keywords=Castor+Seal&amp;qid=1695565707&amp;sr=8-1")</f>
        <v/>
      </c>
      <c r="F1060" t="inlineStr">
        <is>
          <t>B008J15EFS</t>
        </is>
      </c>
      <c r="G1060">
        <f>_xlfn.IMAGE("https://camerareadycosmetics.com/cdn/shop/products/castor_seal_50x.jpg?v=1506754856")</f>
        <v/>
      </c>
      <c r="H1060">
        <f>_xlfn.IMAGE("https://m.media-amazon.com/images/I/81OWRD2qxoL._AC_UL320_.jpg")</f>
        <v/>
      </c>
      <c r="K1060" t="inlineStr">
        <is>
          <t>4.5</t>
        </is>
      </c>
      <c r="L1060" t="n">
        <v>9.949999999999999</v>
      </c>
      <c r="M1060" s="1" t="inlineStr">
        <is>
          <t>121.11%</t>
        </is>
      </c>
      <c r="N1060" t="n">
        <v>4.3</v>
      </c>
      <c r="O1060" t="n">
        <v>64</v>
      </c>
      <c r="Q1060" t="inlineStr">
        <is>
          <t>InStock</t>
        </is>
      </c>
      <c r="R1060" t="inlineStr">
        <is>
          <t>undefined</t>
        </is>
      </c>
      <c r="S1060" t="inlineStr">
        <is>
          <t>10813948170</t>
        </is>
      </c>
    </row>
    <row r="1061" ht="75" customHeight="1">
      <c r="A1061" s="2">
        <f>HYPERLINK("https://camerareadycosmetics.com/products/graftobian-castor-seal", "https://camerareadycosmetics.com/products/graftobian-castor-seal")</f>
        <v/>
      </c>
      <c r="B1061" s="2">
        <f>HYPERLINK("https://camerareadycosmetics.com/products/graftobian-castor-seal", "https://camerareadycosmetics.com/products/graftobian-castor-seal")</f>
        <v/>
      </c>
      <c r="C1061" t="inlineStr">
        <is>
          <t>Castor Seal</t>
        </is>
      </c>
      <c r="D1061" t="inlineStr">
        <is>
          <t>All Natural Jamaican Black Castor Oil Light Blend 4oz |Lightweight oil Seals Moisture &amp; Controls Frizz | Daily Hair Maintenance | Skin Conditioner | Foot &amp; Body Massage l Plant baseed natural oils</t>
        </is>
      </c>
      <c r="E1061" s="2">
        <f>HYPERLINK("https://www.amazon.com/Tropic-Isle-Living-Jamaican-Castor/dp/B09881DHRT/ref=sr_1_6?keywords=Castor+Seal&amp;qid=1695565707&amp;sr=8-6", "https://www.amazon.com/Tropic-Isle-Living-Jamaican-Castor/dp/B09881DHRT/ref=sr_1_6?keywords=Castor+Seal&amp;qid=1695565707&amp;sr=8-6")</f>
        <v/>
      </c>
      <c r="F1061" t="inlineStr">
        <is>
          <t>B09881DHRT</t>
        </is>
      </c>
      <c r="G1061">
        <f>_xlfn.IMAGE("https://camerareadycosmetics.com/cdn/shop/products/castor_seal_50x.jpg?v=1506754856")</f>
        <v/>
      </c>
      <c r="H1061">
        <f>_xlfn.IMAGE("https://m.media-amazon.com/images/I/61mIzOlbaQL._AC_UL320_.jpg")</f>
        <v/>
      </c>
      <c r="K1061" t="inlineStr">
        <is>
          <t>4.5</t>
        </is>
      </c>
      <c r="L1061" t="n">
        <v>9.56</v>
      </c>
      <c r="M1061" s="1" t="inlineStr">
        <is>
          <t>112.44%</t>
        </is>
      </c>
      <c r="N1061" t="n">
        <v>4.1</v>
      </c>
      <c r="O1061" t="n">
        <v>29</v>
      </c>
      <c r="Q1061" t="inlineStr">
        <is>
          <t>InStock</t>
        </is>
      </c>
      <c r="R1061" t="inlineStr">
        <is>
          <t>undefined</t>
        </is>
      </c>
      <c r="S1061" t="inlineStr">
        <is>
          <t>10813948170</t>
        </is>
      </c>
    </row>
    <row r="1062" ht="75" customHeight="1">
      <c r="A1062" s="2">
        <f>HYPERLINK("https://camerareadycosmetics.com/products/graftobian-castor-seal", "https://camerareadycosmetics.com/products/graftobian-castor-seal")</f>
        <v/>
      </c>
      <c r="B1062" s="2">
        <f>HYPERLINK("https://camerareadycosmetics.com/products/graftobian-castor-seal", "https://camerareadycosmetics.com/products/graftobian-castor-seal")</f>
        <v/>
      </c>
      <c r="C1062" t="inlineStr">
        <is>
          <t>Castor Seal</t>
        </is>
      </c>
      <c r="D1062" t="inlineStr">
        <is>
          <t>Castor Seal - 1 oz. Bottle</t>
        </is>
      </c>
      <c r="E1062" s="2">
        <f>HYPERLINK("https://www.amazon.com/Castor-Seal-1-oz-Bottle/dp/B00539RIA8/ref=sr_1_2?keywords=Castor+Seal&amp;qid=1695565707&amp;sr=8-2", "https://www.amazon.com/Castor-Seal-1-oz-Bottle/dp/B00539RIA8/ref=sr_1_2?keywords=Castor+Seal&amp;qid=1695565707&amp;sr=8-2")</f>
        <v/>
      </c>
      <c r="F1062" t="inlineStr">
        <is>
          <t>B00539RIA8</t>
        </is>
      </c>
      <c r="G1062">
        <f>_xlfn.IMAGE("https://camerareadycosmetics.com/cdn/shop/products/castor_seal_50x.jpg?v=1506754856")</f>
        <v/>
      </c>
      <c r="H1062">
        <f>_xlfn.IMAGE("https://m.media-amazon.com/images/I/41WpkbkHaZL._AC_UL320_.jpg")</f>
        <v/>
      </c>
      <c r="K1062" t="inlineStr">
        <is>
          <t>4.5</t>
        </is>
      </c>
      <c r="L1062" t="n">
        <v>7.95</v>
      </c>
      <c r="M1062" s="1" t="inlineStr">
        <is>
          <t>76.67%</t>
        </is>
      </c>
      <c r="N1062" t="n">
        <v>3.4</v>
      </c>
      <c r="O1062" t="n">
        <v>29</v>
      </c>
      <c r="Q1062" t="inlineStr">
        <is>
          <t>InStock</t>
        </is>
      </c>
      <c r="R1062" t="inlineStr">
        <is>
          <t>undefined</t>
        </is>
      </c>
      <c r="S1062" t="inlineStr">
        <is>
          <t>10813948170</t>
        </is>
      </c>
    </row>
    <row r="1063" ht="75" customHeight="1">
      <c r="A1063" s="2">
        <f>HYPERLINK("https://camerareadycosmetics.com/products/graftobian-castor-seal", "https://camerareadycosmetics.com/products/graftobian-castor-seal")</f>
        <v/>
      </c>
      <c r="B1063" s="2">
        <f>HYPERLINK("https://camerareadycosmetics.com/products/graftobian-castor-seal", "https://camerareadycosmetics.com/products/graftobian-castor-seal")</f>
        <v/>
      </c>
      <c r="C1063" t="inlineStr">
        <is>
          <t>Castor Seal</t>
        </is>
      </c>
      <c r="D1063" t="inlineStr">
        <is>
          <t>African Pride Black Castor Miracle Hair &amp; Scalp Sealing Oil - Locks in Moisture &amp; Soothes, Contains Black Castor/Tea Tree/Soybean Oil, 6 oz</t>
        </is>
      </c>
      <c r="E1063" s="2">
        <f>HYPERLINK("https://www.amazon.com/African-Pride-Castor-Miracle-Sealing/dp/B07N158T2H/ref=sr_1_5?keywords=Castor+Seal&amp;qid=1695565707&amp;sr=8-5", "https://www.amazon.com/African-Pride-Castor-Miracle-Sealing/dp/B07N158T2H/ref=sr_1_5?keywords=Castor+Seal&amp;qid=1695565707&amp;sr=8-5")</f>
        <v/>
      </c>
      <c r="F1063" t="inlineStr">
        <is>
          <t>B07N158T2H</t>
        </is>
      </c>
      <c r="G1063">
        <f>_xlfn.IMAGE("https://camerareadycosmetics.com/cdn/shop/products/castor_seal_50x.jpg?v=1506754856")</f>
        <v/>
      </c>
      <c r="H1063">
        <f>_xlfn.IMAGE("https://m.media-amazon.com/images/I/61BbIKUQKTL._AC_UL320_.jpg")</f>
        <v/>
      </c>
      <c r="K1063" t="inlineStr">
        <is>
          <t>4.5</t>
        </is>
      </c>
      <c r="L1063" t="n">
        <v>7.87</v>
      </c>
      <c r="M1063" s="1" t="inlineStr">
        <is>
          <t>74.89%</t>
        </is>
      </c>
      <c r="N1063" t="n">
        <v>4.6</v>
      </c>
      <c r="O1063" t="n">
        <v>2619</v>
      </c>
      <c r="Q1063" t="inlineStr">
        <is>
          <t>InStock</t>
        </is>
      </c>
      <c r="R1063" t="inlineStr">
        <is>
          <t>undefined</t>
        </is>
      </c>
      <c r="S1063" t="inlineStr">
        <is>
          <t>10813948170</t>
        </is>
      </c>
    </row>
    <row r="1064" ht="75" customHeight="1">
      <c r="A1064" s="2">
        <f>HYPERLINK("https://camerareadycosmetics.com/products/graftobian-eye-liner-pro-pencils", "https://camerareadycosmetics.com/products/graftobian-eye-liner-pro-pencils")</f>
        <v/>
      </c>
      <c r="B1064" s="2">
        <f>HYPERLINK("https://camerareadycosmetics.com/products/graftobian-eye-liner-pro-pencils", "https://camerareadycosmetics.com/products/graftobian-eye-liner-pro-pencils")</f>
        <v/>
      </c>
      <c r="C1064" t="inlineStr">
        <is>
          <t>Eye Liner Pro Pencils</t>
        </is>
      </c>
      <c r="D1064" t="inlineStr">
        <is>
          <t>L'Oreal Infallible Pro-Last Waterproof Pencil Eyeliner, Nude 0.042 Ounce (1 Count)</t>
        </is>
      </c>
      <c r="E1064" s="2">
        <f>HYPERLINK("https://www.amazon.com/Paris-Infallible-Pro-Last-Waterproof-Eyeliner/dp/B074PVB8L6/ref=sr_1_3?keywords=Eye+Liner+Pro+Pencils&amp;qid=1695565536&amp;sr=8-3", "https://www.amazon.com/Paris-Infallible-Pro-Last-Waterproof-Eyeliner/dp/B074PVB8L6/ref=sr_1_3?keywords=Eye+Liner+Pro+Pencils&amp;qid=1695565536&amp;sr=8-3")</f>
        <v/>
      </c>
      <c r="F1064" t="inlineStr">
        <is>
          <t>B074PVB8L6</t>
        </is>
      </c>
      <c r="G1064">
        <f>_xlfn.IMAGE("https://camerareadycosmetics.com/cdn/shop/products/Graftobian_Eye_Liner_Pro_Pencils_hand_swatches__22698.1409430366.600.600_50x.jpeg?v=1689627476")</f>
        <v/>
      </c>
      <c r="H1064">
        <f>_xlfn.IMAGE("https://m.media-amazon.com/images/I/41uXNsJUL7L._AC_UL320_.jpg")</f>
        <v/>
      </c>
      <c r="K1064" t="inlineStr">
        <is>
          <t>10.0</t>
        </is>
      </c>
      <c r="L1064" t="n">
        <v>22</v>
      </c>
      <c r="M1064" s="1" t="inlineStr">
        <is>
          <t>120.00%</t>
        </is>
      </c>
      <c r="N1064" t="n">
        <v>4.2</v>
      </c>
      <c r="O1064" t="n">
        <v>1620</v>
      </c>
      <c r="Q1064" t="inlineStr">
        <is>
          <t>InStock</t>
        </is>
      </c>
      <c r="R1064" t="inlineStr">
        <is>
          <t>undefined</t>
        </is>
      </c>
      <c r="S1064" t="inlineStr">
        <is>
          <t>7034908295</t>
        </is>
      </c>
    </row>
    <row r="1065" ht="75" customHeight="1">
      <c r="A1065" s="2">
        <f>HYPERLINK("https://camerareadycosmetics.com/products/graftobian-eye-liner-pro-pencils", "https://camerareadycosmetics.com/products/graftobian-eye-liner-pro-pencils")</f>
        <v/>
      </c>
      <c r="B1065" s="2">
        <f>HYPERLINK("https://camerareadycosmetics.com/products/graftobian-eye-liner-pro-pencils", "https://camerareadycosmetics.com/products/graftobian-eye-liner-pro-pencils")</f>
        <v/>
      </c>
      <c r="C1065" t="inlineStr">
        <is>
          <t>Eye Liner Pro Pencils</t>
        </is>
      </c>
      <c r="D1065" t="inlineStr">
        <is>
          <t>Front Line PRO Waterproof Eyeliner Pencil</t>
        </is>
      </c>
      <c r="E1065" s="2">
        <f>HYPERLINK("https://www.amazon.com/LORAC-Front-Pencil-Brown-0-012/dp/B00ZZ8XN60/ref=sr_1_2?keywords=Eye+Liner+Pro+Pencils&amp;qid=1695565536&amp;sr=8-2", "https://www.amazon.com/LORAC-Front-Pencil-Brown-0-012/dp/B00ZZ8XN60/ref=sr_1_2?keywords=Eye+Liner+Pro+Pencils&amp;qid=1695565536&amp;sr=8-2")</f>
        <v/>
      </c>
      <c r="F1065" t="inlineStr">
        <is>
          <t>B00ZZ8XN60</t>
        </is>
      </c>
      <c r="G1065">
        <f>_xlfn.IMAGE("https://camerareadycosmetics.com/cdn/shop/products/Graftobian_Eye_Liner_Pro_Pencils_hand_swatches__22698.1409430366.600.600_50x.jpeg?v=1689627476")</f>
        <v/>
      </c>
      <c r="H1065">
        <f>_xlfn.IMAGE("https://m.media-amazon.com/images/I/61JLr6AhmmL._AC_UL320_.jpg")</f>
        <v/>
      </c>
      <c r="K1065" t="inlineStr">
        <is>
          <t>10.0</t>
        </is>
      </c>
      <c r="L1065" t="n">
        <v>20</v>
      </c>
      <c r="M1065" s="1" t="inlineStr">
        <is>
          <t>100.00%</t>
        </is>
      </c>
      <c r="N1065" t="n">
        <v>4.5</v>
      </c>
      <c r="O1065" t="n">
        <v>682</v>
      </c>
      <c r="Q1065" t="inlineStr">
        <is>
          <t>InStock</t>
        </is>
      </c>
      <c r="R1065" t="inlineStr">
        <is>
          <t>undefined</t>
        </is>
      </c>
      <c r="S1065" t="inlineStr">
        <is>
          <t>7034908295</t>
        </is>
      </c>
    </row>
    <row r="1066" ht="75" customHeight="1">
      <c r="A1066" s="2">
        <f>HYPERLINK("https://camerareadycosmetics.com/products/graftobian-eye-liner-pro-pencils", "https://camerareadycosmetics.com/products/graftobian-eye-liner-pro-pencils")</f>
        <v/>
      </c>
      <c r="B1066" s="2">
        <f>HYPERLINK("https://camerareadycosmetics.com/products/graftobian-eye-liner-pro-pencils", "https://camerareadycosmetics.com/products/graftobian-eye-liner-pro-pencils")</f>
        <v/>
      </c>
      <c r="C1066" t="inlineStr">
        <is>
          <t>Eye Liner Pro Pencils</t>
        </is>
      </c>
      <c r="D1066" t="inlineStr">
        <is>
          <t>Beauty Velvet Jumbo Eyeliner Pencil - Smokey Eyes in 3 Minutes - Water-Proof, Smudge-Proof, Long-Lasting - Age-Defying Essential Oils - Shameless (Shade: Shimmering Bronze)</t>
        </is>
      </c>
      <c r="E1066" s="2">
        <f>HYPERLINK("https://www.amazon.com/Artisan-Luxe-Water-Resistant-Long-Lasting-Cruelty-Free/dp/B075RHSHMP/ref=sr_1_10?keywords=Eye+Liner+Pro+Pencils&amp;qid=1695565536&amp;sr=8-10", "https://www.amazon.com/Artisan-Luxe-Water-Resistant-Long-Lasting-Cruelty-Free/dp/B075RHSHMP/ref=sr_1_10?keywords=Eye+Liner+Pro+Pencils&amp;qid=1695565536&amp;sr=8-10")</f>
        <v/>
      </c>
      <c r="F1066" t="inlineStr">
        <is>
          <t>B075RHSHMP</t>
        </is>
      </c>
      <c r="G1066">
        <f>_xlfn.IMAGE("https://camerareadycosmetics.com/cdn/shop/products/Graftobian_Eye_Liner_Pro_Pencils_hand_swatches__22698.1409430366.600.600_50x.jpeg?v=1689627476")</f>
        <v/>
      </c>
      <c r="H1066">
        <f>_xlfn.IMAGE("https://m.media-amazon.com/images/I/81ECxOFuD-L._AC_UL320_.jpg")</f>
        <v/>
      </c>
      <c r="K1066" t="inlineStr">
        <is>
          <t>10.0</t>
        </is>
      </c>
      <c r="L1066" t="n">
        <v>19.99</v>
      </c>
      <c r="M1066" s="1" t="inlineStr">
        <is>
          <t>99.90%</t>
        </is>
      </c>
      <c r="N1066" t="n">
        <v>4.1</v>
      </c>
      <c r="O1066" t="n">
        <v>2822</v>
      </c>
      <c r="Q1066" t="inlineStr">
        <is>
          <t>InStock</t>
        </is>
      </c>
      <c r="R1066" t="inlineStr">
        <is>
          <t>undefined</t>
        </is>
      </c>
      <c r="S1066" t="inlineStr">
        <is>
          <t>7034908295</t>
        </is>
      </c>
    </row>
    <row r="1067" ht="75" customHeight="1">
      <c r="A1067" s="2">
        <f>HYPERLINK("https://camerareadycosmetics.com/products/graftobian-eye-liner-pro-pencils", "https://camerareadycosmetics.com/products/graftobian-eye-liner-pro-pencils")</f>
        <v/>
      </c>
      <c r="B1067" s="2">
        <f>HYPERLINK("https://camerareadycosmetics.com/products/graftobian-eye-liner-pro-pencils", "https://camerareadycosmetics.com/products/graftobian-eye-liner-pro-pencils")</f>
        <v/>
      </c>
      <c r="C1067" t="inlineStr">
        <is>
          <t>Eye Liner Pro Pencils</t>
        </is>
      </c>
      <c r="D1067" t="inlineStr">
        <is>
          <t>L’Oréal Paris Cosmetics Infallible Pro-Last Waterproof Pencil Eyeliner, Black, 0.042 Ounce,1 Count</t>
        </is>
      </c>
      <c r="E1067" s="2">
        <f>HYPERLINK("https://www.amazon.com/Paris-Infallible-Pro-Last-Waterproof-Eyeliner/dp/B074PVGQQB/ref=sr_1_1?keywords=Eye+Liner+Pro+Pencils&amp;qid=1695565536&amp;sr=8-1", "https://www.amazon.com/Paris-Infallible-Pro-Last-Waterproof-Eyeliner/dp/B074PVGQQB/ref=sr_1_1?keywords=Eye+Liner+Pro+Pencils&amp;qid=1695565536&amp;sr=8-1")</f>
        <v/>
      </c>
      <c r="F1067" t="inlineStr">
        <is>
          <t>B074PVGQQB</t>
        </is>
      </c>
      <c r="G1067">
        <f>_xlfn.IMAGE("https://camerareadycosmetics.com/cdn/shop/products/Graftobian_Eye_Liner_Pro_Pencils_hand_swatches__22698.1409430366.600.600_50x.jpeg?v=1689627476")</f>
        <v/>
      </c>
      <c r="H1067">
        <f>_xlfn.IMAGE("https://m.media-amazon.com/images/I/51UrcEVInmL._AC_UL320_.jpg")</f>
        <v/>
      </c>
      <c r="K1067" t="inlineStr">
        <is>
          <t>10.0</t>
        </is>
      </c>
      <c r="L1067" t="n">
        <v>5.95</v>
      </c>
      <c r="M1067" s="1" t="inlineStr">
        <is>
          <t>-40.50%</t>
        </is>
      </c>
      <c r="N1067" t="n">
        <v>4.3</v>
      </c>
      <c r="O1067" t="n">
        <v>12204</v>
      </c>
      <c r="Q1067" t="inlineStr">
        <is>
          <t>InStock</t>
        </is>
      </c>
      <c r="R1067" t="inlineStr">
        <is>
          <t>undefined</t>
        </is>
      </c>
      <c r="S1067" t="inlineStr">
        <is>
          <t>7034908295</t>
        </is>
      </c>
    </row>
    <row r="1068" ht="75" customHeight="1">
      <c r="A1068" s="2">
        <f>HYPERLINK("https://camerareadycosmetics.com/products/graftobian-eye-liner-pro-pencils", "https://camerareadycosmetics.com/products/graftobian-eye-liner-pro-pencils")</f>
        <v/>
      </c>
      <c r="B1068" s="2">
        <f>HYPERLINK("https://camerareadycosmetics.com/products/graftobian-eye-liner-pro-pencils", "https://camerareadycosmetics.com/products/graftobian-eye-liner-pro-pencils")</f>
        <v/>
      </c>
      <c r="C1068" t="inlineStr">
        <is>
          <t>Eye Liner Pro Pencils</t>
        </is>
      </c>
      <c r="D1068" t="inlineStr">
        <is>
          <t>kiss new york Pro Intense Gel Eyeliner with Built-in Sharpener, Waterproof, Smudge-proof, Long Lasting Gel Eyeliner Pencil (Black)</t>
        </is>
      </c>
      <c r="E1068" s="2">
        <f>HYPERLINK("https://www.amazon.com/Intense-Eyeliner-Sharpener-Waterproof-Smudge-proof/dp/B09YDN3T8W/ref=sr_1_4?keywords=Eye+Liner+Pro+Pencils&amp;qid=1695565536&amp;sr=8-4", "https://www.amazon.com/Intense-Eyeliner-Sharpener-Waterproof-Smudge-proof/dp/B09YDN3T8W/ref=sr_1_4?keywords=Eye+Liner+Pro+Pencils&amp;qid=1695565536&amp;sr=8-4")</f>
        <v/>
      </c>
      <c r="F1068" t="inlineStr">
        <is>
          <t>B09YDN3T8W</t>
        </is>
      </c>
      <c r="G1068">
        <f>_xlfn.IMAGE("https://camerareadycosmetics.com/cdn/shop/products/Graftobian_Eye_Liner_Pro_Pencils_hand_swatches__22698.1409430366.600.600_50x.jpeg?v=1689627476")</f>
        <v/>
      </c>
      <c r="H1068">
        <f>_xlfn.IMAGE("https://m.media-amazon.com/images/I/61jK73A-3+L._AC_UL320_.jpg")</f>
        <v/>
      </c>
      <c r="K1068" t="inlineStr">
        <is>
          <t>10.0</t>
        </is>
      </c>
      <c r="L1068" t="n">
        <v>4.19</v>
      </c>
      <c r="M1068" s="1" t="inlineStr">
        <is>
          <t>-58.10%</t>
        </is>
      </c>
      <c r="N1068" t="n">
        <v>4.4</v>
      </c>
      <c r="O1068" t="n">
        <v>186</v>
      </c>
      <c r="Q1068" t="inlineStr">
        <is>
          <t>InStock</t>
        </is>
      </c>
      <c r="R1068" t="inlineStr">
        <is>
          <t>undefined</t>
        </is>
      </c>
      <c r="S1068" t="inlineStr">
        <is>
          <t>7034908295</t>
        </is>
      </c>
    </row>
    <row r="1069" ht="75" customHeight="1">
      <c r="A1069" s="2">
        <f>HYPERLINK("https://camerareadycosmetics.com/products/graftobian-eye-liner-pro-pencils", "https://camerareadycosmetics.com/products/graftobian-eye-liner-pro-pencils")</f>
        <v/>
      </c>
      <c r="B1069" s="2">
        <f>HYPERLINK("https://camerareadycosmetics.com/products/graftobian-eye-liner-pro-pencils", "https://camerareadycosmetics.com/products/graftobian-eye-liner-pro-pencils")</f>
        <v/>
      </c>
      <c r="C1069" t="inlineStr">
        <is>
          <t>Eye Liner Pro Pencils</t>
        </is>
      </c>
      <c r="D1069" t="inlineStr">
        <is>
          <t>kiss new york Pro Intense Gel Eyeliner with Built-in Sharpener, Waterproof, Smudge-proof, Long Lasting Gel Eyeliner Pencil (Black)</t>
        </is>
      </c>
      <c r="E1069" s="2">
        <f>HYPERLINK("https://www.amazon.com/Intense-Eyeliner-Sharpener-Waterproof-Smudge-proof/dp/B09YDN3T8W/ref=sr_1_4?keywords=Eye+Liner+Pro+Pencils&amp;qid=1695565536&amp;sr=8-4", "https://www.amazon.com/Intense-Eyeliner-Sharpener-Waterproof-Smudge-proof/dp/B09YDN3T8W/ref=sr_1_4?keywords=Eye+Liner+Pro+Pencils&amp;qid=1695565536&amp;sr=8-4")</f>
        <v/>
      </c>
      <c r="F1069" t="inlineStr">
        <is>
          <t>B09YDN3T8W</t>
        </is>
      </c>
      <c r="G1069">
        <f>_xlfn.IMAGE("https://camerareadycosmetics.com/cdn/shop/products/Graftobian_Eye_Liner_Pro_Pencils_hand_swatches__22698.1409430366.600.600_50x.jpeg?v=1689627476")</f>
        <v/>
      </c>
      <c r="H1069">
        <f>_xlfn.IMAGE("https://m.media-amazon.com/images/I/61jK73A-3+L._AC_UL320_.jpg")</f>
        <v/>
      </c>
      <c r="K1069" t="inlineStr">
        <is>
          <t>10.0</t>
        </is>
      </c>
      <c r="L1069" t="n">
        <v>4.19</v>
      </c>
      <c r="M1069" s="1" t="inlineStr">
        <is>
          <t>-58.10%</t>
        </is>
      </c>
      <c r="N1069" t="n">
        <v>4.4</v>
      </c>
      <c r="O1069" t="n">
        <v>186</v>
      </c>
      <c r="Q1069" t="inlineStr">
        <is>
          <t>InStock</t>
        </is>
      </c>
      <c r="R1069" t="inlineStr">
        <is>
          <t>undefined</t>
        </is>
      </c>
      <c r="S1069" t="inlineStr">
        <is>
          <t>7034908295</t>
        </is>
      </c>
    </row>
    <row r="1070" ht="75" customHeight="1">
      <c r="A1070" s="2">
        <f>HYPERLINK("https://camerareadycosmetics.com/products/graftobian-glamaire-foundation-airbrush", "https://camerareadycosmetics.com/products/graftobian-glamaire-foundation-airbrush")</f>
        <v/>
      </c>
      <c r="B1070" s="2">
        <f>HYPERLINK("https://camerareadycosmetics.com/products/graftobian-glamaire-foundation-airbrush", "https://camerareadycosmetics.com/products/graftobian-glamaire-foundation-airbrush")</f>
        <v/>
      </c>
      <c r="C1070" t="inlineStr">
        <is>
          <t>GlamAire Foundation Airbrush</t>
        </is>
      </c>
      <c r="D1070" t="inlineStr">
        <is>
          <t>GlamAire Airbrush Makeup by Graftobian - High Definition Airbrush Foundation, Professional Formula for Long-Lasting Wear, For Makeup Artists and Beauty Aficionados, Made in USA, Bombshell (N)</t>
        </is>
      </c>
      <c r="E1070" s="2">
        <f>HYPERLINK("https://www.amazon.com/Graftobian-GlamAire-AirBrush-Makeup-Bombshell/dp/B005M5OC9S/ref=sr_1_1?keywords=GlamAire+Foundation+Airbrush&amp;qid=1695565451&amp;sr=8-1", "https://www.amazon.com/Graftobian-GlamAire-AirBrush-Makeup-Bombshell/dp/B005M5OC9S/ref=sr_1_1?keywords=GlamAire+Foundation+Airbrush&amp;qid=1695565451&amp;sr=8-1")</f>
        <v/>
      </c>
      <c r="F1070" t="inlineStr">
        <is>
          <t>B005M5OC9S</t>
        </is>
      </c>
      <c r="G1070">
        <f>_xlfn.IMAGE("https://camerareadycosmetics.com/cdn/shop/products/graftobian-glamaire-hd-airbrush-corrector-pink_50x.jpg?v=1689626990")</f>
        <v/>
      </c>
      <c r="H1070">
        <f>_xlfn.IMAGE("https://m.media-amazon.com/images/I/31pb7d40wcL._AC_UL320_.jpg")</f>
        <v/>
      </c>
      <c r="K1070" t="inlineStr">
        <is>
          <t>28.0</t>
        </is>
      </c>
      <c r="L1070" t="n">
        <v>26</v>
      </c>
      <c r="M1070" s="1" t="inlineStr">
        <is>
          <t>-7.14%</t>
        </is>
      </c>
      <c r="N1070" t="n">
        <v>3.8</v>
      </c>
      <c r="O1070" t="n">
        <v>82</v>
      </c>
      <c r="Q1070" t="inlineStr">
        <is>
          <t>InStock</t>
        </is>
      </c>
      <c r="R1070" t="inlineStr">
        <is>
          <t>undefined</t>
        </is>
      </c>
      <c r="S1070" t="inlineStr">
        <is>
          <t>7034822087</t>
        </is>
      </c>
    </row>
    <row r="1071" ht="75" customHeight="1">
      <c r="A1071" s="2">
        <f>HYPERLINK("https://camerareadycosmetics.com/products/graftobian-hd-airbrush-sample-packs", "https://camerareadycosmetics.com/products/graftobian-hd-airbrush-sample-packs")</f>
        <v/>
      </c>
      <c r="B1071" s="2">
        <f>HYPERLINK("https://camerareadycosmetics.com/products/graftobian-hd-airbrush-sample-packs", "https://camerareadycosmetics.com/products/graftobian-hd-airbrush-sample-packs")</f>
        <v/>
      </c>
      <c r="C1071" t="inlineStr">
        <is>
          <t>HD Airbrush SAMPLE Packs</t>
        </is>
      </c>
      <c r="D1071" t="inlineStr">
        <is>
          <t>Graftobian HD Sampler Pack - Creme and Airbrush Foundation (Cool #1)</t>
        </is>
      </c>
      <c r="E1071" s="2">
        <f>HYPERLINK("https://www.amazon.com/Graftobian-HD-Sampler-Pack-Foundation/dp/B00GXH3JPC/ref=sr_1_1?keywords=HD+Airbrush+SAMPLE+Packs&amp;qid=1695565562&amp;sr=8-1", "https://www.amazon.com/Graftobian-HD-Sampler-Pack-Foundation/dp/B00GXH3JPC/ref=sr_1_1?keywords=HD+Airbrush+SAMPLE+Packs&amp;qid=1695565562&amp;sr=8-1")</f>
        <v/>
      </c>
      <c r="F1071" t="inlineStr">
        <is>
          <t>B00GXH3JPC</t>
        </is>
      </c>
      <c r="G1071">
        <f>_xlfn.IMAGE("https://camerareadycosmetics.com/cdn/shop/products/Graftobian_HD_Airbrush_Sampler_Packs__42989.1387589539.600.600_50x.jpeg?v=1689626844")</f>
        <v/>
      </c>
      <c r="H1071">
        <f>_xlfn.IMAGE("https://m.media-amazon.com/images/I/81TmAZYl4FL._AC_UL320_.jpg")</f>
        <v/>
      </c>
      <c r="K1071" t="inlineStr">
        <is>
          <t>60.0</t>
        </is>
      </c>
      <c r="L1071" t="n">
        <v>54.99</v>
      </c>
      <c r="M1071" s="1" t="inlineStr">
        <is>
          <t>-8.35%</t>
        </is>
      </c>
      <c r="N1071" t="n">
        <v>4.6</v>
      </c>
      <c r="O1071" t="n">
        <v>9</v>
      </c>
      <c r="Q1071" t="inlineStr">
        <is>
          <t>InStock</t>
        </is>
      </c>
      <c r="R1071" t="inlineStr">
        <is>
          <t>undefined</t>
        </is>
      </c>
      <c r="S1071" t="inlineStr">
        <is>
          <t>7034757767</t>
        </is>
      </c>
    </row>
    <row r="1072" ht="75" customHeight="1">
      <c r="A1072" s="2">
        <f>HYPERLINK("https://camerareadycosmetics.com/products/graftobian-hd-brow-powder-palette-waiting-for-stock", "https://camerareadycosmetics.com/products/graftobian-hd-brow-powder-palette-waiting-for-stock")</f>
        <v/>
      </c>
      <c r="B1072" s="2">
        <f>HYPERLINK("https://camerareadycosmetics.com/products/graftobian-hd-brow-powder-palette-waiting-for-stock", "https://camerareadycosmetics.com/products/graftobian-hd-brow-powder-palette-waiting-for-stock")</f>
        <v/>
      </c>
      <c r="C1072" t="inlineStr">
        <is>
          <t>HD Brow Powder Palette</t>
        </is>
      </c>
      <c r="D1072" t="inlineStr">
        <is>
          <t>Aesthetica Brow Contour Kit 16-Piece Eyebrow Makeup Palette Set 6 Eyebrow Powders, 5 Eyebrow Stencils, Spoolie/Brush Duo, Tweezers, Eye Brow Wax, Highlighter - Unique Gifts For Women For Her Birthday</t>
        </is>
      </c>
      <c r="E1072" s="2">
        <f>HYPERLINK("https://www.amazon.com/Aesthetica-16-Piece-Stencils-Tweezers-Highlighter/dp/B018UPHLU8/ref=sr_1_3?keywords=HD+Brow+Powder+Palette&amp;qid=1695565756&amp;sr=8-3", "https://www.amazon.com/Aesthetica-16-Piece-Stencils-Tweezers-Highlighter/dp/B018UPHLU8/ref=sr_1_3?keywords=HD+Brow+Powder+Palette&amp;qid=1695565756&amp;sr=8-3")</f>
        <v/>
      </c>
      <c r="F1072" t="inlineStr">
        <is>
          <t>B018UPHLU8</t>
        </is>
      </c>
      <c r="G1072">
        <f>_xlfn.IMAGE("https://camerareadycosmetics.com/cdn/shop/products/graftobian_hd_brow_powder_palette_2__68663.1424394327.600.600_50x.jpeg?v=1689647004")</f>
        <v/>
      </c>
      <c r="H1072">
        <f>_xlfn.IMAGE("https://m.media-amazon.com/images/I/61AC+EndktL._AC_UL320_.jpg")</f>
        <v/>
      </c>
      <c r="K1072" t="inlineStr">
        <is>
          <t>80.0</t>
        </is>
      </c>
      <c r="L1072" t="n">
        <v>29.95</v>
      </c>
      <c r="M1072" s="1" t="inlineStr">
        <is>
          <t>-62.56%</t>
        </is>
      </c>
      <c r="N1072" t="n">
        <v>4.3</v>
      </c>
      <c r="O1072" t="n">
        <v>7616</v>
      </c>
      <c r="Q1072" t="inlineStr">
        <is>
          <t>InStock</t>
        </is>
      </c>
      <c r="R1072" t="inlineStr">
        <is>
          <t>undefined</t>
        </is>
      </c>
      <c r="S1072" t="inlineStr">
        <is>
          <t>7043593927</t>
        </is>
      </c>
    </row>
    <row r="1073" ht="75" customHeight="1">
      <c r="A1073" s="2">
        <f>HYPERLINK("https://camerareadycosmetics.com/products/graftobian-hd-brow-powder-palette-waiting-for-stock", "https://camerareadycosmetics.com/products/graftobian-hd-brow-powder-palette-waiting-for-stock")</f>
        <v/>
      </c>
      <c r="B1073" s="2">
        <f>HYPERLINK("https://camerareadycosmetics.com/products/graftobian-hd-brow-powder-palette-waiting-for-stock", "https://camerareadycosmetics.com/products/graftobian-hd-brow-powder-palette-waiting-for-stock")</f>
        <v/>
      </c>
      <c r="C1073" t="inlineStr">
        <is>
          <t>HD Brow Powder Palette</t>
        </is>
      </c>
      <c r="D1073" t="inlineStr">
        <is>
          <t>Mehron Pro Brow Palette - Pressed Powders and Pomade</t>
        </is>
      </c>
      <c r="E1073" s="2">
        <f>HYPERLINK("https://www.amazon.com/Mehron-Pro-Brow-Palette-Pressed/dp/B081HFD1GN/ref=sr_1_7?keywords=HD+Brow+Powder+Palette&amp;qid=1695565756&amp;sr=8-7", "https://www.amazon.com/Mehron-Pro-Brow-Palette-Pressed/dp/B081HFD1GN/ref=sr_1_7?keywords=HD+Brow+Powder+Palette&amp;qid=1695565756&amp;sr=8-7")</f>
        <v/>
      </c>
      <c r="F1073" t="inlineStr">
        <is>
          <t>B081HFD1GN</t>
        </is>
      </c>
      <c r="G1073">
        <f>_xlfn.IMAGE("https://camerareadycosmetics.com/cdn/shop/products/graftobian_hd_brow_powder_palette_2__68663.1424394327.600.600_50x.jpeg?v=1689647004")</f>
        <v/>
      </c>
      <c r="H1073">
        <f>_xlfn.IMAGE("https://m.media-amazon.com/images/I/91GqL2oDt4L._AC_UL320_.jpg")</f>
        <v/>
      </c>
      <c r="K1073" t="inlineStr">
        <is>
          <t>80.0</t>
        </is>
      </c>
      <c r="L1073" t="n">
        <v>22.95</v>
      </c>
      <c r="M1073" s="1" t="inlineStr">
        <is>
          <t>-71.31%</t>
        </is>
      </c>
      <c r="N1073" t="n">
        <v>4.2</v>
      </c>
      <c r="O1073" t="n">
        <v>106</v>
      </c>
      <c r="Q1073" t="inlineStr">
        <is>
          <t>InStock</t>
        </is>
      </c>
      <c r="R1073" t="inlineStr">
        <is>
          <t>undefined</t>
        </is>
      </c>
      <c r="S1073" t="inlineStr">
        <is>
          <t>7043593927</t>
        </is>
      </c>
    </row>
    <row r="1074" ht="75" customHeight="1">
      <c r="A1074" s="2">
        <f>HYPERLINK("https://camerareadycosmetics.com/products/graftobian-hd-brow-powder-palette-waiting-for-stock", "https://camerareadycosmetics.com/products/graftobian-hd-brow-powder-palette-waiting-for-stock")</f>
        <v/>
      </c>
      <c r="B1074" s="2">
        <f>HYPERLINK("https://camerareadycosmetics.com/products/graftobian-hd-brow-powder-palette-waiting-for-stock", "https://camerareadycosmetics.com/products/graftobian-hd-brow-powder-palette-waiting-for-stock")</f>
        <v/>
      </c>
      <c r="C1074" t="inlineStr">
        <is>
          <t>HD Brow Powder Palette</t>
        </is>
      </c>
      <c r="D1074" t="inlineStr">
        <is>
          <t>Eyebrow Powder Kit-3 colors Exoticism Brow Tinted Powder Palette, Longlasting Waterproof Brow Definer Powder Eyebrow Filler, Fill &amp; Sculpt Brow for Women Eye Makeup, With Brow Tool- Light Brown Series</t>
        </is>
      </c>
      <c r="E1074" s="2">
        <f>HYPERLINK("https://www.amazon.com/Eyebrow-Exoticism-Palette-Longlasting-Waterproof/dp/B0CF2LNLC1/ref=sr_1_2?keywords=HD+Brow+Powder+Palette&amp;qid=1695565756&amp;sr=8-2", "https://www.amazon.com/Eyebrow-Exoticism-Palette-Longlasting-Waterproof/dp/B0CF2LNLC1/ref=sr_1_2?keywords=HD+Brow+Powder+Palette&amp;qid=1695565756&amp;sr=8-2")</f>
        <v/>
      </c>
      <c r="F1074" t="inlineStr">
        <is>
          <t>B0CF2LNLC1</t>
        </is>
      </c>
      <c r="G1074">
        <f>_xlfn.IMAGE("https://camerareadycosmetics.com/cdn/shop/products/graftobian_hd_brow_powder_palette_2__68663.1424394327.600.600_50x.jpeg?v=1689647004")</f>
        <v/>
      </c>
      <c r="H1074">
        <f>_xlfn.IMAGE("https://m.media-amazon.com/images/I/81SBxxjpBkL._AC_UL320_.jpg")</f>
        <v/>
      </c>
      <c r="K1074" t="inlineStr">
        <is>
          <t>80.0</t>
        </is>
      </c>
      <c r="L1074" t="n">
        <v>9.99</v>
      </c>
      <c r="M1074" s="1" t="inlineStr">
        <is>
          <t>-87.51%</t>
        </is>
      </c>
      <c r="N1074" t="n">
        <v>4.5</v>
      </c>
      <c r="O1074" t="n">
        <v>34</v>
      </c>
      <c r="Q1074" t="inlineStr">
        <is>
          <t>InStock</t>
        </is>
      </c>
      <c r="R1074" t="inlineStr">
        <is>
          <t>undefined</t>
        </is>
      </c>
      <c r="S1074" t="inlineStr">
        <is>
          <t>7043593927</t>
        </is>
      </c>
    </row>
    <row r="1075" ht="75" customHeight="1">
      <c r="A1075" s="2">
        <f>HYPERLINK("https://camerareadycosmetics.com/products/graftobian-hd-brow-powder-palette-waiting-for-stock", "https://camerareadycosmetics.com/products/graftobian-hd-brow-powder-palette-waiting-for-stock")</f>
        <v/>
      </c>
      <c r="B1075" s="2">
        <f>HYPERLINK("https://camerareadycosmetics.com/products/graftobian-hd-brow-powder-palette-waiting-for-stock", "https://camerareadycosmetics.com/products/graftobian-hd-brow-powder-palette-waiting-for-stock")</f>
        <v/>
      </c>
      <c r="C1075" t="inlineStr">
        <is>
          <t>HD Brow Powder Palette</t>
        </is>
      </c>
      <c r="D1075" t="inlineStr">
        <is>
          <t>ELLESY Eyebrow Powder Beautify Eyebrow Palette Long-Lasting Waterproof Makeup Eyebrow Cake Natural Powder Is Soft For Daily Eyebrow Makeup With A Small Mirror(Dark Brown)</t>
        </is>
      </c>
      <c r="E1075" s="2">
        <f>HYPERLINK("https://www.amazon.com/ELLESY-Eyebrow-pigmented-Waterproof-Longwearing/dp/B08MDPKY1G/ref=sr_1_9?keywords=HD+Brow+Powder+Palette&amp;qid=1695565756&amp;sr=8-9", "https://www.amazon.com/ELLESY-Eyebrow-pigmented-Waterproof-Longwearing/dp/B08MDPKY1G/ref=sr_1_9?keywords=HD+Brow+Powder+Palette&amp;qid=1695565756&amp;sr=8-9")</f>
        <v/>
      </c>
      <c r="F1075" t="inlineStr">
        <is>
          <t>B08MDPKY1G</t>
        </is>
      </c>
      <c r="G1075">
        <f>_xlfn.IMAGE("https://camerareadycosmetics.com/cdn/shop/products/graftobian_hd_brow_powder_palette_2__68663.1424394327.600.600_50x.jpeg?v=1689647004")</f>
        <v/>
      </c>
      <c r="H1075">
        <f>_xlfn.IMAGE("https://m.media-amazon.com/images/I/61t3I3fc3gL._AC_UL320_.jpg")</f>
        <v/>
      </c>
      <c r="K1075" t="inlineStr">
        <is>
          <t>80.0</t>
        </is>
      </c>
      <c r="L1075" t="n">
        <v>8.99</v>
      </c>
      <c r="M1075" s="1" t="inlineStr">
        <is>
          <t>-88.76%</t>
        </is>
      </c>
      <c r="N1075" t="n">
        <v>4.4</v>
      </c>
      <c r="O1075" t="n">
        <v>496</v>
      </c>
      <c r="Q1075" t="inlineStr">
        <is>
          <t>InStock</t>
        </is>
      </c>
      <c r="R1075" t="inlineStr">
        <is>
          <t>undefined</t>
        </is>
      </c>
      <c r="S1075" t="inlineStr">
        <is>
          <t>7043593927</t>
        </is>
      </c>
    </row>
    <row r="1076" ht="75" customHeight="1">
      <c r="A1076" s="2">
        <f>HYPERLINK("https://camerareadycosmetics.com/products/graftobian-hd-brow-powder-palette-waiting-for-stock", "https://camerareadycosmetics.com/products/graftobian-hd-brow-powder-palette-waiting-for-stock")</f>
        <v/>
      </c>
      <c r="B1076" s="2">
        <f>HYPERLINK("https://camerareadycosmetics.com/products/graftobian-hd-brow-powder-palette-waiting-for-stock", "https://camerareadycosmetics.com/products/graftobian-hd-brow-powder-palette-waiting-for-stock")</f>
        <v/>
      </c>
      <c r="C1076" t="inlineStr">
        <is>
          <t>HD Brow Powder Palette</t>
        </is>
      </c>
      <c r="D1076" t="inlineStr">
        <is>
          <t>YOUNG VISION Eyebrow Powders Palette With Mirror, 6 Brows Colors With Stencils, Highlighter Powder, Cream Concealer, Styling Wax, Eyebrow Trimmer, And Brow Brush &amp; Spoolie Duo</t>
        </is>
      </c>
      <c r="E1076" s="2">
        <f>HYPERLINK("https://www.amazon.com/YOUNG-VISION-Stencils-Highlighter-Concealer/dp/B09Y3F33W8/ref=sr_1_10?keywords=HD+Brow+Powder+Palette&amp;qid=1695565756&amp;sr=8-10", "https://www.amazon.com/YOUNG-VISION-Stencils-Highlighter-Concealer/dp/B09Y3F33W8/ref=sr_1_10?keywords=HD+Brow+Powder+Palette&amp;qid=1695565756&amp;sr=8-10")</f>
        <v/>
      </c>
      <c r="F1076" t="inlineStr">
        <is>
          <t>B09Y3F33W8</t>
        </is>
      </c>
      <c r="G1076">
        <f>_xlfn.IMAGE("https://camerareadycosmetics.com/cdn/shop/products/graftobian_hd_brow_powder_palette_2__68663.1424394327.600.600_50x.jpeg?v=1689647004")</f>
        <v/>
      </c>
      <c r="H1076">
        <f>_xlfn.IMAGE("https://m.media-amazon.com/images/I/71ezgtSG2mL._AC_UL320_.jpg")</f>
        <v/>
      </c>
      <c r="K1076" t="inlineStr">
        <is>
          <t>80.0</t>
        </is>
      </c>
      <c r="L1076" t="n">
        <v>3.99</v>
      </c>
      <c r="M1076" s="1" t="inlineStr">
        <is>
          <t>-95.01%</t>
        </is>
      </c>
      <c r="N1076" t="n">
        <v>4.3</v>
      </c>
      <c r="O1076" t="n">
        <v>49</v>
      </c>
      <c r="Q1076" t="inlineStr">
        <is>
          <t>InStock</t>
        </is>
      </c>
      <c r="R1076" t="inlineStr">
        <is>
          <t>undefined</t>
        </is>
      </c>
      <c r="S1076" t="inlineStr">
        <is>
          <t>7043593927</t>
        </is>
      </c>
    </row>
    <row r="1077" ht="75" customHeight="1">
      <c r="A1077" s="2">
        <f>HYPERLINK("https://camerareadycosmetics.com/products/graftobian-hd-brow-powder-palette-waiting-for-stock", "https://camerareadycosmetics.com/products/graftobian-hd-brow-powder-palette-waiting-for-stock")</f>
        <v/>
      </c>
      <c r="B1077" s="2">
        <f>HYPERLINK("https://camerareadycosmetics.com/products/graftobian-hd-brow-powder-palette-waiting-for-stock", "https://camerareadycosmetics.com/products/graftobian-hd-brow-powder-palette-waiting-for-stock")</f>
        <v/>
      </c>
      <c r="C1077" t="inlineStr">
        <is>
          <t>HD Brow Powder Palette</t>
        </is>
      </c>
      <c r="D1077" t="inlineStr">
        <is>
          <t>Aesthetica Brow Contour Kit 16-Piece Eyebrow Makeup Palette Set 6 Eyebrow Powders, 5 Eyebrow Stencils, Spoolie/Brush Duo, Tweezers, Eye Brow Wax, Highlighter - Unique Gifts For Women For Her Birthday</t>
        </is>
      </c>
      <c r="E1077" s="2">
        <f>HYPERLINK("https://www.amazon.com/Aesthetica-16-Piece-Stencils-Tweezers-Highlighter/dp/B018UPHLU8/ref=sr_1_3?keywords=HD+Brow+Powder+Palette&amp;qid=1695565756&amp;sr=8-3", "https://www.amazon.com/Aesthetica-16-Piece-Stencils-Tweezers-Highlighter/dp/B018UPHLU8/ref=sr_1_3?keywords=HD+Brow+Powder+Palette&amp;qid=1695565756&amp;sr=8-3")</f>
        <v/>
      </c>
      <c r="F1077" t="inlineStr">
        <is>
          <t>B018UPHLU8</t>
        </is>
      </c>
      <c r="G1077">
        <f>_xlfn.IMAGE("https://camerareadycosmetics.com/cdn/shop/products/graftobian_hd_brow_powder_palette_2__68663.1424394327.600.600_50x.jpeg?v=1689647004")</f>
        <v/>
      </c>
      <c r="H1077">
        <f>_xlfn.IMAGE("https://m.media-amazon.com/images/I/61AC+EndktL._AC_UL320_.jpg")</f>
        <v/>
      </c>
      <c r="K1077" t="inlineStr">
        <is>
          <t>80.0</t>
        </is>
      </c>
      <c r="L1077" t="n">
        <v>29.95</v>
      </c>
      <c r="M1077" s="1" t="inlineStr">
        <is>
          <t>-62.56%</t>
        </is>
      </c>
      <c r="N1077" t="n">
        <v>4.3</v>
      </c>
      <c r="O1077" t="n">
        <v>7616</v>
      </c>
      <c r="Q1077" t="inlineStr">
        <is>
          <t>InStock</t>
        </is>
      </c>
      <c r="R1077" t="inlineStr">
        <is>
          <t>undefined</t>
        </is>
      </c>
      <c r="S1077" t="inlineStr">
        <is>
          <t>7043593927</t>
        </is>
      </c>
    </row>
    <row r="1078" ht="75" customHeight="1">
      <c r="A1078" s="2">
        <f>HYPERLINK("https://camerareadycosmetics.com/products/graftobian-hd-brow-powder-palette-waiting-for-stock", "https://camerareadycosmetics.com/products/graftobian-hd-brow-powder-palette-waiting-for-stock")</f>
        <v/>
      </c>
      <c r="B1078" s="2">
        <f>HYPERLINK("https://camerareadycosmetics.com/products/graftobian-hd-brow-powder-palette-waiting-for-stock", "https://camerareadycosmetics.com/products/graftobian-hd-brow-powder-palette-waiting-for-stock")</f>
        <v/>
      </c>
      <c r="C1078" t="inlineStr">
        <is>
          <t>HD Brow Powder Palette</t>
        </is>
      </c>
      <c r="D1078" t="inlineStr">
        <is>
          <t>Mehron Pro Brow Palette - Pressed Powders and Pomade</t>
        </is>
      </c>
      <c r="E1078" s="2">
        <f>HYPERLINK("https://www.amazon.com/Mehron-Pro-Brow-Palette-Pressed/dp/B081HFD1GN/ref=sr_1_7?keywords=HD+Brow+Powder+Palette&amp;qid=1695565756&amp;sr=8-7", "https://www.amazon.com/Mehron-Pro-Brow-Palette-Pressed/dp/B081HFD1GN/ref=sr_1_7?keywords=HD+Brow+Powder+Palette&amp;qid=1695565756&amp;sr=8-7")</f>
        <v/>
      </c>
      <c r="F1078" t="inlineStr">
        <is>
          <t>B081HFD1GN</t>
        </is>
      </c>
      <c r="G1078">
        <f>_xlfn.IMAGE("https://camerareadycosmetics.com/cdn/shop/products/graftobian_hd_brow_powder_palette_2__68663.1424394327.600.600_50x.jpeg?v=1689647004")</f>
        <v/>
      </c>
      <c r="H1078">
        <f>_xlfn.IMAGE("https://m.media-amazon.com/images/I/91GqL2oDt4L._AC_UL320_.jpg")</f>
        <v/>
      </c>
      <c r="K1078" t="inlineStr">
        <is>
          <t>80.0</t>
        </is>
      </c>
      <c r="L1078" t="n">
        <v>22.95</v>
      </c>
      <c r="M1078" s="1" t="inlineStr">
        <is>
          <t>-71.31%</t>
        </is>
      </c>
      <c r="N1078" t="n">
        <v>4.2</v>
      </c>
      <c r="O1078" t="n">
        <v>106</v>
      </c>
      <c r="Q1078" t="inlineStr">
        <is>
          <t>InStock</t>
        </is>
      </c>
      <c r="R1078" t="inlineStr">
        <is>
          <t>undefined</t>
        </is>
      </c>
      <c r="S1078" t="inlineStr">
        <is>
          <t>7043593927</t>
        </is>
      </c>
    </row>
    <row r="1079" ht="75" customHeight="1">
      <c r="A1079" s="2">
        <f>HYPERLINK("https://camerareadycosmetics.com/products/graftobian-hd-brow-powder-palette-waiting-for-stock", "https://camerareadycosmetics.com/products/graftobian-hd-brow-powder-palette-waiting-for-stock")</f>
        <v/>
      </c>
      <c r="B1079" s="2">
        <f>HYPERLINK("https://camerareadycosmetics.com/products/graftobian-hd-brow-powder-palette-waiting-for-stock", "https://camerareadycosmetics.com/products/graftobian-hd-brow-powder-palette-waiting-for-stock")</f>
        <v/>
      </c>
      <c r="C1079" t="inlineStr">
        <is>
          <t>HD Brow Powder Palette</t>
        </is>
      </c>
      <c r="D1079" t="inlineStr">
        <is>
          <t>Eyebrow Powder Kit-3 colors Exoticism Brow Tinted Powder Palette, Longlasting Waterproof Brow Definer Powder Eyebrow Filler, Fill &amp; Sculpt Brow for Women Eye Makeup, With Brow Tool- Light Brown Series</t>
        </is>
      </c>
      <c r="E1079" s="2">
        <f>HYPERLINK("https://www.amazon.com/Eyebrow-Exoticism-Palette-Longlasting-Waterproof/dp/B0CF2LNLC1/ref=sr_1_2?keywords=HD+Brow+Powder+Palette&amp;qid=1695565756&amp;sr=8-2", "https://www.amazon.com/Eyebrow-Exoticism-Palette-Longlasting-Waterproof/dp/B0CF2LNLC1/ref=sr_1_2?keywords=HD+Brow+Powder+Palette&amp;qid=1695565756&amp;sr=8-2")</f>
        <v/>
      </c>
      <c r="F1079" t="inlineStr">
        <is>
          <t>B0CF2LNLC1</t>
        </is>
      </c>
      <c r="G1079">
        <f>_xlfn.IMAGE("https://camerareadycosmetics.com/cdn/shop/products/graftobian_hd_brow_powder_palette_2__68663.1424394327.600.600_50x.jpeg?v=1689647004")</f>
        <v/>
      </c>
      <c r="H1079">
        <f>_xlfn.IMAGE("https://m.media-amazon.com/images/I/81SBxxjpBkL._AC_UL320_.jpg")</f>
        <v/>
      </c>
      <c r="K1079" t="inlineStr">
        <is>
          <t>80.0</t>
        </is>
      </c>
      <c r="L1079" t="n">
        <v>9.99</v>
      </c>
      <c r="M1079" s="1" t="inlineStr">
        <is>
          <t>-87.51%</t>
        </is>
      </c>
      <c r="N1079" t="n">
        <v>4.5</v>
      </c>
      <c r="O1079" t="n">
        <v>34</v>
      </c>
      <c r="Q1079" t="inlineStr">
        <is>
          <t>InStock</t>
        </is>
      </c>
      <c r="R1079" t="inlineStr">
        <is>
          <t>undefined</t>
        </is>
      </c>
      <c r="S1079" t="inlineStr">
        <is>
          <t>7043593927</t>
        </is>
      </c>
    </row>
    <row r="1080" ht="75" customHeight="1">
      <c r="A1080" s="2">
        <f>HYPERLINK("https://camerareadycosmetics.com/products/graftobian-hd-brow-powder-palette-waiting-for-stock", "https://camerareadycosmetics.com/products/graftobian-hd-brow-powder-palette-waiting-for-stock")</f>
        <v/>
      </c>
      <c r="B1080" s="2">
        <f>HYPERLINK("https://camerareadycosmetics.com/products/graftobian-hd-brow-powder-palette-waiting-for-stock", "https://camerareadycosmetics.com/products/graftobian-hd-brow-powder-palette-waiting-for-stock")</f>
        <v/>
      </c>
      <c r="C1080" t="inlineStr">
        <is>
          <t>HD Brow Powder Palette</t>
        </is>
      </c>
      <c r="D1080" t="inlineStr">
        <is>
          <t>ELLESY Eyebrow Powder Beautify Eyebrow Palette Long-Lasting Waterproof Makeup Eyebrow Cake Natural Powder Is Soft For Daily Eyebrow Makeup With A Small Mirror(Dark Brown)</t>
        </is>
      </c>
      <c r="E1080" s="2">
        <f>HYPERLINK("https://www.amazon.com/ELLESY-Eyebrow-pigmented-Waterproof-Longwearing/dp/B08MDPKY1G/ref=sr_1_9?keywords=HD+Brow+Powder+Palette&amp;qid=1695565756&amp;sr=8-9", "https://www.amazon.com/ELLESY-Eyebrow-pigmented-Waterproof-Longwearing/dp/B08MDPKY1G/ref=sr_1_9?keywords=HD+Brow+Powder+Palette&amp;qid=1695565756&amp;sr=8-9")</f>
        <v/>
      </c>
      <c r="F1080" t="inlineStr">
        <is>
          <t>B08MDPKY1G</t>
        </is>
      </c>
      <c r="G1080">
        <f>_xlfn.IMAGE("https://camerareadycosmetics.com/cdn/shop/products/graftobian_hd_brow_powder_palette_2__68663.1424394327.600.600_50x.jpeg?v=1689647004")</f>
        <v/>
      </c>
      <c r="H1080">
        <f>_xlfn.IMAGE("https://m.media-amazon.com/images/I/61t3I3fc3gL._AC_UL320_.jpg")</f>
        <v/>
      </c>
      <c r="K1080" t="inlineStr">
        <is>
          <t>80.0</t>
        </is>
      </c>
      <c r="L1080" t="n">
        <v>8.99</v>
      </c>
      <c r="M1080" s="1" t="inlineStr">
        <is>
          <t>-88.76%</t>
        </is>
      </c>
      <c r="N1080" t="n">
        <v>4.4</v>
      </c>
      <c r="O1080" t="n">
        <v>496</v>
      </c>
      <c r="Q1080" t="inlineStr">
        <is>
          <t>InStock</t>
        </is>
      </c>
      <c r="R1080" t="inlineStr">
        <is>
          <t>undefined</t>
        </is>
      </c>
      <c r="S1080" t="inlineStr">
        <is>
          <t>7043593927</t>
        </is>
      </c>
    </row>
    <row r="1081" ht="75" customHeight="1">
      <c r="A1081" s="2">
        <f>HYPERLINK("https://camerareadycosmetics.com/products/graftobian-hd-brow-powder-palette-waiting-for-stock", "https://camerareadycosmetics.com/products/graftobian-hd-brow-powder-palette-waiting-for-stock")</f>
        <v/>
      </c>
      <c r="B1081" s="2">
        <f>HYPERLINK("https://camerareadycosmetics.com/products/graftobian-hd-brow-powder-palette-waiting-for-stock", "https://camerareadycosmetics.com/products/graftobian-hd-brow-powder-palette-waiting-for-stock")</f>
        <v/>
      </c>
      <c r="C1081" t="inlineStr">
        <is>
          <t>HD Brow Powder Palette</t>
        </is>
      </c>
      <c r="D1081" t="inlineStr">
        <is>
          <t>YOUNG VISION Eyebrow Powders Palette With Mirror, 6 Brows Colors With Stencils, Highlighter Powder, Cream Concealer, Styling Wax, Eyebrow Trimmer, And Brow Brush &amp; Spoolie Duo</t>
        </is>
      </c>
      <c r="E1081" s="2">
        <f>HYPERLINK("https://www.amazon.com/YOUNG-VISION-Stencils-Highlighter-Concealer/dp/B09Y3F33W8/ref=sr_1_10?keywords=HD+Brow+Powder+Palette&amp;qid=1695565756&amp;sr=8-10", "https://www.amazon.com/YOUNG-VISION-Stencils-Highlighter-Concealer/dp/B09Y3F33W8/ref=sr_1_10?keywords=HD+Brow+Powder+Palette&amp;qid=1695565756&amp;sr=8-10")</f>
        <v/>
      </c>
      <c r="F1081" t="inlineStr">
        <is>
          <t>B09Y3F33W8</t>
        </is>
      </c>
      <c r="G1081">
        <f>_xlfn.IMAGE("https://camerareadycosmetics.com/cdn/shop/products/graftobian_hd_brow_powder_palette_2__68663.1424394327.600.600_50x.jpeg?v=1689647004")</f>
        <v/>
      </c>
      <c r="H1081">
        <f>_xlfn.IMAGE("https://m.media-amazon.com/images/I/71ezgtSG2mL._AC_UL320_.jpg")</f>
        <v/>
      </c>
      <c r="K1081" t="inlineStr">
        <is>
          <t>80.0</t>
        </is>
      </c>
      <c r="L1081" t="n">
        <v>3.99</v>
      </c>
      <c r="M1081" s="1" t="inlineStr">
        <is>
          <t>-95.01%</t>
        </is>
      </c>
      <c r="N1081" t="n">
        <v>4.3</v>
      </c>
      <c r="O1081" t="n">
        <v>49</v>
      </c>
      <c r="Q1081" t="inlineStr">
        <is>
          <t>InStock</t>
        </is>
      </c>
      <c r="R1081" t="inlineStr">
        <is>
          <t>undefined</t>
        </is>
      </c>
      <c r="S1081" t="inlineStr">
        <is>
          <t>7043593927</t>
        </is>
      </c>
    </row>
    <row r="1082" ht="75" customHeight="1">
      <c r="A1082" s="2">
        <f>HYPERLINK("https://camerareadycosmetics.com/products/graftobian-hd-creme-global-corrector-super-palette", "https://camerareadycosmetics.com/products/graftobian-hd-creme-global-corrector-super-palette")</f>
        <v/>
      </c>
      <c r="B1082" s="2">
        <f>HYPERLINK("https://camerareadycosmetics.com/products/graftobian-hd-creme-global-corrector-super-palette", "https://camerareadycosmetics.com/products/graftobian-hd-creme-global-corrector-super-palette")</f>
        <v/>
      </c>
      <c r="C1082" t="inlineStr">
        <is>
          <t>HD Creme Global Corrector Super Palette</t>
        </is>
      </c>
      <c r="D1082" t="inlineStr">
        <is>
          <t>Graftobian HD High-Definition Super Palette - Foundation Palette with Free Blending Sponge, Professional Face Cream Palette, Contour &amp; Coverage Face Makeup, Artist Kit Addition - Global Corrector</t>
        </is>
      </c>
      <c r="E1082" s="2">
        <f>HYPERLINK("https://www.amazon.com/High-Definition-Palettes-Blending-Palette-Global-Corrector/dp/B0789TSZH3/ref=sr_1_2?keywords=HD+Creme+Global+Corrector+Super+Palette&amp;qid=1695565536&amp;sr=8-2", "https://www.amazon.com/High-Definition-Palettes-Blending-Palette-Global-Corrector/dp/B0789TSZH3/ref=sr_1_2?keywords=HD+Creme+Global+Corrector+Super+Palette&amp;qid=1695565536&amp;sr=8-2")</f>
        <v/>
      </c>
      <c r="F1082" t="inlineStr">
        <is>
          <t>B0789TSZH3</t>
        </is>
      </c>
      <c r="G1082">
        <f>_xlfn.IMAGE("https://camerareadycosmetics.com/cdn/shop/products/125136000_swatch__97107.1430263864.600.600_50x.jpeg?v=1689649369")</f>
        <v/>
      </c>
      <c r="H1082">
        <f>_xlfn.IMAGE("https://m.media-amazon.com/images/I/71YyQ69hjQL._AC_UL320_.jpg")</f>
        <v/>
      </c>
      <c r="K1082" t="inlineStr">
        <is>
          <t>88.0</t>
        </is>
      </c>
      <c r="L1082" t="n">
        <v>88</v>
      </c>
      <c r="M1082" s="1" t="inlineStr">
        <is>
          <t>0.00%</t>
        </is>
      </c>
      <c r="N1082" t="n">
        <v>3.8</v>
      </c>
      <c r="O1082" t="n">
        <v>37</v>
      </c>
      <c r="Q1082" t="inlineStr">
        <is>
          <t>InStock</t>
        </is>
      </c>
      <c r="R1082" t="inlineStr">
        <is>
          <t>undefined</t>
        </is>
      </c>
      <c r="S1082" t="inlineStr">
        <is>
          <t>7046119111</t>
        </is>
      </c>
    </row>
    <row r="1083" ht="75" customHeight="1">
      <c r="A1083" s="2">
        <f>HYPERLINK("https://camerareadycosmetics.com/products/graftobian-hd-creme-global-corrector-super-palette", "https://camerareadycosmetics.com/products/graftobian-hd-creme-global-corrector-super-palette")</f>
        <v/>
      </c>
      <c r="B1083" s="2">
        <f>HYPERLINK("https://camerareadycosmetics.com/products/graftobian-hd-creme-global-corrector-super-palette", "https://camerareadycosmetics.com/products/graftobian-hd-creme-global-corrector-super-palette")</f>
        <v/>
      </c>
      <c r="C1083" t="inlineStr">
        <is>
          <t>HD Creme Global Corrector Super Palette</t>
        </is>
      </c>
      <c r="D1083" t="inlineStr">
        <is>
          <t>Graftobian HD Creme Global Corrector Super Palette</t>
        </is>
      </c>
      <c r="E1083" s="2">
        <f>HYPERLINK("https://www.amazon.com/Graftobian-Creme-Global-Corrector-Palette/dp/B00XZ3DJ6Q/ref=sr_1_1?keywords=HD+Creme+Global+Corrector+Super+Palette&amp;qid=1695565536&amp;sr=8-1", "https://www.amazon.com/Graftobian-Creme-Global-Corrector-Palette/dp/B00XZ3DJ6Q/ref=sr_1_1?keywords=HD+Creme+Global+Corrector+Super+Palette&amp;qid=1695565536&amp;sr=8-1")</f>
        <v/>
      </c>
      <c r="F1083" t="inlineStr">
        <is>
          <t>B00XZ3DJ6Q</t>
        </is>
      </c>
      <c r="G1083">
        <f>_xlfn.IMAGE("https://camerareadycosmetics.com/cdn/shop/products/125136000_swatch__97107.1430263864.600.600_50x.jpeg?v=1689649369")</f>
        <v/>
      </c>
      <c r="H1083">
        <f>_xlfn.IMAGE("https://m.media-amazon.com/images/I/71Nz3CnSN2L._AC_UL320_.jpg")</f>
        <v/>
      </c>
      <c r="K1083" t="inlineStr">
        <is>
          <t>88.0</t>
        </is>
      </c>
      <c r="L1083" t="n">
        <v>75.59999999999999</v>
      </c>
      <c r="M1083" s="1" t="inlineStr">
        <is>
          <t>-14.09%</t>
        </is>
      </c>
      <c r="N1083" t="n">
        <v>4.3</v>
      </c>
      <c r="O1083" t="n">
        <v>10</v>
      </c>
      <c r="Q1083" t="inlineStr">
        <is>
          <t>InStock</t>
        </is>
      </c>
      <c r="R1083" t="inlineStr">
        <is>
          <t>undefined</t>
        </is>
      </c>
      <c r="S1083" t="inlineStr">
        <is>
          <t>7046119111</t>
        </is>
      </c>
    </row>
    <row r="1084" ht="75" customHeight="1">
      <c r="A1084" s="2">
        <f>HYPERLINK("https://camerareadycosmetics.com/products/graftobian-hd-glamour-creme-super-palette-inclusion-30242", "https://camerareadycosmetics.com/products/graftobian-hd-glamour-creme-super-palette-inclusion-30242")</f>
        <v/>
      </c>
      <c r="B1084" s="2">
        <f>HYPERLINK("https://camerareadycosmetics.com/products/graftobian-hd-glamour-creme-super-palette-inclusion-30242", "https://camerareadycosmetics.com/products/graftobian-hd-glamour-creme-super-palette-inclusion-30242")</f>
        <v/>
      </c>
      <c r="C1084" t="inlineStr">
        <is>
          <t>HD Glamour Creme Super Palette Inclusion (30242)</t>
        </is>
      </c>
      <c r="D1084" t="inlineStr">
        <is>
          <t>Graftobian Glamour Crème Ultra HD Foundation Super Palettes - Creme Foundation Palette, Contour Makeup, Foundation for Professional Makeup Kit, Face Makeup for Full Coverage - Inclusion Collection</t>
        </is>
      </c>
      <c r="E1084" s="2">
        <f>HYPERLINK("https://www.amazon.com/Graftobian-Glamour-Creme-Foundation-Palette/dp/B07N495MB4/ref=sr_1_1?keywords=HD+Glamour+Creme+Super+Palette+Inclusion+%2830242%29&amp;qid=1695565522&amp;sr=8-1", "https://www.amazon.com/Graftobian-Glamour-Creme-Foundation-Palette/dp/B07N495MB4/ref=sr_1_1?keywords=HD+Glamour+Creme+Super+Palette+Inclusion+%2830242%29&amp;qid=1695565522&amp;sr=8-1")</f>
        <v/>
      </c>
      <c r="F1084" t="inlineStr">
        <is>
          <t>B07N495MB4</t>
        </is>
      </c>
      <c r="G1084">
        <f>_xlfn.IMAGE("https://camerareadycosmetics.com/cdn/shop/products/graftobian-swatch-Inclusion-Super-Palette-Creme-Colors-breakdown_1_50x.jpg?v=1549672065")</f>
        <v/>
      </c>
      <c r="H1084">
        <f>_xlfn.IMAGE("https://m.media-amazon.com/images/I/51qeR2cIsWL._AC_UL320_.jpg")</f>
        <v/>
      </c>
      <c r="K1084" t="inlineStr">
        <is>
          <t>88.0</t>
        </is>
      </c>
      <c r="L1084" t="n">
        <v>88</v>
      </c>
      <c r="M1084" s="1" t="inlineStr">
        <is>
          <t>0.00%</t>
        </is>
      </c>
      <c r="N1084" t="n">
        <v>4.3</v>
      </c>
      <c r="O1084" t="n">
        <v>809</v>
      </c>
      <c r="Q1084" t="inlineStr">
        <is>
          <t>InStock</t>
        </is>
      </c>
      <c r="R1084" t="inlineStr">
        <is>
          <t>undefined</t>
        </is>
      </c>
      <c r="S1084" t="inlineStr">
        <is>
          <t>2125597605999</t>
        </is>
      </c>
    </row>
    <row r="1085" ht="75" customHeight="1">
      <c r="A1085" s="2">
        <f>HYPERLINK("https://camerareadycosmetics.com/products/graftobian-hd-pro-powder-palette", "https://camerareadycosmetics.com/products/graftobian-hd-pro-powder-palette")</f>
        <v/>
      </c>
      <c r="B1085" s="2">
        <f>HYPERLINK("https://camerareadycosmetics.com/products/graftobian-hd-pro-powder-palette", "https://camerareadycosmetics.com/products/graftobian-hd-pro-powder-palette")</f>
        <v/>
      </c>
      <c r="C1085" t="inlineStr">
        <is>
          <t>HD Pro Powder Palette</t>
        </is>
      </c>
      <c r="D1085" t="inlineStr">
        <is>
          <t>Mehron Makeup Foundation - Celebre Pro-HD Pressed Powder, Contour &amp; Highlight Palette - 12 Shades</t>
        </is>
      </c>
      <c r="E1085" s="2">
        <f>HYPERLINK("https://www.amazon.com/Mehron-Foundation-Celebre-Pressed-Highlight/dp/B01KYA62FW/ref=sr_1_1?keywords=HD+Pro+Powder+Palette&amp;qid=1695565523&amp;sr=8-1", "https://www.amazon.com/Mehron-Foundation-Celebre-Pressed-Highlight/dp/B01KYA62FW/ref=sr_1_1?keywords=HD+Pro+Powder+Palette&amp;qid=1695565523&amp;sr=8-1")</f>
        <v/>
      </c>
      <c r="F1085" t="inlineStr">
        <is>
          <t>B01KYA62FW</t>
        </is>
      </c>
      <c r="G1085">
        <f>_xlfn.IMAGE("https://camerareadycosmetics.com/cdn/shop/products/8546_zoom_1435882866_50x.jpg?v=1689645677")</f>
        <v/>
      </c>
      <c r="H1085">
        <f>_xlfn.IMAGE("https://m.media-amazon.com/images/I/61DE0U+dMDL._AC_UL320_.jpg")</f>
        <v/>
      </c>
      <c r="K1085" t="inlineStr">
        <is>
          <t>85.0</t>
        </is>
      </c>
      <c r="L1085" t="n">
        <v>59.95</v>
      </c>
      <c r="M1085" s="1" t="inlineStr">
        <is>
          <t>-29.47%</t>
        </is>
      </c>
      <c r="N1085" t="n">
        <v>4.2</v>
      </c>
      <c r="O1085" t="n">
        <v>29</v>
      </c>
      <c r="Q1085" t="inlineStr">
        <is>
          <t>InStock</t>
        </is>
      </c>
      <c r="R1085" t="inlineStr">
        <is>
          <t>undefined</t>
        </is>
      </c>
      <c r="S1085" t="inlineStr">
        <is>
          <t>7042123143</t>
        </is>
      </c>
    </row>
    <row r="1086" ht="75" customHeight="1">
      <c r="A1086" s="2">
        <f>HYPERLINK("https://camerareadycosmetics.com/products/graftobian-hd-pro-powder-palette", "https://camerareadycosmetics.com/products/graftobian-hd-pro-powder-palette")</f>
        <v/>
      </c>
      <c r="B1086" s="2">
        <f>HYPERLINK("https://camerareadycosmetics.com/products/graftobian-hd-pro-powder-palette", "https://camerareadycosmetics.com/products/graftobian-hd-pro-powder-palette")</f>
        <v/>
      </c>
      <c r="C1086" t="inlineStr">
        <is>
          <t>HD Pro Powder Palette</t>
        </is>
      </c>
      <c r="D1086" t="inlineStr">
        <is>
          <t>RCMA Premiere Loose Powders - Talc &amp; Paraben Free Translucent Foundation or Finishing HD Pro Makeup with Blurring Smoothing Effect - Color Amber</t>
        </is>
      </c>
      <c r="E1086" s="2">
        <f>HYPERLINK("https://www.amazon.com/RCMA-Premiere-Loose-Powders-Translucent/dp/B0BGQD3GQN/ref=sr_1_7?keywords=HD+Pro+Powder+Palette&amp;qid=1695565523&amp;sr=8-7", "https://www.amazon.com/RCMA-Premiere-Loose-Powders-Translucent/dp/B0BGQD3GQN/ref=sr_1_7?keywords=HD+Pro+Powder+Palette&amp;qid=1695565523&amp;sr=8-7")</f>
        <v/>
      </c>
      <c r="F1086" t="inlineStr">
        <is>
          <t>B0BGQD3GQN</t>
        </is>
      </c>
      <c r="G1086">
        <f>_xlfn.IMAGE("https://camerareadycosmetics.com/cdn/shop/products/8546_zoom_1435882866_50x.jpg?v=1689645677")</f>
        <v/>
      </c>
      <c r="H1086">
        <f>_xlfn.IMAGE("https://m.media-amazon.com/images/I/61omPcpUlGL._AC_UL320_.jpg")</f>
        <v/>
      </c>
      <c r="K1086" t="inlineStr">
        <is>
          <t>85.0</t>
        </is>
      </c>
      <c r="L1086" t="n">
        <v>27.99</v>
      </c>
      <c r="M1086" s="1" t="inlineStr">
        <is>
          <t>-67.07%</t>
        </is>
      </c>
      <c r="N1086" t="n">
        <v>5</v>
      </c>
      <c r="O1086" t="n">
        <v>3</v>
      </c>
      <c r="Q1086" t="inlineStr">
        <is>
          <t>InStock</t>
        </is>
      </c>
      <c r="R1086" t="inlineStr">
        <is>
          <t>undefined</t>
        </is>
      </c>
      <c r="S1086" t="inlineStr">
        <is>
          <t>7042123143</t>
        </is>
      </c>
    </row>
    <row r="1087" ht="75" customHeight="1">
      <c r="A1087" s="2">
        <f>HYPERLINK("https://camerareadycosmetics.com/products/graftobian-hd-pro-powder-palette", "https://camerareadycosmetics.com/products/graftobian-hd-pro-powder-palette")</f>
        <v/>
      </c>
      <c r="B1087" s="2">
        <f>HYPERLINK("https://camerareadycosmetics.com/products/graftobian-hd-pro-powder-palette", "https://camerareadycosmetics.com/products/graftobian-hd-pro-powder-palette")</f>
        <v/>
      </c>
      <c r="C1087" t="inlineStr">
        <is>
          <t>HD Pro Powder Palette</t>
        </is>
      </c>
      <c r="D1087" t="inlineStr">
        <is>
          <t>Contour Face Powder Kit Base Foundation Corrector Palette Sleek Pigment Pro Pressed Powder Cosmetics Highlighting Contouring Bronzing Professional Beauty Make up Bronzer Pallet Brown</t>
        </is>
      </c>
      <c r="E1087" s="2">
        <f>HYPERLINK("https://www.amazon.com/Vodisa-Palette-Sleek-Palette-Cosmetics-Highlighting-Professional/dp/B06WRTRQFB/ref=sr_1_4?keywords=HD+Pro+Powder+Palette&amp;qid=1695565523&amp;sr=8-4", "https://www.amazon.com/Vodisa-Palette-Sleek-Palette-Cosmetics-Highlighting-Professional/dp/B06WRTRQFB/ref=sr_1_4?keywords=HD+Pro+Powder+Palette&amp;qid=1695565523&amp;sr=8-4")</f>
        <v/>
      </c>
      <c r="F1087" t="inlineStr">
        <is>
          <t>B06WRTRQFB</t>
        </is>
      </c>
      <c r="G1087">
        <f>_xlfn.IMAGE("https://camerareadycosmetics.com/cdn/shop/products/8546_zoom_1435882866_50x.jpg?v=1689645677")</f>
        <v/>
      </c>
      <c r="H1087">
        <f>_xlfn.IMAGE("https://m.media-amazon.com/images/I/51tRrTuTDML._AC_UL320_.jpg")</f>
        <v/>
      </c>
      <c r="K1087" t="inlineStr">
        <is>
          <t>85.0</t>
        </is>
      </c>
      <c r="L1087" t="n">
        <v>13.99</v>
      </c>
      <c r="M1087" s="1" t="inlineStr">
        <is>
          <t>-83.54%</t>
        </is>
      </c>
      <c r="N1087" t="n">
        <v>3.9</v>
      </c>
      <c r="O1087" t="n">
        <v>626</v>
      </c>
      <c r="Q1087" t="inlineStr">
        <is>
          <t>InStock</t>
        </is>
      </c>
      <c r="R1087" t="inlineStr">
        <is>
          <t>undefined</t>
        </is>
      </c>
      <c r="S1087" t="inlineStr">
        <is>
          <t>7042123143</t>
        </is>
      </c>
    </row>
    <row r="1088" ht="75" customHeight="1">
      <c r="A1088" s="2">
        <f>HYPERLINK("https://camerareadycosmetics.com/products/graftobian-hd-pro-powder-palette", "https://camerareadycosmetics.com/products/graftobian-hd-pro-powder-palette")</f>
        <v/>
      </c>
      <c r="B1088" s="2">
        <f>HYPERLINK("https://camerareadycosmetics.com/products/graftobian-hd-pro-powder-palette", "https://camerareadycosmetics.com/products/graftobian-hd-pro-powder-palette")</f>
        <v/>
      </c>
      <c r="C1088" t="inlineStr">
        <is>
          <t>HD Pro Powder Palette</t>
        </is>
      </c>
      <c r="D1088" t="inlineStr">
        <is>
          <t>12 Colors Cream Blush Palette, Color Correcting Concealer Foundation Palette, Long Wearing Smudge Proof Blendable Matte Finish Blush Powder Highlighter and Cream Contour Palette Makeup (01)</t>
        </is>
      </c>
      <c r="E1088" s="2">
        <f>HYPERLINK("https://www.amazon.com/HOSAILY-Correcting-Concealer-Foundation-Highlighter/dp/B0C6GCRG84/ref=sr_1_2?keywords=HD+Pro+Powder+Palette&amp;qid=1695565523&amp;sr=8-2", "https://www.amazon.com/HOSAILY-Correcting-Concealer-Foundation-Highlighter/dp/B0C6GCRG84/ref=sr_1_2?keywords=HD+Pro+Powder+Palette&amp;qid=1695565523&amp;sr=8-2")</f>
        <v/>
      </c>
      <c r="F1088" t="inlineStr">
        <is>
          <t>B0C6GCRG84</t>
        </is>
      </c>
      <c r="G1088">
        <f>_xlfn.IMAGE("https://camerareadycosmetics.com/cdn/shop/products/8546_zoom_1435882866_50x.jpg?v=1689645677")</f>
        <v/>
      </c>
      <c r="H1088">
        <f>_xlfn.IMAGE("https://m.media-amazon.com/images/I/61NqOL2BbjL._AC_UL320_.jpg")</f>
        <v/>
      </c>
      <c r="K1088" t="inlineStr">
        <is>
          <t>85.0</t>
        </is>
      </c>
      <c r="L1088" t="n">
        <v>11.99</v>
      </c>
      <c r="M1088" s="1" t="inlineStr">
        <is>
          <t>-85.89%</t>
        </is>
      </c>
      <c r="N1088" t="n">
        <v>4.3</v>
      </c>
      <c r="O1088" t="n">
        <v>41</v>
      </c>
      <c r="Q1088" t="inlineStr">
        <is>
          <t>InStock</t>
        </is>
      </c>
      <c r="R1088" t="inlineStr">
        <is>
          <t>undefined</t>
        </is>
      </c>
      <c r="S1088" t="inlineStr">
        <is>
          <t>7042123143</t>
        </is>
      </c>
    </row>
    <row r="1089" ht="75" customHeight="1">
      <c r="A1089" s="2">
        <f>HYPERLINK("https://camerareadycosmetics.com/products/graftobian-hd-pro-powder-palette", "https://camerareadycosmetics.com/products/graftobian-hd-pro-powder-palette")</f>
        <v/>
      </c>
      <c r="B1089" s="2">
        <f>HYPERLINK("https://camerareadycosmetics.com/products/graftobian-hd-pro-powder-palette", "https://camerareadycosmetics.com/products/graftobian-hd-pro-powder-palette")</f>
        <v/>
      </c>
      <c r="C1089" t="inlineStr">
        <is>
          <t>HD Pro Powder Palette</t>
        </is>
      </c>
      <c r="D1089" t="inlineStr">
        <is>
          <t>FantasyDay Pro 5 Colors Multi-layer Face Powder Compact Face Correcting Pressed Powder Makeup Kit Foundation Highlighter Bronzing Powder Contouring Camouflage Makeup Palette</t>
        </is>
      </c>
      <c r="E1089" s="2">
        <f>HYPERLINK("https://www.amazon.com/FantasyDay-Multi-layer-Correcting-Foundation-Highlighter/dp/B01IBSBBNW/ref=sr_1_6?keywords=HD+Pro+Powder+Palette&amp;qid=1695565523&amp;sr=8-6", "https://www.amazon.com/FantasyDay-Multi-layer-Correcting-Foundation-Highlighter/dp/B01IBSBBNW/ref=sr_1_6?keywords=HD+Pro+Powder+Palette&amp;qid=1695565523&amp;sr=8-6")</f>
        <v/>
      </c>
      <c r="F1089" t="inlineStr">
        <is>
          <t>B01IBSBBNW</t>
        </is>
      </c>
      <c r="G1089">
        <f>_xlfn.IMAGE("https://camerareadycosmetics.com/cdn/shop/products/8546_zoom_1435882866_50x.jpg?v=1689645677")</f>
        <v/>
      </c>
      <c r="H1089">
        <f>_xlfn.IMAGE("https://m.media-amazon.com/images/I/81NmWFWczrL._AC_UL320_.jpg")</f>
        <v/>
      </c>
      <c r="K1089" t="inlineStr">
        <is>
          <t>85.0</t>
        </is>
      </c>
      <c r="L1089" t="n">
        <v>9.99</v>
      </c>
      <c r="M1089" s="1" t="inlineStr">
        <is>
          <t>-88.25%</t>
        </is>
      </c>
      <c r="N1089" t="n">
        <v>3.7</v>
      </c>
      <c r="O1089" t="n">
        <v>344</v>
      </c>
      <c r="Q1089" t="inlineStr">
        <is>
          <t>InStock</t>
        </is>
      </c>
      <c r="R1089" t="inlineStr">
        <is>
          <t>undefined</t>
        </is>
      </c>
      <c r="S1089" t="inlineStr">
        <is>
          <t>7042123143</t>
        </is>
      </c>
    </row>
    <row r="1090" ht="75" customHeight="1">
      <c r="A1090" s="2">
        <f>HYPERLINK("https://camerareadycosmetics.com/products/graftobian-hd-pro-powder-palette", "https://camerareadycosmetics.com/products/graftobian-hd-pro-powder-palette")</f>
        <v/>
      </c>
      <c r="B1090" s="2">
        <f>HYPERLINK("https://camerareadycosmetics.com/products/graftobian-hd-pro-powder-palette", "https://camerareadycosmetics.com/products/graftobian-hd-pro-powder-palette")</f>
        <v/>
      </c>
      <c r="C1090" t="inlineStr">
        <is>
          <t>HD Pro Powder Palette</t>
        </is>
      </c>
      <c r="D1090" t="inlineStr">
        <is>
          <t>L.A. GIRL HD PRO Setting Powder - Banana Yellow</t>
        </is>
      </c>
      <c r="E1090" s="2">
        <f>HYPERLINK("https://www.amazon.com/L-GIRL-Setting-Powder/dp/B01M1H52S1/ref=sr_1_9?keywords=HD+Pro+Powder+Palette&amp;qid=1695565523&amp;sr=8-9", "https://www.amazon.com/L-GIRL-Setting-Powder/dp/B01M1H52S1/ref=sr_1_9?keywords=HD+Pro+Powder+Palette&amp;qid=1695565523&amp;sr=8-9")</f>
        <v/>
      </c>
      <c r="F1090" t="inlineStr">
        <is>
          <t>B01M1H52S1</t>
        </is>
      </c>
      <c r="G1090">
        <f>_xlfn.IMAGE("https://camerareadycosmetics.com/cdn/shop/products/8546_zoom_1435882866_50x.jpg?v=1689645677")</f>
        <v/>
      </c>
      <c r="H1090">
        <f>_xlfn.IMAGE("https://m.media-amazon.com/images/I/71bW4OFWADL._AC_UL320_.jpg")</f>
        <v/>
      </c>
      <c r="K1090" t="inlineStr">
        <is>
          <t>85.0</t>
        </is>
      </c>
      <c r="L1090" t="n">
        <v>5.99</v>
      </c>
      <c r="M1090" s="1" t="inlineStr">
        <is>
          <t>-92.95%</t>
        </is>
      </c>
      <c r="N1090" t="n">
        <v>4.1</v>
      </c>
      <c r="O1090" t="n">
        <v>1064</v>
      </c>
      <c r="Q1090" t="inlineStr">
        <is>
          <t>InStock</t>
        </is>
      </c>
      <c r="R1090" t="inlineStr">
        <is>
          <t>undefined</t>
        </is>
      </c>
      <c r="S1090" t="inlineStr">
        <is>
          <t>7042123143</t>
        </is>
      </c>
    </row>
    <row r="1091" ht="75" customHeight="1">
      <c r="A1091" s="2">
        <f>HYPERLINK("https://camerareadycosmetics.com/products/graftobian-hd-pro-powder-palette", "https://camerareadycosmetics.com/products/graftobian-hd-pro-powder-palette")</f>
        <v/>
      </c>
      <c r="B1091" s="2">
        <f>HYPERLINK("https://camerareadycosmetics.com/products/graftobian-hd-pro-powder-palette", "https://camerareadycosmetics.com/products/graftobian-hd-pro-powder-palette")</f>
        <v/>
      </c>
      <c r="C1091" t="inlineStr">
        <is>
          <t>HD Pro Powder Palette</t>
        </is>
      </c>
      <c r="D1091" t="inlineStr">
        <is>
          <t>RCMA Premiere Loose Powders - Talc &amp; Paraben Free Translucent Foundation or Finishing HD Pro Makeup with Blurring Smoothing Effect - Color Amber</t>
        </is>
      </c>
      <c r="E1091" s="2">
        <f>HYPERLINK("https://www.amazon.com/RCMA-Premiere-Loose-Powders-Translucent/dp/B0BGQD3GQN/ref=sr_1_7?keywords=HD+Pro+Powder+Palette&amp;qid=1695565523&amp;sr=8-7", "https://www.amazon.com/RCMA-Premiere-Loose-Powders-Translucent/dp/B0BGQD3GQN/ref=sr_1_7?keywords=HD+Pro+Powder+Palette&amp;qid=1695565523&amp;sr=8-7")</f>
        <v/>
      </c>
      <c r="F1091" t="inlineStr">
        <is>
          <t>B0BGQD3GQN</t>
        </is>
      </c>
      <c r="G1091">
        <f>_xlfn.IMAGE("https://camerareadycosmetics.com/cdn/shop/products/8546_zoom_1435882866_50x.jpg?v=1689645677")</f>
        <v/>
      </c>
      <c r="H1091">
        <f>_xlfn.IMAGE("https://m.media-amazon.com/images/I/61omPcpUlGL._AC_UL320_.jpg")</f>
        <v/>
      </c>
      <c r="K1091" t="inlineStr">
        <is>
          <t>85.0</t>
        </is>
      </c>
      <c r="L1091" t="n">
        <v>27.99</v>
      </c>
      <c r="M1091" s="1" t="inlineStr">
        <is>
          <t>-67.07%</t>
        </is>
      </c>
      <c r="N1091" t="n">
        <v>5</v>
      </c>
      <c r="O1091" t="n">
        <v>3</v>
      </c>
      <c r="Q1091" t="inlineStr">
        <is>
          <t>InStock</t>
        </is>
      </c>
      <c r="R1091" t="inlineStr">
        <is>
          <t>undefined</t>
        </is>
      </c>
      <c r="S1091" t="inlineStr">
        <is>
          <t>7042123143</t>
        </is>
      </c>
    </row>
    <row r="1092" ht="75" customHeight="1">
      <c r="A1092" s="2">
        <f>HYPERLINK("https://camerareadycosmetics.com/products/graftobian-hd-pro-powder-palette", "https://camerareadycosmetics.com/products/graftobian-hd-pro-powder-palette")</f>
        <v/>
      </c>
      <c r="B1092" s="2">
        <f>HYPERLINK("https://camerareadycosmetics.com/products/graftobian-hd-pro-powder-palette", "https://camerareadycosmetics.com/products/graftobian-hd-pro-powder-palette")</f>
        <v/>
      </c>
      <c r="C1092" t="inlineStr">
        <is>
          <t>HD Pro Powder Palette</t>
        </is>
      </c>
      <c r="D1092" t="inlineStr">
        <is>
          <t>Contour Face Powder Kit Base Foundation Corrector Palette Sleek Pigment Pro Pressed Powder Cosmetics Highlighting Contouring Bronzing Professional Beauty Make up Bronzer Pallet Brown</t>
        </is>
      </c>
      <c r="E1092" s="2">
        <f>HYPERLINK("https://www.amazon.com/Vodisa-Palette-Sleek-Palette-Cosmetics-Highlighting-Professional/dp/B06WRTRQFB/ref=sr_1_4?keywords=HD+Pro+Powder+Palette&amp;qid=1695565523&amp;sr=8-4", "https://www.amazon.com/Vodisa-Palette-Sleek-Palette-Cosmetics-Highlighting-Professional/dp/B06WRTRQFB/ref=sr_1_4?keywords=HD+Pro+Powder+Palette&amp;qid=1695565523&amp;sr=8-4")</f>
        <v/>
      </c>
      <c r="F1092" t="inlineStr">
        <is>
          <t>B06WRTRQFB</t>
        </is>
      </c>
      <c r="G1092">
        <f>_xlfn.IMAGE("https://camerareadycosmetics.com/cdn/shop/products/8546_zoom_1435882866_50x.jpg?v=1689645677")</f>
        <v/>
      </c>
      <c r="H1092">
        <f>_xlfn.IMAGE("https://m.media-amazon.com/images/I/51tRrTuTDML._AC_UL320_.jpg")</f>
        <v/>
      </c>
      <c r="K1092" t="inlineStr">
        <is>
          <t>85.0</t>
        </is>
      </c>
      <c r="L1092" t="n">
        <v>13.99</v>
      </c>
      <c r="M1092" s="1" t="inlineStr">
        <is>
          <t>-83.54%</t>
        </is>
      </c>
      <c r="N1092" t="n">
        <v>3.9</v>
      </c>
      <c r="O1092" t="n">
        <v>626</v>
      </c>
      <c r="Q1092" t="inlineStr">
        <is>
          <t>InStock</t>
        </is>
      </c>
      <c r="R1092" t="inlineStr">
        <is>
          <t>undefined</t>
        </is>
      </c>
      <c r="S1092" t="inlineStr">
        <is>
          <t>7042123143</t>
        </is>
      </c>
    </row>
    <row r="1093" ht="75" customHeight="1">
      <c r="A1093" s="2">
        <f>HYPERLINK("https://camerareadycosmetics.com/products/graftobian-hd-pro-powder-palette", "https://camerareadycosmetics.com/products/graftobian-hd-pro-powder-palette")</f>
        <v/>
      </c>
      <c r="B1093" s="2">
        <f>HYPERLINK("https://camerareadycosmetics.com/products/graftobian-hd-pro-powder-palette", "https://camerareadycosmetics.com/products/graftobian-hd-pro-powder-palette")</f>
        <v/>
      </c>
      <c r="C1093" t="inlineStr">
        <is>
          <t>HD Pro Powder Palette</t>
        </is>
      </c>
      <c r="D1093" t="inlineStr">
        <is>
          <t>12 Colors Cream Blush Palette, Color Correcting Concealer Foundation Palette, Long Wearing Smudge Proof Blendable Matte Finish Blush Powder Highlighter and Cream Contour Palette Makeup (01)</t>
        </is>
      </c>
      <c r="E1093" s="2">
        <f>HYPERLINK("https://www.amazon.com/HOSAILY-Correcting-Concealer-Foundation-Highlighter/dp/B0C6GCRG84/ref=sr_1_2?keywords=HD+Pro+Powder+Palette&amp;qid=1695565523&amp;sr=8-2", "https://www.amazon.com/HOSAILY-Correcting-Concealer-Foundation-Highlighter/dp/B0C6GCRG84/ref=sr_1_2?keywords=HD+Pro+Powder+Palette&amp;qid=1695565523&amp;sr=8-2")</f>
        <v/>
      </c>
      <c r="F1093" t="inlineStr">
        <is>
          <t>B0C6GCRG84</t>
        </is>
      </c>
      <c r="G1093">
        <f>_xlfn.IMAGE("https://camerareadycosmetics.com/cdn/shop/products/8546_zoom_1435882866_50x.jpg?v=1689645677")</f>
        <v/>
      </c>
      <c r="H1093">
        <f>_xlfn.IMAGE("https://m.media-amazon.com/images/I/61NqOL2BbjL._AC_UL320_.jpg")</f>
        <v/>
      </c>
      <c r="K1093" t="inlineStr">
        <is>
          <t>85.0</t>
        </is>
      </c>
      <c r="L1093" t="n">
        <v>11.99</v>
      </c>
      <c r="M1093" s="1" t="inlineStr">
        <is>
          <t>-85.89%</t>
        </is>
      </c>
      <c r="N1093" t="n">
        <v>4.3</v>
      </c>
      <c r="O1093" t="n">
        <v>41</v>
      </c>
      <c r="Q1093" t="inlineStr">
        <is>
          <t>InStock</t>
        </is>
      </c>
      <c r="R1093" t="inlineStr">
        <is>
          <t>undefined</t>
        </is>
      </c>
      <c r="S1093" t="inlineStr">
        <is>
          <t>7042123143</t>
        </is>
      </c>
    </row>
    <row r="1094" ht="75" customHeight="1">
      <c r="A1094" s="2">
        <f>HYPERLINK("https://camerareadycosmetics.com/products/graftobian-hd-pro-powder-palette", "https://camerareadycosmetics.com/products/graftobian-hd-pro-powder-palette")</f>
        <v/>
      </c>
      <c r="B1094" s="2">
        <f>HYPERLINK("https://camerareadycosmetics.com/products/graftobian-hd-pro-powder-palette", "https://camerareadycosmetics.com/products/graftobian-hd-pro-powder-palette")</f>
        <v/>
      </c>
      <c r="C1094" t="inlineStr">
        <is>
          <t>HD Pro Powder Palette</t>
        </is>
      </c>
      <c r="D1094" t="inlineStr">
        <is>
          <t>FantasyDay Pro 5 Colors Multi-layer Face Powder Compact Face Correcting Pressed Powder Makeup Kit Foundation Highlighter Bronzing Powder Contouring Camouflage Makeup Palette</t>
        </is>
      </c>
      <c r="E1094" s="2">
        <f>HYPERLINK("https://www.amazon.com/FantasyDay-Multi-layer-Correcting-Foundation-Highlighter/dp/B01IBSBBNW/ref=sr_1_6?keywords=HD+Pro+Powder+Palette&amp;qid=1695565523&amp;sr=8-6", "https://www.amazon.com/FantasyDay-Multi-layer-Correcting-Foundation-Highlighter/dp/B01IBSBBNW/ref=sr_1_6?keywords=HD+Pro+Powder+Palette&amp;qid=1695565523&amp;sr=8-6")</f>
        <v/>
      </c>
      <c r="F1094" t="inlineStr">
        <is>
          <t>B01IBSBBNW</t>
        </is>
      </c>
      <c r="G1094">
        <f>_xlfn.IMAGE("https://camerareadycosmetics.com/cdn/shop/products/8546_zoom_1435882866_50x.jpg?v=1689645677")</f>
        <v/>
      </c>
      <c r="H1094">
        <f>_xlfn.IMAGE("https://m.media-amazon.com/images/I/81NmWFWczrL._AC_UL320_.jpg")</f>
        <v/>
      </c>
      <c r="K1094" t="inlineStr">
        <is>
          <t>85.0</t>
        </is>
      </c>
      <c r="L1094" t="n">
        <v>9.99</v>
      </c>
      <c r="M1094" s="1" t="inlineStr">
        <is>
          <t>-88.25%</t>
        </is>
      </c>
      <c r="N1094" t="n">
        <v>3.7</v>
      </c>
      <c r="O1094" t="n">
        <v>344</v>
      </c>
      <c r="Q1094" t="inlineStr">
        <is>
          <t>InStock</t>
        </is>
      </c>
      <c r="R1094" t="inlineStr">
        <is>
          <t>undefined</t>
        </is>
      </c>
      <c r="S1094" t="inlineStr">
        <is>
          <t>7042123143</t>
        </is>
      </c>
    </row>
    <row r="1095" ht="75" customHeight="1">
      <c r="A1095" s="2">
        <f>HYPERLINK("https://camerareadycosmetics.com/products/graftobian-hd-pro-powder-palette", "https://camerareadycosmetics.com/products/graftobian-hd-pro-powder-palette")</f>
        <v/>
      </c>
      <c r="B1095" s="2">
        <f>HYPERLINK("https://camerareadycosmetics.com/products/graftobian-hd-pro-powder-palette", "https://camerareadycosmetics.com/products/graftobian-hd-pro-powder-palette")</f>
        <v/>
      </c>
      <c r="C1095" t="inlineStr">
        <is>
          <t>HD Pro Powder Palette</t>
        </is>
      </c>
      <c r="D1095" t="inlineStr">
        <is>
          <t>L.A. GIRL HD PRO Setting Powder - Banana Yellow</t>
        </is>
      </c>
      <c r="E1095" s="2">
        <f>HYPERLINK("https://www.amazon.com/L-GIRL-Setting-Powder/dp/B01M1H52S1/ref=sr_1_9?keywords=HD+Pro+Powder+Palette&amp;qid=1695565523&amp;sr=8-9", "https://www.amazon.com/L-GIRL-Setting-Powder/dp/B01M1H52S1/ref=sr_1_9?keywords=HD+Pro+Powder+Palette&amp;qid=1695565523&amp;sr=8-9")</f>
        <v/>
      </c>
      <c r="F1095" t="inlineStr">
        <is>
          <t>B01M1H52S1</t>
        </is>
      </c>
      <c r="G1095">
        <f>_xlfn.IMAGE("https://camerareadycosmetics.com/cdn/shop/products/8546_zoom_1435882866_50x.jpg?v=1689645677")</f>
        <v/>
      </c>
      <c r="H1095">
        <f>_xlfn.IMAGE("https://m.media-amazon.com/images/I/71bW4OFWADL._AC_UL320_.jpg")</f>
        <v/>
      </c>
      <c r="K1095" t="inlineStr">
        <is>
          <t>85.0</t>
        </is>
      </c>
      <c r="L1095" t="n">
        <v>5.99</v>
      </c>
      <c r="M1095" s="1" t="inlineStr">
        <is>
          <t>-92.95%</t>
        </is>
      </c>
      <c r="N1095" t="n">
        <v>4.1</v>
      </c>
      <c r="O1095" t="n">
        <v>1064</v>
      </c>
      <c r="Q1095" t="inlineStr">
        <is>
          <t>InStock</t>
        </is>
      </c>
      <c r="R1095" t="inlineStr">
        <is>
          <t>undefined</t>
        </is>
      </c>
      <c r="S1095" t="inlineStr">
        <is>
          <t>7042123143</t>
        </is>
      </c>
    </row>
    <row r="1096" ht="75" customHeight="1">
      <c r="A1096" s="2">
        <f>HYPERLINK("https://camerareadycosmetics.com/products/graftobian-hi-def-creme-foundation-palette", "https://camerareadycosmetics.com/products/graftobian-hi-def-creme-foundation-palette")</f>
        <v/>
      </c>
      <c r="B1096" s="2">
        <f>HYPERLINK("https://camerareadycosmetics.com/products/graftobian-hi-def-creme-foundation-palette", "https://camerareadycosmetics.com/products/graftobian-hi-def-creme-foundation-palette")</f>
        <v/>
      </c>
      <c r="C1096" t="inlineStr">
        <is>
          <t>HD Creme Foundation Palette</t>
        </is>
      </c>
      <c r="D1096" t="inlineStr">
        <is>
          <t>Graftobian Super Palettes PROPAK- Creme Makeup Palette- Cream Foundation Palette- HD Foundation Makeup- High Definition Cream Palette, Corrector Palette and Lip Colors- 5 Pack Original Super Palettes</t>
        </is>
      </c>
      <c r="E1096" s="2">
        <f>HYPERLINK("https://www.amazon.com/Graftobian-Cr%C3%A8me-Foundation-Palette-PROPAK/dp/B004P4N5QS/ref=sr_1_4?keywords=HD+Creme+Foundation+Palette&amp;qid=1695565422&amp;sr=8-4", "https://www.amazon.com/Graftobian-Cr%C3%A8me-Foundation-Palette-PROPAK/dp/B004P4N5QS/ref=sr_1_4?keywords=HD+Creme+Foundation+Palette&amp;qid=1695565422&amp;sr=8-4")</f>
        <v/>
      </c>
      <c r="F1096" t="inlineStr">
        <is>
          <t>B004P4N5QS</t>
        </is>
      </c>
      <c r="G1096">
        <f>_xlfn.IMAGE("https://camerareadycosmetics.com/cdn/shop/products/1006_zoom_1437526835_50x.jpg?v=1689623656")</f>
        <v/>
      </c>
      <c r="H1096">
        <f>_xlfn.IMAGE("https://m.media-amazon.com/images/I/71jAEC21TqL._AC_UL320_.jpg")</f>
        <v/>
      </c>
      <c r="K1096" t="inlineStr">
        <is>
          <t>35.0</t>
        </is>
      </c>
      <c r="L1096" t="n">
        <v>319.99</v>
      </c>
      <c r="M1096" s="1" t="inlineStr">
        <is>
          <t>814.26%</t>
        </is>
      </c>
      <c r="N1096" t="n">
        <v>3.9</v>
      </c>
      <c r="O1096" t="n">
        <v>23</v>
      </c>
      <c r="Q1096" t="inlineStr">
        <is>
          <t>InStock</t>
        </is>
      </c>
      <c r="R1096" t="inlineStr">
        <is>
          <t>undefined</t>
        </is>
      </c>
      <c r="S1096" t="inlineStr">
        <is>
          <t>7034156167</t>
        </is>
      </c>
    </row>
    <row r="1097" ht="75" customHeight="1">
      <c r="A1097" s="2">
        <f>HYPERLINK("https://camerareadycosmetics.com/products/graftobian-hi-def-creme-foundation-palette", "https://camerareadycosmetics.com/products/graftobian-hi-def-creme-foundation-palette")</f>
        <v/>
      </c>
      <c r="B1097" s="2">
        <f>HYPERLINK("https://camerareadycosmetics.com/products/graftobian-hi-def-creme-foundation-palette", "https://camerareadycosmetics.com/products/graftobian-hi-def-creme-foundation-palette")</f>
        <v/>
      </c>
      <c r="C1097" t="inlineStr">
        <is>
          <t>HD Creme Foundation Palette</t>
        </is>
      </c>
      <c r="D1097" t="inlineStr">
        <is>
          <t>Graftobian HD High-Definition Super Palette - Foundation Palette W/Makeup Sponge, Professional Face Cream Palette, Contour &amp; Coverage Face Makeup, Artist Kit Addition, Warm</t>
        </is>
      </c>
      <c r="E1097" s="2">
        <f>HYPERLINK("https://www.amazon.com/High-Definition-Palettes-Blending-Sponge-Palette-Warm/dp/B01GGSBAU8/ref=sr_1_8?keywords=HD+Creme+Foundation+Palette&amp;qid=1695565422&amp;sr=8-8", "https://www.amazon.com/High-Definition-Palettes-Blending-Sponge-Palette-Warm/dp/B01GGSBAU8/ref=sr_1_8?keywords=HD+Creme+Foundation+Palette&amp;qid=1695565422&amp;sr=8-8")</f>
        <v/>
      </c>
      <c r="F1097" t="inlineStr">
        <is>
          <t>B01GGSBAU8</t>
        </is>
      </c>
      <c r="G1097">
        <f>_xlfn.IMAGE("https://camerareadycosmetics.com/cdn/shop/products/1006_zoom_1437526835_50x.jpg?v=1689623656")</f>
        <v/>
      </c>
      <c r="H1097">
        <f>_xlfn.IMAGE("https://m.media-amazon.com/images/I/61W4dCHsXML._AC_UL320_.jpg")</f>
        <v/>
      </c>
      <c r="K1097" t="inlineStr">
        <is>
          <t>35.0</t>
        </is>
      </c>
      <c r="L1097" t="n">
        <v>88</v>
      </c>
      <c r="M1097" s="1" t="inlineStr">
        <is>
          <t>151.43%</t>
        </is>
      </c>
      <c r="N1097" t="n">
        <v>3.8</v>
      </c>
      <c r="O1097" t="n">
        <v>37</v>
      </c>
      <c r="Q1097" t="inlineStr">
        <is>
          <t>InStock</t>
        </is>
      </c>
      <c r="R1097" t="inlineStr">
        <is>
          <t>undefined</t>
        </is>
      </c>
      <c r="S1097" t="inlineStr">
        <is>
          <t>7034156167</t>
        </is>
      </c>
    </row>
    <row r="1098" ht="75" customHeight="1">
      <c r="A1098" s="2">
        <f>HYPERLINK("https://camerareadycosmetics.com/products/graftobian-hi-def-creme-foundation-palette", "https://camerareadycosmetics.com/products/graftobian-hi-def-creme-foundation-palette")</f>
        <v/>
      </c>
      <c r="B1098" s="2">
        <f>HYPERLINK("https://camerareadycosmetics.com/products/graftobian-hi-def-creme-foundation-palette", "https://camerareadycosmetics.com/products/graftobian-hi-def-creme-foundation-palette")</f>
        <v/>
      </c>
      <c r="C1098" t="inlineStr">
        <is>
          <t>HD Creme Foundation Palette</t>
        </is>
      </c>
      <c r="D1098" t="inlineStr">
        <is>
          <t>Graftobian Glamour Crème Ultra HD Foundation Super Palettes - Creme Foundation Palette, Contour Makeup, Foundation for Professional Makeup Kit, Face Makeup for Full Coverage - Inclusion Collection</t>
        </is>
      </c>
      <c r="E1098" s="2">
        <f>HYPERLINK("https://www.amazon.com/Graftobian-Glamour-Creme-Foundation-Palette/dp/B07N495MB4/ref=sr_1_2?keywords=HD+Creme+Foundation+Palette&amp;qid=1695565422&amp;sr=8-2", "https://www.amazon.com/Graftobian-Glamour-Creme-Foundation-Palette/dp/B07N495MB4/ref=sr_1_2?keywords=HD+Creme+Foundation+Palette&amp;qid=1695565422&amp;sr=8-2")</f>
        <v/>
      </c>
      <c r="F1098" t="inlineStr">
        <is>
          <t>B07N495MB4</t>
        </is>
      </c>
      <c r="G1098">
        <f>_xlfn.IMAGE("https://camerareadycosmetics.com/cdn/shop/products/1006_zoom_1437526835_50x.jpg?v=1689623656")</f>
        <v/>
      </c>
      <c r="H1098">
        <f>_xlfn.IMAGE("https://m.media-amazon.com/images/I/51qeR2cIsWL._AC_UL320_.jpg")</f>
        <v/>
      </c>
      <c r="K1098" t="inlineStr">
        <is>
          <t>35.0</t>
        </is>
      </c>
      <c r="L1098" t="n">
        <v>88</v>
      </c>
      <c r="M1098" s="1" t="inlineStr">
        <is>
          <t>151.43%</t>
        </is>
      </c>
      <c r="N1098" t="n">
        <v>4.3</v>
      </c>
      <c r="O1098" t="n">
        <v>809</v>
      </c>
      <c r="Q1098" t="inlineStr">
        <is>
          <t>InStock</t>
        </is>
      </c>
      <c r="R1098" t="inlineStr">
        <is>
          <t>undefined</t>
        </is>
      </c>
      <c r="S1098" t="inlineStr">
        <is>
          <t>7034156167</t>
        </is>
      </c>
    </row>
    <row r="1099" ht="75" customHeight="1">
      <c r="A1099" s="2">
        <f>HYPERLINK("https://camerareadycosmetics.com/products/graftobian-hi-def-creme-foundation-palette", "https://camerareadycosmetics.com/products/graftobian-hi-def-creme-foundation-palette")</f>
        <v/>
      </c>
      <c r="B1099" s="2">
        <f>HYPERLINK("https://camerareadycosmetics.com/products/graftobian-hi-def-creme-foundation-palette", "https://camerareadycosmetics.com/products/graftobian-hi-def-creme-foundation-palette")</f>
        <v/>
      </c>
      <c r="C1099" t="inlineStr">
        <is>
          <t>HD Creme Foundation Palette</t>
        </is>
      </c>
      <c r="D1099" t="inlineStr">
        <is>
          <t>Graftobian HD Creme Global Corrector Super Palette</t>
        </is>
      </c>
      <c r="E1099" s="2">
        <f>HYPERLINK("https://www.amazon.com/Graftobian-Creme-Global-Corrector-Palette/dp/B00XZ3DJ6Q/ref=sr_1_6?keywords=HD+Creme+Foundation+Palette&amp;qid=1695565422&amp;sr=8-6", "https://www.amazon.com/Graftobian-Creme-Global-Corrector-Palette/dp/B00XZ3DJ6Q/ref=sr_1_6?keywords=HD+Creme+Foundation+Palette&amp;qid=1695565422&amp;sr=8-6")</f>
        <v/>
      </c>
      <c r="F1099" t="inlineStr">
        <is>
          <t>B00XZ3DJ6Q</t>
        </is>
      </c>
      <c r="G1099">
        <f>_xlfn.IMAGE("https://camerareadycosmetics.com/cdn/shop/products/1006_zoom_1437526835_50x.jpg?v=1689623656")</f>
        <v/>
      </c>
      <c r="H1099">
        <f>_xlfn.IMAGE("https://m.media-amazon.com/images/I/71Nz3CnSN2L._AC_UL320_.jpg")</f>
        <v/>
      </c>
      <c r="K1099" t="inlineStr">
        <is>
          <t>35.0</t>
        </is>
      </c>
      <c r="L1099" t="n">
        <v>75.59999999999999</v>
      </c>
      <c r="M1099" s="1" t="inlineStr">
        <is>
          <t>116.00%</t>
        </is>
      </c>
      <c r="N1099" t="n">
        <v>4.3</v>
      </c>
      <c r="O1099" t="n">
        <v>10</v>
      </c>
      <c r="Q1099" t="inlineStr">
        <is>
          <t>InStock</t>
        </is>
      </c>
      <c r="R1099" t="inlineStr">
        <is>
          <t>undefined</t>
        </is>
      </c>
      <c r="S1099" t="inlineStr">
        <is>
          <t>7034156167</t>
        </is>
      </c>
    </row>
    <row r="1100" ht="75" customHeight="1">
      <c r="A1100" s="2">
        <f>HYPERLINK("https://camerareadycosmetics.com/products/graftobian-hi-def-creme-foundation-palette", "https://camerareadycosmetics.com/products/graftobian-hi-def-creme-foundation-palette")</f>
        <v/>
      </c>
      <c r="B1100" s="2">
        <f>HYPERLINK("https://camerareadycosmetics.com/products/graftobian-hi-def-creme-foundation-palette", "https://camerareadycosmetics.com/products/graftobian-hi-def-creme-foundation-palette")</f>
        <v/>
      </c>
      <c r="C1100" t="inlineStr">
        <is>
          <t>HD Creme Foundation Palette</t>
        </is>
      </c>
      <c r="D1100" t="inlineStr">
        <is>
          <t>HD High-Definition Glamour Creme Palette, Neutral Specialty</t>
        </is>
      </c>
      <c r="E1100" s="2">
        <f>HYPERLINK("https://www.amazon.com/High-Definition-Glamour-Palette-Neutral-Specialty/dp/B004IGL8OY/ref=sr_1_7?keywords=HD+Creme+Foundation+Palette&amp;qid=1695565422&amp;sr=8-7", "https://www.amazon.com/High-Definition-Glamour-Palette-Neutral-Specialty/dp/B004IGL8OY/ref=sr_1_7?keywords=HD+Creme+Foundation+Palette&amp;qid=1695565422&amp;sr=8-7")</f>
        <v/>
      </c>
      <c r="F1100" t="inlineStr">
        <is>
          <t>B004IGL8OY</t>
        </is>
      </c>
      <c r="G1100">
        <f>_xlfn.IMAGE("https://camerareadycosmetics.com/cdn/shop/products/1006_zoom_1437526835_50x.jpg?v=1689623656")</f>
        <v/>
      </c>
      <c r="H1100">
        <f>_xlfn.IMAGE("https://m.media-amazon.com/images/I/71c5KcRGVZL._AC_UL320_.jpg")</f>
        <v/>
      </c>
      <c r="K1100" t="inlineStr">
        <is>
          <t>35.0</t>
        </is>
      </c>
      <c r="L1100" t="n">
        <v>29.94</v>
      </c>
      <c r="M1100" s="1" t="inlineStr">
        <is>
          <t>-14.46%</t>
        </is>
      </c>
      <c r="N1100" t="n">
        <v>4</v>
      </c>
      <c r="O1100" t="n">
        <v>7</v>
      </c>
      <c r="Q1100" t="inlineStr">
        <is>
          <t>InStock</t>
        </is>
      </c>
      <c r="R1100" t="inlineStr">
        <is>
          <t>undefined</t>
        </is>
      </c>
      <c r="S1100" t="inlineStr">
        <is>
          <t>7034156167</t>
        </is>
      </c>
    </row>
    <row r="1101" ht="75" customHeight="1">
      <c r="A1101" s="2">
        <f>HYPERLINK("https://camerareadycosmetics.com/products/graftobian-hi-def-creme-foundation-palette", "https://camerareadycosmetics.com/products/graftobian-hi-def-creme-foundation-palette")</f>
        <v/>
      </c>
      <c r="B1101" s="2">
        <f>HYPERLINK("https://camerareadycosmetics.com/products/graftobian-hi-def-creme-foundation-palette", "https://camerareadycosmetics.com/products/graftobian-hi-def-creme-foundation-palette")</f>
        <v/>
      </c>
      <c r="C1101" t="inlineStr">
        <is>
          <t>HD Creme Foundation Palette</t>
        </is>
      </c>
      <c r="D1101" t="inlineStr">
        <is>
          <t>Graftobian HD Glamour Creme Foundation Palette, Cool #1</t>
        </is>
      </c>
      <c r="E1101" s="2">
        <f>HYPERLINK("https://www.amazon.com/Graftobian-Glamour-Creme-Foundation-Palette/dp/B00462IFS2/ref=sr_1_1?keywords=HD+Creme+Foundation+Palette&amp;qid=1695565422&amp;sr=8-1", "https://www.amazon.com/Graftobian-Glamour-Creme-Foundation-Palette/dp/B00462IFS2/ref=sr_1_1?keywords=HD+Creme+Foundation+Palette&amp;qid=1695565422&amp;sr=8-1")</f>
        <v/>
      </c>
      <c r="F1101" t="inlineStr">
        <is>
          <t>B00462IFS2</t>
        </is>
      </c>
      <c r="G1101">
        <f>_xlfn.IMAGE("https://camerareadycosmetics.com/cdn/shop/products/1006_zoom_1437526835_50x.jpg?v=1689623656")</f>
        <v/>
      </c>
      <c r="H1101">
        <f>_xlfn.IMAGE("https://m.media-amazon.com/images/I/7134jzwzU6L._AC_UL320_.jpg")</f>
        <v/>
      </c>
      <c r="K1101" t="inlineStr">
        <is>
          <t>35.0</t>
        </is>
      </c>
      <c r="L1101" t="n">
        <v>28.8</v>
      </c>
      <c r="M1101" s="1" t="inlineStr">
        <is>
          <t>-17.71%</t>
        </is>
      </c>
      <c r="N1101" t="n">
        <v>4.3</v>
      </c>
      <c r="O1101" t="n">
        <v>398</v>
      </c>
      <c r="Q1101" t="inlineStr">
        <is>
          <t>InStock</t>
        </is>
      </c>
      <c r="R1101" t="inlineStr">
        <is>
          <t>undefined</t>
        </is>
      </c>
      <c r="S1101" t="inlineStr">
        <is>
          <t>7034156167</t>
        </is>
      </c>
    </row>
    <row r="1102" ht="75" customHeight="1">
      <c r="A1102" s="2">
        <f>HYPERLINK("https://camerareadycosmetics.com/products/graftobian-hi-def-creme-foundation-palette", "https://camerareadycosmetics.com/products/graftobian-hi-def-creme-foundation-palette")</f>
        <v/>
      </c>
      <c r="B1102" s="2">
        <f>HYPERLINK("https://camerareadycosmetics.com/products/graftobian-hi-def-creme-foundation-palette", "https://camerareadycosmetics.com/products/graftobian-hi-def-creme-foundation-palette")</f>
        <v/>
      </c>
      <c r="C1102" t="inlineStr">
        <is>
          <t>HD Creme Foundation Palette</t>
        </is>
      </c>
      <c r="D1102" t="inlineStr">
        <is>
          <t>Graftobian HD Glamour Crème Foundation Palette (Neutral #3) - High Definition 5 Color Makeup Palette, Cream Based Foundation Concealer and Contour Palette, Full Coverage - Deep Neutral Skin Shades</t>
        </is>
      </c>
      <c r="E1102" s="2">
        <f>HYPERLINK("https://www.amazon.com/High-Definition-Glamour-Creme-Palette-Neutral/dp/B07MVYK2PH/ref=sr_1_3?keywords=HD+Creme+Foundation+Palette&amp;qid=1695565422&amp;sr=8-3", "https://www.amazon.com/High-Definition-Glamour-Creme-Palette-Neutral/dp/B07MVYK2PH/ref=sr_1_3?keywords=HD+Creme+Foundation+Palette&amp;qid=1695565422&amp;sr=8-3")</f>
        <v/>
      </c>
      <c r="F1102" t="inlineStr">
        <is>
          <t>B07MVYK2PH</t>
        </is>
      </c>
      <c r="G1102">
        <f>_xlfn.IMAGE("https://camerareadycosmetics.com/cdn/shop/products/1006_zoom_1437526835_50x.jpg?v=1689623656")</f>
        <v/>
      </c>
      <c r="H1102">
        <f>_xlfn.IMAGE("https://m.media-amazon.com/images/I/716SDSGc9gL._AC_UL320_.jpg")</f>
        <v/>
      </c>
      <c r="K1102" t="inlineStr">
        <is>
          <t>35.0</t>
        </is>
      </c>
      <c r="L1102" t="n">
        <v>27</v>
      </c>
      <c r="M1102" s="1" t="inlineStr">
        <is>
          <t>-22.86%</t>
        </is>
      </c>
      <c r="N1102" t="n">
        <v>4.2</v>
      </c>
      <c r="O1102" t="n">
        <v>577</v>
      </c>
      <c r="Q1102" t="inlineStr">
        <is>
          <t>InStock</t>
        </is>
      </c>
      <c r="R1102" t="inlineStr">
        <is>
          <t>undefined</t>
        </is>
      </c>
      <c r="S1102" t="inlineStr">
        <is>
          <t>7034156167</t>
        </is>
      </c>
    </row>
    <row r="1103" ht="75" customHeight="1">
      <c r="A1103" s="2">
        <f>HYPERLINK("https://camerareadycosmetics.com/products/graftobian-hi-def-creme-foundation-palette", "https://camerareadycosmetics.com/products/graftobian-hi-def-creme-foundation-palette")</f>
        <v/>
      </c>
      <c r="B1103" s="2">
        <f>HYPERLINK("https://camerareadycosmetics.com/products/graftobian-hi-def-creme-foundation-palette", "https://camerareadycosmetics.com/products/graftobian-hi-def-creme-foundation-palette")</f>
        <v/>
      </c>
      <c r="C1103" t="inlineStr">
        <is>
          <t>HD Creme Foundation Palette</t>
        </is>
      </c>
      <c r="D1103" t="inlineStr">
        <is>
          <t>HD High-Definition Glamour Creme Palette, Neutral #2</t>
        </is>
      </c>
      <c r="E1103" s="2">
        <f>HYPERLINK("https://www.amazon.com/High-Definition-Glamour-Creme-Palette-Neutral/dp/B004IGGHW2/ref=sr_1_5?keywords=HD+Creme+Foundation+Palette&amp;qid=1695565422&amp;sr=8-5", "https://www.amazon.com/High-Definition-Glamour-Creme-Palette-Neutral/dp/B004IGGHW2/ref=sr_1_5?keywords=HD+Creme+Foundation+Palette&amp;qid=1695565422&amp;sr=8-5")</f>
        <v/>
      </c>
      <c r="F1103" t="inlineStr">
        <is>
          <t>B004IGGHW2</t>
        </is>
      </c>
      <c r="G1103">
        <f>_xlfn.IMAGE("https://camerareadycosmetics.com/cdn/shop/products/1006_zoom_1437526835_50x.jpg?v=1689623656")</f>
        <v/>
      </c>
      <c r="H1103">
        <f>_xlfn.IMAGE("https://m.media-amazon.com/images/I/71JpagSlQJL._AC_UL320_.jpg")</f>
        <v/>
      </c>
      <c r="K1103" t="inlineStr">
        <is>
          <t>35.0</t>
        </is>
      </c>
      <c r="L1103" t="n">
        <v>27</v>
      </c>
      <c r="M1103" s="1" t="inlineStr">
        <is>
          <t>-22.86%</t>
        </is>
      </c>
      <c r="N1103" t="n">
        <v>3.7</v>
      </c>
      <c r="O1103" t="n">
        <v>53</v>
      </c>
      <c r="Q1103" t="inlineStr">
        <is>
          <t>InStock</t>
        </is>
      </c>
      <c r="R1103" t="inlineStr">
        <is>
          <t>undefined</t>
        </is>
      </c>
      <c r="S1103" t="inlineStr">
        <is>
          <t>7034156167</t>
        </is>
      </c>
    </row>
    <row r="1104" ht="75" customHeight="1">
      <c r="A1104" s="2">
        <f>HYPERLINK("https://camerareadycosmetics.com/products/graftobian-hi-def-glamour-creme-corrector-palette", "https://camerareadycosmetics.com/products/graftobian-hi-def-glamour-creme-corrector-palette")</f>
        <v/>
      </c>
      <c r="B1104" s="2">
        <f>HYPERLINK("https://camerareadycosmetics.com/products/graftobian-hi-def-glamour-creme-corrector-palette", "https://camerareadycosmetics.com/products/graftobian-hi-def-glamour-creme-corrector-palette")</f>
        <v/>
      </c>
      <c r="C1104" t="inlineStr">
        <is>
          <t>HD Glamour Creme Corrector Palette</t>
        </is>
      </c>
      <c r="D1104" t="inlineStr">
        <is>
          <t>Graftobian HD Creme Global Corrector Super Palette</t>
        </is>
      </c>
      <c r="E1104" s="2">
        <f>HYPERLINK("https://www.amazon.com/Graftobian-Creme-Global-Corrector-Palette/dp/B00XZ3DJ6Q/ref=sr_1_4?keywords=HD+Glamour+Creme+Corrector+Palette&amp;qid=1695565478&amp;sr=8-4", "https://www.amazon.com/Graftobian-Creme-Global-Corrector-Palette/dp/B00XZ3DJ6Q/ref=sr_1_4?keywords=HD+Glamour+Creme+Corrector+Palette&amp;qid=1695565478&amp;sr=8-4")</f>
        <v/>
      </c>
      <c r="F1104" t="inlineStr">
        <is>
          <t>B00XZ3DJ6Q</t>
        </is>
      </c>
      <c r="G1104">
        <f>_xlfn.IMAGE("https://camerareadycosmetics.com/cdn/shop/products/125135000__06783.1430264228.600.600_50x.jpeg?v=1689623701")</f>
        <v/>
      </c>
      <c r="H1104">
        <f>_xlfn.IMAGE("https://m.media-amazon.com/images/I/71Nz3CnSN2L._AC_UL320_.jpg")</f>
        <v/>
      </c>
      <c r="K1104" t="inlineStr">
        <is>
          <t>35.0</t>
        </is>
      </c>
      <c r="L1104" t="n">
        <v>75.59999999999999</v>
      </c>
      <c r="M1104" s="1" t="inlineStr">
        <is>
          <t>116.00%</t>
        </is>
      </c>
      <c r="N1104" t="n">
        <v>4.3</v>
      </c>
      <c r="O1104" t="n">
        <v>10</v>
      </c>
      <c r="Q1104" t="inlineStr">
        <is>
          <t>InStock</t>
        </is>
      </c>
      <c r="R1104" t="inlineStr">
        <is>
          <t>undefined</t>
        </is>
      </c>
      <c r="S1104" t="inlineStr">
        <is>
          <t>7034159943</t>
        </is>
      </c>
    </row>
    <row r="1105" ht="75" customHeight="1">
      <c r="A1105" s="2">
        <f>HYPERLINK("https://camerareadycosmetics.com/products/graftobian-hi-def-glamour-creme-corrector-palette", "https://camerareadycosmetics.com/products/graftobian-hi-def-glamour-creme-corrector-palette")</f>
        <v/>
      </c>
      <c r="B1105" s="2">
        <f>HYPERLINK("https://camerareadycosmetics.com/products/graftobian-hi-def-glamour-creme-corrector-palette", "https://camerareadycosmetics.com/products/graftobian-hi-def-glamour-creme-corrector-palette")</f>
        <v/>
      </c>
      <c r="C1105" t="inlineStr">
        <is>
          <t>HD Glamour Creme Corrector Palette</t>
        </is>
      </c>
      <c r="D1105" t="inlineStr">
        <is>
          <t>HD Glamour Creme Palette, Corrector Light</t>
        </is>
      </c>
      <c r="E1105" s="2">
        <f>HYPERLINK("https://www.amazon.com/Glamour-Creme-Palette-Corrector-Light/dp/B00462OE3M/ref=sr_1_1?keywords=HD+Glamour+Creme+Corrector+Palette&amp;qid=1695565478&amp;sr=8-1", "https://www.amazon.com/Glamour-Creme-Palette-Corrector-Light/dp/B00462OE3M/ref=sr_1_1?keywords=HD+Glamour+Creme+Corrector+Palette&amp;qid=1695565478&amp;sr=8-1")</f>
        <v/>
      </c>
      <c r="F1105" t="inlineStr">
        <is>
          <t>B00462OE3M</t>
        </is>
      </c>
      <c r="G1105">
        <f>_xlfn.IMAGE("https://camerareadycosmetics.com/cdn/shop/products/125135000__06783.1430264228.600.600_50x.jpeg?v=1689623701")</f>
        <v/>
      </c>
      <c r="H1105">
        <f>_xlfn.IMAGE("https://m.media-amazon.com/images/I/611KzPmS+jS._AC_UL320_.jpg")</f>
        <v/>
      </c>
      <c r="K1105" t="inlineStr">
        <is>
          <t>35.0</t>
        </is>
      </c>
      <c r="L1105" t="n">
        <v>31.5</v>
      </c>
      <c r="M1105" s="1" t="inlineStr">
        <is>
          <t>-10.00%</t>
        </is>
      </c>
      <c r="N1105" t="n">
        <v>4</v>
      </c>
      <c r="O1105" t="n">
        <v>128</v>
      </c>
      <c r="Q1105" t="inlineStr">
        <is>
          <t>InStock</t>
        </is>
      </c>
      <c r="R1105" t="inlineStr">
        <is>
          <t>undefined</t>
        </is>
      </c>
      <c r="S1105" t="inlineStr">
        <is>
          <t>7034159943</t>
        </is>
      </c>
    </row>
    <row r="1106" ht="75" customHeight="1">
      <c r="A1106" s="2">
        <f>HYPERLINK("https://camerareadycosmetics.com/products/graftobian-hi-def-glamour-creme-corrector-palette", "https://camerareadycosmetics.com/products/graftobian-hi-def-glamour-creme-corrector-palette")</f>
        <v/>
      </c>
      <c r="B1106" s="2">
        <f>HYPERLINK("https://camerareadycosmetics.com/products/graftobian-hi-def-glamour-creme-corrector-palette", "https://camerareadycosmetics.com/products/graftobian-hi-def-glamour-creme-corrector-palette")</f>
        <v/>
      </c>
      <c r="C1106" t="inlineStr">
        <is>
          <t>HD Glamour Creme Corrector Palette</t>
        </is>
      </c>
      <c r="D1106" t="inlineStr">
        <is>
          <t>HD High-Definition Glamour Creme Palette, Neutral Specialty</t>
        </is>
      </c>
      <c r="E1106" s="2">
        <f>HYPERLINK("https://www.amazon.com/High-Definition-Glamour-Palette-Neutral-Specialty/dp/B004IGL8OY/ref=sr_1_7?keywords=HD+Glamour+Creme+Corrector+Palette&amp;qid=1695565478&amp;sr=8-7", "https://www.amazon.com/High-Definition-Glamour-Palette-Neutral-Specialty/dp/B004IGL8OY/ref=sr_1_7?keywords=HD+Glamour+Creme+Corrector+Palette&amp;qid=1695565478&amp;sr=8-7")</f>
        <v/>
      </c>
      <c r="F1106" t="inlineStr">
        <is>
          <t>B004IGL8OY</t>
        </is>
      </c>
      <c r="G1106">
        <f>_xlfn.IMAGE("https://camerareadycosmetics.com/cdn/shop/products/125135000__06783.1430264228.600.600_50x.jpeg?v=1689623701")</f>
        <v/>
      </c>
      <c r="H1106">
        <f>_xlfn.IMAGE("https://m.media-amazon.com/images/I/71c5KcRGVZL._AC_UL320_.jpg")</f>
        <v/>
      </c>
      <c r="K1106" t="inlineStr">
        <is>
          <t>35.0</t>
        </is>
      </c>
      <c r="L1106" t="n">
        <v>29.94</v>
      </c>
      <c r="M1106" s="1" t="inlineStr">
        <is>
          <t>-14.46%</t>
        </is>
      </c>
      <c r="N1106" t="n">
        <v>4</v>
      </c>
      <c r="O1106" t="n">
        <v>7</v>
      </c>
      <c r="Q1106" t="inlineStr">
        <is>
          <t>InStock</t>
        </is>
      </c>
      <c r="R1106" t="inlineStr">
        <is>
          <t>undefined</t>
        </is>
      </c>
      <c r="S1106" t="inlineStr">
        <is>
          <t>7034159943</t>
        </is>
      </c>
    </row>
    <row r="1107" ht="75" customHeight="1">
      <c r="A1107" s="2">
        <f>HYPERLINK("https://camerareadycosmetics.com/products/graftobian-hi-def-glamour-creme-corrector-palette", "https://camerareadycosmetics.com/products/graftobian-hi-def-glamour-creme-corrector-palette")</f>
        <v/>
      </c>
      <c r="B1107" s="2">
        <f>HYPERLINK("https://camerareadycosmetics.com/products/graftobian-hi-def-glamour-creme-corrector-palette", "https://camerareadycosmetics.com/products/graftobian-hi-def-glamour-creme-corrector-palette")</f>
        <v/>
      </c>
      <c r="C1107" t="inlineStr">
        <is>
          <t>HD Glamour Creme Corrector Palette</t>
        </is>
      </c>
      <c r="D1107" t="inlineStr">
        <is>
          <t>HD High-Definition Glamour Creme Palette, Neutral #2</t>
        </is>
      </c>
      <c r="E1107" s="2">
        <f>HYPERLINK("https://www.amazon.com/High-Definition-Glamour-Creme-Palette-Neutral/dp/B004IGGHW2/ref=sr_1_6?keywords=HD+Glamour+Creme+Corrector+Palette&amp;qid=1695565478&amp;sr=8-6", "https://www.amazon.com/High-Definition-Glamour-Creme-Palette-Neutral/dp/B004IGGHW2/ref=sr_1_6?keywords=HD+Glamour+Creme+Corrector+Palette&amp;qid=1695565478&amp;sr=8-6")</f>
        <v/>
      </c>
      <c r="F1107" t="inlineStr">
        <is>
          <t>B004IGGHW2</t>
        </is>
      </c>
      <c r="G1107">
        <f>_xlfn.IMAGE("https://camerareadycosmetics.com/cdn/shop/products/125135000__06783.1430264228.600.600_50x.jpeg?v=1689623701")</f>
        <v/>
      </c>
      <c r="H1107">
        <f>_xlfn.IMAGE("https://m.media-amazon.com/images/I/71JpagSlQJL._AC_UL320_.jpg")</f>
        <v/>
      </c>
      <c r="K1107" t="inlineStr">
        <is>
          <t>35.0</t>
        </is>
      </c>
      <c r="L1107" t="n">
        <v>27</v>
      </c>
      <c r="M1107" s="1" t="inlineStr">
        <is>
          <t>-22.86%</t>
        </is>
      </c>
      <c r="N1107" t="n">
        <v>3.7</v>
      </c>
      <c r="O1107" t="n">
        <v>53</v>
      </c>
      <c r="Q1107" t="inlineStr">
        <is>
          <t>InStock</t>
        </is>
      </c>
      <c r="R1107" t="inlineStr">
        <is>
          <t>undefined</t>
        </is>
      </c>
      <c r="S1107" t="inlineStr">
        <is>
          <t>7034159943</t>
        </is>
      </c>
    </row>
    <row r="1108" ht="75" customHeight="1">
      <c r="A1108" s="2">
        <f>HYPERLINK("https://camerareadycosmetics.com/products/graftobian-hi-def-glamour-creme-foundation", "https://camerareadycosmetics.com/products/graftobian-hi-def-glamour-creme-foundation")</f>
        <v/>
      </c>
      <c r="B1108" s="2">
        <f>HYPERLINK("https://camerareadycosmetics.com/products/graftobian-hi-def-glamour-creme-foundation", "https://camerareadycosmetics.com/products/graftobian-hi-def-glamour-creme-foundation")</f>
        <v/>
      </c>
      <c r="C1108" t="inlineStr">
        <is>
          <t>HD Glamour Creme Foundation</t>
        </is>
      </c>
      <c r="D1108" t="inlineStr">
        <is>
          <t>Graftobian Neutral HD Glamour Creme Foundation Super Palette - 18 High Definition Cream Makeup Shades</t>
        </is>
      </c>
      <c r="E1108" s="2">
        <f>HYPERLINK("https://www.amazon.com/Graftobian-HD-Creme-Foundation-Palette/dp/B004IBU2O6/ref=sr_1_2?keywords=HD+Glamour+Creme+Foundation&amp;qid=1695565427&amp;sr=8-2", "https://www.amazon.com/Graftobian-HD-Creme-Foundation-Palette/dp/B004IBU2O6/ref=sr_1_2?keywords=HD+Glamour+Creme+Foundation&amp;qid=1695565427&amp;sr=8-2")</f>
        <v/>
      </c>
      <c r="F1108" t="inlineStr">
        <is>
          <t>B004IBU2O6</t>
        </is>
      </c>
      <c r="G1108">
        <f>_xlfn.IMAGE("https://camerareadycosmetics.com/cdn/shop/products/54_50x.jpg?v=1689623809")</f>
        <v/>
      </c>
      <c r="H1108">
        <f>_xlfn.IMAGE("https://m.media-amazon.com/images/I/71Ta4y+zoKL._AC_UL320_.jpg")</f>
        <v/>
      </c>
      <c r="K1108" t="inlineStr">
        <is>
          <t>28.0</t>
        </is>
      </c>
      <c r="L1108" t="n">
        <v>76.61</v>
      </c>
      <c r="M1108" s="1" t="inlineStr">
        <is>
          <t>173.61%</t>
        </is>
      </c>
      <c r="N1108" t="n">
        <v>4.3</v>
      </c>
      <c r="O1108" t="n">
        <v>809</v>
      </c>
      <c r="Q1108" t="inlineStr">
        <is>
          <t>InStock</t>
        </is>
      </c>
      <c r="R1108" t="inlineStr">
        <is>
          <t>undefined</t>
        </is>
      </c>
      <c r="S1108" t="inlineStr">
        <is>
          <t>7034167879</t>
        </is>
      </c>
    </row>
    <row r="1109" ht="75" customHeight="1">
      <c r="A1109" s="2">
        <f>HYPERLINK("https://camerareadycosmetics.com/products/graftobian-hi-def-glamour-creme-foundation", "https://camerareadycosmetics.com/products/graftobian-hi-def-glamour-creme-foundation")</f>
        <v/>
      </c>
      <c r="B1109" s="2">
        <f>HYPERLINK("https://camerareadycosmetics.com/products/graftobian-hi-def-glamour-creme-foundation", "https://camerareadycosmetics.com/products/graftobian-hi-def-glamour-creme-foundation")</f>
        <v/>
      </c>
      <c r="C1109" t="inlineStr">
        <is>
          <t>HD Glamour Creme Foundation</t>
        </is>
      </c>
      <c r="D1109" t="inlineStr">
        <is>
          <t>Graftobian HD Glamour Crème Foundation Palette (Highlight &amp; Contour Light) - High Definition 5 Color Makeup Palette, Cream Based Hi-Lite and Contour Palette, Full Coverage - Light Skin Shades</t>
        </is>
      </c>
      <c r="E1109" s="2">
        <f>HYPERLINK("https://www.amazon.com/Graftobian-Foundation-Palette-Hi-Lite-Contour/dp/B01LMMNVHI/ref=sr_1_4?keywords=HD+Glamour+Creme+Foundation&amp;qid=1695565427&amp;sr=8-4", "https://www.amazon.com/Graftobian-Foundation-Palette-Hi-Lite-Contour/dp/B01LMMNVHI/ref=sr_1_4?keywords=HD+Glamour+Creme+Foundation&amp;qid=1695565427&amp;sr=8-4")</f>
        <v/>
      </c>
      <c r="F1109" t="inlineStr">
        <is>
          <t>B01LMMNVHI</t>
        </is>
      </c>
      <c r="G1109">
        <f>_xlfn.IMAGE("https://camerareadycosmetics.com/cdn/shop/products/54_50x.jpg?v=1689623809")</f>
        <v/>
      </c>
      <c r="H1109">
        <f>_xlfn.IMAGE("https://m.media-amazon.com/images/I/714TrHFvCiL._AC_UL320_.jpg")</f>
        <v/>
      </c>
      <c r="K1109" t="inlineStr">
        <is>
          <t>28.0</t>
        </is>
      </c>
      <c r="L1109" t="n">
        <v>32</v>
      </c>
      <c r="M1109" s="1" t="inlineStr">
        <is>
          <t>14.29%</t>
        </is>
      </c>
      <c r="N1109" t="n">
        <v>4.2</v>
      </c>
      <c r="O1109" t="n">
        <v>577</v>
      </c>
      <c r="Q1109" t="inlineStr">
        <is>
          <t>InStock</t>
        </is>
      </c>
      <c r="R1109" t="inlineStr">
        <is>
          <t>undefined</t>
        </is>
      </c>
      <c r="S1109" t="inlineStr">
        <is>
          <t>7034167879</t>
        </is>
      </c>
    </row>
    <row r="1110" ht="75" customHeight="1">
      <c r="A1110" s="2">
        <f>HYPERLINK("https://camerareadycosmetics.com/products/graftobian-hi-def-glamour-creme-foundation", "https://camerareadycosmetics.com/products/graftobian-hi-def-glamour-creme-foundation")</f>
        <v/>
      </c>
      <c r="B1110" s="2">
        <f>HYPERLINK("https://camerareadycosmetics.com/products/graftobian-hi-def-glamour-creme-foundation", "https://camerareadycosmetics.com/products/graftobian-hi-def-glamour-creme-foundation")</f>
        <v/>
      </c>
      <c r="C1110" t="inlineStr">
        <is>
          <t>HD Glamour Creme Foundation</t>
        </is>
      </c>
      <c r="D1110" t="inlineStr">
        <is>
          <t>HD High-Definition Glamour Creme Palette, Neutral Specialty</t>
        </is>
      </c>
      <c r="E1110" s="2">
        <f>HYPERLINK("https://www.amazon.com/High-Definition-Glamour-Palette-Neutral-Specialty/dp/B004IGL8OY/ref=sr_1_7?keywords=HD+Glamour+Creme+Foundation&amp;qid=1695565427&amp;sr=8-7", "https://www.amazon.com/High-Definition-Glamour-Palette-Neutral-Specialty/dp/B004IGL8OY/ref=sr_1_7?keywords=HD+Glamour+Creme+Foundation&amp;qid=1695565427&amp;sr=8-7")</f>
        <v/>
      </c>
      <c r="F1110" t="inlineStr">
        <is>
          <t>B004IGL8OY</t>
        </is>
      </c>
      <c r="G1110">
        <f>_xlfn.IMAGE("https://camerareadycosmetics.com/cdn/shop/products/54_50x.jpg?v=1689623809")</f>
        <v/>
      </c>
      <c r="H1110">
        <f>_xlfn.IMAGE("https://m.media-amazon.com/images/I/71c5KcRGVZL._AC_UL320_.jpg")</f>
        <v/>
      </c>
      <c r="K1110" t="inlineStr">
        <is>
          <t>28.0</t>
        </is>
      </c>
      <c r="L1110" t="n">
        <v>29.94</v>
      </c>
      <c r="M1110" s="1" t="inlineStr">
        <is>
          <t>6.93%</t>
        </is>
      </c>
      <c r="N1110" t="n">
        <v>4</v>
      </c>
      <c r="O1110" t="n">
        <v>7</v>
      </c>
      <c r="Q1110" t="inlineStr">
        <is>
          <t>InStock</t>
        </is>
      </c>
      <c r="R1110" t="inlineStr">
        <is>
          <t>undefined</t>
        </is>
      </c>
      <c r="S1110" t="inlineStr">
        <is>
          <t>7034167879</t>
        </is>
      </c>
    </row>
    <row r="1111" ht="75" customHeight="1">
      <c r="A1111" s="2">
        <f>HYPERLINK("https://camerareadycosmetics.com/products/graftobian-hi-def-glamour-creme-foundation", "https://camerareadycosmetics.com/products/graftobian-hi-def-glamour-creme-foundation")</f>
        <v/>
      </c>
      <c r="B1111" s="2">
        <f>HYPERLINK("https://camerareadycosmetics.com/products/graftobian-hi-def-glamour-creme-foundation", "https://camerareadycosmetics.com/products/graftobian-hi-def-glamour-creme-foundation")</f>
        <v/>
      </c>
      <c r="C1111" t="inlineStr">
        <is>
          <t>HD Glamour Creme Foundation</t>
        </is>
      </c>
      <c r="D1111" t="inlineStr">
        <is>
          <t>HD High-Definition Glamour Creme Palette, Neutral #2</t>
        </is>
      </c>
      <c r="E1111" s="2">
        <f>HYPERLINK("https://www.amazon.com/High-Definition-Glamour-Creme-Palette-Neutral/dp/B004IGGHW2/ref=sr_1_5?keywords=HD+Glamour+Creme+Foundation&amp;qid=1695565427&amp;sr=8-5", "https://www.amazon.com/High-Definition-Glamour-Creme-Palette-Neutral/dp/B004IGGHW2/ref=sr_1_5?keywords=HD+Glamour+Creme+Foundation&amp;qid=1695565427&amp;sr=8-5")</f>
        <v/>
      </c>
      <c r="F1111" t="inlineStr">
        <is>
          <t>B004IGGHW2</t>
        </is>
      </c>
      <c r="G1111">
        <f>_xlfn.IMAGE("https://camerareadycosmetics.com/cdn/shop/products/54_50x.jpg?v=1689623809")</f>
        <v/>
      </c>
      <c r="H1111">
        <f>_xlfn.IMAGE("https://m.media-amazon.com/images/I/71JpagSlQJL._AC_UL320_.jpg")</f>
        <v/>
      </c>
      <c r="K1111" t="inlineStr">
        <is>
          <t>28.0</t>
        </is>
      </c>
      <c r="L1111" t="n">
        <v>27</v>
      </c>
      <c r="M1111" s="1" t="inlineStr">
        <is>
          <t>-3.57%</t>
        </is>
      </c>
      <c r="N1111" t="n">
        <v>3.7</v>
      </c>
      <c r="O1111" t="n">
        <v>53</v>
      </c>
      <c r="Q1111" t="inlineStr">
        <is>
          <t>InStock</t>
        </is>
      </c>
      <c r="R1111" t="inlineStr">
        <is>
          <t>undefined</t>
        </is>
      </c>
      <c r="S1111" t="inlineStr">
        <is>
          <t>7034167879</t>
        </is>
      </c>
    </row>
    <row r="1112" ht="75" customHeight="1">
      <c r="A1112" s="2">
        <f>HYPERLINK("https://camerareadycosmetics.com/products/graftobian-hi-def-glamour-creme-foundation", "https://camerareadycosmetics.com/products/graftobian-hi-def-glamour-creme-foundation")</f>
        <v/>
      </c>
      <c r="B1112" s="2">
        <f>HYPERLINK("https://camerareadycosmetics.com/products/graftobian-hi-def-glamour-creme-foundation", "https://camerareadycosmetics.com/products/graftobian-hi-def-glamour-creme-foundation")</f>
        <v/>
      </c>
      <c r="C1112" t="inlineStr">
        <is>
          <t>HD Glamour Creme Foundation</t>
        </is>
      </c>
      <c r="D1112" t="inlineStr">
        <is>
          <t>Graftobian HD Glamour Crème Foundation 1/2oz, Weightless Full Coverage Makeup, 65 Inclusive Shades, For All Skin Types, Natural or Full-Glam Looks, For Professionals and Beginners, Midnight Marigold</t>
        </is>
      </c>
      <c r="E1112" s="2">
        <f>HYPERLINK("https://www.amazon.com/Graftobian-Glamour-Foundation-Midnight-Marigold/dp/B007QZAVHY/ref=sr_1_1?keywords=HD+Glamour+Creme+Foundation&amp;qid=1695565427&amp;sr=8-1", "https://www.amazon.com/Graftobian-Glamour-Foundation-Midnight-Marigold/dp/B007QZAVHY/ref=sr_1_1?keywords=HD+Glamour+Creme+Foundation&amp;qid=1695565427&amp;sr=8-1")</f>
        <v/>
      </c>
      <c r="F1112" t="inlineStr">
        <is>
          <t>B007QZAVHY</t>
        </is>
      </c>
      <c r="G1112">
        <f>_xlfn.IMAGE("https://camerareadycosmetics.com/cdn/shop/products/54_50x.jpg?v=1689623809")</f>
        <v/>
      </c>
      <c r="H1112">
        <f>_xlfn.IMAGE("https://m.media-amazon.com/images/I/81RnxnLoFlL._AC_UL320_.jpg")</f>
        <v/>
      </c>
      <c r="K1112" t="inlineStr">
        <is>
          <t>28.0</t>
        </is>
      </c>
      <c r="L1112" t="n">
        <v>24.04</v>
      </c>
      <c r="M1112" s="1" t="inlineStr">
        <is>
          <t>-14.14%</t>
        </is>
      </c>
      <c r="N1112" t="n">
        <v>4.3</v>
      </c>
      <c r="O1112" t="n">
        <v>324</v>
      </c>
      <c r="Q1112" t="inlineStr">
        <is>
          <t>InStock</t>
        </is>
      </c>
      <c r="R1112" t="inlineStr">
        <is>
          <t>undefined</t>
        </is>
      </c>
      <c r="S1112" t="inlineStr">
        <is>
          <t>7034167879</t>
        </is>
      </c>
    </row>
    <row r="1113" ht="75" customHeight="1">
      <c r="A1113" s="2">
        <f>HYPERLINK("https://camerareadycosmetics.com/products/graftobian-hi-def-glamour-creme-super-palette", "https://camerareadycosmetics.com/products/graftobian-hi-def-glamour-creme-super-palette")</f>
        <v/>
      </c>
      <c r="B1113" s="2">
        <f>HYPERLINK("https://camerareadycosmetics.com/products/graftobian-hi-def-glamour-creme-super-palette", "https://camerareadycosmetics.com/products/graftobian-hi-def-glamour-creme-super-palette")</f>
        <v/>
      </c>
      <c r="C1113" t="inlineStr">
        <is>
          <t>HD Glamour Creme Super Palette</t>
        </is>
      </c>
      <c r="D1113" t="inlineStr">
        <is>
          <t>Graftobian Super Palettes PROPAK- Creme Makeup Palette- Cream Foundation Palette- HD Foundation Makeup- High Definition Cream Palette, Corrector Palette and Lip Colors- 5 Pack Original Super Palettes</t>
        </is>
      </c>
      <c r="E1113" s="2">
        <f>HYPERLINK("https://www.amazon.com/Graftobian-Cr%C3%A8me-Foundation-Palette-PROPAK/dp/B004P4N5QS/ref=sr_1_2?keywords=HD+Glamour+Creme+Super+Palette&amp;qid=1695565426&amp;sr=8-2", "https://www.amazon.com/Graftobian-Cr%C3%A8me-Foundation-Palette-PROPAK/dp/B004P4N5QS/ref=sr_1_2?keywords=HD+Glamour+Creme+Super+Palette&amp;qid=1695565426&amp;sr=8-2")</f>
        <v/>
      </c>
      <c r="F1113" t="inlineStr">
        <is>
          <t>B004P4N5QS</t>
        </is>
      </c>
      <c r="G1113">
        <f>_xlfn.IMAGE("https://camerareadycosmetics.com/cdn/shop/products/4608_zoom_1430358327_50x.jpg?v=1689626865")</f>
        <v/>
      </c>
      <c r="H1113">
        <f>_xlfn.IMAGE("https://m.media-amazon.com/images/I/71jAEC21TqL._AC_UL320_.jpg")</f>
        <v/>
      </c>
      <c r="K1113" t="inlineStr">
        <is>
          <t>88.0</t>
        </is>
      </c>
      <c r="L1113" t="n">
        <v>319.99</v>
      </c>
      <c r="M1113" s="1" t="inlineStr">
        <is>
          <t>263.62%</t>
        </is>
      </c>
      <c r="N1113" t="n">
        <v>3.9</v>
      </c>
      <c r="O1113" t="n">
        <v>23</v>
      </c>
      <c r="Q1113" t="inlineStr">
        <is>
          <t>InStock</t>
        </is>
      </c>
      <c r="R1113" t="inlineStr">
        <is>
          <t>undefined</t>
        </is>
      </c>
      <c r="S1113" t="inlineStr">
        <is>
          <t>7034760775</t>
        </is>
      </c>
    </row>
    <row r="1114" ht="75" customHeight="1">
      <c r="A1114" s="2">
        <f>HYPERLINK("https://camerareadycosmetics.com/products/graftobian-hi-def-glamour-creme-super-palette", "https://camerareadycosmetics.com/products/graftobian-hi-def-glamour-creme-super-palette")</f>
        <v/>
      </c>
      <c r="B1114" s="2">
        <f>HYPERLINK("https://camerareadycosmetics.com/products/graftobian-hi-def-glamour-creme-super-palette", "https://camerareadycosmetics.com/products/graftobian-hi-def-glamour-creme-super-palette")</f>
        <v/>
      </c>
      <c r="C1114" t="inlineStr">
        <is>
          <t>HD Glamour Creme Super Palette</t>
        </is>
      </c>
      <c r="D1114" t="inlineStr">
        <is>
          <t>Graftobian Neutral HD Glamour Creme Foundation Super Palette - 18 High Definition Cream Makeup Shades</t>
        </is>
      </c>
      <c r="E1114" s="2">
        <f>HYPERLINK("https://www.amazon.com/Graftobian-HD-Creme-Foundation-Palette/dp/B004IBU2O6/ref=sr_1_1?keywords=HD+Glamour+Creme+Super+Palette&amp;qid=1695565426&amp;sr=8-1", "https://www.amazon.com/Graftobian-HD-Creme-Foundation-Palette/dp/B004IBU2O6/ref=sr_1_1?keywords=HD+Glamour+Creme+Super+Palette&amp;qid=1695565426&amp;sr=8-1")</f>
        <v/>
      </c>
      <c r="F1114" t="inlineStr">
        <is>
          <t>B004IBU2O6</t>
        </is>
      </c>
      <c r="G1114">
        <f>_xlfn.IMAGE("https://camerareadycosmetics.com/cdn/shop/products/4608_zoom_1430358327_50x.jpg?v=1689626865")</f>
        <v/>
      </c>
      <c r="H1114">
        <f>_xlfn.IMAGE("https://m.media-amazon.com/images/I/71Ta4y+zoKL._AC_UL320_.jpg")</f>
        <v/>
      </c>
      <c r="K1114" t="inlineStr">
        <is>
          <t>88.0</t>
        </is>
      </c>
      <c r="L1114" t="n">
        <v>79.2</v>
      </c>
      <c r="M1114" s="1" t="inlineStr">
        <is>
          <t>-10.00%</t>
        </is>
      </c>
      <c r="N1114" t="n">
        <v>4.3</v>
      </c>
      <c r="O1114" t="n">
        <v>809</v>
      </c>
      <c r="Q1114" t="inlineStr">
        <is>
          <t>InStock</t>
        </is>
      </c>
      <c r="R1114" t="inlineStr">
        <is>
          <t>undefined</t>
        </is>
      </c>
      <c r="S1114" t="inlineStr">
        <is>
          <t>7034760775</t>
        </is>
      </c>
    </row>
    <row r="1115" ht="75" customHeight="1">
      <c r="A1115" s="2">
        <f>HYPERLINK("https://camerareadycosmetics.com/products/graftobian-hi-def-glamour-creme-super-palette", "https://camerareadycosmetics.com/products/graftobian-hi-def-glamour-creme-super-palette")</f>
        <v/>
      </c>
      <c r="B1115" s="2">
        <f>HYPERLINK("https://camerareadycosmetics.com/products/graftobian-hi-def-glamour-creme-super-palette", "https://camerareadycosmetics.com/products/graftobian-hi-def-glamour-creme-super-palette")</f>
        <v/>
      </c>
      <c r="C1115" t="inlineStr">
        <is>
          <t>HD Glamour Creme Super Palette</t>
        </is>
      </c>
      <c r="D1115" t="inlineStr">
        <is>
          <t>HD High-Definition Glamour Creme Palette, Neutral Specialty</t>
        </is>
      </c>
      <c r="E1115" s="2">
        <f>HYPERLINK("https://www.amazon.com/High-Definition-Glamour-Palette-Neutral-Specialty/dp/B004IGL8OY/ref=sr_1_3?keywords=HD+Glamour+Creme+Super+Palette&amp;qid=1695565426&amp;sr=8-3", "https://www.amazon.com/High-Definition-Glamour-Palette-Neutral-Specialty/dp/B004IGL8OY/ref=sr_1_3?keywords=HD+Glamour+Creme+Super+Palette&amp;qid=1695565426&amp;sr=8-3")</f>
        <v/>
      </c>
      <c r="F1115" t="inlineStr">
        <is>
          <t>B004IGL8OY</t>
        </is>
      </c>
      <c r="G1115">
        <f>_xlfn.IMAGE("https://camerareadycosmetics.com/cdn/shop/products/4608_zoom_1430358327_50x.jpg?v=1689626865")</f>
        <v/>
      </c>
      <c r="H1115">
        <f>_xlfn.IMAGE("https://m.media-amazon.com/images/I/71c5KcRGVZL._AC_UL320_.jpg")</f>
        <v/>
      </c>
      <c r="K1115" t="inlineStr">
        <is>
          <t>88.0</t>
        </is>
      </c>
      <c r="L1115" t="n">
        <v>29.94</v>
      </c>
      <c r="M1115" s="1" t="inlineStr">
        <is>
          <t>-65.98%</t>
        </is>
      </c>
      <c r="N1115" t="n">
        <v>4</v>
      </c>
      <c r="O1115" t="n">
        <v>7</v>
      </c>
      <c r="Q1115" t="inlineStr">
        <is>
          <t>InStock</t>
        </is>
      </c>
      <c r="R1115" t="inlineStr">
        <is>
          <t>undefined</t>
        </is>
      </c>
      <c r="S1115" t="inlineStr">
        <is>
          <t>7034760775</t>
        </is>
      </c>
    </row>
    <row r="1116" ht="75" customHeight="1">
      <c r="A1116" s="2">
        <f>HYPERLINK("https://camerareadycosmetics.com/products/graftobian-hi-def-glamour-creme-super-palette", "https://camerareadycosmetics.com/products/graftobian-hi-def-glamour-creme-super-palette")</f>
        <v/>
      </c>
      <c r="B1116" s="2">
        <f>HYPERLINK("https://camerareadycosmetics.com/products/graftobian-hi-def-glamour-creme-super-palette", "https://camerareadycosmetics.com/products/graftobian-hi-def-glamour-creme-super-palette")</f>
        <v/>
      </c>
      <c r="C1116" t="inlineStr">
        <is>
          <t>HD Glamour Creme Super Palette</t>
        </is>
      </c>
      <c r="D1116" t="inlineStr">
        <is>
          <t>HD High-Definition Glamour Creme Palette, Neutral #2</t>
        </is>
      </c>
      <c r="E1116" s="2">
        <f>HYPERLINK("https://www.amazon.com/High-Definition-Glamour-Creme-Palette-Neutral/dp/B004IGGHW2/ref=sr_1_4?keywords=HD+Glamour+Creme+Super+Palette&amp;qid=1695565426&amp;sr=8-4", "https://www.amazon.com/High-Definition-Glamour-Creme-Palette-Neutral/dp/B004IGGHW2/ref=sr_1_4?keywords=HD+Glamour+Creme+Super+Palette&amp;qid=1695565426&amp;sr=8-4")</f>
        <v/>
      </c>
      <c r="F1116" t="inlineStr">
        <is>
          <t>B004IGGHW2</t>
        </is>
      </c>
      <c r="G1116">
        <f>_xlfn.IMAGE("https://camerareadycosmetics.com/cdn/shop/products/4608_zoom_1430358327_50x.jpg?v=1689626865")</f>
        <v/>
      </c>
      <c r="H1116">
        <f>_xlfn.IMAGE("https://m.media-amazon.com/images/I/71JpagSlQJL._AC_UL320_.jpg")</f>
        <v/>
      </c>
      <c r="K1116" t="inlineStr">
        <is>
          <t>88.0</t>
        </is>
      </c>
      <c r="L1116" t="n">
        <v>27</v>
      </c>
      <c r="M1116" s="1" t="inlineStr">
        <is>
          <t>-69.32%</t>
        </is>
      </c>
      <c r="N1116" t="n">
        <v>3.7</v>
      </c>
      <c r="O1116" t="n">
        <v>53</v>
      </c>
      <c r="Q1116" t="inlineStr">
        <is>
          <t>InStock</t>
        </is>
      </c>
      <c r="R1116" t="inlineStr">
        <is>
          <t>undefined</t>
        </is>
      </c>
      <c r="S1116" t="inlineStr">
        <is>
          <t>7034760775</t>
        </is>
      </c>
    </row>
    <row r="1117" ht="75" customHeight="1">
      <c r="A1117" s="2">
        <f>HYPERLINK("https://camerareadycosmetics.com/products/graftobian-hi-def-glamour-creme-super-palette", "https://camerareadycosmetics.com/products/graftobian-hi-def-glamour-creme-super-palette")</f>
        <v/>
      </c>
      <c r="B1117" s="2">
        <f>HYPERLINK("https://camerareadycosmetics.com/products/graftobian-hi-def-glamour-creme-super-palette", "https://camerareadycosmetics.com/products/graftobian-hi-def-glamour-creme-super-palette")</f>
        <v/>
      </c>
      <c r="C1117" t="inlineStr">
        <is>
          <t>HD Glamour Creme Super Palette</t>
        </is>
      </c>
      <c r="D1117" t="inlineStr">
        <is>
          <t>HD High-Definition Glamour Creme Palette, Neutral Specialty</t>
        </is>
      </c>
      <c r="E1117" s="2">
        <f>HYPERLINK("https://www.amazon.com/High-Definition-Glamour-Palette-Neutral-Specialty/dp/B004IGL8OY/ref=sr_1_3?keywords=HD+Glamour+Creme+Super+Palette&amp;qid=1695565426&amp;sr=8-3", "https://www.amazon.com/High-Definition-Glamour-Palette-Neutral-Specialty/dp/B004IGL8OY/ref=sr_1_3?keywords=HD+Glamour+Creme+Super+Palette&amp;qid=1695565426&amp;sr=8-3")</f>
        <v/>
      </c>
      <c r="F1117" t="inlineStr">
        <is>
          <t>B004IGL8OY</t>
        </is>
      </c>
      <c r="G1117">
        <f>_xlfn.IMAGE("https://camerareadycosmetics.com/cdn/shop/products/4608_zoom_1430358327_50x.jpg?v=1689626865")</f>
        <v/>
      </c>
      <c r="H1117">
        <f>_xlfn.IMAGE("https://m.media-amazon.com/images/I/71c5KcRGVZL._AC_UL320_.jpg")</f>
        <v/>
      </c>
      <c r="K1117" t="inlineStr">
        <is>
          <t>88.0</t>
        </is>
      </c>
      <c r="L1117" t="n">
        <v>29.94</v>
      </c>
      <c r="M1117" s="1" t="inlineStr">
        <is>
          <t>-65.98%</t>
        </is>
      </c>
      <c r="N1117" t="n">
        <v>4</v>
      </c>
      <c r="O1117" t="n">
        <v>7</v>
      </c>
      <c r="Q1117" t="inlineStr">
        <is>
          <t>InStock</t>
        </is>
      </c>
      <c r="R1117" t="inlineStr">
        <is>
          <t>undefined</t>
        </is>
      </c>
      <c r="S1117" t="inlineStr">
        <is>
          <t>7034760775</t>
        </is>
      </c>
    </row>
    <row r="1118" ht="75" customHeight="1">
      <c r="A1118" s="2">
        <f>HYPERLINK("https://camerareadycosmetics.com/products/graftobian-hi-def-glamour-creme-super-palette", "https://camerareadycosmetics.com/products/graftobian-hi-def-glamour-creme-super-palette")</f>
        <v/>
      </c>
      <c r="B1118" s="2">
        <f>HYPERLINK("https://camerareadycosmetics.com/products/graftobian-hi-def-glamour-creme-super-palette", "https://camerareadycosmetics.com/products/graftobian-hi-def-glamour-creme-super-palette")</f>
        <v/>
      </c>
      <c r="C1118" t="inlineStr">
        <is>
          <t>HD Glamour Creme Super Palette</t>
        </is>
      </c>
      <c r="D1118" t="inlineStr">
        <is>
          <t>HD High-Definition Glamour Creme Palette, Neutral #2</t>
        </is>
      </c>
      <c r="E1118" s="2">
        <f>HYPERLINK("https://www.amazon.com/High-Definition-Glamour-Creme-Palette-Neutral/dp/B004IGGHW2/ref=sr_1_4?keywords=HD+Glamour+Creme+Super+Palette&amp;qid=1695565426&amp;sr=8-4", "https://www.amazon.com/High-Definition-Glamour-Creme-Palette-Neutral/dp/B004IGGHW2/ref=sr_1_4?keywords=HD+Glamour+Creme+Super+Palette&amp;qid=1695565426&amp;sr=8-4")</f>
        <v/>
      </c>
      <c r="F1118" t="inlineStr">
        <is>
          <t>B004IGGHW2</t>
        </is>
      </c>
      <c r="G1118">
        <f>_xlfn.IMAGE("https://camerareadycosmetics.com/cdn/shop/products/4608_zoom_1430358327_50x.jpg?v=1689626865")</f>
        <v/>
      </c>
      <c r="H1118">
        <f>_xlfn.IMAGE("https://m.media-amazon.com/images/I/71JpagSlQJL._AC_UL320_.jpg")</f>
        <v/>
      </c>
      <c r="K1118" t="inlineStr">
        <is>
          <t>88.0</t>
        </is>
      </c>
      <c r="L1118" t="n">
        <v>27</v>
      </c>
      <c r="M1118" s="1" t="inlineStr">
        <is>
          <t>-69.32%</t>
        </is>
      </c>
      <c r="N1118" t="n">
        <v>3.7</v>
      </c>
      <c r="O1118" t="n">
        <v>53</v>
      </c>
      <c r="Q1118" t="inlineStr">
        <is>
          <t>InStock</t>
        </is>
      </c>
      <c r="R1118" t="inlineStr">
        <is>
          <t>undefined</t>
        </is>
      </c>
      <c r="S1118" t="inlineStr">
        <is>
          <t>7034760775</t>
        </is>
      </c>
    </row>
    <row r="1119" ht="75" customHeight="1">
      <c r="A1119" s="2">
        <f>HYPERLINK("https://camerareadycosmetics.com/products/graftobian-hi-lite-contour-palette", "https://camerareadycosmetics.com/products/graftobian-hi-lite-contour-palette")</f>
        <v/>
      </c>
      <c r="B1119" s="2">
        <f>HYPERLINK("https://camerareadycosmetics.com/products/graftobian-hi-lite-contour-palette", "https://camerareadycosmetics.com/products/graftobian-hi-lite-contour-palette")</f>
        <v/>
      </c>
      <c r="C1119" t="inlineStr">
        <is>
          <t>Hi Lite Contour Palette</t>
        </is>
      </c>
      <c r="D1119" t="inlineStr">
        <is>
          <t>Graftobian HD Glamour Crème Foundation Palette (Highlight &amp; Contour Light) - High Definition 5 Color Makeup Palette, Cream Based Hi-Lite and Contour Palette, Full Coverage - Light Skin Shades</t>
        </is>
      </c>
      <c r="E1119" s="2">
        <f>HYPERLINK("https://www.amazon.com/Graftobian-Foundation-Palette-Hi-Lite-Contour/dp/B01LMMNVHI/ref=sr_1_1?keywords=Hi+Lite+Contour+Palette&amp;qid=1695565551&amp;sr=8-1", "https://www.amazon.com/Graftobian-Foundation-Palette-Hi-Lite-Contour/dp/B01LMMNVHI/ref=sr_1_1?keywords=Hi+Lite+Contour+Palette&amp;qid=1695565551&amp;sr=8-1")</f>
        <v/>
      </c>
      <c r="F1119" t="inlineStr">
        <is>
          <t>B01LMMNVHI</t>
        </is>
      </c>
      <c r="G1119">
        <f>_xlfn.IMAGE("https://camerareadycosmetics.com/cdn/shop/products/125135002__94155.1431488356.600.600_50x.jpeg?v=1689649354")</f>
        <v/>
      </c>
      <c r="H1119">
        <f>_xlfn.IMAGE("https://m.media-amazon.com/images/I/714TrHFvCiL._AC_UL320_.jpg")</f>
        <v/>
      </c>
      <c r="K1119" t="inlineStr">
        <is>
          <t>35.0</t>
        </is>
      </c>
      <c r="L1119" t="n">
        <v>32</v>
      </c>
      <c r="M1119" s="1" t="inlineStr">
        <is>
          <t>-8.57%</t>
        </is>
      </c>
      <c r="N1119" t="n">
        <v>4.2</v>
      </c>
      <c r="O1119" t="n">
        <v>577</v>
      </c>
      <c r="Q1119" t="inlineStr">
        <is>
          <t>InStock</t>
        </is>
      </c>
      <c r="R1119" t="inlineStr">
        <is>
          <t>undefined</t>
        </is>
      </c>
      <c r="S1119" t="inlineStr">
        <is>
          <t>7046114951</t>
        </is>
      </c>
    </row>
    <row r="1120" ht="75" customHeight="1">
      <c r="A1120" s="2">
        <f>HYPERLINK("https://camerareadycosmetics.com/products/graftobian-hi-lite-contour-palette", "https://camerareadycosmetics.com/products/graftobian-hi-lite-contour-palette")</f>
        <v/>
      </c>
      <c r="B1120" s="2">
        <f>HYPERLINK("https://camerareadycosmetics.com/products/graftobian-hi-lite-contour-palette", "https://camerareadycosmetics.com/products/graftobian-hi-lite-contour-palette")</f>
        <v/>
      </c>
      <c r="C1120" t="inlineStr">
        <is>
          <t>Hi Lite Contour Palette</t>
        </is>
      </c>
      <c r="D1120" t="inlineStr">
        <is>
          <t>FOCALLURE Blush and Highlighter Palette,3 in 1 Contour Palette,Cruelty-Free Matte Bronzer Powder,Shimmer Illuminator Highlighters for a Glowing Look,#09</t>
        </is>
      </c>
      <c r="E1120" s="2">
        <f>HYPERLINK("https://www.amazon.com/FOCALLURE-Highlighter-Cruelty-Free-Illuminator-Highlighters/dp/B0C6X9NWHP/ref=sr_1_10?keywords=Hi+Lite+Contour+Palette&amp;qid=1695565551&amp;sr=8-10", "https://www.amazon.com/FOCALLURE-Highlighter-Cruelty-Free-Illuminator-Highlighters/dp/B0C6X9NWHP/ref=sr_1_10?keywords=Hi+Lite+Contour+Palette&amp;qid=1695565551&amp;sr=8-10")</f>
        <v/>
      </c>
      <c r="F1120" t="inlineStr">
        <is>
          <t>B0C6X9NWHP</t>
        </is>
      </c>
      <c r="G1120">
        <f>_xlfn.IMAGE("https://camerareadycosmetics.com/cdn/shop/products/125135002__94155.1431488356.600.600_50x.jpeg?v=1689649354")</f>
        <v/>
      </c>
      <c r="H1120">
        <f>_xlfn.IMAGE("https://m.media-amazon.com/images/I/71PZxzr5O2L._AC_UL320_.jpg")</f>
        <v/>
      </c>
      <c r="K1120" t="inlineStr">
        <is>
          <t>35.0</t>
        </is>
      </c>
      <c r="L1120" t="n">
        <v>9.99</v>
      </c>
      <c r="M1120" s="1" t="inlineStr">
        <is>
          <t>-71.46%</t>
        </is>
      </c>
      <c r="N1120" t="n">
        <v>4.4</v>
      </c>
      <c r="O1120" t="n">
        <v>1108</v>
      </c>
      <c r="Q1120" t="inlineStr">
        <is>
          <t>InStock</t>
        </is>
      </c>
      <c r="R1120" t="inlineStr">
        <is>
          <t>undefined</t>
        </is>
      </c>
      <c r="S1120" t="inlineStr">
        <is>
          <t>7046114951</t>
        </is>
      </c>
    </row>
    <row r="1121" ht="75" customHeight="1">
      <c r="A1121" s="2">
        <f>HYPERLINK("https://camerareadycosmetics.com/products/graftobian-hi-lite-contour-palette", "https://camerareadycosmetics.com/products/graftobian-hi-lite-contour-palette")</f>
        <v/>
      </c>
      <c r="B1121" s="2">
        <f>HYPERLINK("https://camerareadycosmetics.com/products/graftobian-hi-lite-contour-palette", "https://camerareadycosmetics.com/products/graftobian-hi-lite-contour-palette")</f>
        <v/>
      </c>
      <c r="C1121" t="inlineStr">
        <is>
          <t>Hi Lite Contour Palette</t>
        </is>
      </c>
      <c r="D1121" t="inlineStr">
        <is>
          <t>L.a. Colors Contour &amp; Highlighting Palette, Light/medium, 1 Ounce</t>
        </is>
      </c>
      <c r="E1121" s="2">
        <f>HYPERLINK("https://www.amazon.com/L-Colors-Contour-Highlighting-Palette/dp/B007NYNA12/ref=sr_1_3?keywords=Hi+Lite+Contour+Palette&amp;qid=1695565551&amp;sr=8-3", "https://www.amazon.com/L-Colors-Contour-Highlighting-Palette/dp/B007NYNA12/ref=sr_1_3?keywords=Hi+Lite+Contour+Palette&amp;qid=1695565551&amp;sr=8-3")</f>
        <v/>
      </c>
      <c r="F1121" t="inlineStr">
        <is>
          <t>B007NYNA12</t>
        </is>
      </c>
      <c r="G1121">
        <f>_xlfn.IMAGE("https://camerareadycosmetics.com/cdn/shop/products/125135002__94155.1431488356.600.600_50x.jpeg?v=1689649354")</f>
        <v/>
      </c>
      <c r="H1121">
        <f>_xlfn.IMAGE("https://m.media-amazon.com/images/I/91tyZl5lVPL._AC_UL320_.jpg")</f>
        <v/>
      </c>
      <c r="K1121" t="inlineStr">
        <is>
          <t>35.0</t>
        </is>
      </c>
      <c r="L1121" t="n">
        <v>9.039999999999999</v>
      </c>
      <c r="M1121" s="1" t="inlineStr">
        <is>
          <t>-74.17%</t>
        </is>
      </c>
      <c r="N1121" t="n">
        <v>3.3</v>
      </c>
      <c r="O1121" t="n">
        <v>13</v>
      </c>
      <c r="Q1121" t="inlineStr">
        <is>
          <t>InStock</t>
        </is>
      </c>
      <c r="R1121" t="inlineStr">
        <is>
          <t>undefined</t>
        </is>
      </c>
      <c r="S1121" t="inlineStr">
        <is>
          <t>7046114951</t>
        </is>
      </c>
    </row>
    <row r="1122" ht="75" customHeight="1">
      <c r="A1122" s="2">
        <f>HYPERLINK("https://camerareadycosmetics.com/products/graftobian-hi-lite-contour-palette", "https://camerareadycosmetics.com/products/graftobian-hi-lite-contour-palette")</f>
        <v/>
      </c>
      <c r="B1122" s="2">
        <f>HYPERLINK("https://camerareadycosmetics.com/products/graftobian-hi-lite-contour-palette", "https://camerareadycosmetics.com/products/graftobian-hi-lite-contour-palette")</f>
        <v/>
      </c>
      <c r="C1122" t="inlineStr">
        <is>
          <t>Hi Lite Contour Palette</t>
        </is>
      </c>
      <c r="D1122" t="inlineStr">
        <is>
          <t>W7 Lift &amp; Sculpt Cream Contour Kit - Concealing, Highlighting &amp; Contouring Makeup Palette - Step-by-Step Instructions Included</t>
        </is>
      </c>
      <c r="E1122" s="2">
        <f>HYPERLINK("https://www.amazon.com/W7-Sculpt-Cream-Contour-Step/dp/B074G44PVR/ref=sr_1_7?keywords=Hi+Lite+Contour+Palette&amp;qid=1695565551&amp;sr=8-7", "https://www.amazon.com/W7-Sculpt-Cream-Contour-Step/dp/B074G44PVR/ref=sr_1_7?keywords=Hi+Lite+Contour+Palette&amp;qid=1695565551&amp;sr=8-7")</f>
        <v/>
      </c>
      <c r="F1122" t="inlineStr">
        <is>
          <t>B074G44PVR</t>
        </is>
      </c>
      <c r="G1122">
        <f>_xlfn.IMAGE("https://camerareadycosmetics.com/cdn/shop/products/125135002__94155.1431488356.600.600_50x.jpeg?v=1689649354")</f>
        <v/>
      </c>
      <c r="H1122">
        <f>_xlfn.IMAGE("https://m.media-amazon.com/images/I/71A15XgwKEL._AC_UL320_.jpg")</f>
        <v/>
      </c>
      <c r="K1122" t="inlineStr">
        <is>
          <t>35.0</t>
        </is>
      </c>
      <c r="L1122" t="n">
        <v>6.95</v>
      </c>
      <c r="M1122" s="1" t="inlineStr">
        <is>
          <t>-80.14%</t>
        </is>
      </c>
      <c r="N1122" t="n">
        <v>4.1</v>
      </c>
      <c r="O1122" t="n">
        <v>4488</v>
      </c>
      <c r="Q1122" t="inlineStr">
        <is>
          <t>InStock</t>
        </is>
      </c>
      <c r="R1122" t="inlineStr">
        <is>
          <t>undefined</t>
        </is>
      </c>
      <c r="S1122" t="inlineStr">
        <is>
          <t>7046114951</t>
        </is>
      </c>
    </row>
    <row r="1123" ht="75" customHeight="1">
      <c r="A1123" s="2">
        <f>HYPERLINK("https://camerareadycosmetics.com/products/graftobian-hi-lite-contour-palette", "https://camerareadycosmetics.com/products/graftobian-hi-lite-contour-palette")</f>
        <v/>
      </c>
      <c r="B1123" s="2">
        <f>HYPERLINK("https://camerareadycosmetics.com/products/graftobian-hi-lite-contour-palette", "https://camerareadycosmetics.com/products/graftobian-hi-lite-contour-palette")</f>
        <v/>
      </c>
      <c r="C1123" t="inlineStr">
        <is>
          <t>Hi Lite Contour Palette</t>
        </is>
      </c>
      <c r="D1123" t="inlineStr">
        <is>
          <t>Ruby Kisses Contour Palette 3-in-1 Contour, Conceal, Highlight All-In-One Mini Palette, Long-Lasting, Easy to Blend Cream Contour Palette for Oily and Dry Skin (Light)</t>
        </is>
      </c>
      <c r="E1123" s="2">
        <f>HYPERLINK("https://www.amazon.com/Ruby-Kisses-Contour-Highlight-Long-Lasting/dp/B0BP49Y9PF/ref=sr_1_8?keywords=Hi+Lite+Contour+Palette&amp;qid=1695565551&amp;sr=8-8", "https://www.amazon.com/Ruby-Kisses-Contour-Highlight-Long-Lasting/dp/B0BP49Y9PF/ref=sr_1_8?keywords=Hi+Lite+Contour+Palette&amp;qid=1695565551&amp;sr=8-8")</f>
        <v/>
      </c>
      <c r="F1123" t="inlineStr">
        <is>
          <t>B0BP49Y9PF</t>
        </is>
      </c>
      <c r="G1123">
        <f>_xlfn.IMAGE("https://camerareadycosmetics.com/cdn/shop/products/125135002__94155.1431488356.600.600_50x.jpeg?v=1689649354")</f>
        <v/>
      </c>
      <c r="H1123">
        <f>_xlfn.IMAGE("https://m.media-amazon.com/images/I/81tqp0N9F7L._AC_UL320_.jpg")</f>
        <v/>
      </c>
      <c r="K1123" t="inlineStr">
        <is>
          <t>35.0</t>
        </is>
      </c>
      <c r="L1123" t="n">
        <v>6.19</v>
      </c>
      <c r="M1123" s="1" t="inlineStr">
        <is>
          <t>-82.31%</t>
        </is>
      </c>
      <c r="N1123" t="n">
        <v>4.5</v>
      </c>
      <c r="O1123" t="n">
        <v>25</v>
      </c>
      <c r="Q1123" t="inlineStr">
        <is>
          <t>InStock</t>
        </is>
      </c>
      <c r="R1123" t="inlineStr">
        <is>
          <t>undefined</t>
        </is>
      </c>
      <c r="S1123" t="inlineStr">
        <is>
          <t>7046114951</t>
        </is>
      </c>
    </row>
    <row r="1124" ht="75" customHeight="1">
      <c r="A1124" s="2">
        <f>HYPERLINK("https://camerareadycosmetics.com/products/graftobian-hi-lite-contour-palette", "https://camerareadycosmetics.com/products/graftobian-hi-lite-contour-palette")</f>
        <v/>
      </c>
      <c r="B1124" s="2">
        <f>HYPERLINK("https://camerareadycosmetics.com/products/graftobian-hi-lite-contour-palette", "https://camerareadycosmetics.com/products/graftobian-hi-lite-contour-palette")</f>
        <v/>
      </c>
      <c r="C1124" t="inlineStr">
        <is>
          <t>Hi Lite Contour Palette</t>
        </is>
      </c>
      <c r="D1124" t="inlineStr">
        <is>
          <t>FOCALLURE Blush and Highlighter Palette,3 in 1 Contour Palette,Cruelty-Free Matte Bronzer Powder,Shimmer Illuminator Highlighters for a Glowing Look,#09</t>
        </is>
      </c>
      <c r="E1124" s="2">
        <f>HYPERLINK("https://www.amazon.com/FOCALLURE-Highlighter-Cruelty-Free-Illuminator-Highlighters/dp/B0C6X9NWHP/ref=sr_1_10?keywords=Hi+Lite+Contour+Palette&amp;qid=1695565551&amp;sr=8-10", "https://www.amazon.com/FOCALLURE-Highlighter-Cruelty-Free-Illuminator-Highlighters/dp/B0C6X9NWHP/ref=sr_1_10?keywords=Hi+Lite+Contour+Palette&amp;qid=1695565551&amp;sr=8-10")</f>
        <v/>
      </c>
      <c r="F1124" t="inlineStr">
        <is>
          <t>B0C6X9NWHP</t>
        </is>
      </c>
      <c r="G1124">
        <f>_xlfn.IMAGE("https://camerareadycosmetics.com/cdn/shop/products/125135002__94155.1431488356.600.600_50x.jpeg?v=1689649354")</f>
        <v/>
      </c>
      <c r="H1124">
        <f>_xlfn.IMAGE("https://m.media-amazon.com/images/I/71PZxzr5O2L._AC_UL320_.jpg")</f>
        <v/>
      </c>
      <c r="K1124" t="inlineStr">
        <is>
          <t>35.0</t>
        </is>
      </c>
      <c r="L1124" t="n">
        <v>9.99</v>
      </c>
      <c r="M1124" s="1" t="inlineStr">
        <is>
          <t>-71.46%</t>
        </is>
      </c>
      <c r="N1124" t="n">
        <v>4.4</v>
      </c>
      <c r="O1124" t="n">
        <v>1108</v>
      </c>
      <c r="Q1124" t="inlineStr">
        <is>
          <t>InStock</t>
        </is>
      </c>
      <c r="R1124" t="inlineStr">
        <is>
          <t>undefined</t>
        </is>
      </c>
      <c r="S1124" t="inlineStr">
        <is>
          <t>7046114951</t>
        </is>
      </c>
    </row>
    <row r="1125" ht="75" customHeight="1">
      <c r="A1125" s="2">
        <f>HYPERLINK("https://camerareadycosmetics.com/products/graftobian-hi-lite-contour-palette", "https://camerareadycosmetics.com/products/graftobian-hi-lite-contour-palette")</f>
        <v/>
      </c>
      <c r="B1125" s="2">
        <f>HYPERLINK("https://camerareadycosmetics.com/products/graftobian-hi-lite-contour-palette", "https://camerareadycosmetics.com/products/graftobian-hi-lite-contour-palette")</f>
        <v/>
      </c>
      <c r="C1125" t="inlineStr">
        <is>
          <t>Hi Lite Contour Palette</t>
        </is>
      </c>
      <c r="D1125" t="inlineStr">
        <is>
          <t>L.a. Colors Contour &amp; Highlighting Palette, Light/medium, 1 Ounce</t>
        </is>
      </c>
      <c r="E1125" s="2">
        <f>HYPERLINK("https://www.amazon.com/L-Colors-Contour-Highlighting-Palette/dp/B007NYNA12/ref=sr_1_3?keywords=Hi+Lite+Contour+Palette&amp;qid=1695565551&amp;sr=8-3", "https://www.amazon.com/L-Colors-Contour-Highlighting-Palette/dp/B007NYNA12/ref=sr_1_3?keywords=Hi+Lite+Contour+Palette&amp;qid=1695565551&amp;sr=8-3")</f>
        <v/>
      </c>
      <c r="F1125" t="inlineStr">
        <is>
          <t>B007NYNA12</t>
        </is>
      </c>
      <c r="G1125">
        <f>_xlfn.IMAGE("https://camerareadycosmetics.com/cdn/shop/products/125135002__94155.1431488356.600.600_50x.jpeg?v=1689649354")</f>
        <v/>
      </c>
      <c r="H1125">
        <f>_xlfn.IMAGE("https://m.media-amazon.com/images/I/91tyZl5lVPL._AC_UL320_.jpg")</f>
        <v/>
      </c>
      <c r="K1125" t="inlineStr">
        <is>
          <t>35.0</t>
        </is>
      </c>
      <c r="L1125" t="n">
        <v>9.039999999999999</v>
      </c>
      <c r="M1125" s="1" t="inlineStr">
        <is>
          <t>-74.17%</t>
        </is>
      </c>
      <c r="N1125" t="n">
        <v>3.3</v>
      </c>
      <c r="O1125" t="n">
        <v>13</v>
      </c>
      <c r="Q1125" t="inlineStr">
        <is>
          <t>InStock</t>
        </is>
      </c>
      <c r="R1125" t="inlineStr">
        <is>
          <t>undefined</t>
        </is>
      </c>
      <c r="S1125" t="inlineStr">
        <is>
          <t>7046114951</t>
        </is>
      </c>
    </row>
    <row r="1126" ht="75" customHeight="1">
      <c r="A1126" s="2">
        <f>HYPERLINK("https://camerareadycosmetics.com/products/graftobian-hi-lite-contour-palette", "https://camerareadycosmetics.com/products/graftobian-hi-lite-contour-palette")</f>
        <v/>
      </c>
      <c r="B1126" s="2">
        <f>HYPERLINK("https://camerareadycosmetics.com/products/graftobian-hi-lite-contour-palette", "https://camerareadycosmetics.com/products/graftobian-hi-lite-contour-palette")</f>
        <v/>
      </c>
      <c r="C1126" t="inlineStr">
        <is>
          <t>Hi Lite Contour Palette</t>
        </is>
      </c>
      <c r="D1126" t="inlineStr">
        <is>
          <t>W7 Lift &amp; Sculpt Cream Contour Kit - Concealing, Highlighting &amp; Contouring Makeup Palette - Step-by-Step Instructions Included</t>
        </is>
      </c>
      <c r="E1126" s="2">
        <f>HYPERLINK("https://www.amazon.com/W7-Sculpt-Cream-Contour-Step/dp/B074G44PVR/ref=sr_1_7?keywords=Hi+Lite+Contour+Palette&amp;qid=1695565551&amp;sr=8-7", "https://www.amazon.com/W7-Sculpt-Cream-Contour-Step/dp/B074G44PVR/ref=sr_1_7?keywords=Hi+Lite+Contour+Palette&amp;qid=1695565551&amp;sr=8-7")</f>
        <v/>
      </c>
      <c r="F1126" t="inlineStr">
        <is>
          <t>B074G44PVR</t>
        </is>
      </c>
      <c r="G1126">
        <f>_xlfn.IMAGE("https://camerareadycosmetics.com/cdn/shop/products/125135002__94155.1431488356.600.600_50x.jpeg?v=1689649354")</f>
        <v/>
      </c>
      <c r="H1126">
        <f>_xlfn.IMAGE("https://m.media-amazon.com/images/I/71A15XgwKEL._AC_UL320_.jpg")</f>
        <v/>
      </c>
      <c r="K1126" t="inlineStr">
        <is>
          <t>35.0</t>
        </is>
      </c>
      <c r="L1126" t="n">
        <v>6.95</v>
      </c>
      <c r="M1126" s="1" t="inlineStr">
        <is>
          <t>-80.14%</t>
        </is>
      </c>
      <c r="N1126" t="n">
        <v>4.1</v>
      </c>
      <c r="O1126" t="n">
        <v>4488</v>
      </c>
      <c r="Q1126" t="inlineStr">
        <is>
          <t>InStock</t>
        </is>
      </c>
      <c r="R1126" t="inlineStr">
        <is>
          <t>undefined</t>
        </is>
      </c>
      <c r="S1126" t="inlineStr">
        <is>
          <t>7046114951</t>
        </is>
      </c>
    </row>
    <row r="1127" ht="75" customHeight="1">
      <c r="A1127" s="2">
        <f>HYPERLINK("https://camerareadycosmetics.com/products/graftobian-hi-lite-contour-palette", "https://camerareadycosmetics.com/products/graftobian-hi-lite-contour-palette")</f>
        <v/>
      </c>
      <c r="B1127" s="2">
        <f>HYPERLINK("https://camerareadycosmetics.com/products/graftobian-hi-lite-contour-palette", "https://camerareadycosmetics.com/products/graftobian-hi-lite-contour-palette")</f>
        <v/>
      </c>
      <c r="C1127" t="inlineStr">
        <is>
          <t>Hi Lite Contour Palette</t>
        </is>
      </c>
      <c r="D1127" t="inlineStr">
        <is>
          <t>Ruby Kisses Contour Palette 3-in-1 Contour, Conceal, Highlight All-In-One Mini Palette, Long-Lasting, Easy to Blend Cream Contour Palette for Oily and Dry Skin (Light)</t>
        </is>
      </c>
      <c r="E1127" s="2">
        <f>HYPERLINK("https://www.amazon.com/Ruby-Kisses-Contour-Highlight-Long-Lasting/dp/B0BP49Y9PF/ref=sr_1_8?keywords=Hi+Lite+Contour+Palette&amp;qid=1695565551&amp;sr=8-8", "https://www.amazon.com/Ruby-Kisses-Contour-Highlight-Long-Lasting/dp/B0BP49Y9PF/ref=sr_1_8?keywords=Hi+Lite+Contour+Palette&amp;qid=1695565551&amp;sr=8-8")</f>
        <v/>
      </c>
      <c r="F1127" t="inlineStr">
        <is>
          <t>B0BP49Y9PF</t>
        </is>
      </c>
      <c r="G1127">
        <f>_xlfn.IMAGE("https://camerareadycosmetics.com/cdn/shop/products/125135002__94155.1431488356.600.600_50x.jpeg?v=1689649354")</f>
        <v/>
      </c>
      <c r="H1127">
        <f>_xlfn.IMAGE("https://m.media-amazon.com/images/I/81tqp0N9F7L._AC_UL320_.jpg")</f>
        <v/>
      </c>
      <c r="K1127" t="inlineStr">
        <is>
          <t>35.0</t>
        </is>
      </c>
      <c r="L1127" t="n">
        <v>6.19</v>
      </c>
      <c r="M1127" s="1" t="inlineStr">
        <is>
          <t>-82.31%</t>
        </is>
      </c>
      <c r="N1127" t="n">
        <v>4.5</v>
      </c>
      <c r="O1127" t="n">
        <v>25</v>
      </c>
      <c r="Q1127" t="inlineStr">
        <is>
          <t>InStock</t>
        </is>
      </c>
      <c r="R1127" t="inlineStr">
        <is>
          <t>undefined</t>
        </is>
      </c>
      <c r="S1127" t="inlineStr">
        <is>
          <t>7046114951</t>
        </is>
      </c>
    </row>
    <row r="1128" ht="75" customHeight="1">
      <c r="A1128" s="2">
        <f>HYPERLINK("https://camerareadycosmetics.com/products/graftobian-lip-liner-pencil", "https://camerareadycosmetics.com/products/graftobian-lip-liner-pencil")</f>
        <v/>
      </c>
      <c r="B1128" s="2">
        <f>HYPERLINK("https://camerareadycosmetics.com/products/graftobian-lip-liner-pencil", "https://camerareadycosmetics.com/products/graftobian-lip-liner-pencil")</f>
        <v/>
      </c>
      <c r="C1128" t="inlineStr">
        <is>
          <t>Lip Liner Pencil</t>
        </is>
      </c>
      <c r="D1128" t="inlineStr">
        <is>
          <t>54pcs Nabi Lip Liner Pencils</t>
        </is>
      </c>
      <c r="E1128" s="2">
        <f>HYPERLINK("https://www.amazon.com/54pcs-Nabi-Quality-Liner-Pencils/dp/B00CVDTMI0/ref=sr_1_10?keywords=Lip+Liner+Pencil&amp;qid=1695565472&amp;sr=8-10", "https://www.amazon.com/54pcs-Nabi-Quality-Liner-Pencils/dp/B00CVDTMI0/ref=sr_1_10?keywords=Lip+Liner+Pencil&amp;qid=1695565472&amp;sr=8-10")</f>
        <v/>
      </c>
      <c r="F1128" t="inlineStr">
        <is>
          <t>B00CVDTMI0</t>
        </is>
      </c>
      <c r="G1128">
        <f>_xlfn.IMAGE("https://camerareadycosmetics.com/cdn/shop/products/8613_zoom_1410539790_50x.jpg?v=1689645774")</f>
        <v/>
      </c>
      <c r="H1128">
        <f>_xlfn.IMAGE("https://m.media-amazon.com/images/I/91mvVvVrK1L._AC_UL320_.jpg")</f>
        <v/>
      </c>
      <c r="K1128" t="inlineStr">
        <is>
          <t>10.0</t>
        </is>
      </c>
      <c r="L1128" t="n">
        <v>27.99</v>
      </c>
      <c r="M1128" s="1" t="inlineStr">
        <is>
          <t>179.90%</t>
        </is>
      </c>
      <c r="N1128" t="n">
        <v>4.6</v>
      </c>
      <c r="O1128" t="n">
        <v>4535</v>
      </c>
      <c r="Q1128" t="inlineStr">
        <is>
          <t>InStock</t>
        </is>
      </c>
      <c r="R1128" t="inlineStr">
        <is>
          <t>undefined</t>
        </is>
      </c>
      <c r="S1128" t="inlineStr">
        <is>
          <t>7042178887</t>
        </is>
      </c>
    </row>
    <row r="1129" ht="75" customHeight="1">
      <c r="A1129" s="2">
        <f>HYPERLINK("https://camerareadycosmetics.com/products/graftobian-lip-liner-pencil", "https://camerareadycosmetics.com/products/graftobian-lip-liner-pencil")</f>
        <v/>
      </c>
      <c r="B1129" s="2">
        <f>HYPERLINK("https://camerareadycosmetics.com/products/graftobian-lip-liner-pencil", "https://camerareadycosmetics.com/products/graftobian-lip-liner-pencil")</f>
        <v/>
      </c>
      <c r="C1129" t="inlineStr">
        <is>
          <t>Lip Liner Pencil</t>
        </is>
      </c>
      <c r="D1129" t="inlineStr">
        <is>
          <t>IS'MINE Matte Lip Liner Set - 12 Assorted Colors High Pigmented Natural Lip Makeup Soft Pencils Longwear Smooth Ultra Fine (Color Set -1)</t>
        </is>
      </c>
      <c r="E1129" s="2">
        <f>HYPERLINK("https://www.amazon.com/ISMINE-Matte-Lip-Liner-Pencil/dp/B097GKHCTY/ref=sr_1_5?keywords=Lip+Liner+Pencil&amp;qid=1695565472&amp;sr=8-5", "https://www.amazon.com/ISMINE-Matte-Lip-Liner-Pencil/dp/B097GKHCTY/ref=sr_1_5?keywords=Lip+Liner+Pencil&amp;qid=1695565472&amp;sr=8-5")</f>
        <v/>
      </c>
      <c r="F1129" t="inlineStr">
        <is>
          <t>B097GKHCTY</t>
        </is>
      </c>
      <c r="G1129">
        <f>_xlfn.IMAGE("https://camerareadycosmetics.com/cdn/shop/products/8613_zoom_1410539790_50x.jpg?v=1689645774")</f>
        <v/>
      </c>
      <c r="H1129">
        <f>_xlfn.IMAGE("https://m.media-amazon.com/images/I/71RzIY5CQ9S._AC_UL320_.jpg")</f>
        <v/>
      </c>
      <c r="K1129" t="inlineStr">
        <is>
          <t>10.0</t>
        </is>
      </c>
      <c r="L1129" t="n">
        <v>6.99</v>
      </c>
      <c r="M1129" s="1" t="inlineStr">
        <is>
          <t>-30.10%</t>
        </is>
      </c>
      <c r="N1129" t="n">
        <v>4.3</v>
      </c>
      <c r="O1129" t="n">
        <v>3527</v>
      </c>
      <c r="Q1129" t="inlineStr">
        <is>
          <t>InStock</t>
        </is>
      </c>
      <c r="R1129" t="inlineStr">
        <is>
          <t>undefined</t>
        </is>
      </c>
      <c r="S1129" t="inlineStr">
        <is>
          <t>7042178887</t>
        </is>
      </c>
    </row>
    <row r="1130" ht="75" customHeight="1">
      <c r="A1130" s="2">
        <f>HYPERLINK("https://camerareadycosmetics.com/products/graftobian-lip-liner-pencil", "https://camerareadycosmetics.com/products/graftobian-lip-liner-pencil")</f>
        <v/>
      </c>
      <c r="B1130" s="2">
        <f>HYPERLINK("https://camerareadycosmetics.com/products/graftobian-lip-liner-pencil", "https://camerareadycosmetics.com/products/graftobian-lip-liner-pencil")</f>
        <v/>
      </c>
      <c r="C1130" t="inlineStr">
        <is>
          <t>Lip Liner Pencil</t>
        </is>
      </c>
      <c r="D1130" t="inlineStr">
        <is>
          <t>e.l.f. Love Triangle Lip Filler Liner, 2-in-1 Lip Liner Pencil For Sculpting &amp; Filling, Long-Lasting Intense Color, Soft Pink</t>
        </is>
      </c>
      <c r="E1130" s="2">
        <f>HYPERLINK("https://www.amazon.com/l-f-Triangle-Sculpting-Filling-Long-Lasting/dp/B09XMXT4FS/ref=sr_1_7?keywords=Lip+Liner+Pencil&amp;qid=1695565472&amp;sr=8-7", "https://www.amazon.com/l-f-Triangle-Sculpting-Filling-Long-Lasting/dp/B09XMXT4FS/ref=sr_1_7?keywords=Lip+Liner+Pencil&amp;qid=1695565472&amp;sr=8-7")</f>
        <v/>
      </c>
      <c r="F1130" t="inlineStr">
        <is>
          <t>B09XMXT4FS</t>
        </is>
      </c>
      <c r="G1130">
        <f>_xlfn.IMAGE("https://camerareadycosmetics.com/cdn/shop/products/8613_zoom_1410539790_50x.jpg?v=1689645774")</f>
        <v/>
      </c>
      <c r="H1130">
        <f>_xlfn.IMAGE("https://m.media-amazon.com/images/I/61PQgEgPCUL._AC_UL320_.jpg")</f>
        <v/>
      </c>
      <c r="K1130" t="inlineStr">
        <is>
          <t>10.0</t>
        </is>
      </c>
      <c r="L1130" t="n">
        <v>4</v>
      </c>
      <c r="M1130" s="1" t="inlineStr">
        <is>
          <t>-60.00%</t>
        </is>
      </c>
      <c r="N1130" t="n">
        <v>4.3</v>
      </c>
      <c r="O1130" t="n">
        <v>1601</v>
      </c>
      <c r="Q1130" t="inlineStr">
        <is>
          <t>InStock</t>
        </is>
      </c>
      <c r="R1130" t="inlineStr">
        <is>
          <t>undefined</t>
        </is>
      </c>
      <c r="S1130" t="inlineStr">
        <is>
          <t>7042178887</t>
        </is>
      </c>
    </row>
    <row r="1131" ht="75" customHeight="1">
      <c r="A1131" s="2">
        <f>HYPERLINK("https://camerareadycosmetics.com/products/graftobian-lip-liner-pencil", "https://camerareadycosmetics.com/products/graftobian-lip-liner-pencil")</f>
        <v/>
      </c>
      <c r="B1131" s="2">
        <f>HYPERLINK("https://camerareadycosmetics.com/products/graftobian-lip-liner-pencil", "https://camerareadycosmetics.com/products/graftobian-lip-liner-pencil")</f>
        <v/>
      </c>
      <c r="C1131" t="inlineStr">
        <is>
          <t>Lip Liner Pencil</t>
        </is>
      </c>
      <c r="D1131" t="inlineStr">
        <is>
          <t>wet n wild Lip Liner Perfect Pout Matte Retractable Gel Lip Liner Pencil, Red Bare To Comment</t>
        </is>
      </c>
      <c r="E1131" s="2">
        <f>HYPERLINK("https://www.amazon.com/Wild-Perfect-Liner-651B-Comment/dp/B01MZ9AZ2P/ref=sr_1_3?keywords=Lip+Liner+Pencil&amp;qid=1695565472&amp;sr=8-3", "https://www.amazon.com/Wild-Perfect-Liner-651B-Comment/dp/B01MZ9AZ2P/ref=sr_1_3?keywords=Lip+Liner+Pencil&amp;qid=1695565472&amp;sr=8-3")</f>
        <v/>
      </c>
      <c r="F1131" t="inlineStr">
        <is>
          <t>B01MZ9AZ2P</t>
        </is>
      </c>
      <c r="G1131">
        <f>_xlfn.IMAGE("https://camerareadycosmetics.com/cdn/shop/products/8613_zoom_1410539790_50x.jpg?v=1689645774")</f>
        <v/>
      </c>
      <c r="H1131">
        <f>_xlfn.IMAGE("https://m.media-amazon.com/images/I/71OjYGHkqsL._AC_UL320_.jpg")</f>
        <v/>
      </c>
      <c r="K1131" t="inlineStr">
        <is>
          <t>10.0</t>
        </is>
      </c>
      <c r="L1131" t="n">
        <v>3.18</v>
      </c>
      <c r="M1131" s="1" t="inlineStr">
        <is>
          <t>-68.20%</t>
        </is>
      </c>
      <c r="N1131" t="n">
        <v>4.4</v>
      </c>
      <c r="O1131" t="n">
        <v>4227</v>
      </c>
      <c r="Q1131" t="inlineStr">
        <is>
          <t>InStock</t>
        </is>
      </c>
      <c r="R1131" t="inlineStr">
        <is>
          <t>undefined</t>
        </is>
      </c>
      <c r="S1131" t="inlineStr">
        <is>
          <t>7042178887</t>
        </is>
      </c>
    </row>
    <row r="1132" ht="75" customHeight="1">
      <c r="A1132" s="2">
        <f>HYPERLINK("https://camerareadycosmetics.com/products/graftobian-lip-liner-pencil", "https://camerareadycosmetics.com/products/graftobian-lip-liner-pencil")</f>
        <v/>
      </c>
      <c r="B1132" s="2">
        <f>HYPERLINK("https://camerareadycosmetics.com/products/graftobian-lip-liner-pencil", "https://camerareadycosmetics.com/products/graftobian-lip-liner-pencil")</f>
        <v/>
      </c>
      <c r="C1132" t="inlineStr">
        <is>
          <t>Lip Liner Pencil</t>
        </is>
      </c>
      <c r="D1132" t="inlineStr">
        <is>
          <t>e.l.f. Love Triangle Lip Filler Liner, 2-in-1 Lip Liner Pencil For Sculpting &amp; Filling, Long-Lasting Intense Color, Soft Pink</t>
        </is>
      </c>
      <c r="E1132" s="2">
        <f>HYPERLINK("https://www.amazon.com/l-f-Triangle-Sculpting-Filling-Long-Lasting/dp/B09XMXT4FS/ref=sr_1_7?keywords=Lip+Liner+Pencil&amp;qid=1695565472&amp;sr=8-7", "https://www.amazon.com/l-f-Triangle-Sculpting-Filling-Long-Lasting/dp/B09XMXT4FS/ref=sr_1_7?keywords=Lip+Liner+Pencil&amp;qid=1695565472&amp;sr=8-7")</f>
        <v/>
      </c>
      <c r="F1132" t="inlineStr">
        <is>
          <t>B09XMXT4FS</t>
        </is>
      </c>
      <c r="G1132">
        <f>_xlfn.IMAGE("https://camerareadycosmetics.com/cdn/shop/products/8613_zoom_1410539790_50x.jpg?v=1689645774")</f>
        <v/>
      </c>
      <c r="H1132">
        <f>_xlfn.IMAGE("https://m.media-amazon.com/images/I/61PQgEgPCUL._AC_UL320_.jpg")</f>
        <v/>
      </c>
      <c r="K1132" t="inlineStr">
        <is>
          <t>10.0</t>
        </is>
      </c>
      <c r="L1132" t="n">
        <v>4</v>
      </c>
      <c r="M1132" s="1" t="inlineStr">
        <is>
          <t>-60.00%</t>
        </is>
      </c>
      <c r="N1132" t="n">
        <v>4.3</v>
      </c>
      <c r="O1132" t="n">
        <v>1601</v>
      </c>
      <c r="Q1132" t="inlineStr">
        <is>
          <t>InStock</t>
        </is>
      </c>
      <c r="R1132" t="inlineStr">
        <is>
          <t>undefined</t>
        </is>
      </c>
      <c r="S1132" t="inlineStr">
        <is>
          <t>7042178887</t>
        </is>
      </c>
    </row>
    <row r="1133" ht="75" customHeight="1">
      <c r="A1133" s="2">
        <f>HYPERLINK("https://camerareadycosmetics.com/products/graftobian-lip-liner-pencil", "https://camerareadycosmetics.com/products/graftobian-lip-liner-pencil")</f>
        <v/>
      </c>
      <c r="B1133" s="2">
        <f>HYPERLINK("https://camerareadycosmetics.com/products/graftobian-lip-liner-pencil", "https://camerareadycosmetics.com/products/graftobian-lip-liner-pencil")</f>
        <v/>
      </c>
      <c r="C1133" t="inlineStr">
        <is>
          <t>Lip Liner Pencil</t>
        </is>
      </c>
      <c r="D1133" t="inlineStr">
        <is>
          <t>wet n wild Lip Liner Perfect Pout Matte Retractable Gel Lip Liner Pencil, Red Bare To Comment</t>
        </is>
      </c>
      <c r="E1133" s="2">
        <f>HYPERLINK("https://www.amazon.com/Wild-Perfect-Liner-651B-Comment/dp/B01MZ9AZ2P/ref=sr_1_3?keywords=Lip+Liner+Pencil&amp;qid=1695565472&amp;sr=8-3", "https://www.amazon.com/Wild-Perfect-Liner-651B-Comment/dp/B01MZ9AZ2P/ref=sr_1_3?keywords=Lip+Liner+Pencil&amp;qid=1695565472&amp;sr=8-3")</f>
        <v/>
      </c>
      <c r="F1133" t="inlineStr">
        <is>
          <t>B01MZ9AZ2P</t>
        </is>
      </c>
      <c r="G1133">
        <f>_xlfn.IMAGE("https://camerareadycosmetics.com/cdn/shop/products/8613_zoom_1410539790_50x.jpg?v=1689645774")</f>
        <v/>
      </c>
      <c r="H1133">
        <f>_xlfn.IMAGE("https://m.media-amazon.com/images/I/71OjYGHkqsL._AC_UL320_.jpg")</f>
        <v/>
      </c>
      <c r="K1133" t="inlineStr">
        <is>
          <t>10.0</t>
        </is>
      </c>
      <c r="L1133" t="n">
        <v>3.18</v>
      </c>
      <c r="M1133" s="1" t="inlineStr">
        <is>
          <t>-68.20%</t>
        </is>
      </c>
      <c r="N1133" t="n">
        <v>4.4</v>
      </c>
      <c r="O1133" t="n">
        <v>4227</v>
      </c>
      <c r="Q1133" t="inlineStr">
        <is>
          <t>InStock</t>
        </is>
      </c>
      <c r="R1133" t="inlineStr">
        <is>
          <t>undefined</t>
        </is>
      </c>
      <c r="S1133" t="inlineStr">
        <is>
          <t>7042178887</t>
        </is>
      </c>
    </row>
    <row r="1134" ht="75" customHeight="1">
      <c r="A1134" s="2">
        <f>HYPERLINK("https://camerareadycosmetics.com/products/graftobian-lipstick", "https://camerareadycosmetics.com/products/graftobian-lipstick")</f>
        <v/>
      </c>
      <c r="B1134" s="2">
        <f>HYPERLINK("https://camerareadycosmetics.com/products/graftobian-lipstick", "https://camerareadycosmetics.com/products/graftobian-lipstick")</f>
        <v/>
      </c>
      <c r="C1134" t="inlineStr">
        <is>
          <t>Lipstick</t>
        </is>
      </c>
      <c r="D1134" t="inlineStr">
        <is>
          <t>MAYBELLINE New York Super Stay Vinyl Ink Longwear No-Budge Liquid Lipcolor Makeup, Highly Pigmented Color and Instant Shine, Captivated, Pink Lipstick, 0.14 fl oz, 1 Count</t>
        </is>
      </c>
      <c r="E1134" s="2" t="n"/>
      <c r="F1134" t="inlineStr">
        <is>
          <t>B0BCCPZF1S</t>
        </is>
      </c>
      <c r="G1134">
        <f>_xlfn.IMAGE("https://camerareadycosmetics.com/cdn/shop/products/new-lips-web_50x.jpg?v=1522412034")</f>
        <v/>
      </c>
      <c r="H1134">
        <f>_xlfn.IMAGE("https://m.media-amazon.com/images/I/71nZXovINXL._AC_UL320_.jpg")</f>
        <v/>
      </c>
      <c r="K1134" t="inlineStr">
        <is>
          <t>16.0</t>
        </is>
      </c>
      <c r="L1134" t="n">
        <v>9.98</v>
      </c>
      <c r="M1134" s="1" t="inlineStr">
        <is>
          <t>-37.62%</t>
        </is>
      </c>
      <c r="N1134" t="n">
        <v>4.3</v>
      </c>
      <c r="O1134" t="n">
        <v>31716</v>
      </c>
      <c r="Q1134" t="inlineStr">
        <is>
          <t>InStock</t>
        </is>
      </c>
      <c r="R1134" t="inlineStr">
        <is>
          <t>undefined</t>
        </is>
      </c>
      <c r="S1134" t="inlineStr">
        <is>
          <t>7034266951</t>
        </is>
      </c>
    </row>
    <row r="1135" ht="75" customHeight="1">
      <c r="A1135" s="2">
        <f>HYPERLINK("https://camerareadycosmetics.com/products/graftobian-lipstick", "https://camerareadycosmetics.com/products/graftobian-lipstick")</f>
        <v/>
      </c>
      <c r="B1135" s="2">
        <f>HYPERLINK("https://camerareadycosmetics.com/products/graftobian-lipstick", "https://camerareadycosmetics.com/products/graftobian-lipstick")</f>
        <v/>
      </c>
      <c r="C1135" t="inlineStr">
        <is>
          <t>Lipstick</t>
        </is>
      </c>
      <c r="D1135" t="inlineStr">
        <is>
          <t>MAYBELLINE New York Super Stay Vinyl Ink Longwear No-Budge Liquid Lipcolor Makeup, Highly Pigmented Color and Instant Shine, Punchy, Nude Lipstick, 0.14 fl oz, 1 Count</t>
        </is>
      </c>
      <c r="E1135" s="2">
        <f>HYPERLINK("https://www.amazon.com/Maybelline-Longwear-No-Budge-Lipcolor-Pigmented/dp/B0BCCD784G/ref=sr_1_5?keywords=Lipstick&amp;qid=1695565480&amp;sr=8-5", "https://www.amazon.com/Maybelline-Longwear-No-Budge-Lipcolor-Pigmented/dp/B0BCCD784G/ref=sr_1_5?keywords=Lipstick&amp;qid=1695565480&amp;sr=8-5")</f>
        <v/>
      </c>
      <c r="F1135" t="inlineStr">
        <is>
          <t>B0BCCD784G</t>
        </is>
      </c>
      <c r="G1135">
        <f>_xlfn.IMAGE("https://camerareadycosmetics.com/cdn/shop/products/new-lips-web_50x.jpg?v=1522412034")</f>
        <v/>
      </c>
      <c r="H1135">
        <f>_xlfn.IMAGE("https://m.media-amazon.com/images/I/71hdQ9s0hTL._AC_UL320_.jpg")</f>
        <v/>
      </c>
      <c r="K1135" t="inlineStr">
        <is>
          <t>16.0</t>
        </is>
      </c>
      <c r="L1135" t="n">
        <v>9.619999999999999</v>
      </c>
      <c r="M1135" s="1" t="inlineStr">
        <is>
          <t>-39.88%</t>
        </is>
      </c>
      <c r="N1135" t="n">
        <v>4.3</v>
      </c>
      <c r="O1135" t="n">
        <v>31716</v>
      </c>
      <c r="Q1135" t="inlineStr">
        <is>
          <t>InStock</t>
        </is>
      </c>
      <c r="R1135" t="inlineStr">
        <is>
          <t>undefined</t>
        </is>
      </c>
      <c r="S1135" t="inlineStr">
        <is>
          <t>7034266951</t>
        </is>
      </c>
    </row>
    <row r="1136" ht="75" customHeight="1">
      <c r="A1136" s="2">
        <f>HYPERLINK("https://camerareadycosmetics.com/products/graftobian-lipstick", "https://camerareadycosmetics.com/products/graftobian-lipstick")</f>
        <v/>
      </c>
      <c r="B1136" s="2">
        <f>HYPERLINK("https://camerareadycosmetics.com/products/graftobian-lipstick", "https://camerareadycosmetics.com/products/graftobian-lipstick")</f>
        <v/>
      </c>
      <c r="C1136" t="inlineStr">
        <is>
          <t>Lipstick</t>
        </is>
      </c>
      <c r="D1136" t="inlineStr">
        <is>
          <t>Revlon Liquid Lipstick with Clear Lip Gloss, ColorStay Face Makeup, Overtime Lipcolor, Dual Ended with Vitamin E in Nude, Bare Maximum (350), 0.07 Oz</t>
        </is>
      </c>
      <c r="E1136" s="2" t="n"/>
      <c r="F1136" t="inlineStr">
        <is>
          <t>B001P2JZBC</t>
        </is>
      </c>
      <c r="G1136">
        <f>_xlfn.IMAGE("https://camerareadycosmetics.com/cdn/shop/products/new-lips-web_50x.jpg?v=1522412034")</f>
        <v/>
      </c>
      <c r="H1136">
        <f>_xlfn.IMAGE("https://m.media-amazon.com/images/I/71KigFSpAIL._AC_UL320_.jpg")</f>
        <v/>
      </c>
      <c r="K1136" t="inlineStr">
        <is>
          <t>16.0</t>
        </is>
      </c>
      <c r="L1136" t="n">
        <v>9.470000000000001</v>
      </c>
      <c r="M1136" s="1" t="inlineStr">
        <is>
          <t>-40.81%</t>
        </is>
      </c>
      <c r="N1136" t="n">
        <v>4.5</v>
      </c>
      <c r="O1136" t="n">
        <v>20314</v>
      </c>
      <c r="Q1136" t="inlineStr">
        <is>
          <t>InStock</t>
        </is>
      </c>
      <c r="R1136" t="inlineStr">
        <is>
          <t>undefined</t>
        </is>
      </c>
      <c r="S1136" t="inlineStr">
        <is>
          <t>7034266951</t>
        </is>
      </c>
    </row>
    <row r="1137" ht="75" customHeight="1">
      <c r="A1137" s="2">
        <f>HYPERLINK("https://camerareadycosmetics.com/products/graftobian-lipstick", "https://camerareadycosmetics.com/products/graftobian-lipstick")</f>
        <v/>
      </c>
      <c r="B1137" s="2">
        <f>HYPERLINK("https://camerareadycosmetics.com/products/graftobian-lipstick", "https://camerareadycosmetics.com/products/graftobian-lipstick")</f>
        <v/>
      </c>
      <c r="C1137" t="inlineStr">
        <is>
          <t>Lipstick</t>
        </is>
      </c>
      <c r="D1137" t="inlineStr">
        <is>
          <t>L'Oreal Paris Colour Riche Original Creamy, Hydrating Satin Lipstick with Argan Oil and Vitamin E, Caramel Latte , 1 Count</t>
        </is>
      </c>
      <c r="E1137" s="2">
        <f>HYPERLINK("https://www.amazon.com/Paris-Original-Hydrating-Lipstick-Caramel/dp/B004BCX8JS/ref=sr_1_3?keywords=Lipstick&amp;qid=1695565480&amp;sr=8-3", "https://www.amazon.com/Paris-Original-Hydrating-Lipstick-Caramel/dp/B004BCX8JS/ref=sr_1_3?keywords=Lipstick&amp;qid=1695565480&amp;sr=8-3")</f>
        <v/>
      </c>
      <c r="F1137" t="inlineStr">
        <is>
          <t>B004BCX8JS</t>
        </is>
      </c>
      <c r="G1137">
        <f>_xlfn.IMAGE("https://camerareadycosmetics.com/cdn/shop/products/new-lips-web_50x.jpg?v=1522412034")</f>
        <v/>
      </c>
      <c r="H1137">
        <f>_xlfn.IMAGE("https://m.media-amazon.com/images/I/51F4LbtsOfL._AC_UL320_.jpg")</f>
        <v/>
      </c>
      <c r="K1137" t="inlineStr">
        <is>
          <t>16.0</t>
        </is>
      </c>
      <c r="L1137" t="n">
        <v>6.97</v>
      </c>
      <c r="M1137" s="1" t="inlineStr">
        <is>
          <t>-56.44%</t>
        </is>
      </c>
      <c r="N1137" t="n">
        <v>4.5</v>
      </c>
      <c r="O1137" t="n">
        <v>30987</v>
      </c>
      <c r="Q1137" t="inlineStr">
        <is>
          <t>InStock</t>
        </is>
      </c>
      <c r="R1137" t="inlineStr">
        <is>
          <t>undefined</t>
        </is>
      </c>
      <c r="S1137" t="inlineStr">
        <is>
          <t>7034266951</t>
        </is>
      </c>
    </row>
    <row r="1138" ht="75" customHeight="1">
      <c r="A1138" s="2">
        <f>HYPERLINK("https://camerareadycosmetics.com/products/graftobian-lipstick", "https://camerareadycosmetics.com/products/graftobian-lipstick")</f>
        <v/>
      </c>
      <c r="B1138" s="2">
        <f>HYPERLINK("https://camerareadycosmetics.com/products/graftobian-lipstick", "https://camerareadycosmetics.com/products/graftobian-lipstick")</f>
        <v/>
      </c>
      <c r="C1138" t="inlineStr">
        <is>
          <t>Lipstick</t>
        </is>
      </c>
      <c r="D1138" t="inlineStr">
        <is>
          <t>L'Oreal Paris Colour Riche Original Creamy, Hydrating Satin Lipstick with Argan Oil and Vitamin E, Tropical Coral , 1 Count</t>
        </is>
      </c>
      <c r="E1138" s="2" t="n"/>
      <c r="F1138" t="inlineStr">
        <is>
          <t>B004BD0Y08</t>
        </is>
      </c>
      <c r="G1138">
        <f>_xlfn.IMAGE("https://camerareadycosmetics.com/cdn/shop/products/new-lips-web_50x.jpg?v=1522412034")</f>
        <v/>
      </c>
      <c r="H1138">
        <f>_xlfn.IMAGE("https://m.media-amazon.com/images/I/51cPYP5cpzL._AC_UL320_.jpg")</f>
        <v/>
      </c>
      <c r="K1138" t="inlineStr">
        <is>
          <t>16.0</t>
        </is>
      </c>
      <c r="L1138" t="n">
        <v>6.97</v>
      </c>
      <c r="M1138" s="1" t="inlineStr">
        <is>
          <t>-56.44%</t>
        </is>
      </c>
      <c r="N1138" t="n">
        <v>4.5</v>
      </c>
      <c r="O1138" t="n">
        <v>30987</v>
      </c>
      <c r="Q1138" t="inlineStr">
        <is>
          <t>InStock</t>
        </is>
      </c>
      <c r="R1138" t="inlineStr">
        <is>
          <t>undefined</t>
        </is>
      </c>
      <c r="S1138" t="inlineStr">
        <is>
          <t>7034266951</t>
        </is>
      </c>
    </row>
    <row r="1139" ht="75" customHeight="1">
      <c r="A1139" s="2">
        <f>HYPERLINK("https://camerareadycosmetics.com/products/graftobian-lipstick", "https://camerareadycosmetics.com/products/graftobian-lipstick")</f>
        <v/>
      </c>
      <c r="B1139" s="2">
        <f>HYPERLINK("https://camerareadycosmetics.com/products/graftobian-lipstick", "https://camerareadycosmetics.com/products/graftobian-lipstick")</f>
        <v/>
      </c>
      <c r="C1139" t="inlineStr">
        <is>
          <t>Lipstick</t>
        </is>
      </c>
      <c r="D1139" t="inlineStr">
        <is>
          <t>Revlon Super Lustrous Lipstick, High Impact Lipcolor with Moisturizing Creamy Formula, Infused with Vitamin E and Avocado Oil in Pinks, Pink Promise (778) 0.15 oz</t>
        </is>
      </c>
      <c r="E1139" s="2" t="n"/>
      <c r="F1139" t="inlineStr">
        <is>
          <t>B07XTSH96D</t>
        </is>
      </c>
      <c r="G1139">
        <f>_xlfn.IMAGE("https://camerareadycosmetics.com/cdn/shop/products/new-lips-web_50x.jpg?v=1522412034")</f>
        <v/>
      </c>
      <c r="H1139">
        <f>_xlfn.IMAGE("https://m.media-amazon.com/images/I/71VGvfyp+TL._AC_UL320_.jpg")</f>
        <v/>
      </c>
      <c r="K1139" t="inlineStr">
        <is>
          <t>16.0</t>
        </is>
      </c>
      <c r="L1139" t="n">
        <v>6.48</v>
      </c>
      <c r="M1139" s="1" t="inlineStr">
        <is>
          <t>-59.50%</t>
        </is>
      </c>
      <c r="N1139" t="n">
        <v>4.5</v>
      </c>
      <c r="O1139" t="n">
        <v>43946</v>
      </c>
      <c r="Q1139" t="inlineStr">
        <is>
          <t>InStock</t>
        </is>
      </c>
      <c r="R1139" t="inlineStr">
        <is>
          <t>undefined</t>
        </is>
      </c>
      <c r="S1139" t="inlineStr">
        <is>
          <t>7034266951</t>
        </is>
      </c>
    </row>
    <row r="1140" ht="75" customHeight="1">
      <c r="A1140" s="2">
        <f>HYPERLINK("https://camerareadycosmetics.com/products/graftobian-lipstick", "https://camerareadycosmetics.com/products/graftobian-lipstick")</f>
        <v/>
      </c>
      <c r="B1140" s="2">
        <f>HYPERLINK("https://camerareadycosmetics.com/products/graftobian-lipstick", "https://camerareadycosmetics.com/products/graftobian-lipstick")</f>
        <v/>
      </c>
      <c r="C1140" t="inlineStr">
        <is>
          <t>Lipstick</t>
        </is>
      </c>
      <c r="D1140" t="inlineStr">
        <is>
          <t>Maybelline New York Color Sensational Lipstick, Lip Makeup, Cream Finish, Hydrating Lipstick, Crazy for Coffee, Nude Pink,1 Count</t>
        </is>
      </c>
      <c r="E1140" s="2">
        <f>HYPERLINK("https://www.amazon.com/Maybelline-New-York-Sensational-Lipstick/dp/B002LFPZ0C/ref=sr_1_2?keywords=Lipstick&amp;qid=1695565480&amp;sr=8-2", "https://www.amazon.com/Maybelline-New-York-Sensational-Lipstick/dp/B002LFPZ0C/ref=sr_1_2?keywords=Lipstick&amp;qid=1695565480&amp;sr=8-2")</f>
        <v/>
      </c>
      <c r="F1140" t="inlineStr">
        <is>
          <t>B002LFPZ0C</t>
        </is>
      </c>
      <c r="G1140">
        <f>_xlfn.IMAGE("https://camerareadycosmetics.com/cdn/shop/products/new-lips-web_50x.jpg?v=1522412034")</f>
        <v/>
      </c>
      <c r="H1140">
        <f>_xlfn.IMAGE("https://m.media-amazon.com/images/I/710T5W3EjTL._AC_UL320_.jpg")</f>
        <v/>
      </c>
      <c r="K1140" t="inlineStr">
        <is>
          <t>16.0</t>
        </is>
      </c>
      <c r="L1140" t="n">
        <v>5</v>
      </c>
      <c r="M1140" s="1" t="inlineStr">
        <is>
          <t>-68.75%</t>
        </is>
      </c>
      <c r="N1140" t="n">
        <v>4.4</v>
      </c>
      <c r="O1140" t="n">
        <v>18534</v>
      </c>
      <c r="Q1140" t="inlineStr">
        <is>
          <t>InStock</t>
        </is>
      </c>
      <c r="R1140" t="inlineStr">
        <is>
          <t>undefined</t>
        </is>
      </c>
      <c r="S1140" t="inlineStr">
        <is>
          <t>7034266951</t>
        </is>
      </c>
    </row>
    <row r="1141" ht="75" customHeight="1">
      <c r="A1141" s="2">
        <f>HYPERLINK("https://camerareadycosmetics.com/products/graftobian-lipstick", "https://camerareadycosmetics.com/products/graftobian-lipstick")</f>
        <v/>
      </c>
      <c r="B1141" s="2">
        <f>HYPERLINK("https://camerareadycosmetics.com/products/graftobian-lipstick", "https://camerareadycosmetics.com/products/graftobian-lipstick")</f>
        <v/>
      </c>
      <c r="C1141" t="inlineStr">
        <is>
          <t>Lipstick</t>
        </is>
      </c>
      <c r="D1141" t="inlineStr">
        <is>
          <t>wet n wild Lipstick Mega Last High-Shine Lipstick Lip Color Makeup, Bright Pink Pinky Ring</t>
        </is>
      </c>
      <c r="E1141" s="2">
        <f>HYPERLINK("https://www.amazon.com/wild-Mega-High-Shine-Color-Pinky/dp/B082YQ4QWW/ref=sr_1_4?keywords=Lipstick&amp;qid=1695565480&amp;sr=8-4", "https://www.amazon.com/wild-Mega-High-Shine-Color-Pinky/dp/B082YQ4QWW/ref=sr_1_4?keywords=Lipstick&amp;qid=1695565480&amp;sr=8-4")</f>
        <v/>
      </c>
      <c r="F1141" t="inlineStr">
        <is>
          <t>B082YQ4QWW</t>
        </is>
      </c>
      <c r="G1141">
        <f>_xlfn.IMAGE("https://camerareadycosmetics.com/cdn/shop/products/new-lips-web_50x.jpg?v=1522412034")</f>
        <v/>
      </c>
      <c r="H1141">
        <f>_xlfn.IMAGE("https://m.media-amazon.com/images/I/71xzRVmNIsL._AC_UL320_.jpg")</f>
        <v/>
      </c>
      <c r="K1141" t="inlineStr">
        <is>
          <t>16.0</t>
        </is>
      </c>
      <c r="L1141" t="n">
        <v>1.98</v>
      </c>
      <c r="M1141" s="1" t="inlineStr">
        <is>
          <t>-87.62%</t>
        </is>
      </c>
      <c r="N1141" t="n">
        <v>4</v>
      </c>
      <c r="O1141" t="n">
        <v>23826</v>
      </c>
      <c r="Q1141" t="inlineStr">
        <is>
          <t>InStock</t>
        </is>
      </c>
      <c r="R1141" t="inlineStr">
        <is>
          <t>undefined</t>
        </is>
      </c>
      <c r="S1141" t="inlineStr">
        <is>
          <t>7034266951</t>
        </is>
      </c>
    </row>
    <row r="1142" ht="75" customHeight="1">
      <c r="A1142" s="2">
        <f>HYPERLINK("https://camerareadycosmetics.com/products/graftobian-lipstick", "https://camerareadycosmetics.com/products/graftobian-lipstick")</f>
        <v/>
      </c>
      <c r="B1142" s="2">
        <f>HYPERLINK("https://camerareadycosmetics.com/products/graftobian-lipstick", "https://camerareadycosmetics.com/products/graftobian-lipstick")</f>
        <v/>
      </c>
      <c r="C1142" t="inlineStr">
        <is>
          <t>Lipstick</t>
        </is>
      </c>
      <c r="D1142" t="inlineStr">
        <is>
          <t>Wet n Wild Silk Finish Lipstick, Hydrating Lip Color, Rich Buildable Color, Cherry Frost Red</t>
        </is>
      </c>
      <c r="E1142" s="2">
        <f>HYPERLINK("https://www.amazon.com/Wet-Wild-Finish-Lipstick-Cherry/dp/B010GNWPMQ/ref=sr_1_1?keywords=Lipstick&amp;qid=1695565480&amp;sr=8-1", "https://www.amazon.com/Wet-Wild-Finish-Lipstick-Cherry/dp/B010GNWPMQ/ref=sr_1_1?keywords=Lipstick&amp;qid=1695565480&amp;sr=8-1")</f>
        <v/>
      </c>
      <c r="F1142" t="inlineStr">
        <is>
          <t>B010GNWPMQ</t>
        </is>
      </c>
      <c r="G1142">
        <f>_xlfn.IMAGE("https://camerareadycosmetics.com/cdn/shop/products/new-lips-web_50x.jpg?v=1522412034")</f>
        <v/>
      </c>
      <c r="H1142">
        <f>_xlfn.IMAGE("https://m.media-amazon.com/images/I/71xn7IX-95L._AC_UL320_.jpg")</f>
        <v/>
      </c>
      <c r="K1142" t="inlineStr">
        <is>
          <t>16.0</t>
        </is>
      </c>
      <c r="L1142" t="n">
        <v>0.98</v>
      </c>
      <c r="M1142" s="1" t="inlineStr">
        <is>
          <t>-93.88%</t>
        </is>
      </c>
      <c r="N1142" t="n">
        <v>4.3</v>
      </c>
      <c r="O1142" t="n">
        <v>1231</v>
      </c>
      <c r="Q1142" t="inlineStr">
        <is>
          <t>InStock</t>
        </is>
      </c>
      <c r="R1142" t="inlineStr">
        <is>
          <t>undefined</t>
        </is>
      </c>
      <c r="S1142" t="inlineStr">
        <is>
          <t>7034266951</t>
        </is>
      </c>
    </row>
    <row r="1143" ht="75" customHeight="1">
      <c r="A1143" s="2">
        <f>HYPERLINK("https://camerareadycosmetics.com/products/graftobian-lipstick", "https://camerareadycosmetics.com/products/graftobian-lipstick")</f>
        <v/>
      </c>
      <c r="B1143" s="2">
        <f>HYPERLINK("https://camerareadycosmetics.com/products/graftobian-lipstick", "https://camerareadycosmetics.com/products/graftobian-lipstick")</f>
        <v/>
      </c>
      <c r="C1143" t="inlineStr">
        <is>
          <t>Lipstick</t>
        </is>
      </c>
      <c r="D1143" t="inlineStr">
        <is>
          <t>L'Oreal Paris Colour Riche Original Creamy, Hydrating Satin Lipstick with Argan Oil and Vitamin E, Caramel Latte , 1 Count</t>
        </is>
      </c>
      <c r="E1143" s="2">
        <f>HYPERLINK("https://www.amazon.com/Paris-Original-Hydrating-Lipstick-Caramel/dp/B004BCX8JS/ref=sr_1_3?keywords=Lipstick&amp;qid=1695565480&amp;sr=8-3", "https://www.amazon.com/Paris-Original-Hydrating-Lipstick-Caramel/dp/B004BCX8JS/ref=sr_1_3?keywords=Lipstick&amp;qid=1695565480&amp;sr=8-3")</f>
        <v/>
      </c>
      <c r="F1143" t="inlineStr">
        <is>
          <t>B004BCX8JS</t>
        </is>
      </c>
      <c r="G1143">
        <f>_xlfn.IMAGE("https://camerareadycosmetics.com/cdn/shop/products/new-lips-web_50x.jpg?v=1522412034")</f>
        <v/>
      </c>
      <c r="H1143">
        <f>_xlfn.IMAGE("https://m.media-amazon.com/images/I/51F4LbtsOfL._AC_UL320_.jpg")</f>
        <v/>
      </c>
      <c r="K1143" t="inlineStr">
        <is>
          <t>16.0</t>
        </is>
      </c>
      <c r="L1143" t="n">
        <v>6.97</v>
      </c>
      <c r="M1143" s="1" t="inlineStr">
        <is>
          <t>-56.44%</t>
        </is>
      </c>
      <c r="N1143" t="n">
        <v>4.5</v>
      </c>
      <c r="O1143" t="n">
        <v>30987</v>
      </c>
      <c r="Q1143" t="inlineStr">
        <is>
          <t>InStock</t>
        </is>
      </c>
      <c r="R1143" t="inlineStr">
        <is>
          <t>undefined</t>
        </is>
      </c>
      <c r="S1143" t="inlineStr">
        <is>
          <t>7034266951</t>
        </is>
      </c>
    </row>
    <row r="1144" ht="75" customHeight="1">
      <c r="A1144" s="2">
        <f>HYPERLINK("https://camerareadycosmetics.com/products/graftobian-lipstick", "https://camerareadycosmetics.com/products/graftobian-lipstick")</f>
        <v/>
      </c>
      <c r="B1144" s="2">
        <f>HYPERLINK("https://camerareadycosmetics.com/products/graftobian-lipstick", "https://camerareadycosmetics.com/products/graftobian-lipstick")</f>
        <v/>
      </c>
      <c r="C1144" t="inlineStr">
        <is>
          <t>Lipstick</t>
        </is>
      </c>
      <c r="D1144" t="inlineStr">
        <is>
          <t>L'Oreal Paris Colour Riche Original Creamy, Hydrating Satin Lipstick with Argan Oil and Vitamin E, Tropical Coral , 1 Count</t>
        </is>
      </c>
      <c r="E1144" s="2" t="n"/>
      <c r="F1144" t="inlineStr">
        <is>
          <t>B004BD0Y08</t>
        </is>
      </c>
      <c r="G1144">
        <f>_xlfn.IMAGE("https://camerareadycosmetics.com/cdn/shop/products/new-lips-web_50x.jpg?v=1522412034")</f>
        <v/>
      </c>
      <c r="H1144">
        <f>_xlfn.IMAGE("https://m.media-amazon.com/images/I/51cPYP5cpzL._AC_UL320_.jpg")</f>
        <v/>
      </c>
      <c r="K1144" t="inlineStr">
        <is>
          <t>16.0</t>
        </is>
      </c>
      <c r="L1144" t="n">
        <v>6.97</v>
      </c>
      <c r="M1144" s="1" t="inlineStr">
        <is>
          <t>-56.44%</t>
        </is>
      </c>
      <c r="N1144" t="n">
        <v>4.5</v>
      </c>
      <c r="O1144" t="n">
        <v>30987</v>
      </c>
      <c r="Q1144" t="inlineStr">
        <is>
          <t>InStock</t>
        </is>
      </c>
      <c r="R1144" t="inlineStr">
        <is>
          <t>undefined</t>
        </is>
      </c>
      <c r="S1144" t="inlineStr">
        <is>
          <t>7034266951</t>
        </is>
      </c>
    </row>
    <row r="1145" ht="75" customHeight="1">
      <c r="A1145" s="2">
        <f>HYPERLINK("https://camerareadycosmetics.com/products/graftobian-lipstick", "https://camerareadycosmetics.com/products/graftobian-lipstick")</f>
        <v/>
      </c>
      <c r="B1145" s="2">
        <f>HYPERLINK("https://camerareadycosmetics.com/products/graftobian-lipstick", "https://camerareadycosmetics.com/products/graftobian-lipstick")</f>
        <v/>
      </c>
      <c r="C1145" t="inlineStr">
        <is>
          <t>Lipstick</t>
        </is>
      </c>
      <c r="D1145" t="inlineStr">
        <is>
          <t>Revlon Super Lustrous Lipstick, High Impact Lipcolor with Moisturizing Creamy Formula, Infused with Vitamin E and Avocado Oil in Pinks, Pink Promise (778) 0.15 oz</t>
        </is>
      </c>
      <c r="E1145" s="2" t="n"/>
      <c r="F1145" t="inlineStr">
        <is>
          <t>B07XTSH96D</t>
        </is>
      </c>
      <c r="G1145">
        <f>_xlfn.IMAGE("https://camerareadycosmetics.com/cdn/shop/products/new-lips-web_50x.jpg?v=1522412034")</f>
        <v/>
      </c>
      <c r="H1145">
        <f>_xlfn.IMAGE("https://m.media-amazon.com/images/I/71VGvfyp+TL._AC_UL320_.jpg")</f>
        <v/>
      </c>
      <c r="K1145" t="inlineStr">
        <is>
          <t>16.0</t>
        </is>
      </c>
      <c r="L1145" t="n">
        <v>6.48</v>
      </c>
      <c r="M1145" s="1" t="inlineStr">
        <is>
          <t>-59.50%</t>
        </is>
      </c>
      <c r="N1145" t="n">
        <v>4.5</v>
      </c>
      <c r="O1145" t="n">
        <v>43946</v>
      </c>
      <c r="Q1145" t="inlineStr">
        <is>
          <t>InStock</t>
        </is>
      </c>
      <c r="R1145" t="inlineStr">
        <is>
          <t>undefined</t>
        </is>
      </c>
      <c r="S1145" t="inlineStr">
        <is>
          <t>7034266951</t>
        </is>
      </c>
    </row>
    <row r="1146" ht="75" customHeight="1">
      <c r="A1146" s="2">
        <f>HYPERLINK("https://camerareadycosmetics.com/products/graftobian-lipstick", "https://camerareadycosmetics.com/products/graftobian-lipstick")</f>
        <v/>
      </c>
      <c r="B1146" s="2">
        <f>HYPERLINK("https://camerareadycosmetics.com/products/graftobian-lipstick", "https://camerareadycosmetics.com/products/graftobian-lipstick")</f>
        <v/>
      </c>
      <c r="C1146" t="inlineStr">
        <is>
          <t>Lipstick</t>
        </is>
      </c>
      <c r="D1146" t="inlineStr">
        <is>
          <t>Maybelline New York Color Sensational Lipstick, Lip Makeup, Cream Finish, Hydrating Lipstick, Crazy for Coffee, Nude Pink,1 Count</t>
        </is>
      </c>
      <c r="E1146" s="2">
        <f>HYPERLINK("https://www.amazon.com/Maybelline-New-York-Sensational-Lipstick/dp/B002LFPZ0C/ref=sr_1_2?keywords=Lipstick&amp;qid=1695565480&amp;sr=8-2", "https://www.amazon.com/Maybelline-New-York-Sensational-Lipstick/dp/B002LFPZ0C/ref=sr_1_2?keywords=Lipstick&amp;qid=1695565480&amp;sr=8-2")</f>
        <v/>
      </c>
      <c r="F1146" t="inlineStr">
        <is>
          <t>B002LFPZ0C</t>
        </is>
      </c>
      <c r="G1146">
        <f>_xlfn.IMAGE("https://camerareadycosmetics.com/cdn/shop/products/new-lips-web_50x.jpg?v=1522412034")</f>
        <v/>
      </c>
      <c r="H1146">
        <f>_xlfn.IMAGE("https://m.media-amazon.com/images/I/710T5W3EjTL._AC_UL320_.jpg")</f>
        <v/>
      </c>
      <c r="K1146" t="inlineStr">
        <is>
          <t>16.0</t>
        </is>
      </c>
      <c r="L1146" t="n">
        <v>5</v>
      </c>
      <c r="M1146" s="1" t="inlineStr">
        <is>
          <t>-68.75%</t>
        </is>
      </c>
      <c r="N1146" t="n">
        <v>4.4</v>
      </c>
      <c r="O1146" t="n">
        <v>18534</v>
      </c>
      <c r="Q1146" t="inlineStr">
        <is>
          <t>InStock</t>
        </is>
      </c>
      <c r="R1146" t="inlineStr">
        <is>
          <t>undefined</t>
        </is>
      </c>
      <c r="S1146" t="inlineStr">
        <is>
          <t>7034266951</t>
        </is>
      </c>
    </row>
    <row r="1147" ht="75" customHeight="1">
      <c r="A1147" s="2">
        <f>HYPERLINK("https://camerareadycosmetics.com/products/graftobian-lipstick", "https://camerareadycosmetics.com/products/graftobian-lipstick")</f>
        <v/>
      </c>
      <c r="B1147" s="2">
        <f>HYPERLINK("https://camerareadycosmetics.com/products/graftobian-lipstick", "https://camerareadycosmetics.com/products/graftobian-lipstick")</f>
        <v/>
      </c>
      <c r="C1147" t="inlineStr">
        <is>
          <t>Lipstick</t>
        </is>
      </c>
      <c r="D1147" t="inlineStr">
        <is>
          <t>wet n wild Lipstick Mega Last High-Shine Lipstick Lip Color Makeup, Bright Pink Pinky Ring</t>
        </is>
      </c>
      <c r="E1147" s="2">
        <f>HYPERLINK("https://www.amazon.com/wild-Mega-High-Shine-Color-Pinky/dp/B082YQ4QWW/ref=sr_1_4?keywords=Lipstick&amp;qid=1695565480&amp;sr=8-4", "https://www.amazon.com/wild-Mega-High-Shine-Color-Pinky/dp/B082YQ4QWW/ref=sr_1_4?keywords=Lipstick&amp;qid=1695565480&amp;sr=8-4")</f>
        <v/>
      </c>
      <c r="F1147" t="inlineStr">
        <is>
          <t>B082YQ4QWW</t>
        </is>
      </c>
      <c r="G1147">
        <f>_xlfn.IMAGE("https://camerareadycosmetics.com/cdn/shop/products/new-lips-web_50x.jpg?v=1522412034")</f>
        <v/>
      </c>
      <c r="H1147">
        <f>_xlfn.IMAGE("https://m.media-amazon.com/images/I/71xzRVmNIsL._AC_UL320_.jpg")</f>
        <v/>
      </c>
      <c r="K1147" t="inlineStr">
        <is>
          <t>16.0</t>
        </is>
      </c>
      <c r="L1147" t="n">
        <v>1.98</v>
      </c>
      <c r="M1147" s="1" t="inlineStr">
        <is>
          <t>-87.62%</t>
        </is>
      </c>
      <c r="N1147" t="n">
        <v>4</v>
      </c>
      <c r="O1147" t="n">
        <v>23826</v>
      </c>
      <c r="Q1147" t="inlineStr">
        <is>
          <t>InStock</t>
        </is>
      </c>
      <c r="R1147" t="inlineStr">
        <is>
          <t>undefined</t>
        </is>
      </c>
      <c r="S1147" t="inlineStr">
        <is>
          <t>7034266951</t>
        </is>
      </c>
    </row>
    <row r="1148" ht="75" customHeight="1">
      <c r="A1148" s="2">
        <f>HYPERLINK("https://camerareadycosmetics.com/products/graftobian-lipstick", "https://camerareadycosmetics.com/products/graftobian-lipstick")</f>
        <v/>
      </c>
      <c r="B1148" s="2">
        <f>HYPERLINK("https://camerareadycosmetics.com/products/graftobian-lipstick", "https://camerareadycosmetics.com/products/graftobian-lipstick")</f>
        <v/>
      </c>
      <c r="C1148" t="inlineStr">
        <is>
          <t>Lipstick</t>
        </is>
      </c>
      <c r="D1148" t="inlineStr">
        <is>
          <t>Wet n Wild Silk Finish Lipstick, Hydrating Lip Color, Rich Buildable Color, Cherry Frost Red</t>
        </is>
      </c>
      <c r="E1148" s="2">
        <f>HYPERLINK("https://www.amazon.com/Wet-Wild-Finish-Lipstick-Cherry/dp/B010GNWPMQ/ref=sr_1_1?keywords=Lipstick&amp;qid=1695565480&amp;sr=8-1", "https://www.amazon.com/Wet-Wild-Finish-Lipstick-Cherry/dp/B010GNWPMQ/ref=sr_1_1?keywords=Lipstick&amp;qid=1695565480&amp;sr=8-1")</f>
        <v/>
      </c>
      <c r="F1148" t="inlineStr">
        <is>
          <t>B010GNWPMQ</t>
        </is>
      </c>
      <c r="G1148">
        <f>_xlfn.IMAGE("https://camerareadycosmetics.com/cdn/shop/products/new-lips-web_50x.jpg?v=1522412034")</f>
        <v/>
      </c>
      <c r="H1148">
        <f>_xlfn.IMAGE("https://m.media-amazon.com/images/I/71xn7IX-95L._AC_UL320_.jpg")</f>
        <v/>
      </c>
      <c r="K1148" t="inlineStr">
        <is>
          <t>16.0</t>
        </is>
      </c>
      <c r="L1148" t="n">
        <v>0.98</v>
      </c>
      <c r="M1148" s="1" t="inlineStr">
        <is>
          <t>-93.88%</t>
        </is>
      </c>
      <c r="N1148" t="n">
        <v>4.3</v>
      </c>
      <c r="O1148" t="n">
        <v>1231</v>
      </c>
      <c r="Q1148" t="inlineStr">
        <is>
          <t>InStock</t>
        </is>
      </c>
      <c r="R1148" t="inlineStr">
        <is>
          <t>undefined</t>
        </is>
      </c>
      <c r="S1148" t="inlineStr">
        <is>
          <t>7034266951</t>
        </is>
      </c>
    </row>
    <row r="1149" ht="75" customHeight="1">
      <c r="A1149" s="2">
        <f>HYPERLINK("https://camerareadycosmetics.com/products/graftobian-luxe-cashmere-hd-setting-powder", "https://camerareadycosmetics.com/products/graftobian-luxe-cashmere-hd-setting-powder")</f>
        <v/>
      </c>
      <c r="B1149" s="2">
        <f>HYPERLINK("https://camerareadycosmetics.com/products/graftobian-luxe-cashmere-hd-setting-powder", "https://camerareadycosmetics.com/products/graftobian-luxe-cashmere-hd-setting-powder")</f>
        <v/>
      </c>
      <c r="C1149" t="inlineStr">
        <is>
          <t>Luxe Cashmere HD Setting Powder</t>
        </is>
      </c>
      <c r="D1149" t="inlineStr">
        <is>
          <t>Graftobian HD LuxeCashmere Setting Powder - French Silk (0.7 oz)</t>
        </is>
      </c>
      <c r="E1149" s="2">
        <f>HYPERLINK("https://www.amazon.com/Graftobian-HD-LuxeCashmere-Setting-Powder/dp/B00FML2LXG/ref=sr_1_2?keywords=Luxe+Cashmere+HD+Setting+Powder&amp;qid=1695565480&amp;sr=8-2", "https://www.amazon.com/Graftobian-HD-LuxeCashmere-Setting-Powder/dp/B00FML2LXG/ref=sr_1_2?keywords=Luxe+Cashmere+HD+Setting+Powder&amp;qid=1695565480&amp;sr=8-2")</f>
        <v/>
      </c>
      <c r="F1149" t="inlineStr">
        <is>
          <t>B00FML2LXG</t>
        </is>
      </c>
      <c r="G1149">
        <f>_xlfn.IMAGE("https://camerareadycosmetics.com/cdn/shop/products/8139_zoom_1435632337_50x.jpg?v=1689635221")</f>
        <v/>
      </c>
      <c r="H1149">
        <f>_xlfn.IMAGE("https://m.media-amazon.com/images/I/713KiE8O-LL._AC_UL320_.jpg")</f>
        <v/>
      </c>
      <c r="K1149" t="inlineStr">
        <is>
          <t>24.0</t>
        </is>
      </c>
      <c r="L1149" t="n">
        <v>21.6</v>
      </c>
      <c r="M1149" s="1" t="inlineStr">
        <is>
          <t>-10.00%</t>
        </is>
      </c>
      <c r="N1149" t="n">
        <v>4.3</v>
      </c>
      <c r="O1149" t="n">
        <v>290</v>
      </c>
      <c r="Q1149" t="inlineStr">
        <is>
          <t>InStock</t>
        </is>
      </c>
      <c r="R1149" t="inlineStr">
        <is>
          <t>undefined</t>
        </is>
      </c>
      <c r="S1149" t="inlineStr">
        <is>
          <t>7037428039</t>
        </is>
      </c>
    </row>
    <row r="1150" ht="75" customHeight="1">
      <c r="A1150" s="2">
        <f>HYPERLINK("https://camerareadycosmetics.com/products/graftobian-powder-blush-palette", "https://camerareadycosmetics.com/products/graftobian-powder-blush-palette")</f>
        <v/>
      </c>
      <c r="B1150" s="2">
        <f>HYPERLINK("https://camerareadycosmetics.com/products/graftobian-powder-blush-palette", "https://camerareadycosmetics.com/products/graftobian-powder-blush-palette")</f>
        <v/>
      </c>
      <c r="C1150" t="inlineStr">
        <is>
          <t>Powder Blush Palette</t>
        </is>
      </c>
      <c r="D1150" t="inlineStr">
        <is>
          <t>Blusher Palette, Vodisa 9 Color Natural Make Up Blushing Set Face Sheer Matte Mineral Blush Kit, Cheek Base Foundation Pressed Powder Pallet Professional Facial Beauty Cosmetic Makeup Blush (1)</t>
        </is>
      </c>
      <c r="E1150" s="2">
        <f>HYPERLINK("https://www.amazon.com/Vodisa-Blushing-Foundation-Professional-Cosmetic/dp/B07571GQGM/ref=sr_1_6?keywords=Powder+Blush+Palette&amp;qid=1695565638&amp;sr=8-6", "https://www.amazon.com/Vodisa-Blushing-Foundation-Professional-Cosmetic/dp/B07571GQGM/ref=sr_1_6?keywords=Powder+Blush+Palette&amp;qid=1695565638&amp;sr=8-6")</f>
        <v/>
      </c>
      <c r="F1150" t="inlineStr">
        <is>
          <t>B07571GQGM</t>
        </is>
      </c>
      <c r="G1150">
        <f>_xlfn.IMAGE("https://camerareadycosmetics.com/cdn/shop/products/2361_zoom_1435622639_50x.jpg?v=1689635652")</f>
        <v/>
      </c>
      <c r="H1150">
        <f>_xlfn.IMAGE("https://m.media-amazon.com/images/I/61XqMIAsD0L._AC_UL320_.jpg")</f>
        <v/>
      </c>
      <c r="K1150" t="inlineStr">
        <is>
          <t>80.0</t>
        </is>
      </c>
      <c r="L1150" t="n">
        <v>13.99</v>
      </c>
      <c r="M1150" s="1" t="inlineStr">
        <is>
          <t>-82.51%</t>
        </is>
      </c>
      <c r="N1150" t="n">
        <v>4.2</v>
      </c>
      <c r="O1150" t="n">
        <v>250</v>
      </c>
      <c r="Q1150" t="inlineStr">
        <is>
          <t>InStock</t>
        </is>
      </c>
      <c r="R1150" t="inlineStr">
        <is>
          <t>undefined</t>
        </is>
      </c>
      <c r="S1150" t="inlineStr">
        <is>
          <t>7037537991</t>
        </is>
      </c>
    </row>
    <row r="1151" ht="75" customHeight="1">
      <c r="A1151" s="2">
        <f>HYPERLINK("https://camerareadycosmetics.com/products/graftobian-powder-blush-palette", "https://camerareadycosmetics.com/products/graftobian-powder-blush-palette")</f>
        <v/>
      </c>
      <c r="B1151" s="2">
        <f>HYPERLINK("https://camerareadycosmetics.com/products/graftobian-powder-blush-palette", "https://camerareadycosmetics.com/products/graftobian-powder-blush-palette")</f>
        <v/>
      </c>
      <c r="C1151" t="inlineStr">
        <is>
          <t>Powder Blush Palette</t>
        </is>
      </c>
      <c r="D1151" t="inlineStr">
        <is>
          <t>12 Colors Blush Palette,Highlighter Blush Powder Makeup,Long-Wearing,Smudge Proof,Natural-Looking,Blendable Cruelty-Free Matte Finish,Contour and Highlight Blush Palette Face Cosmetics Makeup</t>
        </is>
      </c>
      <c r="E1151" s="2">
        <f>HYPERLINK("https://www.amazon.com/Highlighter-Long-Wearing-Natural-Looking-Blendable-Cruelty-Free/dp/B0BMPPX5R4/ref=sr_1_3?keywords=Powder+Blush+Palette&amp;qid=1695565638&amp;sr=8-3", "https://www.amazon.com/Highlighter-Long-Wearing-Natural-Looking-Blendable-Cruelty-Free/dp/B0BMPPX5R4/ref=sr_1_3?keywords=Powder+Blush+Palette&amp;qid=1695565638&amp;sr=8-3")</f>
        <v/>
      </c>
      <c r="F1151" t="inlineStr">
        <is>
          <t>B0BMPPX5R4</t>
        </is>
      </c>
      <c r="G1151">
        <f>_xlfn.IMAGE("https://camerareadycosmetics.com/cdn/shop/products/2361_zoom_1435622639_50x.jpg?v=1689635652")</f>
        <v/>
      </c>
      <c r="H1151">
        <f>_xlfn.IMAGE("https://m.media-amazon.com/images/I/61G11ty+WVL._AC_UL320_.jpg")</f>
        <v/>
      </c>
      <c r="K1151" t="inlineStr">
        <is>
          <t>80.0</t>
        </is>
      </c>
      <c r="L1151" t="n">
        <v>12.99</v>
      </c>
      <c r="M1151" s="1" t="inlineStr">
        <is>
          <t>-83.76%</t>
        </is>
      </c>
      <c r="N1151" t="n">
        <v>4.1</v>
      </c>
      <c r="O1151" t="n">
        <v>99</v>
      </c>
      <c r="Q1151" t="inlineStr">
        <is>
          <t>InStock</t>
        </is>
      </c>
      <c r="R1151" t="inlineStr">
        <is>
          <t>undefined</t>
        </is>
      </c>
      <c r="S1151" t="inlineStr">
        <is>
          <t>7037537991</t>
        </is>
      </c>
    </row>
    <row r="1152" ht="75" customHeight="1">
      <c r="A1152" s="2">
        <f>HYPERLINK("https://camerareadycosmetics.com/products/graftobian-powder-blush-palette", "https://camerareadycosmetics.com/products/graftobian-powder-blush-palette")</f>
        <v/>
      </c>
      <c r="B1152" s="2">
        <f>HYPERLINK("https://camerareadycosmetics.com/products/graftobian-powder-blush-palette", "https://camerareadycosmetics.com/products/graftobian-powder-blush-palette")</f>
        <v/>
      </c>
      <c r="C1152" t="inlineStr">
        <is>
          <t>Powder Blush Palette</t>
        </is>
      </c>
      <c r="D1152" t="inlineStr">
        <is>
          <t>UCANBE 5 Colors Face Blusher Palette Waterproof Matte Long Lasting Lightweight Blush Powder Pink Coral Blushing Pallet with Brush Mirror Women Makeup Gift Set Kit</t>
        </is>
      </c>
      <c r="E1152" s="2">
        <f>HYPERLINK("https://www.amazon.com/Ucanbe-Waterproof-Colors-Blusher-Palette/dp/B00WG6WLUI/ref=sr_1_10?keywords=Powder+Blush+Palette&amp;qid=1695565638&amp;sr=8-10", "https://www.amazon.com/Ucanbe-Waterproof-Colors-Blusher-Palette/dp/B00WG6WLUI/ref=sr_1_10?keywords=Powder+Blush+Palette&amp;qid=1695565638&amp;sr=8-10")</f>
        <v/>
      </c>
      <c r="F1152" t="inlineStr">
        <is>
          <t>B00WG6WLUI</t>
        </is>
      </c>
      <c r="G1152">
        <f>_xlfn.IMAGE("https://camerareadycosmetics.com/cdn/shop/products/2361_zoom_1435622639_50x.jpg?v=1689635652")</f>
        <v/>
      </c>
      <c r="H1152">
        <f>_xlfn.IMAGE("https://m.media-amazon.com/images/I/51r1mjsWa+L._AC_UL320_.jpg")</f>
        <v/>
      </c>
      <c r="K1152" t="inlineStr">
        <is>
          <t>80.0</t>
        </is>
      </c>
      <c r="L1152" t="n">
        <v>11.99</v>
      </c>
      <c r="M1152" s="1" t="inlineStr">
        <is>
          <t>-85.01%</t>
        </is>
      </c>
      <c r="N1152" t="n">
        <v>4.3</v>
      </c>
      <c r="O1152" t="n">
        <v>2424</v>
      </c>
      <c r="Q1152" t="inlineStr">
        <is>
          <t>InStock</t>
        </is>
      </c>
      <c r="R1152" t="inlineStr">
        <is>
          <t>undefined</t>
        </is>
      </c>
      <c r="S1152" t="inlineStr">
        <is>
          <t>7037537991</t>
        </is>
      </c>
    </row>
    <row r="1153" ht="75" customHeight="1">
      <c r="A1153" s="2">
        <f>HYPERLINK("https://camerareadycosmetics.com/products/graftobian-powder-blush-palette", "https://camerareadycosmetics.com/products/graftobian-powder-blush-palette")</f>
        <v/>
      </c>
      <c r="B1153" s="2">
        <f>HYPERLINK("https://camerareadycosmetics.com/products/graftobian-powder-blush-palette", "https://camerareadycosmetics.com/products/graftobian-powder-blush-palette")</f>
        <v/>
      </c>
      <c r="C1153" t="inlineStr">
        <is>
          <t>Powder Blush Palette</t>
        </is>
      </c>
      <c r="D1153" t="inlineStr">
        <is>
          <t>Physicians Formula Powder Palette Multi-Colored Blush Powder Blushing Natural, Dermatologist Tested</t>
        </is>
      </c>
      <c r="E1153" s="2">
        <f>HYPERLINK("https://www.amazon.com/Physicians-Formula-Palette-Blushing-Natural/dp/B001QX2HBU/ref=sr_1_7?keywords=Powder+Blush+Palette&amp;qid=1695565638&amp;sr=8-7", "https://www.amazon.com/Physicians-Formula-Palette-Blushing-Natural/dp/B001QX2HBU/ref=sr_1_7?keywords=Powder+Blush+Palette&amp;qid=1695565638&amp;sr=8-7")</f>
        <v/>
      </c>
      <c r="F1153" t="inlineStr">
        <is>
          <t>B001QX2HBU</t>
        </is>
      </c>
      <c r="G1153">
        <f>_xlfn.IMAGE("https://camerareadycosmetics.com/cdn/shop/products/2361_zoom_1435622639_50x.jpg?v=1689635652")</f>
        <v/>
      </c>
      <c r="H1153">
        <f>_xlfn.IMAGE("https://m.media-amazon.com/images/I/81YiLYLvcCL._AC_UL320_.jpg")</f>
        <v/>
      </c>
      <c r="K1153" t="inlineStr">
        <is>
          <t>80.0</t>
        </is>
      </c>
      <c r="L1153" t="n">
        <v>11.48</v>
      </c>
      <c r="M1153" s="1" t="inlineStr">
        <is>
          <t>-85.65%</t>
        </is>
      </c>
      <c r="N1153" t="n">
        <v>4.5</v>
      </c>
      <c r="O1153" t="n">
        <v>7972</v>
      </c>
      <c r="Q1153" t="inlineStr">
        <is>
          <t>InStock</t>
        </is>
      </c>
      <c r="R1153" t="inlineStr">
        <is>
          <t>undefined</t>
        </is>
      </c>
      <c r="S1153" t="inlineStr">
        <is>
          <t>7037537991</t>
        </is>
      </c>
    </row>
    <row r="1154" ht="75" customHeight="1">
      <c r="A1154" s="2">
        <f>HYPERLINK("https://camerareadycosmetics.com/products/graftobian-powder-blush-palette", "https://camerareadycosmetics.com/products/graftobian-powder-blush-palette")</f>
        <v/>
      </c>
      <c r="B1154" s="2">
        <f>HYPERLINK("https://camerareadycosmetics.com/products/graftobian-powder-blush-palette", "https://camerareadycosmetics.com/products/graftobian-powder-blush-palette")</f>
        <v/>
      </c>
      <c r="C1154" t="inlineStr">
        <is>
          <t>Powder Blush Palette</t>
        </is>
      </c>
      <c r="D1154" t="inlineStr">
        <is>
          <t>8 Colors Face Matte Blush Palette Shading Blusher with Brush - Buildable Facial Cheek Blusher Contour Bronzing Pressed Powder Makeup Pallet Women Gift Set (01 Matte)</t>
        </is>
      </c>
      <c r="E1154" s="2">
        <f>HYPERLINK("https://www.amazon.com/UCANBE-Colors-Palette-Shading-Blusher/dp/B09J51W17H/ref=sr_1_2?keywords=Powder+Blush+Palette&amp;qid=1695565638&amp;sr=8-2", "https://www.amazon.com/UCANBE-Colors-Palette-Shading-Blusher/dp/B09J51W17H/ref=sr_1_2?keywords=Powder+Blush+Palette&amp;qid=1695565638&amp;sr=8-2")</f>
        <v/>
      </c>
      <c r="F1154" t="inlineStr">
        <is>
          <t>B09J51W17H</t>
        </is>
      </c>
      <c r="G1154">
        <f>_xlfn.IMAGE("https://camerareadycosmetics.com/cdn/shop/products/2361_zoom_1435622639_50x.jpg?v=1689635652")</f>
        <v/>
      </c>
      <c r="H1154">
        <f>_xlfn.IMAGE("https://m.media-amazon.com/images/I/71I1MutiLwL._AC_UL320_.jpg")</f>
        <v/>
      </c>
      <c r="K1154" t="inlineStr">
        <is>
          <t>80.0</t>
        </is>
      </c>
      <c r="L1154" t="n">
        <v>9.99</v>
      </c>
      <c r="M1154" s="1" t="inlineStr">
        <is>
          <t>-87.51%</t>
        </is>
      </c>
      <c r="N1154" t="n">
        <v>4.4</v>
      </c>
      <c r="O1154" t="n">
        <v>513</v>
      </c>
      <c r="Q1154" t="inlineStr">
        <is>
          <t>InStock</t>
        </is>
      </c>
      <c r="R1154" t="inlineStr">
        <is>
          <t>undefined</t>
        </is>
      </c>
      <c r="S1154" t="inlineStr">
        <is>
          <t>7037537991</t>
        </is>
      </c>
    </row>
    <row r="1155" ht="75" customHeight="1">
      <c r="A1155" s="2">
        <f>HYPERLINK("https://camerareadycosmetics.com/products/graftobian-powder-blush-palette", "https://camerareadycosmetics.com/products/graftobian-powder-blush-palette")</f>
        <v/>
      </c>
      <c r="B1155" s="2">
        <f>HYPERLINK("https://camerareadycosmetics.com/products/graftobian-powder-blush-palette", "https://camerareadycosmetics.com/products/graftobian-powder-blush-palette")</f>
        <v/>
      </c>
      <c r="C1155" t="inlineStr">
        <is>
          <t>Powder Blush Palette</t>
        </is>
      </c>
      <c r="D1155" t="inlineStr">
        <is>
          <t>e.l.f. Cosmetics Powder Blush Palette, Four Blush Shades for Beautiful, Long-Lasting Pigment, Light</t>
        </is>
      </c>
      <c r="E1155" s="2">
        <f>HYPERLINK("https://www.amazon.com/l-f-Cosmetics-Palette-Beautiful-Long-Lasting/dp/B00J56D0G6/ref=sr_1_1?keywords=Powder+Blush+Palette&amp;qid=1695565638&amp;sr=8-1", "https://www.amazon.com/l-f-Cosmetics-Palette-Beautiful-Long-Lasting/dp/B00J56D0G6/ref=sr_1_1?keywords=Powder+Blush+Palette&amp;qid=1695565638&amp;sr=8-1")</f>
        <v/>
      </c>
      <c r="F1155" t="inlineStr">
        <is>
          <t>B00J56D0G6</t>
        </is>
      </c>
      <c r="G1155">
        <f>_xlfn.IMAGE("https://camerareadycosmetics.com/cdn/shop/products/2361_zoom_1435622639_50x.jpg?v=1689635652")</f>
        <v/>
      </c>
      <c r="H1155">
        <f>_xlfn.IMAGE("https://m.media-amazon.com/images/I/819zF9qbHEL._AC_UL320_.jpg")</f>
        <v/>
      </c>
      <c r="K1155" t="inlineStr">
        <is>
          <t>80.0</t>
        </is>
      </c>
      <c r="L1155" t="n">
        <v>9</v>
      </c>
      <c r="M1155" s="1" t="inlineStr">
        <is>
          <t>-88.75%</t>
        </is>
      </c>
      <c r="N1155" t="n">
        <v>4.4</v>
      </c>
      <c r="O1155" t="n">
        <v>3864</v>
      </c>
      <c r="Q1155" t="inlineStr">
        <is>
          <t>InStock</t>
        </is>
      </c>
      <c r="R1155" t="inlineStr">
        <is>
          <t>undefined</t>
        </is>
      </c>
      <c r="S1155" t="inlineStr">
        <is>
          <t>7037537991</t>
        </is>
      </c>
    </row>
    <row r="1156" ht="75" customHeight="1">
      <c r="A1156" s="2">
        <f>HYPERLINK("https://camerareadycosmetics.com/products/graftobian-powder-blush-palette", "https://camerareadycosmetics.com/products/graftobian-powder-blush-palette")</f>
        <v/>
      </c>
      <c r="B1156" s="2">
        <f>HYPERLINK("https://camerareadycosmetics.com/products/graftobian-powder-blush-palette", "https://camerareadycosmetics.com/products/graftobian-powder-blush-palette")</f>
        <v/>
      </c>
      <c r="C1156" t="inlineStr">
        <is>
          <t>Powder Blush Palette</t>
        </is>
      </c>
      <c r="D1156" t="inlineStr">
        <is>
          <t>8 Colors Face Blush Palette, Matte Mineral Powder Bright Shimmer for Cheek and Eye Shadow Make-up, Contour and Highlight, Women Facial Makeup Plate</t>
        </is>
      </c>
      <c r="E1156" s="2">
        <f>HYPERLINK("https://www.amazon.com/SUMEITANG-Palette-Mineral-Shimmer-Highlight/dp/B09P3GBHXZ/ref=sr_1_8?keywords=Powder+Blush+Palette&amp;qid=1695565638&amp;sr=8-8", "https://www.amazon.com/SUMEITANG-Palette-Mineral-Shimmer-Highlight/dp/B09P3GBHXZ/ref=sr_1_8?keywords=Powder+Blush+Palette&amp;qid=1695565638&amp;sr=8-8")</f>
        <v/>
      </c>
      <c r="F1156" t="inlineStr">
        <is>
          <t>B09P3GBHXZ</t>
        </is>
      </c>
      <c r="G1156">
        <f>_xlfn.IMAGE("https://camerareadycosmetics.com/cdn/shop/products/2361_zoom_1435622639_50x.jpg?v=1689635652")</f>
        <v/>
      </c>
      <c r="H1156">
        <f>_xlfn.IMAGE("https://m.media-amazon.com/images/I/71utoGksoUL._AC_UL320_.jpg")</f>
        <v/>
      </c>
      <c r="K1156" t="inlineStr">
        <is>
          <t>80.0</t>
        </is>
      </c>
      <c r="L1156" t="n">
        <v>8.99</v>
      </c>
      <c r="M1156" s="1" t="inlineStr">
        <is>
          <t>-88.76%</t>
        </is>
      </c>
      <c r="N1156" t="n">
        <v>4.4</v>
      </c>
      <c r="O1156" t="n">
        <v>187</v>
      </c>
      <c r="Q1156" t="inlineStr">
        <is>
          <t>InStock</t>
        </is>
      </c>
      <c r="R1156" t="inlineStr">
        <is>
          <t>undefined</t>
        </is>
      </c>
      <c r="S1156" t="inlineStr">
        <is>
          <t>7037537991</t>
        </is>
      </c>
    </row>
    <row r="1157" ht="75" customHeight="1">
      <c r="A1157" s="2">
        <f>HYPERLINK("https://camerareadycosmetics.com/products/graftobian-powder-blush-palette", "https://camerareadycosmetics.com/products/graftobian-powder-blush-palette")</f>
        <v/>
      </c>
      <c r="B1157" s="2">
        <f>HYPERLINK("https://camerareadycosmetics.com/products/graftobian-powder-blush-palette", "https://camerareadycosmetics.com/products/graftobian-powder-blush-palette")</f>
        <v/>
      </c>
      <c r="C1157" t="inlineStr">
        <is>
          <t>Powder Blush Palette</t>
        </is>
      </c>
      <c r="D1157" t="inlineStr">
        <is>
          <t>6 Color Blush Palette, Matte and Shimmer Powder, Highlight Face Blusher Buildable, Professional Facial Contour Blush Pallet Pigmented and Long Last For Natural Fair Dark Skin Tone</t>
        </is>
      </c>
      <c r="E1157" s="2">
        <f>HYPERLINK("https://www.amazon.com/Palette-Highlight-Buildable-Professional-Pigmented/dp/B08Q7XMDBM/ref=sr_1_5?keywords=Powder+Blush+Palette&amp;qid=1695565638&amp;sr=8-5", "https://www.amazon.com/Palette-Highlight-Buildable-Professional-Pigmented/dp/B08Q7XMDBM/ref=sr_1_5?keywords=Powder+Blush+Palette&amp;qid=1695565638&amp;sr=8-5")</f>
        <v/>
      </c>
      <c r="F1157" t="inlineStr">
        <is>
          <t>B08Q7XMDBM</t>
        </is>
      </c>
      <c r="G1157">
        <f>_xlfn.IMAGE("https://camerareadycosmetics.com/cdn/shop/products/2361_zoom_1435622639_50x.jpg?v=1689635652")</f>
        <v/>
      </c>
      <c r="H1157">
        <f>_xlfn.IMAGE("https://m.media-amazon.com/images/I/61o8zrG1SXS._AC_UL320_.jpg")</f>
        <v/>
      </c>
      <c r="K1157" t="inlineStr">
        <is>
          <t>80.0</t>
        </is>
      </c>
      <c r="L1157" t="n">
        <v>5.99</v>
      </c>
      <c r="M1157" s="1" t="inlineStr">
        <is>
          <t>-92.51%</t>
        </is>
      </c>
      <c r="N1157" t="n">
        <v>4.4</v>
      </c>
      <c r="O1157" t="n">
        <v>600</v>
      </c>
      <c r="Q1157" t="inlineStr">
        <is>
          <t>InStock</t>
        </is>
      </c>
      <c r="R1157" t="inlineStr">
        <is>
          <t>undefined</t>
        </is>
      </c>
      <c r="S1157" t="inlineStr">
        <is>
          <t>7037537991</t>
        </is>
      </c>
    </row>
    <row r="1158" ht="75" customHeight="1">
      <c r="A1158" s="2">
        <f>HYPERLINK("https://camerareadycosmetics.com/products/graftobian-powder-blush-palette", "https://camerareadycosmetics.com/products/graftobian-powder-blush-palette")</f>
        <v/>
      </c>
      <c r="B1158" s="2">
        <f>HYPERLINK("https://camerareadycosmetics.com/products/graftobian-powder-blush-palette", "https://camerareadycosmetics.com/products/graftobian-powder-blush-palette")</f>
        <v/>
      </c>
      <c r="C1158" t="inlineStr">
        <is>
          <t>Powder Blush Palette</t>
        </is>
      </c>
      <c r="D1158" t="inlineStr">
        <is>
          <t>Blusher Palette, Vodisa 9 Color Natural Make Up Blushing Set Face Sheer Matte Mineral Blush Kit, Cheek Base Foundation Pressed Powder Pallet Professional Facial Beauty Cosmetic Makeup Blush (1)</t>
        </is>
      </c>
      <c r="E1158" s="2">
        <f>HYPERLINK("https://www.amazon.com/Vodisa-Blushing-Foundation-Professional-Cosmetic/dp/B07571GQGM/ref=sr_1_6?keywords=Powder+Blush+Palette&amp;qid=1695565638&amp;sr=8-6", "https://www.amazon.com/Vodisa-Blushing-Foundation-Professional-Cosmetic/dp/B07571GQGM/ref=sr_1_6?keywords=Powder+Blush+Palette&amp;qid=1695565638&amp;sr=8-6")</f>
        <v/>
      </c>
      <c r="F1158" t="inlineStr">
        <is>
          <t>B07571GQGM</t>
        </is>
      </c>
      <c r="G1158">
        <f>_xlfn.IMAGE("https://camerareadycosmetics.com/cdn/shop/products/2361_zoom_1435622639_50x.jpg?v=1689635652")</f>
        <v/>
      </c>
      <c r="H1158">
        <f>_xlfn.IMAGE("https://m.media-amazon.com/images/I/61XqMIAsD0L._AC_UL320_.jpg")</f>
        <v/>
      </c>
      <c r="K1158" t="inlineStr">
        <is>
          <t>80.0</t>
        </is>
      </c>
      <c r="L1158" t="n">
        <v>13.99</v>
      </c>
      <c r="M1158" s="1" t="inlineStr">
        <is>
          <t>-82.51%</t>
        </is>
      </c>
      <c r="N1158" t="n">
        <v>4.2</v>
      </c>
      <c r="O1158" t="n">
        <v>250</v>
      </c>
      <c r="Q1158" t="inlineStr">
        <is>
          <t>InStock</t>
        </is>
      </c>
      <c r="R1158" t="inlineStr">
        <is>
          <t>undefined</t>
        </is>
      </c>
      <c r="S1158" t="inlineStr">
        <is>
          <t>7037537991</t>
        </is>
      </c>
    </row>
    <row r="1159" ht="75" customHeight="1">
      <c r="A1159" s="2">
        <f>HYPERLINK("https://camerareadycosmetics.com/products/graftobian-powder-blush-palette", "https://camerareadycosmetics.com/products/graftobian-powder-blush-palette")</f>
        <v/>
      </c>
      <c r="B1159" s="2">
        <f>HYPERLINK("https://camerareadycosmetics.com/products/graftobian-powder-blush-palette", "https://camerareadycosmetics.com/products/graftobian-powder-blush-palette")</f>
        <v/>
      </c>
      <c r="C1159" t="inlineStr">
        <is>
          <t>Powder Blush Palette</t>
        </is>
      </c>
      <c r="D1159" t="inlineStr">
        <is>
          <t>12 Colors Blush Palette,Highlighter Blush Powder Makeup,Long-Wearing,Smudge Proof,Natural-Looking,Blendable Cruelty-Free Matte Finish,Contour and Highlight Blush Palette Face Cosmetics Makeup</t>
        </is>
      </c>
      <c r="E1159" s="2">
        <f>HYPERLINK("https://www.amazon.com/Highlighter-Long-Wearing-Natural-Looking-Blendable-Cruelty-Free/dp/B0BMPPX5R4/ref=sr_1_3?keywords=Powder+Blush+Palette&amp;qid=1695565638&amp;sr=8-3", "https://www.amazon.com/Highlighter-Long-Wearing-Natural-Looking-Blendable-Cruelty-Free/dp/B0BMPPX5R4/ref=sr_1_3?keywords=Powder+Blush+Palette&amp;qid=1695565638&amp;sr=8-3")</f>
        <v/>
      </c>
      <c r="F1159" t="inlineStr">
        <is>
          <t>B0BMPPX5R4</t>
        </is>
      </c>
      <c r="G1159">
        <f>_xlfn.IMAGE("https://camerareadycosmetics.com/cdn/shop/products/2361_zoom_1435622639_50x.jpg?v=1689635652")</f>
        <v/>
      </c>
      <c r="H1159">
        <f>_xlfn.IMAGE("https://m.media-amazon.com/images/I/61G11ty+WVL._AC_UL320_.jpg")</f>
        <v/>
      </c>
      <c r="K1159" t="inlineStr">
        <is>
          <t>80.0</t>
        </is>
      </c>
      <c r="L1159" t="n">
        <v>12.99</v>
      </c>
      <c r="M1159" s="1" t="inlineStr">
        <is>
          <t>-83.76%</t>
        </is>
      </c>
      <c r="N1159" t="n">
        <v>4.1</v>
      </c>
      <c r="O1159" t="n">
        <v>99</v>
      </c>
      <c r="Q1159" t="inlineStr">
        <is>
          <t>InStock</t>
        </is>
      </c>
      <c r="R1159" t="inlineStr">
        <is>
          <t>undefined</t>
        </is>
      </c>
      <c r="S1159" t="inlineStr">
        <is>
          <t>7037537991</t>
        </is>
      </c>
    </row>
    <row r="1160" ht="75" customHeight="1">
      <c r="A1160" s="2">
        <f>HYPERLINK("https://camerareadycosmetics.com/products/graftobian-powder-blush-palette", "https://camerareadycosmetics.com/products/graftobian-powder-blush-palette")</f>
        <v/>
      </c>
      <c r="B1160" s="2">
        <f>HYPERLINK("https://camerareadycosmetics.com/products/graftobian-powder-blush-palette", "https://camerareadycosmetics.com/products/graftobian-powder-blush-palette")</f>
        <v/>
      </c>
      <c r="C1160" t="inlineStr">
        <is>
          <t>Powder Blush Palette</t>
        </is>
      </c>
      <c r="D1160" t="inlineStr">
        <is>
          <t>UCANBE 5 Colors Face Blusher Palette Waterproof Matte Long Lasting Lightweight Blush Powder Pink Coral Blushing Pallet with Brush Mirror Women Makeup Gift Set Kit</t>
        </is>
      </c>
      <c r="E1160" s="2">
        <f>HYPERLINK("https://www.amazon.com/Ucanbe-Waterproof-Colors-Blusher-Palette/dp/B00WG6WLUI/ref=sr_1_10?keywords=Powder+Blush+Palette&amp;qid=1695565638&amp;sr=8-10", "https://www.amazon.com/Ucanbe-Waterproof-Colors-Blusher-Palette/dp/B00WG6WLUI/ref=sr_1_10?keywords=Powder+Blush+Palette&amp;qid=1695565638&amp;sr=8-10")</f>
        <v/>
      </c>
      <c r="F1160" t="inlineStr">
        <is>
          <t>B00WG6WLUI</t>
        </is>
      </c>
      <c r="G1160">
        <f>_xlfn.IMAGE("https://camerareadycosmetics.com/cdn/shop/products/2361_zoom_1435622639_50x.jpg?v=1689635652")</f>
        <v/>
      </c>
      <c r="H1160">
        <f>_xlfn.IMAGE("https://m.media-amazon.com/images/I/51r1mjsWa+L._AC_UL320_.jpg")</f>
        <v/>
      </c>
      <c r="K1160" t="inlineStr">
        <is>
          <t>80.0</t>
        </is>
      </c>
      <c r="L1160" t="n">
        <v>11.99</v>
      </c>
      <c r="M1160" s="1" t="inlineStr">
        <is>
          <t>-85.01%</t>
        </is>
      </c>
      <c r="N1160" t="n">
        <v>4.3</v>
      </c>
      <c r="O1160" t="n">
        <v>2424</v>
      </c>
      <c r="Q1160" t="inlineStr">
        <is>
          <t>InStock</t>
        </is>
      </c>
      <c r="R1160" t="inlineStr">
        <is>
          <t>undefined</t>
        </is>
      </c>
      <c r="S1160" t="inlineStr">
        <is>
          <t>7037537991</t>
        </is>
      </c>
    </row>
    <row r="1161" ht="75" customHeight="1">
      <c r="A1161" s="2">
        <f>HYPERLINK("https://camerareadycosmetics.com/products/graftobian-powder-blush-palette", "https://camerareadycosmetics.com/products/graftobian-powder-blush-palette")</f>
        <v/>
      </c>
      <c r="B1161" s="2">
        <f>HYPERLINK("https://camerareadycosmetics.com/products/graftobian-powder-blush-palette", "https://camerareadycosmetics.com/products/graftobian-powder-blush-palette")</f>
        <v/>
      </c>
      <c r="C1161" t="inlineStr">
        <is>
          <t>Powder Blush Palette</t>
        </is>
      </c>
      <c r="D1161" t="inlineStr">
        <is>
          <t>Physicians Formula Powder Palette Multi-Colored Blush Powder Blushing Natural, Dermatologist Tested</t>
        </is>
      </c>
      <c r="E1161" s="2">
        <f>HYPERLINK("https://www.amazon.com/Physicians-Formula-Palette-Blushing-Natural/dp/B001QX2HBU/ref=sr_1_7?keywords=Powder+Blush+Palette&amp;qid=1695565638&amp;sr=8-7", "https://www.amazon.com/Physicians-Formula-Palette-Blushing-Natural/dp/B001QX2HBU/ref=sr_1_7?keywords=Powder+Blush+Palette&amp;qid=1695565638&amp;sr=8-7")</f>
        <v/>
      </c>
      <c r="F1161" t="inlineStr">
        <is>
          <t>B001QX2HBU</t>
        </is>
      </c>
      <c r="G1161">
        <f>_xlfn.IMAGE("https://camerareadycosmetics.com/cdn/shop/products/2361_zoom_1435622639_50x.jpg?v=1689635652")</f>
        <v/>
      </c>
      <c r="H1161">
        <f>_xlfn.IMAGE("https://m.media-amazon.com/images/I/81YiLYLvcCL._AC_UL320_.jpg")</f>
        <v/>
      </c>
      <c r="K1161" t="inlineStr">
        <is>
          <t>80.0</t>
        </is>
      </c>
      <c r="L1161" t="n">
        <v>11.48</v>
      </c>
      <c r="M1161" s="1" t="inlineStr">
        <is>
          <t>-85.65%</t>
        </is>
      </c>
      <c r="N1161" t="n">
        <v>4.5</v>
      </c>
      <c r="O1161" t="n">
        <v>7972</v>
      </c>
      <c r="Q1161" t="inlineStr">
        <is>
          <t>InStock</t>
        </is>
      </c>
      <c r="R1161" t="inlineStr">
        <is>
          <t>undefined</t>
        </is>
      </c>
      <c r="S1161" t="inlineStr">
        <is>
          <t>7037537991</t>
        </is>
      </c>
    </row>
    <row r="1162" ht="75" customHeight="1">
      <c r="A1162" s="2">
        <f>HYPERLINK("https://camerareadycosmetics.com/products/graftobian-powder-blush-palette", "https://camerareadycosmetics.com/products/graftobian-powder-blush-palette")</f>
        <v/>
      </c>
      <c r="B1162" s="2">
        <f>HYPERLINK("https://camerareadycosmetics.com/products/graftobian-powder-blush-palette", "https://camerareadycosmetics.com/products/graftobian-powder-blush-palette")</f>
        <v/>
      </c>
      <c r="C1162" t="inlineStr">
        <is>
          <t>Powder Blush Palette</t>
        </is>
      </c>
      <c r="D1162" t="inlineStr">
        <is>
          <t>8 Colors Face Matte Blush Palette Shading Blusher with Brush - Buildable Facial Cheek Blusher Contour Bronzing Pressed Powder Makeup Pallet Women Gift Set (01 Matte)</t>
        </is>
      </c>
      <c r="E1162" s="2">
        <f>HYPERLINK("https://www.amazon.com/UCANBE-Colors-Palette-Shading-Blusher/dp/B09J51W17H/ref=sr_1_2?keywords=Powder+Blush+Palette&amp;qid=1695565638&amp;sr=8-2", "https://www.amazon.com/UCANBE-Colors-Palette-Shading-Blusher/dp/B09J51W17H/ref=sr_1_2?keywords=Powder+Blush+Palette&amp;qid=1695565638&amp;sr=8-2")</f>
        <v/>
      </c>
      <c r="F1162" t="inlineStr">
        <is>
          <t>B09J51W17H</t>
        </is>
      </c>
      <c r="G1162">
        <f>_xlfn.IMAGE("https://camerareadycosmetics.com/cdn/shop/products/2361_zoom_1435622639_50x.jpg?v=1689635652")</f>
        <v/>
      </c>
      <c r="H1162">
        <f>_xlfn.IMAGE("https://m.media-amazon.com/images/I/71I1MutiLwL._AC_UL320_.jpg")</f>
        <v/>
      </c>
      <c r="K1162" t="inlineStr">
        <is>
          <t>80.0</t>
        </is>
      </c>
      <c r="L1162" t="n">
        <v>9.99</v>
      </c>
      <c r="M1162" s="1" t="inlineStr">
        <is>
          <t>-87.51%</t>
        </is>
      </c>
      <c r="N1162" t="n">
        <v>4.4</v>
      </c>
      <c r="O1162" t="n">
        <v>513</v>
      </c>
      <c r="Q1162" t="inlineStr">
        <is>
          <t>InStock</t>
        </is>
      </c>
      <c r="R1162" t="inlineStr">
        <is>
          <t>undefined</t>
        </is>
      </c>
      <c r="S1162" t="inlineStr">
        <is>
          <t>7037537991</t>
        </is>
      </c>
    </row>
    <row r="1163" ht="75" customHeight="1">
      <c r="A1163" s="2">
        <f>HYPERLINK("https://camerareadycosmetics.com/products/graftobian-powder-blush-palette", "https://camerareadycosmetics.com/products/graftobian-powder-blush-palette")</f>
        <v/>
      </c>
      <c r="B1163" s="2">
        <f>HYPERLINK("https://camerareadycosmetics.com/products/graftobian-powder-blush-palette", "https://camerareadycosmetics.com/products/graftobian-powder-blush-palette")</f>
        <v/>
      </c>
      <c r="C1163" t="inlineStr">
        <is>
          <t>Powder Blush Palette</t>
        </is>
      </c>
      <c r="D1163" t="inlineStr">
        <is>
          <t>e.l.f. Cosmetics Powder Blush Palette, Four Blush Shades for Beautiful, Long-Lasting Pigment, Light</t>
        </is>
      </c>
      <c r="E1163" s="2">
        <f>HYPERLINK("https://www.amazon.com/l-f-Cosmetics-Palette-Beautiful-Long-Lasting/dp/B00J56D0G6/ref=sr_1_1?keywords=Powder+Blush+Palette&amp;qid=1695565638&amp;sr=8-1", "https://www.amazon.com/l-f-Cosmetics-Palette-Beautiful-Long-Lasting/dp/B00J56D0G6/ref=sr_1_1?keywords=Powder+Blush+Palette&amp;qid=1695565638&amp;sr=8-1")</f>
        <v/>
      </c>
      <c r="F1163" t="inlineStr">
        <is>
          <t>B00J56D0G6</t>
        </is>
      </c>
      <c r="G1163">
        <f>_xlfn.IMAGE("https://camerareadycosmetics.com/cdn/shop/products/2361_zoom_1435622639_50x.jpg?v=1689635652")</f>
        <v/>
      </c>
      <c r="H1163">
        <f>_xlfn.IMAGE("https://m.media-amazon.com/images/I/819zF9qbHEL._AC_UL320_.jpg")</f>
        <v/>
      </c>
      <c r="K1163" t="inlineStr">
        <is>
          <t>80.0</t>
        </is>
      </c>
      <c r="L1163" t="n">
        <v>9</v>
      </c>
      <c r="M1163" s="1" t="inlineStr">
        <is>
          <t>-88.75%</t>
        </is>
      </c>
      <c r="N1163" t="n">
        <v>4.4</v>
      </c>
      <c r="O1163" t="n">
        <v>3864</v>
      </c>
      <c r="Q1163" t="inlineStr">
        <is>
          <t>InStock</t>
        </is>
      </c>
      <c r="R1163" t="inlineStr">
        <is>
          <t>undefined</t>
        </is>
      </c>
      <c r="S1163" t="inlineStr">
        <is>
          <t>7037537991</t>
        </is>
      </c>
    </row>
    <row r="1164" ht="75" customHeight="1">
      <c r="A1164" s="2">
        <f>HYPERLINK("https://camerareadycosmetics.com/products/graftobian-powder-blush-palette", "https://camerareadycosmetics.com/products/graftobian-powder-blush-palette")</f>
        <v/>
      </c>
      <c r="B1164" s="2">
        <f>HYPERLINK("https://camerareadycosmetics.com/products/graftobian-powder-blush-palette", "https://camerareadycosmetics.com/products/graftobian-powder-blush-palette")</f>
        <v/>
      </c>
      <c r="C1164" t="inlineStr">
        <is>
          <t>Powder Blush Palette</t>
        </is>
      </c>
      <c r="D1164" t="inlineStr">
        <is>
          <t>8 Colors Face Blush Palette, Matte Mineral Powder Bright Shimmer for Cheek and Eye Shadow Make-up, Contour and Highlight, Women Facial Makeup Plate</t>
        </is>
      </c>
      <c r="E1164" s="2">
        <f>HYPERLINK("https://www.amazon.com/SUMEITANG-Palette-Mineral-Shimmer-Highlight/dp/B09P3GBHXZ/ref=sr_1_8?keywords=Powder+Blush+Palette&amp;qid=1695565638&amp;sr=8-8", "https://www.amazon.com/SUMEITANG-Palette-Mineral-Shimmer-Highlight/dp/B09P3GBHXZ/ref=sr_1_8?keywords=Powder+Blush+Palette&amp;qid=1695565638&amp;sr=8-8")</f>
        <v/>
      </c>
      <c r="F1164" t="inlineStr">
        <is>
          <t>B09P3GBHXZ</t>
        </is>
      </c>
      <c r="G1164">
        <f>_xlfn.IMAGE("https://camerareadycosmetics.com/cdn/shop/products/2361_zoom_1435622639_50x.jpg?v=1689635652")</f>
        <v/>
      </c>
      <c r="H1164">
        <f>_xlfn.IMAGE("https://m.media-amazon.com/images/I/71utoGksoUL._AC_UL320_.jpg")</f>
        <v/>
      </c>
      <c r="K1164" t="inlineStr">
        <is>
          <t>80.0</t>
        </is>
      </c>
      <c r="L1164" t="n">
        <v>8.99</v>
      </c>
      <c r="M1164" s="1" t="inlineStr">
        <is>
          <t>-88.76%</t>
        </is>
      </c>
      <c r="N1164" t="n">
        <v>4.4</v>
      </c>
      <c r="O1164" t="n">
        <v>187</v>
      </c>
      <c r="Q1164" t="inlineStr">
        <is>
          <t>InStock</t>
        </is>
      </c>
      <c r="R1164" t="inlineStr">
        <is>
          <t>undefined</t>
        </is>
      </c>
      <c r="S1164" t="inlineStr">
        <is>
          <t>7037537991</t>
        </is>
      </c>
    </row>
    <row r="1165" ht="75" customHeight="1">
      <c r="A1165" s="2">
        <f>HYPERLINK("https://camerareadycosmetics.com/products/graftobian-powder-blush-palette", "https://camerareadycosmetics.com/products/graftobian-powder-blush-palette")</f>
        <v/>
      </c>
      <c r="B1165" s="2">
        <f>HYPERLINK("https://camerareadycosmetics.com/products/graftobian-powder-blush-palette", "https://camerareadycosmetics.com/products/graftobian-powder-blush-palette")</f>
        <v/>
      </c>
      <c r="C1165" t="inlineStr">
        <is>
          <t>Powder Blush Palette</t>
        </is>
      </c>
      <c r="D1165" t="inlineStr">
        <is>
          <t>6 Color Blush Palette, Matte and Shimmer Powder, Highlight Face Blusher Buildable, Professional Facial Contour Blush Pallet Pigmented and Long Last For Natural Fair Dark Skin Tone</t>
        </is>
      </c>
      <c r="E1165" s="2">
        <f>HYPERLINK("https://www.amazon.com/Palette-Highlight-Buildable-Professional-Pigmented/dp/B08Q7XMDBM/ref=sr_1_5?keywords=Powder+Blush+Palette&amp;qid=1695565638&amp;sr=8-5", "https://www.amazon.com/Palette-Highlight-Buildable-Professional-Pigmented/dp/B08Q7XMDBM/ref=sr_1_5?keywords=Powder+Blush+Palette&amp;qid=1695565638&amp;sr=8-5")</f>
        <v/>
      </c>
      <c r="F1165" t="inlineStr">
        <is>
          <t>B08Q7XMDBM</t>
        </is>
      </c>
      <c r="G1165">
        <f>_xlfn.IMAGE("https://camerareadycosmetics.com/cdn/shop/products/2361_zoom_1435622639_50x.jpg?v=1689635652")</f>
        <v/>
      </c>
      <c r="H1165">
        <f>_xlfn.IMAGE("https://m.media-amazon.com/images/I/61o8zrG1SXS._AC_UL320_.jpg")</f>
        <v/>
      </c>
      <c r="K1165" t="inlineStr">
        <is>
          <t>80.0</t>
        </is>
      </c>
      <c r="L1165" t="n">
        <v>5.99</v>
      </c>
      <c r="M1165" s="1" t="inlineStr">
        <is>
          <t>-92.51%</t>
        </is>
      </c>
      <c r="N1165" t="n">
        <v>4.4</v>
      </c>
      <c r="O1165" t="n">
        <v>600</v>
      </c>
      <c r="Q1165" t="inlineStr">
        <is>
          <t>InStock</t>
        </is>
      </c>
      <c r="R1165" t="inlineStr">
        <is>
          <t>undefined</t>
        </is>
      </c>
      <c r="S1165" t="inlineStr">
        <is>
          <t>7037537991</t>
        </is>
      </c>
    </row>
    <row r="1166" ht="75" customHeight="1">
      <c r="A1166" s="2">
        <f>HYPERLINK("https://camerareadycosmetics.com/products/graftobian-pro-setting-powder", "https://camerareadycosmetics.com/products/graftobian-pro-setting-powder")</f>
        <v/>
      </c>
      <c r="B1166" s="2">
        <f>HYPERLINK("https://camerareadycosmetics.com/products/graftobian-pro-setting-powder", "https://camerareadycosmetics.com/products/graftobian-pro-setting-powder")</f>
        <v/>
      </c>
      <c r="C1166" t="inlineStr">
        <is>
          <t>Pro Setting Powder</t>
        </is>
      </c>
      <c r="D1166" t="inlineStr">
        <is>
          <t>Fenty Beauty by Rihanna - Pro FiltR Instant Retouch Setting Powder - # Butter (Light Medium To Medium With Warm</t>
        </is>
      </c>
      <c r="E1166" s="2">
        <f>HYPERLINK("https://www.amazon.com/FENTY-BEAUTY-Rihanna-Instant-Retouch/dp/B07V67GSFJ/ref=sr_1_8?keywords=Pro+Setting+Powder&amp;qid=1695565479&amp;sr=8-8", "https://www.amazon.com/FENTY-BEAUTY-Rihanna-Instant-Retouch/dp/B07V67GSFJ/ref=sr_1_8?keywords=Pro+Setting+Powder&amp;qid=1695565479&amp;sr=8-8")</f>
        <v/>
      </c>
      <c r="F1166" t="inlineStr">
        <is>
          <t>B07V67GSFJ</t>
        </is>
      </c>
      <c r="G1166">
        <f>_xlfn.IMAGE("https://camerareadycosmetics.com/cdn/shop/products/15071_zoom_1440193862_50x.jpg?v=1689628692")</f>
        <v/>
      </c>
      <c r="H1166">
        <f>_xlfn.IMAGE("https://m.media-amazon.com/images/I/51sucq5yApL._AC_UL320_.jpg")</f>
        <v/>
      </c>
      <c r="K1166" t="inlineStr">
        <is>
          <t>8.0</t>
        </is>
      </c>
      <c r="L1166" t="n">
        <v>55</v>
      </c>
      <c r="M1166" s="1" t="inlineStr">
        <is>
          <t>587.50%</t>
        </is>
      </c>
      <c r="N1166" t="n">
        <v>4.3</v>
      </c>
      <c r="O1166" t="n">
        <v>64</v>
      </c>
      <c r="Q1166" t="inlineStr">
        <is>
          <t>InStock</t>
        </is>
      </c>
      <c r="R1166" t="inlineStr">
        <is>
          <t>undefined</t>
        </is>
      </c>
      <c r="S1166" t="inlineStr">
        <is>
          <t>7035157575</t>
        </is>
      </c>
    </row>
    <row r="1167" ht="75" customHeight="1">
      <c r="A1167" s="2">
        <f>HYPERLINK("https://camerareadycosmetics.com/products/graftobian-pro-setting-powder", "https://camerareadycosmetics.com/products/graftobian-pro-setting-powder")</f>
        <v/>
      </c>
      <c r="B1167" s="2">
        <f>HYPERLINK("https://camerareadycosmetics.com/products/graftobian-pro-setting-powder", "https://camerareadycosmetics.com/products/graftobian-pro-setting-powder")</f>
        <v/>
      </c>
      <c r="C1167" t="inlineStr">
        <is>
          <t>Pro Setting Powder</t>
        </is>
      </c>
      <c r="D1167" t="inlineStr">
        <is>
          <t>PRO Loose Flawless Setting Finishing Powder</t>
        </is>
      </c>
      <c r="E1167" s="2">
        <f>HYPERLINK("https://www.amazon.com/LORAC-Loose-Setting-Powder-Br%C3%BBl%C3%A9e/dp/B0912QS6T2/ref=sr_1_4?keywords=Pro+Setting+Powder&amp;qid=1695565479&amp;sr=8-4", "https://www.amazon.com/LORAC-Loose-Setting-Powder-Br%C3%BBl%C3%A9e/dp/B0912QS6T2/ref=sr_1_4?keywords=Pro+Setting+Powder&amp;qid=1695565479&amp;sr=8-4")</f>
        <v/>
      </c>
      <c r="F1167" t="inlineStr">
        <is>
          <t>B0912QS6T2</t>
        </is>
      </c>
      <c r="G1167">
        <f>_xlfn.IMAGE("https://camerareadycosmetics.com/cdn/shop/products/15071_zoom_1440193862_50x.jpg?v=1689628692")</f>
        <v/>
      </c>
      <c r="H1167">
        <f>_xlfn.IMAGE("https://m.media-amazon.com/images/I/71ry84fi28L._AC_UL320_.jpg")</f>
        <v/>
      </c>
      <c r="K1167" t="inlineStr">
        <is>
          <t>8.0</t>
        </is>
      </c>
      <c r="L1167" t="n">
        <v>25.16</v>
      </c>
      <c r="M1167" s="1" t="inlineStr">
        <is>
          <t>214.50%</t>
        </is>
      </c>
      <c r="N1167" t="n">
        <v>3.9</v>
      </c>
      <c r="O1167" t="n">
        <v>38</v>
      </c>
      <c r="Q1167" t="inlineStr">
        <is>
          <t>InStock</t>
        </is>
      </c>
      <c r="R1167" t="inlineStr">
        <is>
          <t>undefined</t>
        </is>
      </c>
      <c r="S1167" t="inlineStr">
        <is>
          <t>7035157575</t>
        </is>
      </c>
    </row>
    <row r="1168" ht="75" customHeight="1">
      <c r="A1168" s="2">
        <f>HYPERLINK("https://camerareadycosmetics.com/products/graftobian-pro-setting-powder", "https://camerareadycosmetics.com/products/graftobian-pro-setting-powder")</f>
        <v/>
      </c>
      <c r="B1168" s="2">
        <f>HYPERLINK("https://camerareadycosmetics.com/products/graftobian-pro-setting-powder", "https://camerareadycosmetics.com/products/graftobian-pro-setting-powder")</f>
        <v/>
      </c>
      <c r="C1168" t="inlineStr">
        <is>
          <t>Pro Setting Powder</t>
        </is>
      </c>
      <c r="D1168" t="inlineStr">
        <is>
          <t>CINEMA SECRETS Pro Cosmetics Ultralucent Loose Setting Powder, Beige</t>
        </is>
      </c>
      <c r="E1168" s="2">
        <f>HYPERLINK("https://www.amazon.com/Cinema-Secrets-Ultralucent-Loose-Powder/dp/B003NUMQG0/ref=sr_1_7?keywords=Pro+Setting+Powder&amp;qid=1695565479&amp;sr=8-7", "https://www.amazon.com/Cinema-Secrets-Ultralucent-Loose-Powder/dp/B003NUMQG0/ref=sr_1_7?keywords=Pro+Setting+Powder&amp;qid=1695565479&amp;sr=8-7")</f>
        <v/>
      </c>
      <c r="F1168" t="inlineStr">
        <is>
          <t>B003NUMQG0</t>
        </is>
      </c>
      <c r="G1168">
        <f>_xlfn.IMAGE("https://camerareadycosmetics.com/cdn/shop/products/15071_zoom_1440193862_50x.jpg?v=1689628692")</f>
        <v/>
      </c>
      <c r="H1168">
        <f>_xlfn.IMAGE("https://m.media-amazon.com/images/I/819EjlcOvtL._AC_UL320_.jpg")</f>
        <v/>
      </c>
      <c r="K1168" t="inlineStr">
        <is>
          <t>8.0</t>
        </is>
      </c>
      <c r="L1168" t="n">
        <v>22</v>
      </c>
      <c r="M1168" s="1" t="inlineStr">
        <is>
          <t>175.00%</t>
        </is>
      </c>
      <c r="N1168" t="n">
        <v>4.3</v>
      </c>
      <c r="O1168" t="n">
        <v>21</v>
      </c>
      <c r="Q1168" t="inlineStr">
        <is>
          <t>InStock</t>
        </is>
      </c>
      <c r="R1168" t="inlineStr">
        <is>
          <t>undefined</t>
        </is>
      </c>
      <c r="S1168" t="inlineStr">
        <is>
          <t>7035157575</t>
        </is>
      </c>
    </row>
    <row r="1169" ht="75" customHeight="1">
      <c r="A1169" s="2">
        <f>HYPERLINK("https://camerareadycosmetics.com/products/graftobian-pro-setting-powder", "https://camerareadycosmetics.com/products/graftobian-pro-setting-powder")</f>
        <v/>
      </c>
      <c r="B1169" s="2">
        <f>HYPERLINK("https://camerareadycosmetics.com/products/graftobian-pro-setting-powder", "https://camerareadycosmetics.com/products/graftobian-pro-setting-powder")</f>
        <v/>
      </c>
      <c r="C1169" t="inlineStr">
        <is>
          <t>Pro Setting Powder</t>
        </is>
      </c>
      <c r="D1169" t="inlineStr">
        <is>
          <t>CINEMA SECRETS Pro Cosmetics Ultralucent Loose Setting Powder, Soft Custard</t>
        </is>
      </c>
      <c r="E1169" s="2">
        <f>HYPERLINK("https://www.amazon.com/Cinema-Secrets-Custard-Ultralucent-Powder/dp/B003NXAGQ4/ref=sr_1_10?keywords=Pro+Setting+Powder&amp;qid=1695565479&amp;sr=8-10", "https://www.amazon.com/Cinema-Secrets-Custard-Ultralucent-Powder/dp/B003NXAGQ4/ref=sr_1_10?keywords=Pro+Setting+Powder&amp;qid=1695565479&amp;sr=8-10")</f>
        <v/>
      </c>
      <c r="F1169" t="inlineStr">
        <is>
          <t>B003NXAGQ4</t>
        </is>
      </c>
      <c r="G1169">
        <f>_xlfn.IMAGE("https://camerareadycosmetics.com/cdn/shop/products/15071_zoom_1440193862_50x.jpg?v=1689628692")</f>
        <v/>
      </c>
      <c r="H1169">
        <f>_xlfn.IMAGE("https://m.media-amazon.com/images/I/81UD7EbJJ9L._AC_UL320_.jpg")</f>
        <v/>
      </c>
      <c r="K1169" t="inlineStr">
        <is>
          <t>8.0</t>
        </is>
      </c>
      <c r="L1169" t="n">
        <v>22</v>
      </c>
      <c r="M1169" s="1" t="inlineStr">
        <is>
          <t>175.00%</t>
        </is>
      </c>
      <c r="N1169" t="n">
        <v>4.1</v>
      </c>
      <c r="O1169" t="n">
        <v>46</v>
      </c>
      <c r="Q1169" t="inlineStr">
        <is>
          <t>InStock</t>
        </is>
      </c>
      <c r="R1169" t="inlineStr">
        <is>
          <t>undefined</t>
        </is>
      </c>
      <c r="S1169" t="inlineStr">
        <is>
          <t>7035157575</t>
        </is>
      </c>
    </row>
    <row r="1170" ht="75" customHeight="1">
      <c r="A1170" s="2">
        <f>HYPERLINK("https://camerareadycosmetics.com/products/graftobian-pro-setting-powder", "https://camerareadycosmetics.com/products/graftobian-pro-setting-powder")</f>
        <v/>
      </c>
      <c r="B1170" s="2">
        <f>HYPERLINK("https://camerareadycosmetics.com/products/graftobian-pro-setting-powder", "https://camerareadycosmetics.com/products/graftobian-pro-setting-powder")</f>
        <v/>
      </c>
      <c r="C1170" t="inlineStr">
        <is>
          <t>Pro Setting Powder</t>
        </is>
      </c>
      <c r="D1170" t="inlineStr">
        <is>
          <t>LUNA Clean Pressed Setting Powder for Face Makeup, Translucent Powder Vegan Formula, Pro Photo Finisher, Matte, Shine &amp; Oil Free, 0.24 oz.</t>
        </is>
      </c>
      <c r="E1170" s="2">
        <f>HYPERLINK("https://www.amazon.com/Pressed-Setting-Translucent-Formula-Finisher/dp/B0BX9JB3BR/ref=sr_1_5?keywords=Pro+Setting+Powder&amp;qid=1695565479&amp;sr=8-5", "https://www.amazon.com/Pressed-Setting-Translucent-Formula-Finisher/dp/B0BX9JB3BR/ref=sr_1_5?keywords=Pro+Setting+Powder&amp;qid=1695565479&amp;sr=8-5")</f>
        <v/>
      </c>
      <c r="F1170" t="inlineStr">
        <is>
          <t>B0BX9JB3BR</t>
        </is>
      </c>
      <c r="G1170">
        <f>_xlfn.IMAGE("https://camerareadycosmetics.com/cdn/shop/products/15071_zoom_1440193862_50x.jpg?v=1689628692")</f>
        <v/>
      </c>
      <c r="H1170">
        <f>_xlfn.IMAGE("https://m.media-amazon.com/images/I/61A-BvJEKgL._AC_UL320_.jpg")</f>
        <v/>
      </c>
      <c r="K1170" t="inlineStr">
        <is>
          <t>8.0</t>
        </is>
      </c>
      <c r="L1170" t="n">
        <v>17.59</v>
      </c>
      <c r="M1170" s="1" t="inlineStr">
        <is>
          <t>119.88%</t>
        </is>
      </c>
      <c r="N1170" t="n">
        <v>3.8</v>
      </c>
      <c r="O1170" t="n">
        <v>24</v>
      </c>
      <c r="Q1170" t="inlineStr">
        <is>
          <t>InStock</t>
        </is>
      </c>
      <c r="R1170" t="inlineStr">
        <is>
          <t>undefined</t>
        </is>
      </c>
      <c r="S1170" t="inlineStr">
        <is>
          <t>7035157575</t>
        </is>
      </c>
    </row>
    <row r="1171" ht="75" customHeight="1">
      <c r="A1171" s="2">
        <f>HYPERLINK("https://camerareadycosmetics.com/products/graftobian-pro-setting-powder", "https://camerareadycosmetics.com/products/graftobian-pro-setting-powder")</f>
        <v/>
      </c>
      <c r="B1171" s="2">
        <f>HYPERLINK("https://camerareadycosmetics.com/products/graftobian-pro-setting-powder", "https://camerareadycosmetics.com/products/graftobian-pro-setting-powder")</f>
        <v/>
      </c>
      <c r="C1171" t="inlineStr">
        <is>
          <t>Pro Setting Powder</t>
        </is>
      </c>
      <c r="D1171" t="inlineStr">
        <is>
          <t>L.A. Girl Pro Powder High Definition Setting Powder Translucent Pack, Clear, 3 Count(Pack of 1)</t>
        </is>
      </c>
      <c r="E1171" s="2">
        <f>HYPERLINK("https://www.amazon.com/L-Girl-Powder-Definition-Setting/dp/B01NA6LC29/ref=sr_1_3?keywords=Pro+Setting+Powder&amp;qid=1695565479&amp;sr=8-3", "https://www.amazon.com/L-Girl-Powder-Definition-Setting/dp/B01NA6LC29/ref=sr_1_3?keywords=Pro+Setting+Powder&amp;qid=1695565479&amp;sr=8-3")</f>
        <v/>
      </c>
      <c r="F1171" t="inlineStr">
        <is>
          <t>B01NA6LC29</t>
        </is>
      </c>
      <c r="G1171">
        <f>_xlfn.IMAGE("https://camerareadycosmetics.com/cdn/shop/products/15071_zoom_1440193862_50x.jpg?v=1689628692")</f>
        <v/>
      </c>
      <c r="H1171">
        <f>_xlfn.IMAGE("https://m.media-amazon.com/images/I/813ohmInJpL._AC_UL320_.jpg")</f>
        <v/>
      </c>
      <c r="K1171" t="inlineStr">
        <is>
          <t>8.0</t>
        </is>
      </c>
      <c r="L1171" t="n">
        <v>15.95</v>
      </c>
      <c r="M1171" s="1" t="inlineStr">
        <is>
          <t>99.37%</t>
        </is>
      </c>
      <c r="N1171" t="n">
        <v>4.1</v>
      </c>
      <c r="O1171" t="n">
        <v>75</v>
      </c>
      <c r="Q1171" t="inlineStr">
        <is>
          <t>InStock</t>
        </is>
      </c>
      <c r="R1171" t="inlineStr">
        <is>
          <t>undefined</t>
        </is>
      </c>
      <c r="S1171" t="inlineStr">
        <is>
          <t>7035157575</t>
        </is>
      </c>
    </row>
    <row r="1172" ht="75" customHeight="1">
      <c r="A1172" s="2">
        <f>HYPERLINK("https://camerareadycosmetics.com/products/graftobian-pro-setting-powder", "https://camerareadycosmetics.com/products/graftobian-pro-setting-powder")</f>
        <v/>
      </c>
      <c r="B1172" s="2">
        <f>HYPERLINK("https://camerareadycosmetics.com/products/graftobian-pro-setting-powder", "https://camerareadycosmetics.com/products/graftobian-pro-setting-powder")</f>
        <v/>
      </c>
      <c r="C1172" t="inlineStr">
        <is>
          <t>Pro Setting Powder</t>
        </is>
      </c>
      <c r="D1172" t="inlineStr">
        <is>
          <t>Pro Filt'r Mini Instant Retouch Setting Powder — Lavender Lavender</t>
        </is>
      </c>
      <c r="E1172" s="2">
        <f>HYPERLINK("https://www.amazon.com/FENTY-BEAUTY-Rihanna-Instant-lavender/dp/B08Y74N7LR/ref=sr_1_6?keywords=Pro+Setting+Powder&amp;qid=1695565479&amp;sr=8-6", "https://www.amazon.com/FENTY-BEAUTY-Rihanna-Instant-lavender/dp/B08Y74N7LR/ref=sr_1_6?keywords=Pro+Setting+Powder&amp;qid=1695565479&amp;sr=8-6")</f>
        <v/>
      </c>
      <c r="F1172" t="inlineStr">
        <is>
          <t>B08Y74N7LR</t>
        </is>
      </c>
      <c r="G1172">
        <f>_xlfn.IMAGE("https://camerareadycosmetics.com/cdn/shop/products/15071_zoom_1440193862_50x.jpg?v=1689628692")</f>
        <v/>
      </c>
      <c r="H1172">
        <f>_xlfn.IMAGE("https://m.media-amazon.com/images/I/410YrJhG+sL._AC_UL320_.jpg")</f>
        <v/>
      </c>
      <c r="K1172" t="inlineStr">
        <is>
          <t>8.0</t>
        </is>
      </c>
      <c r="L1172" t="n">
        <v>14.26</v>
      </c>
      <c r="M1172" s="1" t="inlineStr">
        <is>
          <t>78.25%</t>
        </is>
      </c>
      <c r="N1172" t="n">
        <v>4.5</v>
      </c>
      <c r="O1172" t="n">
        <v>79</v>
      </c>
      <c r="Q1172" t="inlineStr">
        <is>
          <t>InStock</t>
        </is>
      </c>
      <c r="R1172" t="inlineStr">
        <is>
          <t>undefined</t>
        </is>
      </c>
      <c r="S1172" t="inlineStr">
        <is>
          <t>7035157575</t>
        </is>
      </c>
    </row>
    <row r="1173" ht="75" customHeight="1">
      <c r="A1173" s="2">
        <f>HYPERLINK("https://camerareadycosmetics.com/products/graftobian-pro-setting-powder", "https://camerareadycosmetics.com/products/graftobian-pro-setting-powder")</f>
        <v/>
      </c>
      <c r="B1173" s="2">
        <f>HYPERLINK("https://camerareadycosmetics.com/products/graftobian-pro-setting-powder", "https://camerareadycosmetics.com/products/graftobian-pro-setting-powder")</f>
        <v/>
      </c>
      <c r="C1173" t="inlineStr">
        <is>
          <t>Pro Setting Powder</t>
        </is>
      </c>
      <c r="D1173" t="inlineStr">
        <is>
          <t>Graftobian Pro Setting Powder - Face Powder w/Puff (Translucent)</t>
        </is>
      </c>
      <c r="E1173" s="2">
        <f>HYPERLINK("https://www.amazon.com/Graftobian-Pro-Setting-Powder-Translucent/dp/B002T3D6IO/ref=sr_1_9?keywords=Pro+Setting+Powder&amp;qid=1695565479&amp;sr=8-9", "https://www.amazon.com/Graftobian-Pro-Setting-Powder-Translucent/dp/B002T3D6IO/ref=sr_1_9?keywords=Pro+Setting+Powder&amp;qid=1695565479&amp;sr=8-9")</f>
        <v/>
      </c>
      <c r="F1173" t="inlineStr">
        <is>
          <t>B002T3D6IO</t>
        </is>
      </c>
      <c r="G1173">
        <f>_xlfn.IMAGE("https://camerareadycosmetics.com/cdn/shop/products/15071_zoom_1440193862_50x.jpg?v=1689628692")</f>
        <v/>
      </c>
      <c r="H1173">
        <f>_xlfn.IMAGE("https://m.media-amazon.com/images/I/71m4QpfvewL._AC_UL320_.jpg")</f>
        <v/>
      </c>
      <c r="K1173" t="inlineStr">
        <is>
          <t>8.0</t>
        </is>
      </c>
      <c r="L1173" t="n">
        <v>14</v>
      </c>
      <c r="M1173" s="1" t="inlineStr">
        <is>
          <t>75.00%</t>
        </is>
      </c>
      <c r="N1173" t="n">
        <v>3.5</v>
      </c>
      <c r="O1173" t="n">
        <v>22</v>
      </c>
      <c r="Q1173" t="inlineStr">
        <is>
          <t>InStock</t>
        </is>
      </c>
      <c r="R1173" t="inlineStr">
        <is>
          <t>undefined</t>
        </is>
      </c>
      <c r="S1173" t="inlineStr">
        <is>
          <t>7035157575</t>
        </is>
      </c>
    </row>
    <row r="1174" ht="75" customHeight="1">
      <c r="A1174" s="2">
        <f>HYPERLINK("https://camerareadycosmetics.com/products/graftobian-pro-setting-powder", "https://camerareadycosmetics.com/products/graftobian-pro-setting-powder")</f>
        <v/>
      </c>
      <c r="B1174" s="2">
        <f>HYPERLINK("https://camerareadycosmetics.com/products/graftobian-pro-setting-powder", "https://camerareadycosmetics.com/products/graftobian-pro-setting-powder")</f>
        <v/>
      </c>
      <c r="C1174" t="inlineStr">
        <is>
          <t>Pro Setting Powder</t>
        </is>
      </c>
      <c r="D1174" t="inlineStr">
        <is>
          <t>L'Oreal Paris Makeup Infallible Pro-Sweep and Lock Loose Matte Setting Face Powder</t>
        </is>
      </c>
      <c r="E1174" s="2">
        <f>HYPERLINK("https://www.amazon.com/LOreal-Paris-Infallible-Pro-Sweep-Translucent/dp/B074PPZYHD/ref=sr_1_1?keywords=Pro+Setting+Powder&amp;qid=1695565479&amp;sr=8-1", "https://www.amazon.com/LOreal-Paris-Infallible-Pro-Sweep-Translucent/dp/B074PPZYHD/ref=sr_1_1?keywords=Pro+Setting+Powder&amp;qid=1695565479&amp;sr=8-1")</f>
        <v/>
      </c>
      <c r="F1174" t="inlineStr">
        <is>
          <t>B074PPZYHD</t>
        </is>
      </c>
      <c r="G1174">
        <f>_xlfn.IMAGE("https://camerareadycosmetics.com/cdn/shop/products/15071_zoom_1440193862_50x.jpg?v=1689628692")</f>
        <v/>
      </c>
      <c r="H1174">
        <f>_xlfn.IMAGE("https://m.media-amazon.com/images/I/81hlEfx7uUL._AC_UL320_.jpg")</f>
        <v/>
      </c>
      <c r="K1174" t="inlineStr">
        <is>
          <t>8.0</t>
        </is>
      </c>
      <c r="L1174" t="n">
        <v>13.99</v>
      </c>
      <c r="M1174" s="1" t="inlineStr">
        <is>
          <t>74.88%</t>
        </is>
      </c>
      <c r="N1174" t="n">
        <v>4.4</v>
      </c>
      <c r="O1174" t="n">
        <v>4850</v>
      </c>
      <c r="Q1174" t="inlineStr">
        <is>
          <t>InStock</t>
        </is>
      </c>
      <c r="R1174" t="inlineStr">
        <is>
          <t>undefined</t>
        </is>
      </c>
      <c r="S1174" t="inlineStr">
        <is>
          <t>7035157575</t>
        </is>
      </c>
    </row>
    <row r="1175" ht="75" customHeight="1">
      <c r="A1175" s="2">
        <f>HYPERLINK("https://camerareadycosmetics.com/products/graftobian-pro-setting-powder", "https://camerareadycosmetics.com/products/graftobian-pro-setting-powder")</f>
        <v/>
      </c>
      <c r="B1175" s="2">
        <f>HYPERLINK("https://camerareadycosmetics.com/products/graftobian-pro-setting-powder", "https://camerareadycosmetics.com/products/graftobian-pro-setting-powder")</f>
        <v/>
      </c>
      <c r="C1175" t="inlineStr">
        <is>
          <t>Pro Setting Powder</t>
        </is>
      </c>
      <c r="D1175" t="inlineStr">
        <is>
          <t>Kiss New York Pro Touch Setting Powder, Loose Setting Powder, Lightweight, Long-Lasting Face Powder Makeup, Controls Oil, Finishing Powder for Medium &amp; Tan Skin Tones (Earth)</t>
        </is>
      </c>
      <c r="E1175" s="2">
        <f>HYPERLINK("https://www.amazon.com/Setting-Lightweight-Long-Lasting-Controls-Finishing/dp/B0742R1N5Z/ref=sr_1_2?keywords=Pro+Setting+Powder&amp;qid=1695565479&amp;sr=8-2", "https://www.amazon.com/Setting-Lightweight-Long-Lasting-Controls-Finishing/dp/B0742R1N5Z/ref=sr_1_2?keywords=Pro+Setting+Powder&amp;qid=1695565479&amp;sr=8-2")</f>
        <v/>
      </c>
      <c r="F1175" t="inlineStr">
        <is>
          <t>B0742R1N5Z</t>
        </is>
      </c>
      <c r="G1175">
        <f>_xlfn.IMAGE("https://camerareadycosmetics.com/cdn/shop/products/15071_zoom_1440193862_50x.jpg?v=1689628692")</f>
        <v/>
      </c>
      <c r="H1175">
        <f>_xlfn.IMAGE("https://m.media-amazon.com/images/I/71d9yslil2L._AC_UL320_.jpg")</f>
        <v/>
      </c>
      <c r="K1175" t="inlineStr">
        <is>
          <t>8.0</t>
        </is>
      </c>
      <c r="L1175" t="n">
        <v>7.99</v>
      </c>
      <c r="M1175" s="1" t="inlineStr">
        <is>
          <t>-0.12%</t>
        </is>
      </c>
      <c r="N1175" t="n">
        <v>4.6</v>
      </c>
      <c r="O1175" t="n">
        <v>24</v>
      </c>
      <c r="Q1175" t="inlineStr">
        <is>
          <t>InStock</t>
        </is>
      </c>
      <c r="R1175" t="inlineStr">
        <is>
          <t>undefined</t>
        </is>
      </c>
      <c r="S1175" t="inlineStr">
        <is>
          <t>7035157575</t>
        </is>
      </c>
    </row>
    <row r="1176" ht="75" customHeight="1">
      <c r="A1176" s="2">
        <f>HYPERLINK("https://camerareadycosmetics.com/products/graftobian-setting-spray", "https://camerareadycosmetics.com/products/graftobian-setting-spray")</f>
        <v/>
      </c>
      <c r="B1176" s="2">
        <f>HYPERLINK("https://camerareadycosmetics.com/products/graftobian-setting-spray", "https://camerareadycosmetics.com/products/graftobian-setting-spray")</f>
        <v/>
      </c>
      <c r="C1176" t="inlineStr">
        <is>
          <t>Setting Spray</t>
        </is>
      </c>
      <c r="D1176" t="inlineStr">
        <is>
          <t>Urban Decay All Nighter Long-Lasting Makeup Setting Spray - Award-Winning Makeup Finishing Spray - Lasts Up To 16 Hours - Oil-Free, Natural Finish - Non-Drying Formula for All Skin Type</t>
        </is>
      </c>
      <c r="E1176" s="2">
        <f>HYPERLINK("https://www.amazon.com/U-D-Nighter-Makeup-Setting-Spray/dp/B06Y92B94V/ref=sr_1_5?keywords=Setting+Spray&amp;qid=1695565478&amp;sr=8-5", "https://www.amazon.com/U-D-Nighter-Makeup-Setting-Spray/dp/B06Y92B94V/ref=sr_1_5?keywords=Setting+Spray&amp;qid=1695565478&amp;sr=8-5")</f>
        <v/>
      </c>
      <c r="F1176" t="inlineStr">
        <is>
          <t>B06Y92B94V</t>
        </is>
      </c>
      <c r="G1176">
        <f>_xlfn.IMAGE("https://camerareadycosmetics.com/cdn/shop/products/graftobian-Makeup-Setting-Spray-88698-2oz_4cd975dc-a89b-4f9c-85ed-178c75399651_50x.jpg?v=1689624642")</f>
        <v/>
      </c>
      <c r="H1176">
        <f>_xlfn.IMAGE("https://m.media-amazon.com/images/I/51wrYf6bwSL._AC_UL320_.jpg")</f>
        <v/>
      </c>
      <c r="K1176" t="inlineStr">
        <is>
          <t>12.0</t>
        </is>
      </c>
      <c r="L1176" t="n">
        <v>30.6</v>
      </c>
      <c r="M1176" s="1" t="inlineStr">
        <is>
          <t>155.00%</t>
        </is>
      </c>
      <c r="N1176" t="n">
        <v>4.7</v>
      </c>
      <c r="O1176" t="n">
        <v>11811</v>
      </c>
      <c r="Q1176" t="inlineStr">
        <is>
          <t>InStock</t>
        </is>
      </c>
      <c r="R1176" t="inlineStr">
        <is>
          <t>undefined</t>
        </is>
      </c>
      <c r="S1176" t="inlineStr">
        <is>
          <t>7034287047</t>
        </is>
      </c>
    </row>
    <row r="1177" ht="75" customHeight="1">
      <c r="A1177" s="2">
        <f>HYPERLINK("https://camerareadycosmetics.com/products/graftobian-setting-spray", "https://camerareadycosmetics.com/products/graftobian-setting-spray")</f>
        <v/>
      </c>
      <c r="B1177" s="2">
        <f>HYPERLINK("https://camerareadycosmetics.com/products/graftobian-setting-spray", "https://camerareadycosmetics.com/products/graftobian-setting-spray")</f>
        <v/>
      </c>
      <c r="C1177" t="inlineStr">
        <is>
          <t>Setting Spray</t>
        </is>
      </c>
      <c r="D1177" t="inlineStr">
        <is>
          <t>e.l.f. Dewy Coconut Setting Mist, Makeup Setting Spray For Hydrating &amp; Conditioning Skin, Infused With Green Tea, Vegan &amp; Cruelty-Free, 2.7 Fl Oz</t>
        </is>
      </c>
      <c r="E1177" s="2">
        <f>HYPERLINK("https://www.amazon.com/l-f-Coconut-Setting-Hydrates-Conditions/dp/B08T7FGVY9/ref=sr_1_10?keywords=Setting+Spray&amp;qid=1695565478&amp;sr=8-10", "https://www.amazon.com/l-f-Coconut-Setting-Hydrates-Conditions/dp/B08T7FGVY9/ref=sr_1_10?keywords=Setting+Spray&amp;qid=1695565478&amp;sr=8-10")</f>
        <v/>
      </c>
      <c r="F1177" t="inlineStr">
        <is>
          <t>B08T7FGVY9</t>
        </is>
      </c>
      <c r="G1177">
        <f>_xlfn.IMAGE("https://camerareadycosmetics.com/cdn/shop/products/graftobian-Makeup-Setting-Spray-88698-2oz_4cd975dc-a89b-4f9c-85ed-178c75399651_50x.jpg?v=1689624642")</f>
        <v/>
      </c>
      <c r="H1177">
        <f>_xlfn.IMAGE("https://m.media-amazon.com/images/I/617jc5ZbmqL._AC_UL320_.jpg")</f>
        <v/>
      </c>
      <c r="K1177" t="inlineStr">
        <is>
          <t>12.0</t>
        </is>
      </c>
      <c r="L1177" t="n">
        <v>10</v>
      </c>
      <c r="M1177" s="1" t="inlineStr">
        <is>
          <t>-16.67%</t>
        </is>
      </c>
      <c r="N1177" t="n">
        <v>4.6</v>
      </c>
      <c r="O1177" t="n">
        <v>1583</v>
      </c>
      <c r="Q1177" t="inlineStr">
        <is>
          <t>InStock</t>
        </is>
      </c>
      <c r="R1177" t="inlineStr">
        <is>
          <t>undefined</t>
        </is>
      </c>
      <c r="S1177" t="inlineStr">
        <is>
          <t>7034287047</t>
        </is>
      </c>
    </row>
    <row r="1178" ht="75" customHeight="1">
      <c r="A1178" s="2">
        <f>HYPERLINK("https://camerareadycosmetics.com/products/graftobian-setting-spray", "https://camerareadycosmetics.com/products/graftobian-setting-spray")</f>
        <v/>
      </c>
      <c r="B1178" s="2">
        <f>HYPERLINK("https://camerareadycosmetics.com/products/graftobian-setting-spray", "https://camerareadycosmetics.com/products/graftobian-setting-spray")</f>
        <v/>
      </c>
      <c r="C1178" t="inlineStr">
        <is>
          <t>Setting Spray</t>
        </is>
      </c>
      <c r="D1178" t="inlineStr">
        <is>
          <t>e.l.f. Stay All Night Micro-Fine Setting Mist, Hydrating &amp; Refreshing Makeup Setting Spray For 16HR Wear-time, Vegan &amp; Cruelty-Free, 2.7 Fl Oz</t>
        </is>
      </c>
      <c r="E1178" s="2">
        <f>HYPERLINK("https://www.amazon.com/l-f-Night-Micro-Fine-Setting-hours/dp/B08JC4ZJSP/ref=sr_1_9?keywords=Setting+Spray&amp;qid=1695565478&amp;sr=8-9", "https://www.amazon.com/l-f-Night-Micro-Fine-Setting-hours/dp/B08JC4ZJSP/ref=sr_1_9?keywords=Setting+Spray&amp;qid=1695565478&amp;sr=8-9")</f>
        <v/>
      </c>
      <c r="F1178" t="inlineStr">
        <is>
          <t>B08JC4ZJSP</t>
        </is>
      </c>
      <c r="G1178">
        <f>_xlfn.IMAGE("https://camerareadycosmetics.com/cdn/shop/products/graftobian-Makeup-Setting-Spray-88698-2oz_4cd975dc-a89b-4f9c-85ed-178c75399651_50x.jpg?v=1689624642")</f>
        <v/>
      </c>
      <c r="H1178">
        <f>_xlfn.IMAGE("https://m.media-amazon.com/images/I/61cYXIQlbDL._AC_UL320_.jpg")</f>
        <v/>
      </c>
      <c r="K1178" t="inlineStr">
        <is>
          <t>12.0</t>
        </is>
      </c>
      <c r="L1178" t="n">
        <v>10</v>
      </c>
      <c r="M1178" s="1" t="inlineStr">
        <is>
          <t>-16.67%</t>
        </is>
      </c>
      <c r="N1178" t="n">
        <v>4.6</v>
      </c>
      <c r="O1178" t="n">
        <v>4743</v>
      </c>
      <c r="Q1178" t="inlineStr">
        <is>
          <t>InStock</t>
        </is>
      </c>
      <c r="R1178" t="inlineStr">
        <is>
          <t>undefined</t>
        </is>
      </c>
      <c r="S1178" t="inlineStr">
        <is>
          <t>7034287047</t>
        </is>
      </c>
    </row>
    <row r="1179" ht="75" customHeight="1">
      <c r="A1179" s="2">
        <f>HYPERLINK("https://camerareadycosmetics.com/products/graftobian-setting-spray", "https://camerareadycosmetics.com/products/graftobian-setting-spray")</f>
        <v/>
      </c>
      <c r="B1179" s="2">
        <f>HYPERLINK("https://camerareadycosmetics.com/products/graftobian-setting-spray", "https://camerareadycosmetics.com/products/graftobian-setting-spray")</f>
        <v/>
      </c>
      <c r="C1179" t="inlineStr">
        <is>
          <t>Setting Spray</t>
        </is>
      </c>
      <c r="D1179" t="inlineStr">
        <is>
          <t>NYX PROFESSIONAL MAKEUP Bare With Me Multitasking Primer &amp; Setting Spray</t>
        </is>
      </c>
      <c r="E1179" s="2">
        <f>HYPERLINK("https://www.amazon.com/NYX-Prime-Refresh-Spray-Ounce/dp/B07SB2LG6S/ref=sr_1_8?keywords=Setting+Spray&amp;qid=1695565478&amp;sr=8-8", "https://www.amazon.com/NYX-Prime-Refresh-Spray-Ounce/dp/B07SB2LG6S/ref=sr_1_8?keywords=Setting+Spray&amp;qid=1695565478&amp;sr=8-8")</f>
        <v/>
      </c>
      <c r="F1179" t="inlineStr">
        <is>
          <t>B07SB2LG6S</t>
        </is>
      </c>
      <c r="G1179">
        <f>_xlfn.IMAGE("https://camerareadycosmetics.com/cdn/shop/products/graftobian-Makeup-Setting-Spray-88698-2oz_4cd975dc-a89b-4f9c-85ed-178c75399651_50x.jpg?v=1689624642")</f>
        <v/>
      </c>
      <c r="H1179">
        <f>_xlfn.IMAGE("https://m.media-amazon.com/images/I/61c5qo76ATL._AC_UL320_.jpg")</f>
        <v/>
      </c>
      <c r="K1179" t="inlineStr">
        <is>
          <t>12.0</t>
        </is>
      </c>
      <c r="L1179" t="n">
        <v>8.529999999999999</v>
      </c>
      <c r="M1179" s="1" t="inlineStr">
        <is>
          <t>-28.92%</t>
        </is>
      </c>
      <c r="N1179" t="n">
        <v>4.5</v>
      </c>
      <c r="O1179" t="n">
        <v>3885</v>
      </c>
      <c r="Q1179" t="inlineStr">
        <is>
          <t>InStock</t>
        </is>
      </c>
      <c r="R1179" t="inlineStr">
        <is>
          <t>undefined</t>
        </is>
      </c>
      <c r="S1179" t="inlineStr">
        <is>
          <t>7034287047</t>
        </is>
      </c>
    </row>
    <row r="1180" ht="75" customHeight="1">
      <c r="A1180" s="2">
        <f>HYPERLINK("https://camerareadycosmetics.com/products/graftobian-setting-spray", "https://camerareadycosmetics.com/products/graftobian-setting-spray")</f>
        <v/>
      </c>
      <c r="B1180" s="2">
        <f>HYPERLINK("https://camerareadycosmetics.com/products/graftobian-setting-spray", "https://camerareadycosmetics.com/products/graftobian-setting-spray")</f>
        <v/>
      </c>
      <c r="C1180" t="inlineStr">
        <is>
          <t>Setting Spray</t>
        </is>
      </c>
      <c r="D1180" t="inlineStr">
        <is>
          <t>Maybelline New York Facestudio Lasting Fix Makeup Setting Spray, Matte Finish, 3.4 fl. oz.</t>
        </is>
      </c>
      <c r="E1180" s="2">
        <f>HYPERLINK("https://www.amazon.com/Maybelline-New-York-Facestudio-Lasting/dp/B07PGQDBWG/ref=sr_1_2?keywords=Setting+Spray&amp;qid=1695565478&amp;sr=8-2", "https://www.amazon.com/Maybelline-New-York-Facestudio-Lasting/dp/B07PGQDBWG/ref=sr_1_2?keywords=Setting+Spray&amp;qid=1695565478&amp;sr=8-2")</f>
        <v/>
      </c>
      <c r="F1180" t="inlineStr">
        <is>
          <t>B07PGQDBWG</t>
        </is>
      </c>
      <c r="G1180">
        <f>_xlfn.IMAGE("https://camerareadycosmetics.com/cdn/shop/products/graftobian-Makeup-Setting-Spray-88698-2oz_4cd975dc-a89b-4f9c-85ed-178c75399651_50x.jpg?v=1689624642")</f>
        <v/>
      </c>
      <c r="H1180">
        <f>_xlfn.IMAGE("https://m.media-amazon.com/images/I/71ZrDrXdybL._AC_UL320_.jpg")</f>
        <v/>
      </c>
      <c r="K1180" t="inlineStr">
        <is>
          <t>12.0</t>
        </is>
      </c>
      <c r="L1180" t="n">
        <v>7.94</v>
      </c>
      <c r="M1180" s="1" t="inlineStr">
        <is>
          <t>-33.83%</t>
        </is>
      </c>
      <c r="N1180" t="n">
        <v>4.4</v>
      </c>
      <c r="O1180" t="n">
        <v>10604</v>
      </c>
      <c r="Q1180" t="inlineStr">
        <is>
          <t>InStock</t>
        </is>
      </c>
      <c r="R1180" t="inlineStr">
        <is>
          <t>undefined</t>
        </is>
      </c>
      <c r="S1180" t="inlineStr">
        <is>
          <t>7034287047</t>
        </is>
      </c>
    </row>
    <row r="1181" ht="75" customHeight="1">
      <c r="A1181" s="2">
        <f>HYPERLINK("https://camerareadycosmetics.com/products/graftobian-setting-spray", "https://camerareadycosmetics.com/products/graftobian-setting-spray")</f>
        <v/>
      </c>
      <c r="B1181" s="2">
        <f>HYPERLINK("https://camerareadycosmetics.com/products/graftobian-setting-spray", "https://camerareadycosmetics.com/products/graftobian-setting-spray")</f>
        <v/>
      </c>
      <c r="C1181" t="inlineStr">
        <is>
          <t>Setting Spray</t>
        </is>
      </c>
      <c r="D1181" t="inlineStr">
        <is>
          <t>NYX PROFESSIONAL MAKEUP Makeup Setting Spray, Matte Finish, 2.03 Fl Oz (Pack of 1)</t>
        </is>
      </c>
      <c r="E1181" s="2">
        <f>HYPERLINK("https://www.amazon.com/NYX-Professional-Makeup-Setting-Lasting/dp/B00B4YVU4G/ref=sr_1_3?keywords=Setting+Spray&amp;qid=1695565478&amp;sr=8-3", "https://www.amazon.com/NYX-Professional-Makeup-Setting-Lasting/dp/B00B4YVU4G/ref=sr_1_3?keywords=Setting+Spray&amp;qid=1695565478&amp;sr=8-3")</f>
        <v/>
      </c>
      <c r="F1181" t="inlineStr">
        <is>
          <t>B00B4YVU4G</t>
        </is>
      </c>
      <c r="G1181">
        <f>_xlfn.IMAGE("https://camerareadycosmetics.com/cdn/shop/products/graftobian-Makeup-Setting-Spray-88698-2oz_4cd975dc-a89b-4f9c-85ed-178c75399651_50x.jpg?v=1689624642")</f>
        <v/>
      </c>
      <c r="H1181">
        <f>_xlfn.IMAGE("https://m.media-amazon.com/images/I/71UFdYoCJ3L._AC_UL320_.jpg")</f>
        <v/>
      </c>
      <c r="K1181" t="inlineStr">
        <is>
          <t>12.0</t>
        </is>
      </c>
      <c r="L1181" t="n">
        <v>7.84</v>
      </c>
      <c r="M1181" s="1" t="inlineStr">
        <is>
          <t>-34.67%</t>
        </is>
      </c>
      <c r="N1181" t="n">
        <v>4.5</v>
      </c>
      <c r="O1181" t="n">
        <v>101187</v>
      </c>
      <c r="Q1181" t="inlineStr">
        <is>
          <t>InStock</t>
        </is>
      </c>
      <c r="R1181" t="inlineStr">
        <is>
          <t>undefined</t>
        </is>
      </c>
      <c r="S1181" t="inlineStr">
        <is>
          <t>7034287047</t>
        </is>
      </c>
    </row>
    <row r="1182" ht="75" customHeight="1">
      <c r="A1182" s="2">
        <f>HYPERLINK("https://camerareadycosmetics.com/products/graftobian-setting-spray", "https://camerareadycosmetics.com/products/graftobian-setting-spray")</f>
        <v/>
      </c>
      <c r="B1182" s="2">
        <f>HYPERLINK("https://camerareadycosmetics.com/products/graftobian-setting-spray", "https://camerareadycosmetics.com/products/graftobian-setting-spray")</f>
        <v/>
      </c>
      <c r="C1182" t="inlineStr">
        <is>
          <t>Setting Spray</t>
        </is>
      </c>
      <c r="D1182" t="inlineStr">
        <is>
          <t>Stay Matte Fix &amp; Go 2-in-1 Primer &amp; Setting Spray 3.4 Fl. Oz., Pack of 1</t>
        </is>
      </c>
      <c r="E1182" s="2">
        <f>HYPERLINK("https://www.amazon.com/Rimmel-Matte-Primer-Setting-Transparent/dp/B07DVP1K87/ref=sr_1_4?keywords=Setting+Spray&amp;qid=1695565478&amp;sr=8-4", "https://www.amazon.com/Rimmel-Matte-Primer-Setting-Transparent/dp/B07DVP1K87/ref=sr_1_4?keywords=Setting+Spray&amp;qid=1695565478&amp;sr=8-4")</f>
        <v/>
      </c>
      <c r="F1182" t="inlineStr">
        <is>
          <t>B07DVP1K87</t>
        </is>
      </c>
      <c r="G1182">
        <f>_xlfn.IMAGE("https://camerareadycosmetics.com/cdn/shop/products/graftobian-Makeup-Setting-Spray-88698-2oz_4cd975dc-a89b-4f9c-85ed-178c75399651_50x.jpg?v=1689624642")</f>
        <v/>
      </c>
      <c r="H1182">
        <f>_xlfn.IMAGE("https://m.media-amazon.com/images/I/613wsaQU-sL._AC_UL320_.jpg")</f>
        <v/>
      </c>
      <c r="K1182" t="inlineStr">
        <is>
          <t>12.0</t>
        </is>
      </c>
      <c r="L1182" t="n">
        <v>5.97</v>
      </c>
      <c r="M1182" s="1" t="inlineStr">
        <is>
          <t>-50.25%</t>
        </is>
      </c>
      <c r="N1182" t="n">
        <v>4.4</v>
      </c>
      <c r="O1182" t="n">
        <v>37172</v>
      </c>
      <c r="Q1182" t="inlineStr">
        <is>
          <t>InStock</t>
        </is>
      </c>
      <c r="R1182" t="inlineStr">
        <is>
          <t>undefined</t>
        </is>
      </c>
      <c r="S1182" t="inlineStr">
        <is>
          <t>7034287047</t>
        </is>
      </c>
    </row>
    <row r="1183" ht="75" customHeight="1">
      <c r="A1183" s="2">
        <f>HYPERLINK("https://camerareadycosmetics.com/products/graftobian-setting-spray", "https://camerareadycosmetics.com/products/graftobian-setting-spray")</f>
        <v/>
      </c>
      <c r="B1183" s="2">
        <f>HYPERLINK("https://camerareadycosmetics.com/products/graftobian-setting-spray", "https://camerareadycosmetics.com/products/graftobian-setting-spray")</f>
        <v/>
      </c>
      <c r="C1183" t="inlineStr">
        <is>
          <t>Setting Spray</t>
        </is>
      </c>
      <c r="D1183" t="inlineStr">
        <is>
          <t>Wet n Wild Photo Focus Matte Finish Setting Spray for Makeup, Long Lasting Vegan, Cruelty Free Makeup Primer and Spray 1.52 Fl Oz</t>
        </is>
      </c>
      <c r="E1183" s="2">
        <f>HYPERLINK("https://www.amazon.com/wet-wild-Finish-Setting-Appeal/dp/B077TVRT43/ref=sr_1_7?keywords=Setting+Spray&amp;qid=1695565478&amp;rdc=1&amp;sr=8-7", "https://www.amazon.com/wet-wild-Finish-Setting-Appeal/dp/B077TVRT43/ref=sr_1_7?keywords=Setting+Spray&amp;qid=1695565478&amp;rdc=1&amp;sr=8-7")</f>
        <v/>
      </c>
      <c r="F1183" t="inlineStr">
        <is>
          <t>B077TVRT43</t>
        </is>
      </c>
      <c r="G1183">
        <f>_xlfn.IMAGE("https://camerareadycosmetics.com/cdn/shop/products/graftobian-Makeup-Setting-Spray-88698-2oz_4cd975dc-a89b-4f9c-85ed-178c75399651_50x.jpg?v=1689624642")</f>
        <v/>
      </c>
      <c r="H1183">
        <f>_xlfn.IMAGE("https://m.media-amazon.com/images/I/61tKikoveGL._AC_UL320_.jpg")</f>
        <v/>
      </c>
      <c r="K1183" t="inlineStr">
        <is>
          <t>12.0</t>
        </is>
      </c>
      <c r="L1183" t="n">
        <v>4.89</v>
      </c>
      <c r="M1183" s="1" t="inlineStr">
        <is>
          <t>-59.25%</t>
        </is>
      </c>
      <c r="N1183" t="n">
        <v>4.3</v>
      </c>
      <c r="O1183" t="n">
        <v>4786</v>
      </c>
      <c r="Q1183" t="inlineStr">
        <is>
          <t>InStock</t>
        </is>
      </c>
      <c r="R1183" t="inlineStr">
        <is>
          <t>undefined</t>
        </is>
      </c>
      <c r="S1183" t="inlineStr">
        <is>
          <t>7034287047</t>
        </is>
      </c>
    </row>
    <row r="1184" ht="75" customHeight="1">
      <c r="A1184" s="2">
        <f>HYPERLINK("https://camerareadycosmetics.com/products/graftobian-setting-spray", "https://camerareadycosmetics.com/products/graftobian-setting-spray")</f>
        <v/>
      </c>
      <c r="B1184" s="2">
        <f>HYPERLINK("https://camerareadycosmetics.com/products/graftobian-setting-spray", "https://camerareadycosmetics.com/products/graftobian-setting-spray")</f>
        <v/>
      </c>
      <c r="C1184" t="inlineStr">
        <is>
          <t>Setting Spray</t>
        </is>
      </c>
      <c r="D1184" t="inlineStr">
        <is>
          <t>Stay Matte Fix &amp; Go 2-in-1 Primer &amp; Setting Spray 3.4 Fl. Oz., Pack of 1</t>
        </is>
      </c>
      <c r="E1184" s="2">
        <f>HYPERLINK("https://www.amazon.com/Rimmel-Matte-Primer-Setting-Transparent/dp/B07DVP1K87/ref=sr_1_4?keywords=Setting+Spray&amp;qid=1695565478&amp;sr=8-4", "https://www.amazon.com/Rimmel-Matte-Primer-Setting-Transparent/dp/B07DVP1K87/ref=sr_1_4?keywords=Setting+Spray&amp;qid=1695565478&amp;sr=8-4")</f>
        <v/>
      </c>
      <c r="F1184" t="inlineStr">
        <is>
          <t>B07DVP1K87</t>
        </is>
      </c>
      <c r="G1184">
        <f>_xlfn.IMAGE("https://camerareadycosmetics.com/cdn/shop/products/graftobian-Makeup-Setting-Spray-88698-2oz_4cd975dc-a89b-4f9c-85ed-178c75399651_50x.jpg?v=1689624642")</f>
        <v/>
      </c>
      <c r="H1184">
        <f>_xlfn.IMAGE("https://m.media-amazon.com/images/I/613wsaQU-sL._AC_UL320_.jpg")</f>
        <v/>
      </c>
      <c r="K1184" t="inlineStr">
        <is>
          <t>12.0</t>
        </is>
      </c>
      <c r="L1184" t="n">
        <v>5.97</v>
      </c>
      <c r="M1184" s="1" t="inlineStr">
        <is>
          <t>-50.25%</t>
        </is>
      </c>
      <c r="N1184" t="n">
        <v>4.4</v>
      </c>
      <c r="O1184" t="n">
        <v>37172</v>
      </c>
      <c r="Q1184" t="inlineStr">
        <is>
          <t>InStock</t>
        </is>
      </c>
      <c r="R1184" t="inlineStr">
        <is>
          <t>undefined</t>
        </is>
      </c>
      <c r="S1184" t="inlineStr">
        <is>
          <t>7034287047</t>
        </is>
      </c>
    </row>
    <row r="1185" ht="75" customHeight="1">
      <c r="A1185" s="2">
        <f>HYPERLINK("https://camerareadycosmetics.com/products/graftobian-setting-spray", "https://camerareadycosmetics.com/products/graftobian-setting-spray")</f>
        <v/>
      </c>
      <c r="B1185" s="2">
        <f>HYPERLINK("https://camerareadycosmetics.com/products/graftobian-setting-spray", "https://camerareadycosmetics.com/products/graftobian-setting-spray")</f>
        <v/>
      </c>
      <c r="C1185" t="inlineStr">
        <is>
          <t>Setting Spray</t>
        </is>
      </c>
      <c r="D1185" t="inlineStr">
        <is>
          <t>Wet n Wild Photo Focus Matte Finish Setting Spray for Makeup, Long Lasting Vegan, Cruelty Free Makeup Primer and Spray 1.52 Fl Oz</t>
        </is>
      </c>
      <c r="E1185" s="2">
        <f>HYPERLINK("https://www.amazon.com/wet-wild-Finish-Setting-Appeal/dp/B077TVRT43/ref=sr_1_7?keywords=Setting+Spray&amp;qid=1695565478&amp;rdc=1&amp;sr=8-7", "https://www.amazon.com/wet-wild-Finish-Setting-Appeal/dp/B077TVRT43/ref=sr_1_7?keywords=Setting+Spray&amp;qid=1695565478&amp;rdc=1&amp;sr=8-7")</f>
        <v/>
      </c>
      <c r="F1185" t="inlineStr">
        <is>
          <t>B077TVRT43</t>
        </is>
      </c>
      <c r="G1185">
        <f>_xlfn.IMAGE("https://camerareadycosmetics.com/cdn/shop/products/graftobian-Makeup-Setting-Spray-88698-2oz_4cd975dc-a89b-4f9c-85ed-178c75399651_50x.jpg?v=1689624642")</f>
        <v/>
      </c>
      <c r="H1185">
        <f>_xlfn.IMAGE("https://m.media-amazon.com/images/I/61tKikoveGL._AC_UL320_.jpg")</f>
        <v/>
      </c>
      <c r="K1185" t="inlineStr">
        <is>
          <t>12.0</t>
        </is>
      </c>
      <c r="L1185" t="n">
        <v>4.89</v>
      </c>
      <c r="M1185" s="1" t="inlineStr">
        <is>
          <t>-59.25%</t>
        </is>
      </c>
      <c r="N1185" t="n">
        <v>4.3</v>
      </c>
      <c r="O1185" t="n">
        <v>4786</v>
      </c>
      <c r="Q1185" t="inlineStr">
        <is>
          <t>InStock</t>
        </is>
      </c>
      <c r="R1185" t="inlineStr">
        <is>
          <t>undefined</t>
        </is>
      </c>
      <c r="S1185" t="inlineStr">
        <is>
          <t>7034287047</t>
        </is>
      </c>
    </row>
    <row r="1186" ht="75" customHeight="1">
      <c r="A1186" s="2">
        <f>HYPERLINK("https://camerareadycosmetics.com/products/graftobian-super-palette-lip-colors", "https://camerareadycosmetics.com/products/graftobian-super-palette-lip-colors")</f>
        <v/>
      </c>
      <c r="B1186" s="2">
        <f>HYPERLINK("https://camerareadycosmetics.com/products/graftobian-super-palette-lip-colors", "https://camerareadycosmetics.com/products/graftobian-super-palette-lip-colors")</f>
        <v/>
      </c>
      <c r="C1186" t="inlineStr">
        <is>
          <t>Super Palette Lip Colors</t>
        </is>
      </c>
      <c r="D1186" t="inlineStr">
        <is>
          <t>BYS Luxe Lip Palette 20 Lip Colors - wear alone or mix your own custom lip color Mica soft and smooth glides on smoothly offering a gorgeous true to colour finish lip makeup palette</t>
        </is>
      </c>
      <c r="E1186" s="2">
        <f>HYPERLINK("https://www.amazon.com/BYS-Luxe-Lip-Palette-Colors/dp/B07H5SDTTS/ref=sr_1_10?keywords=Super+Palette+Lip+Colors&amp;qid=1695565526&amp;sr=8-10", "https://www.amazon.com/BYS-Luxe-Lip-Palette-Colors/dp/B07H5SDTTS/ref=sr_1_10?keywords=Super+Palette+Lip+Colors&amp;qid=1695565526&amp;sr=8-10")</f>
        <v/>
      </c>
      <c r="F1186" t="inlineStr">
        <is>
          <t>B07H5SDTTS</t>
        </is>
      </c>
      <c r="G1186">
        <f>_xlfn.IMAGE("https://camerareadycosmetics.com/cdn/shop/products/125029000__14900.1436242063.600.600_50x.jpeg?v=1689625945")</f>
        <v/>
      </c>
      <c r="H1186">
        <f>_xlfn.IMAGE("https://m.media-amazon.com/images/I/61AsWdJFx9L._AC_UL320_.jpg")</f>
        <v/>
      </c>
      <c r="K1186" t="inlineStr">
        <is>
          <t>88.0</t>
        </is>
      </c>
      <c r="L1186" t="n">
        <v>12.99</v>
      </c>
      <c r="M1186" s="1" t="inlineStr">
        <is>
          <t>-85.24%</t>
        </is>
      </c>
      <c r="N1186" t="n">
        <v>4.1</v>
      </c>
      <c r="O1186" t="n">
        <v>262</v>
      </c>
      <c r="Q1186" t="inlineStr">
        <is>
          <t>InStock</t>
        </is>
      </c>
      <c r="R1186" t="inlineStr">
        <is>
          <t>undefined</t>
        </is>
      </c>
      <c r="S1186" t="inlineStr">
        <is>
          <t>7034586887</t>
        </is>
      </c>
    </row>
    <row r="1187" ht="75" customHeight="1">
      <c r="A1187" s="2">
        <f>HYPERLINK("https://camerareadycosmetics.com/products/graftobian-super-palette-lip-colors", "https://camerareadycosmetics.com/products/graftobian-super-palette-lip-colors")</f>
        <v/>
      </c>
      <c r="B1187" s="2">
        <f>HYPERLINK("https://camerareadycosmetics.com/products/graftobian-super-palette-lip-colors", "https://camerareadycosmetics.com/products/graftobian-super-palette-lip-colors")</f>
        <v/>
      </c>
      <c r="C1187" t="inlineStr">
        <is>
          <t>Super Palette Lip Colors</t>
        </is>
      </c>
      <c r="D1187" t="inlineStr">
        <is>
          <t>Pure Vie® Professional Matte 15 Colors Non-Sticky Lip Gloss Palette Lipgloss Makeup Kit Cosmetic Contouring Palette</t>
        </is>
      </c>
      <c r="E1187" s="2">
        <f>HYPERLINK("https://www.amazon.com/Pure-Vie-Professional-Palette-Contouring/dp/B017FTZUNU/ref=sr_1_1?keywords=Super+Palette+Lip+Colors&amp;qid=1695565526&amp;sr=8-1", "https://www.amazon.com/Pure-Vie-Professional-Palette-Contouring/dp/B017FTZUNU/ref=sr_1_1?keywords=Super+Palette+Lip+Colors&amp;qid=1695565526&amp;sr=8-1")</f>
        <v/>
      </c>
      <c r="F1187" t="inlineStr">
        <is>
          <t>B017FTZUNU</t>
        </is>
      </c>
      <c r="G1187">
        <f>_xlfn.IMAGE("https://camerareadycosmetics.com/cdn/shop/products/125029000__14900.1436242063.600.600_50x.jpeg?v=1689625945")</f>
        <v/>
      </c>
      <c r="H1187">
        <f>_xlfn.IMAGE("https://m.media-amazon.com/images/I/617Z7OLl2vL._AC_UL320_.jpg")</f>
        <v/>
      </c>
      <c r="K1187" t="inlineStr">
        <is>
          <t>88.0</t>
        </is>
      </c>
      <c r="L1187" t="n">
        <v>7.68</v>
      </c>
      <c r="M1187" s="1" t="inlineStr">
        <is>
          <t>-91.27%</t>
        </is>
      </c>
      <c r="N1187" t="n">
        <v>3.1</v>
      </c>
      <c r="O1187" t="n">
        <v>7</v>
      </c>
      <c r="Q1187" t="inlineStr">
        <is>
          <t>InStock</t>
        </is>
      </c>
      <c r="R1187" t="inlineStr">
        <is>
          <t>undefined</t>
        </is>
      </c>
      <c r="S1187" t="inlineStr">
        <is>
          <t>7034586887</t>
        </is>
      </c>
    </row>
    <row r="1188" ht="75" customHeight="1">
      <c r="A1188" s="2">
        <f>HYPERLINK("https://camerareadycosmetics.com/products/graftobian-super-palette-lip-colors", "https://camerareadycosmetics.com/products/graftobian-super-palette-lip-colors")</f>
        <v/>
      </c>
      <c r="B1188" s="2">
        <f>HYPERLINK("https://camerareadycosmetics.com/products/graftobian-super-palette-lip-colors", "https://camerareadycosmetics.com/products/graftobian-super-palette-lip-colors")</f>
        <v/>
      </c>
      <c r="C1188" t="inlineStr">
        <is>
          <t>Super Palette Lip Colors</t>
        </is>
      </c>
      <c r="D1188" t="inlineStr">
        <is>
          <t>15 Colors Lip Gloss Palette, Makeup Set Makeup Kit Camouflage Lipstick Case Lip Gloss, Ideal For Both Professional For Lipstick And Personal Use</t>
        </is>
      </c>
      <c r="E1188" s="2">
        <f>HYPERLINK("https://www.amazon.com/Palette-Cosmetics-Lipstick-Professional-Personal/dp/B085THJ3Y4/ref=sr_1_3?keywords=Super+Palette+Lip+Colors&amp;qid=1695565526&amp;sr=8-3", "https://www.amazon.com/Palette-Cosmetics-Lipstick-Professional-Personal/dp/B085THJ3Y4/ref=sr_1_3?keywords=Super+Palette+Lip+Colors&amp;qid=1695565526&amp;sr=8-3")</f>
        <v/>
      </c>
      <c r="F1188" t="inlineStr">
        <is>
          <t>B085THJ3Y4</t>
        </is>
      </c>
      <c r="G1188">
        <f>_xlfn.IMAGE("https://camerareadycosmetics.com/cdn/shop/products/125029000__14900.1436242063.600.600_50x.jpeg?v=1689625945")</f>
        <v/>
      </c>
      <c r="H1188">
        <f>_xlfn.IMAGE("https://m.media-amazon.com/images/I/61F6uwE+zxL._AC_UL320_.jpg")</f>
        <v/>
      </c>
      <c r="K1188" t="inlineStr">
        <is>
          <t>88.0</t>
        </is>
      </c>
      <c r="L1188" t="n">
        <v>5.12</v>
      </c>
      <c r="M1188" s="1" t="inlineStr">
        <is>
          <t>-94.18%</t>
        </is>
      </c>
      <c r="N1188" t="n">
        <v>3.2</v>
      </c>
      <c r="O1188" t="n">
        <v>5</v>
      </c>
      <c r="Q1188" t="inlineStr">
        <is>
          <t>InStock</t>
        </is>
      </c>
      <c r="R1188" t="inlineStr">
        <is>
          <t>undefined</t>
        </is>
      </c>
      <c r="S1188" t="inlineStr">
        <is>
          <t>7034586887</t>
        </is>
      </c>
    </row>
    <row r="1189" ht="75" customHeight="1">
      <c r="A1189" s="2">
        <f>HYPERLINK("https://camerareadycosmetics.com/products/graftobian-super-palette-lip-colors", "https://camerareadycosmetics.com/products/graftobian-super-palette-lip-colors")</f>
        <v/>
      </c>
      <c r="B1189" s="2">
        <f>HYPERLINK("https://camerareadycosmetics.com/products/graftobian-super-palette-lip-colors", "https://camerareadycosmetics.com/products/graftobian-super-palette-lip-colors")</f>
        <v/>
      </c>
      <c r="C1189" t="inlineStr">
        <is>
          <t>Super Palette Lip Colors</t>
        </is>
      </c>
      <c r="D1189" t="inlineStr">
        <is>
          <t>BYS Luxe Lip Palette 20 Lip Colors - wear alone or mix your own custom lip color Mica soft and smooth glides on smoothly offering a gorgeous true to colour finish lip makeup palette</t>
        </is>
      </c>
      <c r="E1189" s="2">
        <f>HYPERLINK("https://www.amazon.com/BYS-Luxe-Lip-Palette-Colors/dp/B07H5SDTTS/ref=sr_1_10?keywords=Super+Palette+Lip+Colors&amp;qid=1695565526&amp;sr=8-10", "https://www.amazon.com/BYS-Luxe-Lip-Palette-Colors/dp/B07H5SDTTS/ref=sr_1_10?keywords=Super+Palette+Lip+Colors&amp;qid=1695565526&amp;sr=8-10")</f>
        <v/>
      </c>
      <c r="F1189" t="inlineStr">
        <is>
          <t>B07H5SDTTS</t>
        </is>
      </c>
      <c r="G1189">
        <f>_xlfn.IMAGE("https://camerareadycosmetics.com/cdn/shop/products/125029000__14900.1436242063.600.600_50x.jpeg?v=1689625945")</f>
        <v/>
      </c>
      <c r="H1189">
        <f>_xlfn.IMAGE("https://m.media-amazon.com/images/I/61AsWdJFx9L._AC_UL320_.jpg")</f>
        <v/>
      </c>
      <c r="K1189" t="inlineStr">
        <is>
          <t>88.0</t>
        </is>
      </c>
      <c r="L1189" t="n">
        <v>12.99</v>
      </c>
      <c r="M1189" s="1" t="inlineStr">
        <is>
          <t>-85.24%</t>
        </is>
      </c>
      <c r="N1189" t="n">
        <v>4.1</v>
      </c>
      <c r="O1189" t="n">
        <v>262</v>
      </c>
      <c r="Q1189" t="inlineStr">
        <is>
          <t>InStock</t>
        </is>
      </c>
      <c r="R1189" t="inlineStr">
        <is>
          <t>undefined</t>
        </is>
      </c>
      <c r="S1189" t="inlineStr">
        <is>
          <t>7034586887</t>
        </is>
      </c>
    </row>
    <row r="1190" ht="75" customHeight="1">
      <c r="A1190" s="2">
        <f>HYPERLINK("https://camerareadycosmetics.com/products/graftobian-super-palette-lip-colors", "https://camerareadycosmetics.com/products/graftobian-super-palette-lip-colors")</f>
        <v/>
      </c>
      <c r="B1190" s="2">
        <f>HYPERLINK("https://camerareadycosmetics.com/products/graftobian-super-palette-lip-colors", "https://camerareadycosmetics.com/products/graftobian-super-palette-lip-colors")</f>
        <v/>
      </c>
      <c r="C1190" t="inlineStr">
        <is>
          <t>Super Palette Lip Colors</t>
        </is>
      </c>
      <c r="D1190" t="inlineStr">
        <is>
          <t>Pure Vie® Professional Matte 15 Colors Non-Sticky Lip Gloss Palette Lipgloss Makeup Kit Cosmetic Contouring Palette</t>
        </is>
      </c>
      <c r="E1190" s="2">
        <f>HYPERLINK("https://www.amazon.com/Pure-Vie-Professional-Palette-Contouring/dp/B017FTZUNU/ref=sr_1_1?keywords=Super+Palette+Lip+Colors&amp;qid=1695565526&amp;sr=8-1", "https://www.amazon.com/Pure-Vie-Professional-Palette-Contouring/dp/B017FTZUNU/ref=sr_1_1?keywords=Super+Palette+Lip+Colors&amp;qid=1695565526&amp;sr=8-1")</f>
        <v/>
      </c>
      <c r="F1190" t="inlineStr">
        <is>
          <t>B017FTZUNU</t>
        </is>
      </c>
      <c r="G1190">
        <f>_xlfn.IMAGE("https://camerareadycosmetics.com/cdn/shop/products/125029000__14900.1436242063.600.600_50x.jpeg?v=1689625945")</f>
        <v/>
      </c>
      <c r="H1190">
        <f>_xlfn.IMAGE("https://m.media-amazon.com/images/I/617Z7OLl2vL._AC_UL320_.jpg")</f>
        <v/>
      </c>
      <c r="K1190" t="inlineStr">
        <is>
          <t>88.0</t>
        </is>
      </c>
      <c r="L1190" t="n">
        <v>7.68</v>
      </c>
      <c r="M1190" s="1" t="inlineStr">
        <is>
          <t>-91.27%</t>
        </is>
      </c>
      <c r="N1190" t="n">
        <v>3.1</v>
      </c>
      <c r="O1190" t="n">
        <v>7</v>
      </c>
      <c r="Q1190" t="inlineStr">
        <is>
          <t>InStock</t>
        </is>
      </c>
      <c r="R1190" t="inlineStr">
        <is>
          <t>undefined</t>
        </is>
      </c>
      <c r="S1190" t="inlineStr">
        <is>
          <t>7034586887</t>
        </is>
      </c>
    </row>
    <row r="1191" ht="75" customHeight="1">
      <c r="A1191" s="2">
        <f>HYPERLINK("https://camerareadycosmetics.com/products/graftobian-super-palette-lip-colors", "https://camerareadycosmetics.com/products/graftobian-super-palette-lip-colors")</f>
        <v/>
      </c>
      <c r="B1191" s="2">
        <f>HYPERLINK("https://camerareadycosmetics.com/products/graftobian-super-palette-lip-colors", "https://camerareadycosmetics.com/products/graftobian-super-palette-lip-colors")</f>
        <v/>
      </c>
      <c r="C1191" t="inlineStr">
        <is>
          <t>Super Palette Lip Colors</t>
        </is>
      </c>
      <c r="D1191" t="inlineStr">
        <is>
          <t>15 Colors Lip Gloss Palette, Makeup Set Makeup Kit Camouflage Lipstick Case Lip Gloss, Ideal For Both Professional For Lipstick And Personal Use</t>
        </is>
      </c>
      <c r="E1191" s="2">
        <f>HYPERLINK("https://www.amazon.com/Palette-Cosmetics-Lipstick-Professional-Personal/dp/B085THJ3Y4/ref=sr_1_3?keywords=Super+Palette+Lip+Colors&amp;qid=1695565526&amp;sr=8-3", "https://www.amazon.com/Palette-Cosmetics-Lipstick-Professional-Personal/dp/B085THJ3Y4/ref=sr_1_3?keywords=Super+Palette+Lip+Colors&amp;qid=1695565526&amp;sr=8-3")</f>
        <v/>
      </c>
      <c r="F1191" t="inlineStr">
        <is>
          <t>B085THJ3Y4</t>
        </is>
      </c>
      <c r="G1191">
        <f>_xlfn.IMAGE("https://camerareadycosmetics.com/cdn/shop/products/125029000__14900.1436242063.600.600_50x.jpeg?v=1689625945")</f>
        <v/>
      </c>
      <c r="H1191">
        <f>_xlfn.IMAGE("https://m.media-amazon.com/images/I/61F6uwE+zxL._AC_UL320_.jpg")</f>
        <v/>
      </c>
      <c r="K1191" t="inlineStr">
        <is>
          <t>88.0</t>
        </is>
      </c>
      <c r="L1191" t="n">
        <v>5.12</v>
      </c>
      <c r="M1191" s="1" t="inlineStr">
        <is>
          <t>-94.18%</t>
        </is>
      </c>
      <c r="N1191" t="n">
        <v>3.2</v>
      </c>
      <c r="O1191" t="n">
        <v>5</v>
      </c>
      <c r="Q1191" t="inlineStr">
        <is>
          <t>InStock</t>
        </is>
      </c>
      <c r="R1191" t="inlineStr">
        <is>
          <t>undefined</t>
        </is>
      </c>
      <c r="S1191" t="inlineStr">
        <is>
          <t>7034586887</t>
        </is>
      </c>
    </row>
    <row r="1192" ht="75" customHeight="1">
      <c r="A1192" s="2">
        <f>HYPERLINK("https://camerareadycosmetics.com/products/graftobian-superseal-intense-shine-lip-gloss", "https://camerareadycosmetics.com/products/graftobian-superseal-intense-shine-lip-gloss")</f>
        <v/>
      </c>
      <c r="B1192" s="2">
        <f>HYPERLINK("https://camerareadycosmetics.com/products/graftobian-superseal-intense-shine-lip-gloss", "https://camerareadycosmetics.com/products/graftobian-superseal-intense-shine-lip-gloss")</f>
        <v/>
      </c>
      <c r="C1192" t="inlineStr">
        <is>
          <t>SuperSeal Intense Shine Lip Gloss</t>
        </is>
      </c>
      <c r="D1192" t="inlineStr">
        <is>
          <t>Graftobian SuperSeal Intense Shine Lip Gloss 0.25 Ounce</t>
        </is>
      </c>
      <c r="E1192" s="2">
        <f>HYPERLINK("https://www.amazon.com/Graftobian-SuperSeal-Intense-Shine-Gloss/dp/B00BPETP0Q/ref=sr_1_1?keywords=SuperSeal+Intense+Shine+Lip+Gloss&amp;qid=1695565616&amp;sr=8-1", "https://www.amazon.com/Graftobian-SuperSeal-Intense-Shine-Gloss/dp/B00BPETP0Q/ref=sr_1_1?keywords=SuperSeal+Intense+Shine+Lip+Gloss&amp;qid=1695565616&amp;sr=8-1")</f>
        <v/>
      </c>
      <c r="F1192" t="inlineStr">
        <is>
          <t>B00BPETP0Q</t>
        </is>
      </c>
      <c r="G1192">
        <f>_xlfn.IMAGE("https://camerareadycosmetics.com/cdn/shop/products/Graftobian_SuperSeal_Intense_Shine_Lip_Gloss__79479.1387654916.600.600_50x.jpg?v=1689639678")</f>
        <v/>
      </c>
      <c r="H1192">
        <f>_xlfn.IMAGE("https://m.media-amazon.com/images/I/61rKY4xfTSL._AC_UL320_.jpg")</f>
        <v/>
      </c>
      <c r="K1192" t="inlineStr">
        <is>
          <t>15.0</t>
        </is>
      </c>
      <c r="L1192" t="n">
        <v>15</v>
      </c>
      <c r="M1192" s="1" t="inlineStr">
        <is>
          <t>0.00%</t>
        </is>
      </c>
      <c r="N1192" t="n">
        <v>3</v>
      </c>
      <c r="O1192" t="n">
        <v>1</v>
      </c>
      <c r="Q1192" t="inlineStr">
        <is>
          <t>InStock</t>
        </is>
      </c>
      <c r="R1192" t="inlineStr">
        <is>
          <t>undefined</t>
        </is>
      </c>
      <c r="S1192" t="inlineStr">
        <is>
          <t>7039614087</t>
        </is>
      </c>
    </row>
    <row r="1193" ht="75" customHeight="1">
      <c r="A1193" s="2">
        <f>HYPERLINK("https://camerareadycosmetics.com/products/graftobian-supersilica-hd-setting-powder", "https://camerareadycosmetics.com/products/graftobian-supersilica-hd-setting-powder")</f>
        <v/>
      </c>
      <c r="B1193" s="2">
        <f>HYPERLINK("https://camerareadycosmetics.com/products/graftobian-supersilica-hd-setting-powder", "https://camerareadycosmetics.com/products/graftobian-supersilica-hd-setting-powder")</f>
        <v/>
      </c>
      <c r="C1193" t="inlineStr">
        <is>
          <t>SuperSilica HD Setting Powder</t>
        </is>
      </c>
      <c r="D1193" t="inlineStr">
        <is>
          <t>NYX PROFESSIONAL MAKEUP HD Finishing Powder, Pressed Setting Powder - Translucent</t>
        </is>
      </c>
      <c r="E1193" s="2">
        <f>HYPERLINK("https://www.amazon.com/NYX-PROFESSIONAL-MAKEUP-Definition-Translucent/dp/B014WOHZES/ref=sr_1_1?keywords=SuperSilica+HD+Setting+Powder&amp;qid=1695565609&amp;sr=8-1", "https://www.amazon.com/NYX-PROFESSIONAL-MAKEUP-Definition-Translucent/dp/B014WOHZES/ref=sr_1_1?keywords=SuperSilica+HD+Setting+Powder&amp;qid=1695565609&amp;sr=8-1")</f>
        <v/>
      </c>
      <c r="F1193" t="inlineStr">
        <is>
          <t>B014WOHZES</t>
        </is>
      </c>
      <c r="G1193">
        <f>_xlfn.IMAGE("https://camerareadycosmetics.com/cdn/shop/products/125132000__10038.1433297775.600.600_50x.jpeg?v=1689647391")</f>
        <v/>
      </c>
      <c r="H1193">
        <f>_xlfn.IMAGE("https://m.media-amazon.com/images/I/818RJ9MCfNL._AC_UL320_.jpg")</f>
        <v/>
      </c>
      <c r="K1193" t="inlineStr">
        <is>
          <t>34.0</t>
        </is>
      </c>
      <c r="L1193" t="n">
        <v>10.37</v>
      </c>
      <c r="M1193" s="1" t="inlineStr">
        <is>
          <t>-69.50%</t>
        </is>
      </c>
      <c r="N1193" t="n">
        <v>4.5</v>
      </c>
      <c r="O1193" t="n">
        <v>8265</v>
      </c>
      <c r="Q1193" t="inlineStr">
        <is>
          <t>InStock</t>
        </is>
      </c>
      <c r="R1193" t="inlineStr">
        <is>
          <t>undefined</t>
        </is>
      </c>
      <c r="S1193" t="inlineStr">
        <is>
          <t>7043827655</t>
        </is>
      </c>
    </row>
    <row r="1194" ht="75" customHeight="1">
      <c r="A1194" s="2">
        <f>HYPERLINK("https://camerareadycosmetics.com/products/graftobian-supersilica-hd-setting-powder", "https://camerareadycosmetics.com/products/graftobian-supersilica-hd-setting-powder")</f>
        <v/>
      </c>
      <c r="B1194" s="2">
        <f>HYPERLINK("https://camerareadycosmetics.com/products/graftobian-supersilica-hd-setting-powder", "https://camerareadycosmetics.com/products/graftobian-supersilica-hd-setting-powder")</f>
        <v/>
      </c>
      <c r="C1194" t="inlineStr">
        <is>
          <t>SuperSilica HD Setting Powder</t>
        </is>
      </c>
      <c r="D1194" t="inlineStr">
        <is>
          <t>Absolute New York HD Flawless Loose Setting Powder (Translucent)</t>
        </is>
      </c>
      <c r="E1194" s="2">
        <f>HYPERLINK("https://www.amazon.com/Flawless-Loose-Setting-Powder-Translucent/dp/B01MRFZ6PC/ref=sr_1_4?keywords=SuperSilica+HD+Setting+Powder&amp;qid=1695565609&amp;sr=8-4", "https://www.amazon.com/Flawless-Loose-Setting-Powder-Translucent/dp/B01MRFZ6PC/ref=sr_1_4?keywords=SuperSilica+HD+Setting+Powder&amp;qid=1695565609&amp;sr=8-4")</f>
        <v/>
      </c>
      <c r="F1194" t="inlineStr">
        <is>
          <t>B01MRFZ6PC</t>
        </is>
      </c>
      <c r="G1194">
        <f>_xlfn.IMAGE("https://camerareadycosmetics.com/cdn/shop/products/125132000__10038.1433297775.600.600_50x.jpeg?v=1689647391")</f>
        <v/>
      </c>
      <c r="H1194">
        <f>_xlfn.IMAGE("https://m.media-amazon.com/images/I/51l+BcUvBHL._AC_UL320_.jpg")</f>
        <v/>
      </c>
      <c r="K1194" t="inlineStr">
        <is>
          <t>34.0</t>
        </is>
      </c>
      <c r="L1194" t="n">
        <v>9.98</v>
      </c>
      <c r="M1194" s="1" t="inlineStr">
        <is>
          <t>-70.65%</t>
        </is>
      </c>
      <c r="N1194" t="n">
        <v>4.6</v>
      </c>
      <c r="O1194" t="n">
        <v>161</v>
      </c>
      <c r="Q1194" t="inlineStr">
        <is>
          <t>InStock</t>
        </is>
      </c>
      <c r="R1194" t="inlineStr">
        <is>
          <t>undefined</t>
        </is>
      </c>
      <c r="S1194" t="inlineStr">
        <is>
          <t>7043827655</t>
        </is>
      </c>
    </row>
    <row r="1195" ht="75" customHeight="1">
      <c r="A1195" s="2">
        <f>HYPERLINK("https://camerareadycosmetics.com/products/graftobian-supersilica-hd-setting-powder", "https://camerareadycosmetics.com/products/graftobian-supersilica-hd-setting-powder")</f>
        <v/>
      </c>
      <c r="B1195" s="2">
        <f>HYPERLINK("https://camerareadycosmetics.com/products/graftobian-supersilica-hd-setting-powder", "https://camerareadycosmetics.com/products/graftobian-supersilica-hd-setting-powder")</f>
        <v/>
      </c>
      <c r="C1195" t="inlineStr">
        <is>
          <t>SuperSilica HD Setting Powder</t>
        </is>
      </c>
      <c r="D1195" t="inlineStr">
        <is>
          <t>NYX PROFESSIONAL MAKEUP HD Studio Finishing Powder, Loose Setting Powder - Translucent Finish</t>
        </is>
      </c>
      <c r="E1195" s="2">
        <f>HYPERLINK("https://www.amazon.com/NYX-Professional-Makeup-Finishing-Translucent/dp/B009GLQG6Q/ref=sr_1_2?keywords=SuperSilica+HD+Setting+Powder&amp;qid=1695565609&amp;sr=8-2", "https://www.amazon.com/NYX-Professional-Makeup-Finishing-Translucent/dp/B009GLQG6Q/ref=sr_1_2?keywords=SuperSilica+HD+Setting+Powder&amp;qid=1695565609&amp;sr=8-2")</f>
        <v/>
      </c>
      <c r="F1195" t="inlineStr">
        <is>
          <t>B009GLQG6Q</t>
        </is>
      </c>
      <c r="G1195">
        <f>_xlfn.IMAGE("https://camerareadycosmetics.com/cdn/shop/products/125132000__10038.1433297775.600.600_50x.jpeg?v=1689647391")</f>
        <v/>
      </c>
      <c r="H1195">
        <f>_xlfn.IMAGE("https://m.media-amazon.com/images/I/5196xGH0ZvL._AC_UL320_.jpg")</f>
        <v/>
      </c>
      <c r="K1195" t="inlineStr">
        <is>
          <t>34.0</t>
        </is>
      </c>
      <c r="L1195" t="n">
        <v>9.16</v>
      </c>
      <c r="M1195" s="1" t="inlineStr">
        <is>
          <t>-73.06%</t>
        </is>
      </c>
      <c r="N1195" t="n">
        <v>4.3</v>
      </c>
      <c r="O1195" t="n">
        <v>14881</v>
      </c>
      <c r="Q1195" t="inlineStr">
        <is>
          <t>InStock</t>
        </is>
      </c>
      <c r="R1195" t="inlineStr">
        <is>
          <t>undefined</t>
        </is>
      </c>
      <c r="S1195" t="inlineStr">
        <is>
          <t>7043827655</t>
        </is>
      </c>
    </row>
    <row r="1196" ht="75" customHeight="1">
      <c r="A1196" s="2">
        <f>HYPERLINK("https://camerareadycosmetics.com/products/graftobian-supersilica-hd-setting-powder", "https://camerareadycosmetics.com/products/graftobian-supersilica-hd-setting-powder")</f>
        <v/>
      </c>
      <c r="B1196" s="2">
        <f>HYPERLINK("https://camerareadycosmetics.com/products/graftobian-supersilica-hd-setting-powder", "https://camerareadycosmetics.com/products/graftobian-supersilica-hd-setting-powder")</f>
        <v/>
      </c>
      <c r="C1196" t="inlineStr">
        <is>
          <t>SuperSilica HD Setting Powder</t>
        </is>
      </c>
      <c r="D1196" t="inlineStr">
        <is>
          <t>NYX PROFESSIONAL MAKEUP HD Finishing Powder, Pressed Setting Powder - Translucent</t>
        </is>
      </c>
      <c r="E1196" s="2">
        <f>HYPERLINK("https://www.amazon.com/NYX-PROFESSIONAL-MAKEUP-Definition-Translucent/dp/B014WOHZES/ref=sr_1_1?keywords=SuperSilica+HD+Setting+Powder&amp;qid=1695565609&amp;sr=8-1", "https://www.amazon.com/NYX-PROFESSIONAL-MAKEUP-Definition-Translucent/dp/B014WOHZES/ref=sr_1_1?keywords=SuperSilica+HD+Setting+Powder&amp;qid=1695565609&amp;sr=8-1")</f>
        <v/>
      </c>
      <c r="F1196" t="inlineStr">
        <is>
          <t>B014WOHZES</t>
        </is>
      </c>
      <c r="G1196">
        <f>_xlfn.IMAGE("https://camerareadycosmetics.com/cdn/shop/products/125132000__10038.1433297775.600.600_50x.jpeg?v=1689647391")</f>
        <v/>
      </c>
      <c r="H1196">
        <f>_xlfn.IMAGE("https://m.media-amazon.com/images/I/818RJ9MCfNL._AC_UL320_.jpg")</f>
        <v/>
      </c>
      <c r="K1196" t="inlineStr">
        <is>
          <t>34.0</t>
        </is>
      </c>
      <c r="L1196" t="n">
        <v>10.37</v>
      </c>
      <c r="M1196" s="1" t="inlineStr">
        <is>
          <t>-69.50%</t>
        </is>
      </c>
      <c r="N1196" t="n">
        <v>4.5</v>
      </c>
      <c r="O1196" t="n">
        <v>8265</v>
      </c>
      <c r="Q1196" t="inlineStr">
        <is>
          <t>InStock</t>
        </is>
      </c>
      <c r="R1196" t="inlineStr">
        <is>
          <t>undefined</t>
        </is>
      </c>
      <c r="S1196" t="inlineStr">
        <is>
          <t>7043827655</t>
        </is>
      </c>
    </row>
    <row r="1197" ht="75" customHeight="1">
      <c r="A1197" s="2">
        <f>HYPERLINK("https://camerareadycosmetics.com/products/graftobian-supersilica-hd-setting-powder", "https://camerareadycosmetics.com/products/graftobian-supersilica-hd-setting-powder")</f>
        <v/>
      </c>
      <c r="B1197" s="2">
        <f>HYPERLINK("https://camerareadycosmetics.com/products/graftobian-supersilica-hd-setting-powder", "https://camerareadycosmetics.com/products/graftobian-supersilica-hd-setting-powder")</f>
        <v/>
      </c>
      <c r="C1197" t="inlineStr">
        <is>
          <t>SuperSilica HD Setting Powder</t>
        </is>
      </c>
      <c r="D1197" t="inlineStr">
        <is>
          <t>Absolute New York HD Flawless Loose Setting Powder (Translucent)</t>
        </is>
      </c>
      <c r="E1197" s="2">
        <f>HYPERLINK("https://www.amazon.com/Flawless-Loose-Setting-Powder-Translucent/dp/B01MRFZ6PC/ref=sr_1_4?keywords=SuperSilica+HD+Setting+Powder&amp;qid=1695565609&amp;sr=8-4", "https://www.amazon.com/Flawless-Loose-Setting-Powder-Translucent/dp/B01MRFZ6PC/ref=sr_1_4?keywords=SuperSilica+HD+Setting+Powder&amp;qid=1695565609&amp;sr=8-4")</f>
        <v/>
      </c>
      <c r="F1197" t="inlineStr">
        <is>
          <t>B01MRFZ6PC</t>
        </is>
      </c>
      <c r="G1197">
        <f>_xlfn.IMAGE("https://camerareadycosmetics.com/cdn/shop/products/125132000__10038.1433297775.600.600_50x.jpeg?v=1689647391")</f>
        <v/>
      </c>
      <c r="H1197">
        <f>_xlfn.IMAGE("https://m.media-amazon.com/images/I/51l+BcUvBHL._AC_UL320_.jpg")</f>
        <v/>
      </c>
      <c r="K1197" t="inlineStr">
        <is>
          <t>34.0</t>
        </is>
      </c>
      <c r="L1197" t="n">
        <v>9.98</v>
      </c>
      <c r="M1197" s="1" t="inlineStr">
        <is>
          <t>-70.65%</t>
        </is>
      </c>
      <c r="N1197" t="n">
        <v>4.6</v>
      </c>
      <c r="O1197" t="n">
        <v>161</v>
      </c>
      <c r="Q1197" t="inlineStr">
        <is>
          <t>InStock</t>
        </is>
      </c>
      <c r="R1197" t="inlineStr">
        <is>
          <t>undefined</t>
        </is>
      </c>
      <c r="S1197" t="inlineStr">
        <is>
          <t>7043827655</t>
        </is>
      </c>
    </row>
    <row r="1198" ht="75" customHeight="1">
      <c r="A1198" s="2">
        <f>HYPERLINK("https://camerareadycosmetics.com/products/graftobian-supersilica-hd-setting-powder", "https://camerareadycosmetics.com/products/graftobian-supersilica-hd-setting-powder")</f>
        <v/>
      </c>
      <c r="B1198" s="2">
        <f>HYPERLINK("https://camerareadycosmetics.com/products/graftobian-supersilica-hd-setting-powder", "https://camerareadycosmetics.com/products/graftobian-supersilica-hd-setting-powder")</f>
        <v/>
      </c>
      <c r="C1198" t="inlineStr">
        <is>
          <t>SuperSilica HD Setting Powder</t>
        </is>
      </c>
      <c r="D1198" t="inlineStr">
        <is>
          <t>NYX PROFESSIONAL MAKEUP HD Studio Finishing Powder, Loose Setting Powder - Translucent Finish</t>
        </is>
      </c>
      <c r="E1198" s="2">
        <f>HYPERLINK("https://www.amazon.com/NYX-Professional-Makeup-Finishing-Translucent/dp/B009GLQG6Q/ref=sr_1_2?keywords=SuperSilica+HD+Setting+Powder&amp;qid=1695565609&amp;sr=8-2", "https://www.amazon.com/NYX-Professional-Makeup-Finishing-Translucent/dp/B009GLQG6Q/ref=sr_1_2?keywords=SuperSilica+HD+Setting+Powder&amp;qid=1695565609&amp;sr=8-2")</f>
        <v/>
      </c>
      <c r="F1198" t="inlineStr">
        <is>
          <t>B009GLQG6Q</t>
        </is>
      </c>
      <c r="G1198">
        <f>_xlfn.IMAGE("https://camerareadycosmetics.com/cdn/shop/products/125132000__10038.1433297775.600.600_50x.jpeg?v=1689647391")</f>
        <v/>
      </c>
      <c r="H1198">
        <f>_xlfn.IMAGE("https://m.media-amazon.com/images/I/5196xGH0ZvL._AC_UL320_.jpg")</f>
        <v/>
      </c>
      <c r="K1198" t="inlineStr">
        <is>
          <t>34.0</t>
        </is>
      </c>
      <c r="L1198" t="n">
        <v>9.16</v>
      </c>
      <c r="M1198" s="1" t="inlineStr">
        <is>
          <t>-73.06%</t>
        </is>
      </c>
      <c r="N1198" t="n">
        <v>4.3</v>
      </c>
      <c r="O1198" t="n">
        <v>14881</v>
      </c>
      <c r="Q1198" t="inlineStr">
        <is>
          <t>InStock</t>
        </is>
      </c>
      <c r="R1198" t="inlineStr">
        <is>
          <t>undefined</t>
        </is>
      </c>
      <c r="S1198" t="inlineStr">
        <is>
          <t>7043827655</t>
        </is>
      </c>
    </row>
    <row r="1199" ht="75" customHeight="1">
      <c r="A1199" s="2">
        <f>HYPERLINK("https://camerareadycosmetics.com/products/graftobian-ultrasilk-matte-eye-shadow", "https://camerareadycosmetics.com/products/graftobian-ultrasilk-matte-eye-shadow")</f>
        <v/>
      </c>
      <c r="B1199" s="2">
        <f>HYPERLINK("https://camerareadycosmetics.com/products/graftobian-ultrasilk-matte-eye-shadow", "https://camerareadycosmetics.com/products/graftobian-ultrasilk-matte-eye-shadow")</f>
        <v/>
      </c>
      <c r="C1199" t="inlineStr">
        <is>
          <t>Ultrasilk Matte Eye Shadow</t>
        </is>
      </c>
      <c r="D1199" t="inlineStr">
        <is>
          <t>Graftobian HD Ultrasilk Matte Eye Shadow Palette (Smoke)</t>
        </is>
      </c>
      <c r="E1199" s="2">
        <f>HYPERLINK("https://www.amazon.com/Graftobian-Ultrasilk-Matte-Shadow-Palette/dp/B01CUIOKF0/ref=sr_1_2?keywords=Ultrasilk+Matte+Eye+Shadow&amp;qid=1695565635&amp;sr=8-2", "https://www.amazon.com/Graftobian-Ultrasilk-Matte-Shadow-Palette/dp/B01CUIOKF0/ref=sr_1_2?keywords=Ultrasilk+Matte+Eye+Shadow&amp;qid=1695565635&amp;sr=8-2")</f>
        <v/>
      </c>
      <c r="F1199" t="inlineStr">
        <is>
          <t>B01CUIOKF0</t>
        </is>
      </c>
      <c r="G1199">
        <f>_xlfn.IMAGE("https://camerareadycosmetics.com/cdn/shop/products/5010_zoom_1400769275_50x.jpg?v=1689641952")</f>
        <v/>
      </c>
      <c r="H1199">
        <f>_xlfn.IMAGE("https://m.media-amazon.com/images/I/71HtAg6eAHL._AC_UL320_.jpg")</f>
        <v/>
      </c>
      <c r="K1199" t="inlineStr">
        <is>
          <t>13.0</t>
        </is>
      </c>
      <c r="L1199" t="n">
        <v>76</v>
      </c>
      <c r="M1199" s="1" t="inlineStr">
        <is>
          <t>484.62%</t>
        </is>
      </c>
      <c r="N1199" t="n">
        <v>5</v>
      </c>
      <c r="O1199" t="n">
        <v>2</v>
      </c>
      <c r="Q1199" t="inlineStr">
        <is>
          <t>InStock</t>
        </is>
      </c>
      <c r="R1199" t="inlineStr">
        <is>
          <t>undefined</t>
        </is>
      </c>
      <c r="S1199" t="inlineStr">
        <is>
          <t>7040526343</t>
        </is>
      </c>
    </row>
    <row r="1200" ht="75" customHeight="1">
      <c r="A1200" s="2">
        <f>HYPERLINK("https://camerareadycosmetics.com/products/graftobian-ultrasilk-matte-eye-shadow", "https://camerareadycosmetics.com/products/graftobian-ultrasilk-matte-eye-shadow")</f>
        <v/>
      </c>
      <c r="B1200" s="2">
        <f>HYPERLINK("https://camerareadycosmetics.com/products/graftobian-ultrasilk-matte-eye-shadow", "https://camerareadycosmetics.com/products/graftobian-ultrasilk-matte-eye-shadow")</f>
        <v/>
      </c>
      <c r="C1200" t="inlineStr">
        <is>
          <t>Ultrasilk Matte Eye Shadow</t>
        </is>
      </c>
      <c r="D1200" t="inlineStr">
        <is>
          <t>Sephora Collection Colorful Eyeshadow Strawberry Macaroon, Matte Light Pink</t>
        </is>
      </c>
      <c r="E1200" s="2">
        <f>HYPERLINK("https://www.amazon.com/Colorful-Eyeshadow-Strawberry-Macaroon-Light/dp/B00B23DLNM/ref=sr_1_10?keywords=Ultrasilk+Matte+Eye+Shadow&amp;qid=1695565635&amp;sr=8-10", "https://www.amazon.com/Colorful-Eyeshadow-Strawberry-Macaroon-Light/dp/B00B23DLNM/ref=sr_1_10?keywords=Ultrasilk+Matte+Eye+Shadow&amp;qid=1695565635&amp;sr=8-10")</f>
        <v/>
      </c>
      <c r="F1200" t="inlineStr">
        <is>
          <t>B00B23DLNM</t>
        </is>
      </c>
      <c r="G1200">
        <f>_xlfn.IMAGE("https://camerareadycosmetics.com/cdn/shop/products/5010_zoom_1400769275_50x.jpg?v=1689641952")</f>
        <v/>
      </c>
      <c r="H1200">
        <f>_xlfn.IMAGE("https://m.media-amazon.com/images/I/61X+XZdzN2L._AC_UL320_.jpg")</f>
        <v/>
      </c>
      <c r="K1200" t="inlineStr">
        <is>
          <t>13.0</t>
        </is>
      </c>
      <c r="L1200" t="n">
        <v>14.98</v>
      </c>
      <c r="M1200" s="1" t="inlineStr">
        <is>
          <t>15.23%</t>
        </is>
      </c>
      <c r="N1200" t="n">
        <v>4</v>
      </c>
      <c r="O1200" t="n">
        <v>284</v>
      </c>
      <c r="Q1200" t="inlineStr">
        <is>
          <t>InStock</t>
        </is>
      </c>
      <c r="R1200" t="inlineStr">
        <is>
          <t>undefined</t>
        </is>
      </c>
      <c r="S1200" t="inlineStr">
        <is>
          <t>7040526343</t>
        </is>
      </c>
    </row>
    <row r="1201" ht="75" customHeight="1">
      <c r="A1201" s="2">
        <f>HYPERLINK("https://camerareadycosmetics.com/products/graftobian-ultrasilk-matte-eye-shadow", "https://camerareadycosmetics.com/products/graftobian-ultrasilk-matte-eye-shadow")</f>
        <v/>
      </c>
      <c r="B1201" s="2">
        <f>HYPERLINK("https://camerareadycosmetics.com/products/graftobian-ultrasilk-matte-eye-shadow", "https://camerareadycosmetics.com/products/graftobian-ultrasilk-matte-eye-shadow")</f>
        <v/>
      </c>
      <c r="C1201" t="inlineStr">
        <is>
          <t>Ultrasilk Matte Eye Shadow</t>
        </is>
      </c>
      <c r="D1201" t="inlineStr">
        <is>
          <t>Graftobian Ultrasilk Matte Eyeshadow - Create Stunning Eye Makeup Looks with Pigment-Rich Shades, Provides Long-Lasting Vibrant Eyelid Color, Beautiful Matte Finish, Dark Jungle Green</t>
        </is>
      </c>
      <c r="E1201" s="2">
        <f>HYPERLINK("https://www.amazon.com/Graftobian-Ultrasilk-Matte-Shadow-Jungle/dp/B01DIGJT90/ref=sr_1_1?keywords=Ultrasilk+Matte+Eye+Shadow&amp;qid=1695565635&amp;sr=8-1", "https://www.amazon.com/Graftobian-Ultrasilk-Matte-Shadow-Jungle/dp/B01DIGJT90/ref=sr_1_1?keywords=Ultrasilk+Matte+Eye+Shadow&amp;qid=1695565635&amp;sr=8-1")</f>
        <v/>
      </c>
      <c r="F1201" t="inlineStr">
        <is>
          <t>B01DIGJT90</t>
        </is>
      </c>
      <c r="G1201">
        <f>_xlfn.IMAGE("https://camerareadycosmetics.com/cdn/shop/products/5010_zoom_1400769275_50x.jpg?v=1689641952")</f>
        <v/>
      </c>
      <c r="H1201">
        <f>_xlfn.IMAGE("https://m.media-amazon.com/images/I/61zo9vTESaL._AC_UL320_.jpg")</f>
        <v/>
      </c>
      <c r="K1201" t="inlineStr">
        <is>
          <t>13.0</t>
        </is>
      </c>
      <c r="L1201" t="n">
        <v>13</v>
      </c>
      <c r="M1201" s="1" t="inlineStr">
        <is>
          <t>0.00%</t>
        </is>
      </c>
      <c r="N1201" t="n">
        <v>4.3</v>
      </c>
      <c r="O1201" t="n">
        <v>367</v>
      </c>
      <c r="Q1201" t="inlineStr">
        <is>
          <t>InStock</t>
        </is>
      </c>
      <c r="R1201" t="inlineStr">
        <is>
          <t>undefined</t>
        </is>
      </c>
      <c r="S1201" t="inlineStr">
        <is>
          <t>7040526343</t>
        </is>
      </c>
    </row>
    <row r="1202" ht="75" customHeight="1">
      <c r="A1202" s="2">
        <f>HYPERLINK("https://camerareadycosmetics.com/products/graftobian-ultrasilk-matte-eye-shadow", "https://camerareadycosmetics.com/products/graftobian-ultrasilk-matte-eye-shadow")</f>
        <v/>
      </c>
      <c r="B1202" s="2">
        <f>HYPERLINK("https://camerareadycosmetics.com/products/graftobian-ultrasilk-matte-eye-shadow", "https://camerareadycosmetics.com/products/graftobian-ultrasilk-matte-eye-shadow")</f>
        <v/>
      </c>
      <c r="C1202" t="inlineStr">
        <is>
          <t>Ultrasilk Matte Eye Shadow</t>
        </is>
      </c>
      <c r="D1202" t="inlineStr">
        <is>
          <t>Revlon Matte Eye Shadow-Riviera Blue (007)</t>
        </is>
      </c>
      <c r="E1202" s="2">
        <f>HYPERLINK("https://www.amazon.com/Revlon-Matte-Eye-Shadow-Riviera-Blue/dp/B0028YTEUI/ref=sr_1_8?keywords=Ultrasilk+Matte+Eye+Shadow&amp;qid=1695565635&amp;sr=8-8", "https://www.amazon.com/Revlon-Matte-Eye-Shadow-Riviera-Blue/dp/B0028YTEUI/ref=sr_1_8?keywords=Ultrasilk+Matte+Eye+Shadow&amp;qid=1695565635&amp;sr=8-8")</f>
        <v/>
      </c>
      <c r="F1202" t="inlineStr">
        <is>
          <t>B0028YTEUI</t>
        </is>
      </c>
      <c r="G1202">
        <f>_xlfn.IMAGE("https://camerareadycosmetics.com/cdn/shop/products/5010_zoom_1400769275_50x.jpg?v=1689641952")</f>
        <v/>
      </c>
      <c r="H1202">
        <f>_xlfn.IMAGE("https://m.media-amazon.com/images/I/81EjvF6NxaL._AC_UL320_.jpg")</f>
        <v/>
      </c>
      <c r="K1202" t="inlineStr">
        <is>
          <t>13.0</t>
        </is>
      </c>
      <c r="L1202" t="n">
        <v>9.99</v>
      </c>
      <c r="M1202" s="1" t="inlineStr">
        <is>
          <t>-23.15%</t>
        </is>
      </c>
      <c r="N1202" t="n">
        <v>4.2</v>
      </c>
      <c r="O1202" t="n">
        <v>141</v>
      </c>
      <c r="Q1202" t="inlineStr">
        <is>
          <t>InStock</t>
        </is>
      </c>
      <c r="R1202" t="inlineStr">
        <is>
          <t>undefined</t>
        </is>
      </c>
      <c r="S1202" t="inlineStr">
        <is>
          <t>7040526343</t>
        </is>
      </c>
    </row>
    <row r="1203" ht="75" customHeight="1">
      <c r="A1203" s="2">
        <f>HYPERLINK("https://camerareadycosmetics.com/products/graftobian-ultrasilk-matte-eye-shadow", "https://camerareadycosmetics.com/products/graftobian-ultrasilk-matte-eye-shadow")</f>
        <v/>
      </c>
      <c r="B1203" s="2">
        <f>HYPERLINK("https://camerareadycosmetics.com/products/graftobian-ultrasilk-matte-eye-shadow", "https://camerareadycosmetics.com/products/graftobian-ultrasilk-matte-eye-shadow")</f>
        <v/>
      </c>
      <c r="C1203" t="inlineStr">
        <is>
          <t>Ultrasilk Matte Eye Shadow</t>
        </is>
      </c>
      <c r="D1203" t="inlineStr">
        <is>
          <t>W7 Mighty Mattes Eyeshadow - 12 Matte Nude Colours – Flawless &amp; Natural Long-Lasting Makeup Palette</t>
        </is>
      </c>
      <c r="E1203" s="2">
        <f>HYPERLINK("https://www.amazon.com/W7-Eyeshadow-Long-lasting-Transition-Cruelty-free/dp/B01N6WMQ9Y/ref=sr_1_6?keywords=Ultrasilk+Matte+Eye+Shadow&amp;qid=1695565635&amp;sr=8-6", "https://www.amazon.com/W7-Eyeshadow-Long-lasting-Transition-Cruelty-free/dp/B01N6WMQ9Y/ref=sr_1_6?keywords=Ultrasilk+Matte+Eye+Shadow&amp;qid=1695565635&amp;sr=8-6")</f>
        <v/>
      </c>
      <c r="F1203" t="inlineStr">
        <is>
          <t>B01N6WMQ9Y</t>
        </is>
      </c>
      <c r="G1203">
        <f>_xlfn.IMAGE("https://camerareadycosmetics.com/cdn/shop/products/5010_zoom_1400769275_50x.jpg?v=1689641952")</f>
        <v/>
      </c>
      <c r="H1203">
        <f>_xlfn.IMAGE("https://m.media-amazon.com/images/I/818JKt+MEwL._AC_UL320_.jpg")</f>
        <v/>
      </c>
      <c r="K1203" t="inlineStr">
        <is>
          <t>13.0</t>
        </is>
      </c>
      <c r="L1203" t="n">
        <v>8.5</v>
      </c>
      <c r="M1203" s="1" t="inlineStr">
        <is>
          <t>-34.62%</t>
        </is>
      </c>
      <c r="N1203" t="n">
        <v>4.3</v>
      </c>
      <c r="O1203" t="n">
        <v>4060</v>
      </c>
      <c r="Q1203" t="inlineStr">
        <is>
          <t>InStock</t>
        </is>
      </c>
      <c r="R1203" t="inlineStr">
        <is>
          <t>undefined</t>
        </is>
      </c>
      <c r="S1203" t="inlineStr">
        <is>
          <t>7040526343</t>
        </is>
      </c>
    </row>
    <row r="1204" ht="75" customHeight="1">
      <c r="A1204" s="2">
        <f>HYPERLINK("https://camerareadycosmetics.com/products/graftobian-ultrasilk-matte-eye-shadow", "https://camerareadycosmetics.com/products/graftobian-ultrasilk-matte-eye-shadow")</f>
        <v/>
      </c>
      <c r="B1204" s="2">
        <f>HYPERLINK("https://camerareadycosmetics.com/products/graftobian-ultrasilk-matte-eye-shadow", "https://camerareadycosmetics.com/products/graftobian-ultrasilk-matte-eye-shadow")</f>
        <v/>
      </c>
      <c r="C1204" t="inlineStr">
        <is>
          <t>Ultrasilk Matte Eye Shadow</t>
        </is>
      </c>
      <c r="D1204" t="inlineStr">
        <is>
          <t>SURORAIN 9 Colors Matte Eyeshadow Palette, Highly Pigmented Long Lasting Matte Nude Shimmer Eyeshadow Pallet,Beige Earth Neutral Smoky Waterproof Cosmetic Eye Shadows</t>
        </is>
      </c>
      <c r="E1204" s="2">
        <f>HYPERLINK("https://www.amazon.com/Eyeshadow-Palette-Pigmented-Waterproof-Cosmetic/dp/B09CGLBM3C/ref=sr_1_7?keywords=Ultrasilk+Matte+Eye+Shadow&amp;qid=1695565635&amp;sr=8-7", "https://www.amazon.com/Eyeshadow-Palette-Pigmented-Waterproof-Cosmetic/dp/B09CGLBM3C/ref=sr_1_7?keywords=Ultrasilk+Matte+Eye+Shadow&amp;qid=1695565635&amp;sr=8-7")</f>
        <v/>
      </c>
      <c r="F1204" t="inlineStr">
        <is>
          <t>B09CGLBM3C</t>
        </is>
      </c>
      <c r="G1204">
        <f>_xlfn.IMAGE("https://camerareadycosmetics.com/cdn/shop/products/5010_zoom_1400769275_50x.jpg?v=1689641952")</f>
        <v/>
      </c>
      <c r="H1204">
        <f>_xlfn.IMAGE("https://m.media-amazon.com/images/I/61jGCJjHu8L._AC_UL320_.jpg")</f>
        <v/>
      </c>
      <c r="K1204" t="inlineStr">
        <is>
          <t>13.0</t>
        </is>
      </c>
      <c r="L1204" t="n">
        <v>7.99</v>
      </c>
      <c r="M1204" s="1" t="inlineStr">
        <is>
          <t>-38.54%</t>
        </is>
      </c>
      <c r="N1204" t="n">
        <v>3.8</v>
      </c>
      <c r="O1204" t="n">
        <v>320</v>
      </c>
      <c r="Q1204" t="inlineStr">
        <is>
          <t>InStock</t>
        </is>
      </c>
      <c r="R1204" t="inlineStr">
        <is>
          <t>undefined</t>
        </is>
      </c>
      <c r="S1204" t="inlineStr">
        <is>
          <t>7040526343</t>
        </is>
      </c>
    </row>
    <row r="1205" ht="75" customHeight="1">
      <c r="A1205" s="2">
        <f>HYPERLINK("https://camerareadycosmetics.com/products/graftobian-ultrasilk-matte-eye-shadow", "https://camerareadycosmetics.com/products/graftobian-ultrasilk-matte-eye-shadow")</f>
        <v/>
      </c>
      <c r="B1205" s="2">
        <f>HYPERLINK("https://camerareadycosmetics.com/products/graftobian-ultrasilk-matte-eye-shadow", "https://camerareadycosmetics.com/products/graftobian-ultrasilk-matte-eye-shadow")</f>
        <v/>
      </c>
      <c r="C1205" t="inlineStr">
        <is>
          <t>Ultrasilk Matte Eye Shadow</t>
        </is>
      </c>
      <c r="D1205" t="inlineStr">
        <is>
          <t>Revlon Colorstay Creme Eye Shadow, Longwear Blendable Matte or Shimmer Eye Makeup with Applicator Brush in Silver, Earl Grey (760) , 0.18 Ounce (Pack of 1)</t>
        </is>
      </c>
      <c r="E1205" s="2">
        <f>HYPERLINK("https://www.amazon.com/Colorstay-Longwear-Blendable-Shimmer-Applicator/dp/B01KHSV530/ref=sr_1_3?keywords=Ultrasilk+Matte+Eye+Shadow&amp;qid=1695565635&amp;sr=8-3", "https://www.amazon.com/Colorstay-Longwear-Blendable-Shimmer-Applicator/dp/B01KHSV530/ref=sr_1_3?keywords=Ultrasilk+Matte+Eye+Shadow&amp;qid=1695565635&amp;sr=8-3")</f>
        <v/>
      </c>
      <c r="F1205" t="inlineStr">
        <is>
          <t>B01KHSV530</t>
        </is>
      </c>
      <c r="G1205">
        <f>_xlfn.IMAGE("https://camerareadycosmetics.com/cdn/shop/products/5010_zoom_1400769275_50x.jpg?v=1689641952")</f>
        <v/>
      </c>
      <c r="H1205">
        <f>_xlfn.IMAGE("https://m.media-amazon.com/images/I/61IbF22aG-L._AC_UL320_.jpg")</f>
        <v/>
      </c>
      <c r="K1205" t="inlineStr">
        <is>
          <t>13.0</t>
        </is>
      </c>
      <c r="L1205" t="n">
        <v>6.99</v>
      </c>
      <c r="M1205" s="1" t="inlineStr">
        <is>
          <t>-46.23%</t>
        </is>
      </c>
      <c r="N1205" t="n">
        <v>4.2</v>
      </c>
      <c r="O1205" t="n">
        <v>13234</v>
      </c>
      <c r="Q1205" t="inlineStr">
        <is>
          <t>InStock</t>
        </is>
      </c>
      <c r="R1205" t="inlineStr">
        <is>
          <t>undefined</t>
        </is>
      </c>
      <c r="S1205" t="inlineStr">
        <is>
          <t>7040526343</t>
        </is>
      </c>
    </row>
    <row r="1206" ht="75" customHeight="1">
      <c r="A1206" s="2">
        <f>HYPERLINK("https://camerareadycosmetics.com/products/graftobian-ultrasilk-matte-eye-shadow", "https://camerareadycosmetics.com/products/graftobian-ultrasilk-matte-eye-shadow")</f>
        <v/>
      </c>
      <c r="B1206" s="2">
        <f>HYPERLINK("https://camerareadycosmetics.com/products/graftobian-ultrasilk-matte-eye-shadow", "https://camerareadycosmetics.com/products/graftobian-ultrasilk-matte-eye-shadow")</f>
        <v/>
      </c>
      <c r="C1206" t="inlineStr">
        <is>
          <t>Ultrasilk Matte Eye Shadow</t>
        </is>
      </c>
      <c r="D1206" t="inlineStr">
        <is>
          <t>L’Oréal Paris Colour Riche Monos Eyeshadow, Matte Chill, 0.12 oz.</t>
        </is>
      </c>
      <c r="E1206" s="2">
        <f>HYPERLINK("https://www.amazon.com/LOreal-Paris-Makeup-Powder-Eyeshadow/dp/B06XF25P4D/ref=sr_1_4?keywords=Ultrasilk+Matte+Eye+Shadow&amp;qid=1695565635&amp;sr=8-4", "https://www.amazon.com/LOreal-Paris-Makeup-Powder-Eyeshadow/dp/B06XF25P4D/ref=sr_1_4?keywords=Ultrasilk+Matte+Eye+Shadow&amp;qid=1695565635&amp;sr=8-4")</f>
        <v/>
      </c>
      <c r="F1206" t="inlineStr">
        <is>
          <t>B06XF25P4D</t>
        </is>
      </c>
      <c r="G1206">
        <f>_xlfn.IMAGE("https://camerareadycosmetics.com/cdn/shop/products/5010_zoom_1400769275_50x.jpg?v=1689641952")</f>
        <v/>
      </c>
      <c r="H1206">
        <f>_xlfn.IMAGE("https://m.media-amazon.com/images/I/815-CbBW4qL._AC_UL320_.jpg")</f>
        <v/>
      </c>
      <c r="K1206" t="inlineStr">
        <is>
          <t>13.0</t>
        </is>
      </c>
      <c r="L1206" t="n">
        <v>6.5</v>
      </c>
      <c r="M1206" s="1" t="inlineStr">
        <is>
          <t>-50.00%</t>
        </is>
      </c>
      <c r="N1206" t="n">
        <v>3.9</v>
      </c>
      <c r="O1206" t="n">
        <v>7350</v>
      </c>
      <c r="Q1206" t="inlineStr">
        <is>
          <t>InStock</t>
        </is>
      </c>
      <c r="R1206" t="inlineStr">
        <is>
          <t>undefined</t>
        </is>
      </c>
      <c r="S1206" t="inlineStr">
        <is>
          <t>7040526343</t>
        </is>
      </c>
    </row>
    <row r="1207" ht="75" customHeight="1">
      <c r="A1207" s="2">
        <f>HYPERLINK("https://camerareadycosmetics.com/products/graftobian-ultrasilk-matte-eye-shadow", "https://camerareadycosmetics.com/products/graftobian-ultrasilk-matte-eye-shadow")</f>
        <v/>
      </c>
      <c r="B1207" s="2">
        <f>HYPERLINK("https://camerareadycosmetics.com/products/graftobian-ultrasilk-matte-eye-shadow", "https://camerareadycosmetics.com/products/graftobian-ultrasilk-matte-eye-shadow")</f>
        <v/>
      </c>
      <c r="C1207" t="inlineStr">
        <is>
          <t>Ultrasilk Matte Eye Shadow</t>
        </is>
      </c>
      <c r="D1207" t="inlineStr">
        <is>
          <t>L.A. COLORS 5 Color Matte Eyeshadow, Nude Suede, 0.08 Oz, Powder</t>
        </is>
      </c>
      <c r="E1207" s="2">
        <f>HYPERLINK("https://www.amazon.com/L-Colors-Color-Eyeshadow/dp/B01DX1ODGO/ref=sr_1_5?keywords=Ultrasilk+Matte+Eye+Shadow&amp;qid=1695565635&amp;sr=8-5", "https://www.amazon.com/L-Colors-Color-Eyeshadow/dp/B01DX1ODGO/ref=sr_1_5?keywords=Ultrasilk+Matte+Eye+Shadow&amp;qid=1695565635&amp;sr=8-5")</f>
        <v/>
      </c>
      <c r="F1207" t="inlineStr">
        <is>
          <t>B01DX1ODGO</t>
        </is>
      </c>
      <c r="G1207">
        <f>_xlfn.IMAGE("https://camerareadycosmetics.com/cdn/shop/products/5010_zoom_1400769275_50x.jpg?v=1689641952")</f>
        <v/>
      </c>
      <c r="H1207">
        <f>_xlfn.IMAGE("https://m.media-amazon.com/images/I/61il9WiJlPL._AC_UL320_.jpg")</f>
        <v/>
      </c>
      <c r="K1207" t="inlineStr">
        <is>
          <t>13.0</t>
        </is>
      </c>
      <c r="L1207" t="n">
        <v>3.5</v>
      </c>
      <c r="M1207" s="1" t="inlineStr">
        <is>
          <t>-73.08%</t>
        </is>
      </c>
      <c r="N1207" t="n">
        <v>4.3</v>
      </c>
      <c r="O1207" t="n">
        <v>10752</v>
      </c>
      <c r="Q1207" t="inlineStr">
        <is>
          <t>InStock</t>
        </is>
      </c>
      <c r="R1207" t="inlineStr">
        <is>
          <t>undefined</t>
        </is>
      </c>
      <c r="S1207" t="inlineStr">
        <is>
          <t>7040526343</t>
        </is>
      </c>
    </row>
    <row r="1208" ht="75" customHeight="1">
      <c r="A1208" s="2">
        <f>HYPERLINK("https://camerareadycosmetics.com/products/graftobian-ultrasilk-matte-eye-shadow", "https://camerareadycosmetics.com/products/graftobian-ultrasilk-matte-eye-shadow")</f>
        <v/>
      </c>
      <c r="B1208" s="2">
        <f>HYPERLINK("https://camerareadycosmetics.com/products/graftobian-ultrasilk-matte-eye-shadow", "https://camerareadycosmetics.com/products/graftobian-ultrasilk-matte-eye-shadow")</f>
        <v/>
      </c>
      <c r="C1208" t="inlineStr">
        <is>
          <t>Ultrasilk Matte Eye Shadow</t>
        </is>
      </c>
      <c r="D1208" t="inlineStr">
        <is>
          <t>L’Oréal Paris Colour Riche Monos Eyeshadow, Matte Chill, 0.12 oz.</t>
        </is>
      </c>
      <c r="E1208" s="2">
        <f>HYPERLINK("https://www.amazon.com/LOreal-Paris-Makeup-Powder-Eyeshadow/dp/B06XF25P4D/ref=sr_1_4?keywords=Ultrasilk+Matte+Eye+Shadow&amp;qid=1695565635&amp;sr=8-4", "https://www.amazon.com/LOreal-Paris-Makeup-Powder-Eyeshadow/dp/B06XF25P4D/ref=sr_1_4?keywords=Ultrasilk+Matte+Eye+Shadow&amp;qid=1695565635&amp;sr=8-4")</f>
        <v/>
      </c>
      <c r="F1208" t="inlineStr">
        <is>
          <t>B06XF25P4D</t>
        </is>
      </c>
      <c r="G1208">
        <f>_xlfn.IMAGE("https://camerareadycosmetics.com/cdn/shop/products/5010_zoom_1400769275_50x.jpg?v=1689641952")</f>
        <v/>
      </c>
      <c r="H1208">
        <f>_xlfn.IMAGE("https://m.media-amazon.com/images/I/815-CbBW4qL._AC_UL320_.jpg")</f>
        <v/>
      </c>
      <c r="K1208" t="inlineStr">
        <is>
          <t>13.0</t>
        </is>
      </c>
      <c r="L1208" t="n">
        <v>6.5</v>
      </c>
      <c r="M1208" s="1" t="inlineStr">
        <is>
          <t>-50.00%</t>
        </is>
      </c>
      <c r="N1208" t="n">
        <v>3.9</v>
      </c>
      <c r="O1208" t="n">
        <v>7350</v>
      </c>
      <c r="Q1208" t="inlineStr">
        <is>
          <t>InStock</t>
        </is>
      </c>
      <c r="R1208" t="inlineStr">
        <is>
          <t>undefined</t>
        </is>
      </c>
      <c r="S1208" t="inlineStr">
        <is>
          <t>7040526343</t>
        </is>
      </c>
    </row>
    <row r="1209" ht="75" customHeight="1">
      <c r="A1209" s="2">
        <f>HYPERLINK("https://camerareadycosmetics.com/products/graftobian-ultrasilk-matte-eye-shadow", "https://camerareadycosmetics.com/products/graftobian-ultrasilk-matte-eye-shadow")</f>
        <v/>
      </c>
      <c r="B1209" s="2">
        <f>HYPERLINK("https://camerareadycosmetics.com/products/graftobian-ultrasilk-matte-eye-shadow", "https://camerareadycosmetics.com/products/graftobian-ultrasilk-matte-eye-shadow")</f>
        <v/>
      </c>
      <c r="C1209" t="inlineStr">
        <is>
          <t>Ultrasilk Matte Eye Shadow</t>
        </is>
      </c>
      <c r="D1209" t="inlineStr">
        <is>
          <t>L.A. COLORS 5 Color Matte Eyeshadow, Nude Suede, 0.08 Oz, Powder</t>
        </is>
      </c>
      <c r="E1209" s="2">
        <f>HYPERLINK("https://www.amazon.com/L-Colors-Color-Eyeshadow/dp/B01DX1ODGO/ref=sr_1_5?keywords=Ultrasilk+Matte+Eye+Shadow&amp;qid=1695565635&amp;sr=8-5", "https://www.amazon.com/L-Colors-Color-Eyeshadow/dp/B01DX1ODGO/ref=sr_1_5?keywords=Ultrasilk+Matte+Eye+Shadow&amp;qid=1695565635&amp;sr=8-5")</f>
        <v/>
      </c>
      <c r="F1209" t="inlineStr">
        <is>
          <t>B01DX1ODGO</t>
        </is>
      </c>
      <c r="G1209">
        <f>_xlfn.IMAGE("https://camerareadycosmetics.com/cdn/shop/products/5010_zoom_1400769275_50x.jpg?v=1689641952")</f>
        <v/>
      </c>
      <c r="H1209">
        <f>_xlfn.IMAGE("https://m.media-amazon.com/images/I/61il9WiJlPL._AC_UL320_.jpg")</f>
        <v/>
      </c>
      <c r="K1209" t="inlineStr">
        <is>
          <t>13.0</t>
        </is>
      </c>
      <c r="L1209" t="n">
        <v>3.5</v>
      </c>
      <c r="M1209" s="1" t="inlineStr">
        <is>
          <t>-73.08%</t>
        </is>
      </c>
      <c r="N1209" t="n">
        <v>4.3</v>
      </c>
      <c r="O1209" t="n">
        <v>10752</v>
      </c>
      <c r="Q1209" t="inlineStr">
        <is>
          <t>InStock</t>
        </is>
      </c>
      <c r="R1209" t="inlineStr">
        <is>
          <t>undefined</t>
        </is>
      </c>
      <c r="S1209" t="inlineStr">
        <is>
          <t>7040526343</t>
        </is>
      </c>
    </row>
    <row r="1210" ht="75" customHeight="1">
      <c r="A1210" s="2">
        <f>HYPERLINK("https://camerareadycosmetics.com/products/inglot-amc-brow-liner-gel", "https://camerareadycosmetics.com/products/inglot-amc-brow-liner-gel")</f>
        <v/>
      </c>
      <c r="B1210" s="2">
        <f>HYPERLINK("https://camerareadycosmetics.com/products/inglot-amc-brow-liner-gel", "https://camerareadycosmetics.com/products/inglot-amc-brow-liner-gel")</f>
        <v/>
      </c>
      <c r="C1210" t="inlineStr">
        <is>
          <t>Inglot AMC Brow Liner Gel</t>
        </is>
      </c>
      <c r="D1210" t="inlineStr">
        <is>
          <t>The Beauty Box INGLOT Eyeliner Bundle - AMC Eyeliner Gel 90, AMC Eyeliner Gel 77 and Brush 30T (3-piece)</t>
        </is>
      </c>
      <c r="E1210" s="2">
        <f>HYPERLINK("https://www.amazon.com/INGLOT-Eyeliner-Bundle-Brush-3-piece/dp/B09MZR1Q7N/ref=sr_1_8?keywords=Inglot+AMC+Brow+Liner+Gel&amp;qid=1695565446&amp;sr=8-8", "https://www.amazon.com/INGLOT-Eyeliner-Bundle-Brush-3-piece/dp/B09MZR1Q7N/ref=sr_1_8?keywords=Inglot+AMC+Brow+Liner+Gel&amp;qid=1695565446&amp;sr=8-8")</f>
        <v/>
      </c>
      <c r="F1210" t="inlineStr">
        <is>
          <t>B09MZR1Q7N</t>
        </is>
      </c>
      <c r="G1210">
        <f>_xlfn.IMAGE("https://camerareadycosmetics.com/cdn/shop/products/14696_zoom_1435863482_50x.jpg?v=1689654760")</f>
        <v/>
      </c>
      <c r="H1210">
        <f>_xlfn.IMAGE("https://m.media-amazon.com/images/I/31Dg69VLjhL._AC_UL320_.jpg")</f>
        <v/>
      </c>
      <c r="K1210" t="inlineStr">
        <is>
          <t>18.0</t>
        </is>
      </c>
      <c r="L1210" t="n">
        <v>35.95</v>
      </c>
      <c r="M1210" s="1" t="inlineStr">
        <is>
          <t>99.72%</t>
        </is>
      </c>
      <c r="N1210" t="n">
        <v>5</v>
      </c>
      <c r="O1210" t="n">
        <v>1</v>
      </c>
      <c r="Q1210" t="inlineStr">
        <is>
          <t>InStock</t>
        </is>
      </c>
      <c r="R1210" t="inlineStr">
        <is>
          <t>undefined</t>
        </is>
      </c>
      <c r="S1210" t="inlineStr">
        <is>
          <t>7048842951</t>
        </is>
      </c>
    </row>
    <row r="1211" ht="75" customHeight="1">
      <c r="A1211" s="2">
        <f>HYPERLINK("https://camerareadycosmetics.com/products/inglot-amc-brow-liner-gel", "https://camerareadycosmetics.com/products/inglot-amc-brow-liner-gel")</f>
        <v/>
      </c>
      <c r="B1211" s="2">
        <f>HYPERLINK("https://camerareadycosmetics.com/products/inglot-amc-brow-liner-gel", "https://camerareadycosmetics.com/products/inglot-amc-brow-liner-gel")</f>
        <v/>
      </c>
      <c r="C1211" t="inlineStr">
        <is>
          <t>Inglot AMC Brow Liner Gel</t>
        </is>
      </c>
      <c r="D1211" t="inlineStr">
        <is>
          <t>The Beauty Box INGLOT Bundle - Duraline, AMC Eyeliner Gel 77 and AMC Eyeliner Gel 90 (3-Piece)</t>
        </is>
      </c>
      <c r="E1211" s="2">
        <f>HYPERLINK("https://www.amazon.com/INGLOT-Bundle-Duraline-Eyeliner-3-Piece/dp/B09MZQ4MQY/ref=sr_1_10?keywords=Inglot+AMC+Brow+Liner+Gel&amp;qid=1695565446&amp;sr=8-10", "https://www.amazon.com/INGLOT-Bundle-Duraline-Eyeliner-3-Piece/dp/B09MZQ4MQY/ref=sr_1_10?keywords=Inglot+AMC+Brow+Liner+Gel&amp;qid=1695565446&amp;sr=8-10")</f>
        <v/>
      </c>
      <c r="F1211" t="inlineStr">
        <is>
          <t>B09MZQ4MQY</t>
        </is>
      </c>
      <c r="G1211">
        <f>_xlfn.IMAGE("https://camerareadycosmetics.com/cdn/shop/products/14696_zoom_1435863482_50x.jpg?v=1689654760")</f>
        <v/>
      </c>
      <c r="H1211">
        <f>_xlfn.IMAGE("https://m.media-amazon.com/images/I/419VzMzA62L._AC_UL320_.jpg")</f>
        <v/>
      </c>
      <c r="K1211" t="inlineStr">
        <is>
          <t>18.0</t>
        </is>
      </c>
      <c r="L1211" t="n">
        <v>34.95</v>
      </c>
      <c r="M1211" s="1" t="inlineStr">
        <is>
          <t>94.17%</t>
        </is>
      </c>
      <c r="N1211" t="n">
        <v>4.6</v>
      </c>
      <c r="O1211" t="n">
        <v>19</v>
      </c>
      <c r="Q1211" t="inlineStr">
        <is>
          <t>InStock</t>
        </is>
      </c>
      <c r="R1211" t="inlineStr">
        <is>
          <t>undefined</t>
        </is>
      </c>
      <c r="S1211" t="inlineStr">
        <is>
          <t>7048842951</t>
        </is>
      </c>
    </row>
    <row r="1212" ht="75" customHeight="1">
      <c r="A1212" s="2">
        <f>HYPERLINK("https://camerareadycosmetics.com/products/inglot-amc-brow-liner-gel", "https://camerareadycosmetics.com/products/inglot-amc-brow-liner-gel")</f>
        <v/>
      </c>
      <c r="B1212" s="2">
        <f>HYPERLINK("https://camerareadycosmetics.com/products/inglot-amc-brow-liner-gel", "https://camerareadycosmetics.com/products/inglot-amc-brow-liner-gel")</f>
        <v/>
      </c>
      <c r="C1212" t="inlineStr">
        <is>
          <t>Inglot AMC Brow Liner Gel</t>
        </is>
      </c>
      <c r="D1212" t="inlineStr">
        <is>
          <t>Inglot Eye Essentials Set | Duraline + AMC Eyeliner Gel 77 + Makeup Brush 31T |</t>
        </is>
      </c>
      <c r="E1212" s="2">
        <f>HYPERLINK("https://www.amazon.com/Inglot-5901905007468-Eye-Essentials-Set/dp/B00FOJN7KM/ref=sr_1_3?keywords=Inglot+AMC+Brow+Liner+Gel&amp;qid=1695565446&amp;sr=8-3", "https://www.amazon.com/Inglot-5901905007468-Eye-Essentials-Set/dp/B00FOJN7KM/ref=sr_1_3?keywords=Inglot+AMC+Brow+Liner+Gel&amp;qid=1695565446&amp;sr=8-3")</f>
        <v/>
      </c>
      <c r="F1212" t="inlineStr">
        <is>
          <t>B00FOJN7KM</t>
        </is>
      </c>
      <c r="G1212">
        <f>_xlfn.IMAGE("https://camerareadycosmetics.com/cdn/shop/products/14696_zoom_1435863482_50x.jpg?v=1689654760")</f>
        <v/>
      </c>
      <c r="H1212">
        <f>_xlfn.IMAGE("https://m.media-amazon.com/images/I/71JQI4oyO2L._AC_UL320_.jpg")</f>
        <v/>
      </c>
      <c r="K1212" t="inlineStr">
        <is>
          <t>18.0</t>
        </is>
      </c>
      <c r="L1212" t="n">
        <v>31.73</v>
      </c>
      <c r="M1212" s="1" t="inlineStr">
        <is>
          <t>76.28%</t>
        </is>
      </c>
      <c r="N1212" t="n">
        <v>4.6</v>
      </c>
      <c r="O1212" t="n">
        <v>340</v>
      </c>
      <c r="Q1212" t="inlineStr">
        <is>
          <t>InStock</t>
        </is>
      </c>
      <c r="R1212" t="inlineStr">
        <is>
          <t>undefined</t>
        </is>
      </c>
      <c r="S1212" t="inlineStr">
        <is>
          <t>7048842951</t>
        </is>
      </c>
    </row>
    <row r="1213" ht="75" customHeight="1">
      <c r="A1213" s="2">
        <f>HYPERLINK("https://camerareadycosmetics.com/products/inglot-amc-brow-liner-gel", "https://camerareadycosmetics.com/products/inglot-amc-brow-liner-gel")</f>
        <v/>
      </c>
      <c r="B1213" s="2">
        <f>HYPERLINK("https://camerareadycosmetics.com/products/inglot-amc-brow-liner-gel", "https://camerareadycosmetics.com/products/inglot-amc-brow-liner-gel")</f>
        <v/>
      </c>
      <c r="C1213" t="inlineStr">
        <is>
          <t>Inglot AMC Brow Liner Gel</t>
        </is>
      </c>
      <c r="D1213" t="inlineStr">
        <is>
          <t>Inglot AMC Eyeliner Gel 77 and Inglot Brush 30T by Inglot</t>
        </is>
      </c>
      <c r="E1213" s="2">
        <f>HYPERLINK("https://www.amazon.com/Inglot-AMC-Eyeliner-Gel-Brush/dp/B01KYS6BGE/ref=sr_1_9?keywords=Inglot+AMC+Brow+Liner+Gel&amp;qid=1695565446&amp;sr=8-9", "https://www.amazon.com/Inglot-AMC-Eyeliner-Gel-Brush/dp/B01KYS6BGE/ref=sr_1_9?keywords=Inglot+AMC+Brow+Liner+Gel&amp;qid=1695565446&amp;sr=8-9")</f>
        <v/>
      </c>
      <c r="F1213" t="inlineStr">
        <is>
          <t>B01KYS6BGE</t>
        </is>
      </c>
      <c r="G1213">
        <f>_xlfn.IMAGE("https://camerareadycosmetics.com/cdn/shop/products/14696_zoom_1435863482_50x.jpg?v=1689654760")</f>
        <v/>
      </c>
      <c r="H1213">
        <f>_xlfn.IMAGE("https://m.media-amazon.com/images/I/51wrljNEOGL._AC_UL320_.jpg")</f>
        <v/>
      </c>
      <c r="K1213" t="inlineStr">
        <is>
          <t>18.0</t>
        </is>
      </c>
      <c r="L1213" t="n">
        <v>30.95</v>
      </c>
      <c r="M1213" s="1" t="inlineStr">
        <is>
          <t>71.94%</t>
        </is>
      </c>
      <c r="N1213" t="n">
        <v>4.4</v>
      </c>
      <c r="O1213" t="n">
        <v>263</v>
      </c>
      <c r="Q1213" t="inlineStr">
        <is>
          <t>InStock</t>
        </is>
      </c>
      <c r="R1213" t="inlineStr">
        <is>
          <t>undefined</t>
        </is>
      </c>
      <c r="S1213" t="inlineStr">
        <is>
          <t>7048842951</t>
        </is>
      </c>
    </row>
    <row r="1214" ht="75" customHeight="1">
      <c r="A1214" s="2">
        <f>HYPERLINK("https://camerareadycosmetics.com/products/inglot-amc-brow-liner-gel", "https://camerareadycosmetics.com/products/inglot-amc-brow-liner-gel")</f>
        <v/>
      </c>
      <c r="B1214" s="2">
        <f>HYPERLINK("https://camerareadycosmetics.com/products/inglot-amc-brow-liner-gel", "https://camerareadycosmetics.com/products/inglot-amc-brow-liner-gel")</f>
        <v/>
      </c>
      <c r="C1214" t="inlineStr">
        <is>
          <t>Inglot AMC Brow Liner Gel</t>
        </is>
      </c>
      <c r="D1214" t="inlineStr">
        <is>
          <t>Inglot Eye Set | Duraline + AMC Eyeliner Gel 77</t>
        </is>
      </c>
      <c r="E1214" s="2">
        <f>HYPERLINK("https://www.amazon.com/INGLOT-Eye-Set-Duraline-Eyeliner/dp/B097N2Z9N8/ref=sr_1_7?keywords=Inglot+AMC+Brow+Liner+Gel&amp;qid=1695565446&amp;sr=8-7", "https://www.amazon.com/INGLOT-Eye-Set-Duraline-Eyeliner/dp/B097N2Z9N8/ref=sr_1_7?keywords=Inglot+AMC+Brow+Liner+Gel&amp;qid=1695565446&amp;sr=8-7")</f>
        <v/>
      </c>
      <c r="F1214" t="inlineStr">
        <is>
          <t>B097N2Z9N8</t>
        </is>
      </c>
      <c r="G1214">
        <f>_xlfn.IMAGE("https://camerareadycosmetics.com/cdn/shop/products/14696_zoom_1435863482_50x.jpg?v=1689654760")</f>
        <v/>
      </c>
      <c r="H1214">
        <f>_xlfn.IMAGE("https://m.media-amazon.com/images/I/51EwJx4piIL._AC_UL320_.jpg")</f>
        <v/>
      </c>
      <c r="K1214" t="inlineStr">
        <is>
          <t>18.0</t>
        </is>
      </c>
      <c r="L1214" t="n">
        <v>27.84</v>
      </c>
      <c r="M1214" s="1" t="inlineStr">
        <is>
          <t>54.67%</t>
        </is>
      </c>
      <c r="N1214" t="n">
        <v>4.6</v>
      </c>
      <c r="O1214" t="n">
        <v>4865</v>
      </c>
      <c r="Q1214" t="inlineStr">
        <is>
          <t>InStock</t>
        </is>
      </c>
      <c r="R1214" t="inlineStr">
        <is>
          <t>undefined</t>
        </is>
      </c>
      <c r="S1214" t="inlineStr">
        <is>
          <t>7048842951</t>
        </is>
      </c>
    </row>
    <row r="1215" ht="75" customHeight="1">
      <c r="A1215" s="2">
        <f>HYPERLINK("https://camerareadycosmetics.com/products/inglot-amc-brow-liner-gel", "https://camerareadycosmetics.com/products/inglot-amc-brow-liner-gel")</f>
        <v/>
      </c>
      <c r="B1215" s="2">
        <f>HYPERLINK("https://camerareadycosmetics.com/products/inglot-amc-brow-liner-gel", "https://camerareadycosmetics.com/products/inglot-amc-brow-liner-gel")</f>
        <v/>
      </c>
      <c r="C1215" t="inlineStr">
        <is>
          <t>Inglot AMC Brow Liner Gel</t>
        </is>
      </c>
      <c r="D1215" t="inlineStr">
        <is>
          <t>Inglot AMC EYELINER GEL 90 | Gel Eyeliner Matte | 5.5 g/0.19 US OZ</t>
        </is>
      </c>
      <c r="E1215" s="2">
        <f>HYPERLINK("https://www.amazon.com/Inglot-AMC-EYELINER-GEL-90/dp/B00FTOMY1K/ref=sr_1_2?keywords=Inglot+AMC+Brow+Liner+Gel&amp;qid=1695565446&amp;sr=8-2", "https://www.amazon.com/Inglot-AMC-EYELINER-GEL-90/dp/B00FTOMY1K/ref=sr_1_2?keywords=Inglot+AMC+Brow+Liner+Gel&amp;qid=1695565446&amp;sr=8-2")</f>
        <v/>
      </c>
      <c r="F1215" t="inlineStr">
        <is>
          <t>B00FTOMY1K</t>
        </is>
      </c>
      <c r="G1215">
        <f>_xlfn.IMAGE("https://camerareadycosmetics.com/cdn/shop/products/14696_zoom_1435863482_50x.jpg?v=1689654760")</f>
        <v/>
      </c>
      <c r="H1215">
        <f>_xlfn.IMAGE("https://m.media-amazon.com/images/I/61NF3PgCpPS._AC_UL320_.jpg")</f>
        <v/>
      </c>
      <c r="K1215" t="inlineStr">
        <is>
          <t>18.0</t>
        </is>
      </c>
      <c r="L1215" t="n">
        <v>15.25</v>
      </c>
      <c r="M1215" s="1" t="inlineStr">
        <is>
          <t>-15.28%</t>
        </is>
      </c>
      <c r="N1215" t="n">
        <v>4.5</v>
      </c>
      <c r="O1215" t="n">
        <v>5267</v>
      </c>
      <c r="Q1215" t="inlineStr">
        <is>
          <t>InStock</t>
        </is>
      </c>
      <c r="R1215" t="inlineStr">
        <is>
          <t>undefined</t>
        </is>
      </c>
      <c r="S1215" t="inlineStr">
        <is>
          <t>7048842951</t>
        </is>
      </c>
    </row>
    <row r="1216" ht="75" customHeight="1">
      <c r="A1216" s="2">
        <f>HYPERLINK("https://camerareadycosmetics.com/products/inglot-amc-brow-liner-gel", "https://camerareadycosmetics.com/products/inglot-amc-brow-liner-gel")</f>
        <v/>
      </c>
      <c r="B1216" s="2">
        <f>HYPERLINK("https://camerareadycosmetics.com/products/inglot-amc-brow-liner-gel", "https://camerareadycosmetics.com/products/inglot-amc-brow-liner-gel")</f>
        <v/>
      </c>
      <c r="C1216" t="inlineStr">
        <is>
          <t>Inglot AMC Brow Liner Gel</t>
        </is>
      </c>
      <c r="D1216" t="inlineStr">
        <is>
          <t>Inglot AMC BROW LINER GEL 20 | 2 g/0.07 US OZ</t>
        </is>
      </c>
      <c r="E1216" s="2">
        <f>HYPERLINK("https://www.amazon.com/Inglot-AMC-BROW-LINER-0-07/dp/B01EO5VWZ8/ref=sr_1_1?keywords=Inglot+AMC+Brow+Liner+Gel&amp;qid=1695565446&amp;sr=8-1", "https://www.amazon.com/Inglot-AMC-BROW-LINER-0-07/dp/B01EO5VWZ8/ref=sr_1_1?keywords=Inglot+AMC+Brow+Liner+Gel&amp;qid=1695565446&amp;sr=8-1")</f>
        <v/>
      </c>
      <c r="F1216" t="inlineStr">
        <is>
          <t>B01EO5VWZ8</t>
        </is>
      </c>
      <c r="G1216">
        <f>_xlfn.IMAGE("https://camerareadycosmetics.com/cdn/shop/products/14696_zoom_1435863482_50x.jpg?v=1689654760")</f>
        <v/>
      </c>
      <c r="H1216">
        <f>_xlfn.IMAGE("https://m.media-amazon.com/images/I/61ixS4EyGwS._AC_UL320_.jpg")</f>
        <v/>
      </c>
      <c r="K1216" t="inlineStr">
        <is>
          <t>18.0</t>
        </is>
      </c>
      <c r="L1216" t="n">
        <v>14</v>
      </c>
      <c r="M1216" s="1" t="inlineStr">
        <is>
          <t>-22.22%</t>
        </is>
      </c>
      <c r="N1216" t="n">
        <v>4.2</v>
      </c>
      <c r="O1216" t="n">
        <v>112</v>
      </c>
      <c r="Q1216" t="inlineStr">
        <is>
          <t>InStock</t>
        </is>
      </c>
      <c r="R1216" t="inlineStr">
        <is>
          <t>undefined</t>
        </is>
      </c>
      <c r="S1216" t="inlineStr">
        <is>
          <t>7048842951</t>
        </is>
      </c>
    </row>
    <row r="1217" ht="75" customHeight="1">
      <c r="A1217" s="2">
        <f>HYPERLINK("https://camerareadycosmetics.com/products/inglot-amc-brow-liner-gel", "https://camerareadycosmetics.com/products/inglot-amc-brow-liner-gel")</f>
        <v/>
      </c>
      <c r="B1217" s="2">
        <f>HYPERLINK("https://camerareadycosmetics.com/products/inglot-amc-brow-liner-gel", "https://camerareadycosmetics.com/products/inglot-amc-brow-liner-gel")</f>
        <v/>
      </c>
      <c r="C1217" t="inlineStr">
        <is>
          <t>Inglot AMC Brow Liner Gel</t>
        </is>
      </c>
      <c r="D1217" t="inlineStr">
        <is>
          <t>INGLOT AMC Eyeliner Gel 77 | Gel Eyeliner Matte | Black Eyeliner | High Intensity Pigments | 5.5 g | 0.19 US OZ</t>
        </is>
      </c>
      <c r="E1217" s="2">
        <f>HYPERLINK("https://www.amazon.com/INGLOT-Duraline-Eyeliner-Black-Matte/dp/B01HHG5YKK/ref=sr_1_5?keywords=Inglot+AMC+Brow+Liner+Gel&amp;qid=1695565446&amp;sr=8-5", "https://www.amazon.com/INGLOT-Duraline-Eyeliner-Black-Matte/dp/B01HHG5YKK/ref=sr_1_5?keywords=Inglot+AMC+Brow+Liner+Gel&amp;qid=1695565446&amp;sr=8-5")</f>
        <v/>
      </c>
      <c r="F1217" t="inlineStr">
        <is>
          <t>B01HHG5YKK</t>
        </is>
      </c>
      <c r="G1217">
        <f>_xlfn.IMAGE("https://camerareadycosmetics.com/cdn/shop/products/14696_zoom_1435863482_50x.jpg?v=1689654760")</f>
        <v/>
      </c>
      <c r="H1217">
        <f>_xlfn.IMAGE("https://m.media-amazon.com/images/I/61xxutw2izL._AC_UL320_.jpg")</f>
        <v/>
      </c>
      <c r="K1217" t="inlineStr">
        <is>
          <t>18.0</t>
        </is>
      </c>
      <c r="L1217" t="n">
        <v>12.52</v>
      </c>
      <c r="M1217" s="1" t="inlineStr">
        <is>
          <t>-30.44%</t>
        </is>
      </c>
      <c r="N1217" t="n">
        <v>4.6</v>
      </c>
      <c r="O1217" t="n">
        <v>2100</v>
      </c>
      <c r="Q1217" t="inlineStr">
        <is>
          <t>InStock</t>
        </is>
      </c>
      <c r="R1217" t="inlineStr">
        <is>
          <t>undefined</t>
        </is>
      </c>
      <c r="S1217" t="inlineStr">
        <is>
          <t>7048842951</t>
        </is>
      </c>
    </row>
    <row r="1218" ht="75" customHeight="1">
      <c r="A1218" s="2">
        <f>HYPERLINK("https://camerareadycosmetics.com/products/inglot-amc-brow-liner-gel", "https://camerareadycosmetics.com/products/inglot-amc-brow-liner-gel")</f>
        <v/>
      </c>
      <c r="B1218" s="2">
        <f>HYPERLINK("https://camerareadycosmetics.com/products/inglot-amc-brow-liner-gel", "https://camerareadycosmetics.com/products/inglot-amc-brow-liner-gel")</f>
        <v/>
      </c>
      <c r="C1218" t="inlineStr">
        <is>
          <t>Inglot AMC Brow Liner Gel</t>
        </is>
      </c>
      <c r="D1218" t="inlineStr">
        <is>
          <t>INGLOT Brow Liner Gel (14)</t>
        </is>
      </c>
      <c r="E1218" s="2">
        <f>HYPERLINK("https://www.amazon.com/INGLOT-Brow-Liner-Gel-14/dp/B01EO5VU8C/ref=sr_1_6?keywords=Inglot+AMC+Brow+Liner+Gel&amp;qid=1695565446&amp;sr=8-6", "https://www.amazon.com/INGLOT-Brow-Liner-Gel-14/dp/B01EO5VU8C/ref=sr_1_6?keywords=Inglot+AMC+Brow+Liner+Gel&amp;qid=1695565446&amp;sr=8-6")</f>
        <v/>
      </c>
      <c r="F1218" t="inlineStr">
        <is>
          <t>B01EO5VU8C</t>
        </is>
      </c>
      <c r="G1218">
        <f>_xlfn.IMAGE("https://camerareadycosmetics.com/cdn/shop/products/14696_zoom_1435863482_50x.jpg?v=1689654760")</f>
        <v/>
      </c>
      <c r="H1218">
        <f>_xlfn.IMAGE("https://m.media-amazon.com/images/I/61cjPsCr-mS._AC_UL320_.jpg")</f>
        <v/>
      </c>
      <c r="K1218" t="inlineStr">
        <is>
          <t>18.0</t>
        </is>
      </c>
      <c r="L1218" t="n">
        <v>9.99</v>
      </c>
      <c r="M1218" s="1" t="inlineStr">
        <is>
          <t>-44.50%</t>
        </is>
      </c>
      <c r="N1218" t="n">
        <v>3.6</v>
      </c>
      <c r="O1218" t="n">
        <v>6</v>
      </c>
      <c r="Q1218" t="inlineStr">
        <is>
          <t>InStock</t>
        </is>
      </c>
      <c r="R1218" t="inlineStr">
        <is>
          <t>undefined</t>
        </is>
      </c>
      <c r="S1218" t="inlineStr">
        <is>
          <t>7048842951</t>
        </is>
      </c>
    </row>
    <row r="1219" ht="75" customHeight="1">
      <c r="A1219" s="2">
        <f>HYPERLINK("https://camerareadycosmetics.com/products/inglot-amc-eyeliner-gel", "https://camerareadycosmetics.com/products/inglot-amc-eyeliner-gel")</f>
        <v/>
      </c>
      <c r="B1219" s="2">
        <f>HYPERLINK("https://camerareadycosmetics.com/products/inglot-amc-eyeliner-gel", "https://camerareadycosmetics.com/products/inglot-amc-eyeliner-gel")</f>
        <v/>
      </c>
      <c r="C1219" t="inlineStr">
        <is>
          <t>AMC Eyeliner Gel</t>
        </is>
      </c>
      <c r="D1219" t="inlineStr">
        <is>
          <t>The Beauty Box INGLOT Eyeliner Bundle - AMC Eyeliner Gel 90, AMC Eyeliner Gel 77 and Brush 30T (3-piece)</t>
        </is>
      </c>
      <c r="E1219" s="2">
        <f>HYPERLINK("https://www.amazon.com/INGLOT-Eyeliner-Bundle-Brush-3-piece/dp/B09MZR1Q7N/ref=sr_1_7?keywords=AMC+Eyeliner+Gel&amp;qid=1695565411&amp;sr=8-7", "https://www.amazon.com/INGLOT-Eyeliner-Bundle-Brush-3-piece/dp/B09MZR1Q7N/ref=sr_1_7?keywords=AMC+Eyeliner+Gel&amp;qid=1695565411&amp;sr=8-7")</f>
        <v/>
      </c>
      <c r="F1219" t="inlineStr">
        <is>
          <t>B09MZR1Q7N</t>
        </is>
      </c>
      <c r="G1219">
        <f>_xlfn.IMAGE("https://camerareadycosmetics.com/cdn/shop/products/14167_zoom_1433788004__83051.1463521381.600.600_50x.jpeg?v=1506749209")</f>
        <v/>
      </c>
      <c r="H1219">
        <f>_xlfn.IMAGE("https://m.media-amazon.com/images/I/31Dg69VLjhL._AC_UL320_.jpg")</f>
        <v/>
      </c>
      <c r="K1219" t="inlineStr">
        <is>
          <t>22.0</t>
        </is>
      </c>
      <c r="L1219" t="n">
        <v>35.95</v>
      </c>
      <c r="M1219" s="1" t="inlineStr">
        <is>
          <t>63.41%</t>
        </is>
      </c>
      <c r="N1219" t="n">
        <v>5</v>
      </c>
      <c r="O1219" t="n">
        <v>1</v>
      </c>
      <c r="Q1219" t="inlineStr">
        <is>
          <t>InStock</t>
        </is>
      </c>
      <c r="R1219" t="inlineStr">
        <is>
          <t>undefined</t>
        </is>
      </c>
      <c r="S1219" t="inlineStr">
        <is>
          <t>7048339143</t>
        </is>
      </c>
    </row>
    <row r="1220" ht="75" customHeight="1">
      <c r="A1220" s="2">
        <f>HYPERLINK("https://camerareadycosmetics.com/products/inglot-amc-eyeliner-gel", "https://camerareadycosmetics.com/products/inglot-amc-eyeliner-gel")</f>
        <v/>
      </c>
      <c r="B1220" s="2">
        <f>HYPERLINK("https://camerareadycosmetics.com/products/inglot-amc-eyeliner-gel", "https://camerareadycosmetics.com/products/inglot-amc-eyeliner-gel")</f>
        <v/>
      </c>
      <c r="C1220" t="inlineStr">
        <is>
          <t>AMC Eyeliner Gel</t>
        </is>
      </c>
      <c r="D1220" t="inlineStr">
        <is>
          <t>The Beauty Box INGLOT Bundle - Duraline, AMC Eyeliner Gel 77 and AMC Eyeliner Gel 90 (3-Piece)</t>
        </is>
      </c>
      <c r="E1220" s="2">
        <f>HYPERLINK("https://www.amazon.com/INGLOT-Bundle-Duraline-Eyeliner-3-Piece/dp/B09MZQ4MQY/ref=sr_1_8?keywords=AMC+Eyeliner+Gel&amp;qid=1695565411&amp;sr=8-8", "https://www.amazon.com/INGLOT-Bundle-Duraline-Eyeliner-3-Piece/dp/B09MZQ4MQY/ref=sr_1_8?keywords=AMC+Eyeliner+Gel&amp;qid=1695565411&amp;sr=8-8")</f>
        <v/>
      </c>
      <c r="F1220" t="inlineStr">
        <is>
          <t>B09MZQ4MQY</t>
        </is>
      </c>
      <c r="G1220">
        <f>_xlfn.IMAGE("https://camerareadycosmetics.com/cdn/shop/products/14167_zoom_1433788004__83051.1463521381.600.600_50x.jpeg?v=1506749209")</f>
        <v/>
      </c>
      <c r="H1220">
        <f>_xlfn.IMAGE("https://m.media-amazon.com/images/I/419VzMzA62L._AC_UL320_.jpg")</f>
        <v/>
      </c>
      <c r="K1220" t="inlineStr">
        <is>
          <t>22.0</t>
        </is>
      </c>
      <c r="L1220" t="n">
        <v>34.95</v>
      </c>
      <c r="M1220" s="1" t="inlineStr">
        <is>
          <t>58.86%</t>
        </is>
      </c>
      <c r="N1220" t="n">
        <v>4.6</v>
      </c>
      <c r="O1220" t="n">
        <v>19</v>
      </c>
      <c r="Q1220" t="inlineStr">
        <is>
          <t>InStock</t>
        </is>
      </c>
      <c r="R1220" t="inlineStr">
        <is>
          <t>undefined</t>
        </is>
      </c>
      <c r="S1220" t="inlineStr">
        <is>
          <t>7048339143</t>
        </is>
      </c>
    </row>
    <row r="1221" ht="75" customHeight="1">
      <c r="A1221" s="2">
        <f>HYPERLINK("https://camerareadycosmetics.com/products/inglot-amc-eyeliner-gel", "https://camerareadycosmetics.com/products/inglot-amc-eyeliner-gel")</f>
        <v/>
      </c>
      <c r="B1221" s="2">
        <f>HYPERLINK("https://camerareadycosmetics.com/products/inglot-amc-eyeliner-gel", "https://camerareadycosmetics.com/products/inglot-amc-eyeliner-gel")</f>
        <v/>
      </c>
      <c r="C1221" t="inlineStr">
        <is>
          <t>AMC Eyeliner Gel</t>
        </is>
      </c>
      <c r="D1221" t="inlineStr">
        <is>
          <t>Inglot Eye Essentials Set | Duraline + AMC Eyeliner Gel 77 + Makeup Brush 31T |</t>
        </is>
      </c>
      <c r="E1221" s="2">
        <f>HYPERLINK("https://www.amazon.com/Inglot-5901905007468-Eye-Essentials-Set/dp/B00FOJN7KM/ref=sr_1_3?keywords=AMC+Eyeliner+Gel&amp;qid=1695565411&amp;sr=8-3", "https://www.amazon.com/Inglot-5901905007468-Eye-Essentials-Set/dp/B00FOJN7KM/ref=sr_1_3?keywords=AMC+Eyeliner+Gel&amp;qid=1695565411&amp;sr=8-3")</f>
        <v/>
      </c>
      <c r="F1221" t="inlineStr">
        <is>
          <t>B00FOJN7KM</t>
        </is>
      </c>
      <c r="G1221">
        <f>_xlfn.IMAGE("https://camerareadycosmetics.com/cdn/shop/products/14167_zoom_1433788004__83051.1463521381.600.600_50x.jpeg?v=1506749209")</f>
        <v/>
      </c>
      <c r="H1221">
        <f>_xlfn.IMAGE("https://m.media-amazon.com/images/I/71JQI4oyO2L._AC_UL320_.jpg")</f>
        <v/>
      </c>
      <c r="K1221" t="inlineStr">
        <is>
          <t>22.0</t>
        </is>
      </c>
      <c r="L1221" t="n">
        <v>31.73</v>
      </c>
      <c r="M1221" s="1" t="inlineStr">
        <is>
          <t>44.23%</t>
        </is>
      </c>
      <c r="N1221" t="n">
        <v>4.6</v>
      </c>
      <c r="O1221" t="n">
        <v>340</v>
      </c>
      <c r="Q1221" t="inlineStr">
        <is>
          <t>InStock</t>
        </is>
      </c>
      <c r="R1221" t="inlineStr">
        <is>
          <t>undefined</t>
        </is>
      </c>
      <c r="S1221" t="inlineStr">
        <is>
          <t>7048339143</t>
        </is>
      </c>
    </row>
    <row r="1222" ht="75" customHeight="1">
      <c r="A1222" s="2">
        <f>HYPERLINK("https://camerareadycosmetics.com/products/inglot-amc-eyeliner-gel", "https://camerareadycosmetics.com/products/inglot-amc-eyeliner-gel")</f>
        <v/>
      </c>
      <c r="B1222" s="2">
        <f>HYPERLINK("https://camerareadycosmetics.com/products/inglot-amc-eyeliner-gel", "https://camerareadycosmetics.com/products/inglot-amc-eyeliner-gel")</f>
        <v/>
      </c>
      <c r="C1222" t="inlineStr">
        <is>
          <t>AMC Eyeliner Gel</t>
        </is>
      </c>
      <c r="D1222" t="inlineStr">
        <is>
          <t>Inglot AMC Eyeliner Gel 77 and Inglot Brush 30T by Inglot</t>
        </is>
      </c>
      <c r="E1222" s="2">
        <f>HYPERLINK("https://www.amazon.com/Inglot-AMC-Eyeliner-Gel-Brush/dp/B01KYS6BGE/ref=sr_1_6?keywords=AMC+Eyeliner+Gel&amp;qid=1695565411&amp;sr=8-6", "https://www.amazon.com/Inglot-AMC-Eyeliner-Gel-Brush/dp/B01KYS6BGE/ref=sr_1_6?keywords=AMC+Eyeliner+Gel&amp;qid=1695565411&amp;sr=8-6")</f>
        <v/>
      </c>
      <c r="F1222" t="inlineStr">
        <is>
          <t>B01KYS6BGE</t>
        </is>
      </c>
      <c r="G1222">
        <f>_xlfn.IMAGE("https://camerareadycosmetics.com/cdn/shop/products/14167_zoom_1433788004__83051.1463521381.600.600_50x.jpeg?v=1506749209")</f>
        <v/>
      </c>
      <c r="H1222">
        <f>_xlfn.IMAGE("https://m.media-amazon.com/images/I/51wrljNEOGL._AC_UL320_.jpg")</f>
        <v/>
      </c>
      <c r="K1222" t="inlineStr">
        <is>
          <t>22.0</t>
        </is>
      </c>
      <c r="L1222" t="n">
        <v>30.95</v>
      </c>
      <c r="M1222" s="1" t="inlineStr">
        <is>
          <t>40.68%</t>
        </is>
      </c>
      <c r="N1222" t="n">
        <v>4.4</v>
      </c>
      <c r="O1222" t="n">
        <v>263</v>
      </c>
      <c r="Q1222" t="inlineStr">
        <is>
          <t>InStock</t>
        </is>
      </c>
      <c r="R1222" t="inlineStr">
        <is>
          <t>undefined</t>
        </is>
      </c>
      <c r="S1222" t="inlineStr">
        <is>
          <t>7048339143</t>
        </is>
      </c>
    </row>
    <row r="1223" ht="75" customHeight="1">
      <c r="A1223" s="2">
        <f>HYPERLINK("https://camerareadycosmetics.com/products/inglot-amc-eyeliner-gel", "https://camerareadycosmetics.com/products/inglot-amc-eyeliner-gel")</f>
        <v/>
      </c>
      <c r="B1223" s="2">
        <f>HYPERLINK("https://camerareadycosmetics.com/products/inglot-amc-eyeliner-gel", "https://camerareadycosmetics.com/products/inglot-amc-eyeliner-gel")</f>
        <v/>
      </c>
      <c r="C1223" t="inlineStr">
        <is>
          <t>AMC Eyeliner Gel</t>
        </is>
      </c>
      <c r="D1223" t="inlineStr">
        <is>
          <t>Inglot Eye Set | Duraline + AMC Eyeliner Gel 77</t>
        </is>
      </c>
      <c r="E1223" s="2">
        <f>HYPERLINK("https://www.amazon.com/INGLOT-Eye-Set-Duraline-Eyeliner/dp/B097N2Z9N8/ref=sr_1_4?keywords=AMC+Eyeliner+Gel&amp;qid=1695565411&amp;sr=8-4", "https://www.amazon.com/INGLOT-Eye-Set-Duraline-Eyeliner/dp/B097N2Z9N8/ref=sr_1_4?keywords=AMC+Eyeliner+Gel&amp;qid=1695565411&amp;sr=8-4")</f>
        <v/>
      </c>
      <c r="F1223" t="inlineStr">
        <is>
          <t>B097N2Z9N8</t>
        </is>
      </c>
      <c r="G1223">
        <f>_xlfn.IMAGE("https://camerareadycosmetics.com/cdn/shop/products/14167_zoom_1433788004__83051.1463521381.600.600_50x.jpeg?v=1506749209")</f>
        <v/>
      </c>
      <c r="H1223">
        <f>_xlfn.IMAGE("https://m.media-amazon.com/images/I/51EwJx4piIL._AC_UL320_.jpg")</f>
        <v/>
      </c>
      <c r="K1223" t="inlineStr">
        <is>
          <t>22.0</t>
        </is>
      </c>
      <c r="L1223" t="n">
        <v>27.84</v>
      </c>
      <c r="M1223" s="1" t="inlineStr">
        <is>
          <t>26.55%</t>
        </is>
      </c>
      <c r="N1223" t="n">
        <v>4.6</v>
      </c>
      <c r="O1223" t="n">
        <v>4865</v>
      </c>
      <c r="Q1223" t="inlineStr">
        <is>
          <t>InStock</t>
        </is>
      </c>
      <c r="R1223" t="inlineStr">
        <is>
          <t>undefined</t>
        </is>
      </c>
      <c r="S1223" t="inlineStr">
        <is>
          <t>7048339143</t>
        </is>
      </c>
    </row>
    <row r="1224" ht="75" customHeight="1">
      <c r="A1224" s="2">
        <f>HYPERLINK("https://camerareadycosmetics.com/products/inglot-amc-eyeliner-gel", "https://camerareadycosmetics.com/products/inglot-amc-eyeliner-gel")</f>
        <v/>
      </c>
      <c r="B1224" s="2">
        <f>HYPERLINK("https://camerareadycosmetics.com/products/inglot-amc-eyeliner-gel", "https://camerareadycosmetics.com/products/inglot-amc-eyeliner-gel")</f>
        <v/>
      </c>
      <c r="C1224" t="inlineStr">
        <is>
          <t>AMC Eyeliner Gel</t>
        </is>
      </c>
      <c r="D1224" t="inlineStr">
        <is>
          <t>Inglot Cosmetics AMC Eyeliner Gel 87</t>
        </is>
      </c>
      <c r="E1224" s="2">
        <f>HYPERLINK("https://www.amazon.com/Inglot-Cosmetics-AMC-Eyeliner-87/dp/B00FTOMV7C/ref=sr_1_5?keywords=AMC+Eyeliner+Gel&amp;qid=1695565411&amp;sr=8-5", "https://www.amazon.com/Inglot-Cosmetics-AMC-Eyeliner-87/dp/B00FTOMV7C/ref=sr_1_5?keywords=AMC+Eyeliner+Gel&amp;qid=1695565411&amp;sr=8-5")</f>
        <v/>
      </c>
      <c r="F1224" t="inlineStr">
        <is>
          <t>B00FTOMV7C</t>
        </is>
      </c>
      <c r="G1224">
        <f>_xlfn.IMAGE("https://camerareadycosmetics.com/cdn/shop/products/14167_zoom_1433788004__83051.1463521381.600.600_50x.jpeg?v=1506749209")</f>
        <v/>
      </c>
      <c r="H1224">
        <f>_xlfn.IMAGE("https://m.media-amazon.com/images/I/71pzDcWI6tS._AC_UL320_.jpg")</f>
        <v/>
      </c>
      <c r="K1224" t="inlineStr">
        <is>
          <t>22.0</t>
        </is>
      </c>
      <c r="L1224" t="n">
        <v>17.72</v>
      </c>
      <c r="M1224" s="1" t="inlineStr">
        <is>
          <t>-19.45%</t>
        </is>
      </c>
      <c r="N1224" t="n">
        <v>4.8</v>
      </c>
      <c r="O1224" t="n">
        <v>15</v>
      </c>
      <c r="Q1224" t="inlineStr">
        <is>
          <t>InStock</t>
        </is>
      </c>
      <c r="R1224" t="inlineStr">
        <is>
          <t>undefined</t>
        </is>
      </c>
      <c r="S1224" t="inlineStr">
        <is>
          <t>7048339143</t>
        </is>
      </c>
    </row>
    <row r="1225" ht="75" customHeight="1">
      <c r="A1225" s="2">
        <f>HYPERLINK("https://camerareadycosmetics.com/products/inglot-amc-eyeliner-gel", "https://camerareadycosmetics.com/products/inglot-amc-eyeliner-gel")</f>
        <v/>
      </c>
      <c r="B1225" s="2">
        <f>HYPERLINK("https://camerareadycosmetics.com/products/inglot-amc-eyeliner-gel", "https://camerareadycosmetics.com/products/inglot-amc-eyeliner-gel")</f>
        <v/>
      </c>
      <c r="C1225" t="inlineStr">
        <is>
          <t>AMC Eyeliner Gel</t>
        </is>
      </c>
      <c r="D1225" t="inlineStr">
        <is>
          <t>Inglot AMC Eyeliner Gel (84)</t>
        </is>
      </c>
      <c r="E1225" s="2">
        <f>HYPERLINK("https://www.amazon.com/Inglot-AMC-Eyeliner-Gel-84/dp/B00FTOMS52/ref=sr_1_9?keywords=AMC+Eyeliner+Gel&amp;qid=1695565411&amp;sr=8-9", "https://www.amazon.com/Inglot-AMC-Eyeliner-Gel-84/dp/B00FTOMS52/ref=sr_1_9?keywords=AMC+Eyeliner+Gel&amp;qid=1695565411&amp;sr=8-9")</f>
        <v/>
      </c>
      <c r="F1225" t="inlineStr">
        <is>
          <t>B00FTOMS52</t>
        </is>
      </c>
      <c r="G1225">
        <f>_xlfn.IMAGE("https://camerareadycosmetics.com/cdn/shop/products/14167_zoom_1433788004__83051.1463521381.600.600_50x.jpeg?v=1506749209")</f>
        <v/>
      </c>
      <c r="H1225">
        <f>_xlfn.IMAGE("https://m.media-amazon.com/images/I/61O+rH1YNQS._AC_UL320_.jpg")</f>
        <v/>
      </c>
      <c r="K1225" t="inlineStr">
        <is>
          <t>22.0</t>
        </is>
      </c>
      <c r="L1225" t="n">
        <v>12.99</v>
      </c>
      <c r="M1225" s="1" t="inlineStr">
        <is>
          <t>-40.95%</t>
        </is>
      </c>
      <c r="N1225" t="n">
        <v>4.7</v>
      </c>
      <c r="O1225" t="n">
        <v>12</v>
      </c>
      <c r="Q1225" t="inlineStr">
        <is>
          <t>InStock</t>
        </is>
      </c>
      <c r="R1225" t="inlineStr">
        <is>
          <t>undefined</t>
        </is>
      </c>
      <c r="S1225" t="inlineStr">
        <is>
          <t>7048339143</t>
        </is>
      </c>
    </row>
    <row r="1226" ht="75" customHeight="1">
      <c r="A1226" s="2">
        <f>HYPERLINK("https://camerareadycosmetics.com/products/inglot-amc-eyeliner-gel", "https://camerareadycosmetics.com/products/inglot-amc-eyeliner-gel")</f>
        <v/>
      </c>
      <c r="B1226" s="2">
        <f>HYPERLINK("https://camerareadycosmetics.com/products/inglot-amc-eyeliner-gel", "https://camerareadycosmetics.com/products/inglot-amc-eyeliner-gel")</f>
        <v/>
      </c>
      <c r="C1226" t="inlineStr">
        <is>
          <t>AMC Eyeliner Gel</t>
        </is>
      </c>
      <c r="D1226" t="inlineStr">
        <is>
          <t>Inglot AMC Eyeliner Gel 77 | Gel Eyeliner Matte | Black Eyeliner | High Intensity Pigments | 5.5 g | 0.19 US OZ</t>
        </is>
      </c>
      <c r="E1226" s="2">
        <f>HYPERLINK("https://www.amazon.com/Inglot-Eyeliner-Matte-Intensity-Pigments/dp/B00UQQU10C/ref=sr_1_1?keywords=AMC+Eyeliner+Gel&amp;qid=1695565411&amp;sr=8-1", "https://www.amazon.com/Inglot-Eyeliner-Matte-Intensity-Pigments/dp/B00UQQU10C/ref=sr_1_1?keywords=AMC+Eyeliner+Gel&amp;qid=1695565411&amp;sr=8-1")</f>
        <v/>
      </c>
      <c r="F1226" t="inlineStr">
        <is>
          <t>B00UQQU10C</t>
        </is>
      </c>
      <c r="G1226">
        <f>_xlfn.IMAGE("https://camerareadycosmetics.com/cdn/shop/products/14167_zoom_1433788004__83051.1463521381.600.600_50x.jpeg?v=1506749209")</f>
        <v/>
      </c>
      <c r="H1226">
        <f>_xlfn.IMAGE("https://m.media-amazon.com/images/I/61nO-e90NqS._AC_UL320_.jpg")</f>
        <v/>
      </c>
      <c r="K1226" t="inlineStr">
        <is>
          <t>22.0</t>
        </is>
      </c>
      <c r="L1226" t="n">
        <v>10.35</v>
      </c>
      <c r="M1226" s="1" t="inlineStr">
        <is>
          <t>-52.95%</t>
        </is>
      </c>
      <c r="N1226" t="n">
        <v>4.5</v>
      </c>
      <c r="O1226" t="n">
        <v>5267</v>
      </c>
      <c r="Q1226" t="inlineStr">
        <is>
          <t>InStock</t>
        </is>
      </c>
      <c r="R1226" t="inlineStr">
        <is>
          <t>undefined</t>
        </is>
      </c>
      <c r="S1226" t="inlineStr">
        <is>
          <t>7048339143</t>
        </is>
      </c>
    </row>
    <row r="1227" ht="75" customHeight="1">
      <c r="A1227" s="2">
        <f>HYPERLINK("https://camerareadycosmetics.com/products/inglot-amc-eyeliner-gel", "https://camerareadycosmetics.com/products/inglot-amc-eyeliner-gel")</f>
        <v/>
      </c>
      <c r="B1227" s="2">
        <f>HYPERLINK("https://camerareadycosmetics.com/products/inglot-amc-eyeliner-gel", "https://camerareadycosmetics.com/products/inglot-amc-eyeliner-gel")</f>
        <v/>
      </c>
      <c r="C1227" t="inlineStr">
        <is>
          <t>AMC Eyeliner Gel</t>
        </is>
      </c>
      <c r="D1227" t="inlineStr">
        <is>
          <t>Inglot AMC Eyeliner Gel 77 | Gel Eyeliner Matte | Black Eyeliner | High Intensity Pigments | 5.5 g | 0.19 US OZ</t>
        </is>
      </c>
      <c r="E1227" s="2">
        <f>HYPERLINK("https://www.amazon.com/Inglot-Eyeliner-Matte-Intensity-Pigments/dp/B00UQQU10C/ref=sr_1_1?keywords=AMC+Eyeliner+Gel&amp;qid=1695565411&amp;sr=8-1", "https://www.amazon.com/Inglot-Eyeliner-Matte-Intensity-Pigments/dp/B00UQQU10C/ref=sr_1_1?keywords=AMC+Eyeliner+Gel&amp;qid=1695565411&amp;sr=8-1")</f>
        <v/>
      </c>
      <c r="F1227" t="inlineStr">
        <is>
          <t>B00UQQU10C</t>
        </is>
      </c>
      <c r="G1227">
        <f>_xlfn.IMAGE("https://camerareadycosmetics.com/cdn/shop/products/14167_zoom_1433788004__83051.1463521381.600.600_50x.jpeg?v=1506749209")</f>
        <v/>
      </c>
      <c r="H1227">
        <f>_xlfn.IMAGE("https://m.media-amazon.com/images/I/61nO-e90NqS._AC_UL320_.jpg")</f>
        <v/>
      </c>
      <c r="K1227" t="inlineStr">
        <is>
          <t>22.0</t>
        </is>
      </c>
      <c r="L1227" t="n">
        <v>10.35</v>
      </c>
      <c r="M1227" s="1" t="inlineStr">
        <is>
          <t>-52.95%</t>
        </is>
      </c>
      <c r="N1227" t="n">
        <v>4.5</v>
      </c>
      <c r="O1227" t="n">
        <v>5267</v>
      </c>
      <c r="Q1227" t="inlineStr">
        <is>
          <t>InStock</t>
        </is>
      </c>
      <c r="R1227" t="inlineStr">
        <is>
          <t>undefined</t>
        </is>
      </c>
      <c r="S1227" t="inlineStr">
        <is>
          <t>7048339143</t>
        </is>
      </c>
    </row>
    <row r="1228" ht="75" customHeight="1">
      <c r="A1228" s="2">
        <f>HYPERLINK("https://camerareadycosmetics.com/products/inglot-cosmetics-playinn-waterproof-eyeliner-gel", "https://camerareadycosmetics.com/products/inglot-cosmetics-playinn-waterproof-eyeliner-gel")</f>
        <v/>
      </c>
      <c r="B1228" s="2">
        <f>HYPERLINK("https://camerareadycosmetics.com/products/inglot-cosmetics-playinn-waterproof-eyeliner-gel", "https://camerareadycosmetics.com/products/inglot-cosmetics-playinn-waterproof-eyeliner-gel")</f>
        <v/>
      </c>
      <c r="C1228" t="inlineStr">
        <is>
          <t>PLAYINN Waterproof Eyeliner Gel</t>
        </is>
      </c>
      <c r="D1228" t="inlineStr">
        <is>
          <t>Inglot PLAYINN EYELINER GEL ELECTRIC GREEN 49 Playinn Eyeliner Gel for Long Lasting Eye Makeup &amp; Detailed Designing</t>
        </is>
      </c>
      <c r="E1228" s="2">
        <f>HYPERLINK("https://www.amazon.com/Inglot-EYELINER-ELECTRIC-Eyeliner-Designing/dp/B0BYCWWYKC/ref=sr_1_8?keywords=PLAYINN+Waterproof+Eyeliner+Gel&amp;qid=1695565652&amp;sr=8-8", "https://www.amazon.com/Inglot-EYELINER-ELECTRIC-Eyeliner-Designing/dp/B0BYCWWYKC/ref=sr_1_8?keywords=PLAYINN+Waterproof+Eyeliner+Gel&amp;qid=1695565652&amp;sr=8-8")</f>
        <v/>
      </c>
      <c r="F1228" t="inlineStr">
        <is>
          <t>B0BYCWWYKC</t>
        </is>
      </c>
      <c r="G1228">
        <f>_xlfn.IMAGE("https://camerareadycosmetics.com/cdn/shop/products/inglot-playinn-waterproof-eyeliner-gel_fea21202-486e-4f48-93e6-273951212b0c_50x.jpg?v=1662690098")</f>
        <v/>
      </c>
      <c r="H1228">
        <f>_xlfn.IMAGE("https://m.media-amazon.com/images/I/41uRtvSv3dL._AC_UL320_.jpg")</f>
        <v/>
      </c>
      <c r="K1228" t="inlineStr">
        <is>
          <t>14.0</t>
        </is>
      </c>
      <c r="L1228" t="n">
        <v>14</v>
      </c>
      <c r="M1228" s="1" t="inlineStr">
        <is>
          <t>0.00%</t>
        </is>
      </c>
      <c r="N1228" t="n">
        <v>3</v>
      </c>
      <c r="O1228" t="n">
        <v>2</v>
      </c>
      <c r="Q1228" t="inlineStr">
        <is>
          <t>InStock</t>
        </is>
      </c>
      <c r="R1228" t="inlineStr">
        <is>
          <t>undefined</t>
        </is>
      </c>
      <c r="S1228" t="inlineStr">
        <is>
          <t>7484093890745</t>
        </is>
      </c>
    </row>
    <row r="1229" ht="75" customHeight="1">
      <c r="A1229" s="2">
        <f>HYPERLINK("https://camerareadycosmetics.com/products/inglot-cosmetics-playinn-waterproof-eyeliner-gel", "https://camerareadycosmetics.com/products/inglot-cosmetics-playinn-waterproof-eyeliner-gel")</f>
        <v/>
      </c>
      <c r="B1229" s="2">
        <f>HYPERLINK("https://camerareadycosmetics.com/products/inglot-cosmetics-playinn-waterproof-eyeliner-gel", "https://camerareadycosmetics.com/products/inglot-cosmetics-playinn-waterproof-eyeliner-gel")</f>
        <v/>
      </c>
      <c r="C1229" t="inlineStr">
        <is>
          <t>PLAYINN Waterproof Eyeliner Gel</t>
        </is>
      </c>
      <c r="D1229" t="inlineStr">
        <is>
          <t>3 Pcs Matte Black Waterproof Smudge-proof Gel Eyeliner Pencil, Fade-Proof Cream Eyeliner Pen Smooth Easy-to-Sharpen Tattoo Pencil, Cat Eye/Smoky Eye Makeup, Waterline Gel Eye Liner Pencil,Gift for Women Gift</t>
        </is>
      </c>
      <c r="E1229" s="2">
        <f>HYPERLINK("https://www.amazon.com/Waterproof-Smudge-proof-Eyeliner-Fade-Proof-Waterline/dp/B0BHMV9NKX/ref=sr_1_9?keywords=PLAYINN+Waterproof+Eyeliner+Gel&amp;qid=1695565652&amp;sr=8-9", "https://www.amazon.com/Waterproof-Smudge-proof-Eyeliner-Fade-Proof-Waterline/dp/B0BHMV9NKX/ref=sr_1_9?keywords=PLAYINN+Waterproof+Eyeliner+Gel&amp;qid=1695565652&amp;sr=8-9")</f>
        <v/>
      </c>
      <c r="F1229" t="inlineStr">
        <is>
          <t>B0BHMV9NKX</t>
        </is>
      </c>
      <c r="G1229">
        <f>_xlfn.IMAGE("https://camerareadycosmetics.com/cdn/shop/products/inglot-playinn-waterproof-eyeliner-gel_fea21202-486e-4f48-93e6-273951212b0c_50x.jpg?v=1662690098")</f>
        <v/>
      </c>
      <c r="H1229">
        <f>_xlfn.IMAGE("https://m.media-amazon.com/images/I/7147frFrXSL._AC_UL320_.jpg")</f>
        <v/>
      </c>
      <c r="K1229" t="inlineStr">
        <is>
          <t>14.0</t>
        </is>
      </c>
      <c r="L1229" t="n">
        <v>9.99</v>
      </c>
      <c r="M1229" s="1" t="inlineStr">
        <is>
          <t>-28.64%</t>
        </is>
      </c>
      <c r="N1229" t="n">
        <v>4</v>
      </c>
      <c r="O1229" t="n">
        <v>181</v>
      </c>
      <c r="Q1229" t="inlineStr">
        <is>
          <t>InStock</t>
        </is>
      </c>
      <c r="R1229" t="inlineStr">
        <is>
          <t>undefined</t>
        </is>
      </c>
      <c r="S1229" t="inlineStr">
        <is>
          <t>7484093890745</t>
        </is>
      </c>
    </row>
    <row r="1230" ht="75" customHeight="1">
      <c r="A1230" s="2">
        <f>HYPERLINK("https://camerareadycosmetics.com/products/inglot-cosmetics-playinn-waterproof-eyeliner-gel", "https://camerareadycosmetics.com/products/inglot-cosmetics-playinn-waterproof-eyeliner-gel")</f>
        <v/>
      </c>
      <c r="B1230" s="2">
        <f>HYPERLINK("https://camerareadycosmetics.com/products/inglot-cosmetics-playinn-waterproof-eyeliner-gel", "https://camerareadycosmetics.com/products/inglot-cosmetics-playinn-waterproof-eyeliner-gel")</f>
        <v/>
      </c>
      <c r="C1230" t="inlineStr">
        <is>
          <t>PLAYINN Waterproof Eyeliner Gel</t>
        </is>
      </c>
      <c r="D1230" t="inlineStr">
        <is>
          <t>SHANY Indelible Gel Eyeliner - Talc Free - Waterproof, Crease Proof Liner - EVOLUTION</t>
        </is>
      </c>
      <c r="E1230" s="2">
        <f>HYPERLINK("https://www.amazon.com/SHANY-Indelible-Waterproof-Evolution-Packaging/dp/B00OQATA38/ref=sr_1_6?keywords=PLAYINN+Waterproof+Eyeliner+Gel&amp;qid=1695565652&amp;sr=8-6", "https://www.amazon.com/SHANY-Indelible-Waterproof-Evolution-Packaging/dp/B00OQATA38/ref=sr_1_6?keywords=PLAYINN+Waterproof+Eyeliner+Gel&amp;qid=1695565652&amp;sr=8-6")</f>
        <v/>
      </c>
      <c r="F1230" t="inlineStr">
        <is>
          <t>B00OQATA38</t>
        </is>
      </c>
      <c r="G1230">
        <f>_xlfn.IMAGE("https://camerareadycosmetics.com/cdn/shop/products/inglot-playinn-waterproof-eyeliner-gel_fea21202-486e-4f48-93e6-273951212b0c_50x.jpg?v=1662690098")</f>
        <v/>
      </c>
      <c r="H1230">
        <f>_xlfn.IMAGE("https://m.media-amazon.com/images/I/718VJCwXSmL._AC_UL320_.jpg")</f>
        <v/>
      </c>
      <c r="K1230" t="inlineStr">
        <is>
          <t>14.0</t>
        </is>
      </c>
      <c r="L1230" t="n">
        <v>9.970000000000001</v>
      </c>
      <c r="M1230" s="1" t="inlineStr">
        <is>
          <t>-28.79%</t>
        </is>
      </c>
      <c r="N1230" t="n">
        <v>3.6</v>
      </c>
      <c r="O1230" t="n">
        <v>219</v>
      </c>
      <c r="Q1230" t="inlineStr">
        <is>
          <t>InStock</t>
        </is>
      </c>
      <c r="R1230" t="inlineStr">
        <is>
          <t>undefined</t>
        </is>
      </c>
      <c r="S1230" t="inlineStr">
        <is>
          <t>7484093890745</t>
        </is>
      </c>
    </row>
    <row r="1231" ht="75" customHeight="1">
      <c r="A1231" s="2">
        <f>HYPERLINK("https://camerareadycosmetics.com/products/inglot-cosmetics-playinn-waterproof-eyeliner-gel", "https://camerareadycosmetics.com/products/inglot-cosmetics-playinn-waterproof-eyeliner-gel")</f>
        <v/>
      </c>
      <c r="B1231" s="2">
        <f>HYPERLINK("https://camerareadycosmetics.com/products/inglot-cosmetics-playinn-waterproof-eyeliner-gel", "https://camerareadycosmetics.com/products/inglot-cosmetics-playinn-waterproof-eyeliner-gel")</f>
        <v/>
      </c>
      <c r="C1231" t="inlineStr">
        <is>
          <t>PLAYINN Waterproof Eyeliner Gel</t>
        </is>
      </c>
      <c r="D1231" t="inlineStr">
        <is>
          <t>COVERGIRL Exhibitionist 24-Hour Kohl Eyeliner, Black, Gel Eyeliner, 0.04 Fl Oz,Black Eyeliner, Long Lasting Eyeliner, Gel Eyeliner Pencil, Glides On, Waterproof Eyeliner</t>
        </is>
      </c>
      <c r="E1231" s="2">
        <f>HYPERLINK("https://www.amazon.com/COVERGIRL-Exhibitionist-24-Hour-Eyeliner-Black/dp/B07YX79786/ref=sr_1_5?keywords=PLAYINN+Waterproof+Eyeliner+Gel&amp;qid=1695565652&amp;sr=8-5", "https://www.amazon.com/COVERGIRL-Exhibitionist-24-Hour-Eyeliner-Black/dp/B07YX79786/ref=sr_1_5?keywords=PLAYINN+Waterproof+Eyeliner+Gel&amp;qid=1695565652&amp;sr=8-5")</f>
        <v/>
      </c>
      <c r="F1231" t="inlineStr">
        <is>
          <t>B07YX79786</t>
        </is>
      </c>
      <c r="G1231">
        <f>_xlfn.IMAGE("https://camerareadycosmetics.com/cdn/shop/products/inglot-playinn-waterproof-eyeliner-gel_fea21202-486e-4f48-93e6-273951212b0c_50x.jpg?v=1662690098")</f>
        <v/>
      </c>
      <c r="H1231">
        <f>_xlfn.IMAGE("https://m.media-amazon.com/images/I/51K69kYwTYL._AC_UL320_.jpg")</f>
        <v/>
      </c>
      <c r="K1231" t="inlineStr">
        <is>
          <t>14.0</t>
        </is>
      </c>
      <c r="L1231" t="n">
        <v>8</v>
      </c>
      <c r="M1231" s="1" t="inlineStr">
        <is>
          <t>-42.86%</t>
        </is>
      </c>
      <c r="N1231" t="n">
        <v>4.3</v>
      </c>
      <c r="O1231" t="n">
        <v>487</v>
      </c>
      <c r="Q1231" t="inlineStr">
        <is>
          <t>InStock</t>
        </is>
      </c>
      <c r="R1231" t="inlineStr">
        <is>
          <t>undefined</t>
        </is>
      </c>
      <c r="S1231" t="inlineStr">
        <is>
          <t>7484093890745</t>
        </is>
      </c>
    </row>
    <row r="1232" ht="75" customHeight="1">
      <c r="A1232" s="2">
        <f>HYPERLINK("https://camerareadycosmetics.com/products/inglot-cosmetics-playinn-waterproof-eyeliner-gel", "https://camerareadycosmetics.com/products/inglot-cosmetics-playinn-waterproof-eyeliner-gel")</f>
        <v/>
      </c>
      <c r="B1232" s="2">
        <f>HYPERLINK("https://camerareadycosmetics.com/products/inglot-cosmetics-playinn-waterproof-eyeliner-gel", "https://camerareadycosmetics.com/products/inglot-cosmetics-playinn-waterproof-eyeliner-gel")</f>
        <v/>
      </c>
      <c r="C1232" t="inlineStr">
        <is>
          <t>PLAYINN Waterproof Eyeliner Gel</t>
        </is>
      </c>
      <c r="D1232" t="inlineStr">
        <is>
          <t>Maybelline New York Eyestudio Lasting Drama Waterproof Matte Gel Pencil Black Eyeliner Makeup, Sleek Onyx, 1 Count</t>
        </is>
      </c>
      <c r="E1232" s="2">
        <f>HYPERLINK("https://www.amazon.com/Maybelline-New-York-Eyestudio-Waterproof/dp/B00YJJWLVO/ref=sr_1_4?keywords=PLAYINN+Waterproof+Eyeliner+Gel&amp;qid=1695565652&amp;sr=8-4", "https://www.amazon.com/Maybelline-New-York-Eyestudio-Waterproof/dp/B00YJJWLVO/ref=sr_1_4?keywords=PLAYINN+Waterproof+Eyeliner+Gel&amp;qid=1695565652&amp;sr=8-4")</f>
        <v/>
      </c>
      <c r="F1232" t="inlineStr">
        <is>
          <t>B00YJJWLVO</t>
        </is>
      </c>
      <c r="G1232">
        <f>_xlfn.IMAGE("https://camerareadycosmetics.com/cdn/shop/products/inglot-playinn-waterproof-eyeliner-gel_fea21202-486e-4f48-93e6-273951212b0c_50x.jpg?v=1662690098")</f>
        <v/>
      </c>
      <c r="H1232">
        <f>_xlfn.IMAGE("https://m.media-amazon.com/images/I/71f1uld7V6L._AC_UL320_.jpg")</f>
        <v/>
      </c>
      <c r="K1232" t="inlineStr">
        <is>
          <t>14.0</t>
        </is>
      </c>
      <c r="L1232" t="n">
        <v>6.25</v>
      </c>
      <c r="M1232" s="1" t="inlineStr">
        <is>
          <t>-55.36%</t>
        </is>
      </c>
      <c r="N1232" t="n">
        <v>4.3</v>
      </c>
      <c r="O1232" t="n">
        <v>1816</v>
      </c>
      <c r="Q1232" t="inlineStr">
        <is>
          <t>InStock</t>
        </is>
      </c>
      <c r="R1232" t="inlineStr">
        <is>
          <t>undefined</t>
        </is>
      </c>
      <c r="S1232" t="inlineStr">
        <is>
          <t>7484093890745</t>
        </is>
      </c>
    </row>
    <row r="1233" ht="75" customHeight="1">
      <c r="A1233" s="2">
        <f>HYPERLINK("https://camerareadycosmetics.com/products/inglot-cosmetics-playinn-waterproof-eyeliner-gel", "https://camerareadycosmetics.com/products/inglot-cosmetics-playinn-waterproof-eyeliner-gel")</f>
        <v/>
      </c>
      <c r="B1233" s="2">
        <f>HYPERLINK("https://camerareadycosmetics.com/products/inglot-cosmetics-playinn-waterproof-eyeliner-gel", "https://camerareadycosmetics.com/products/inglot-cosmetics-playinn-waterproof-eyeliner-gel")</f>
        <v/>
      </c>
      <c r="C1233" t="inlineStr">
        <is>
          <t>PLAYINN Waterproof Eyeliner Gel</t>
        </is>
      </c>
      <c r="D1233" t="inlineStr">
        <is>
          <t>Rimmel Scandaleyes Waterproof Gel Eyeliner, Black, 0.085 oz</t>
        </is>
      </c>
      <c r="E1233" s="2">
        <f>HYPERLINK("https://www.amazon.com/Rimmel-Scandaleyes-Waterproof-Eyeliner-Black/dp/B00IFSANQ0/ref=sr_1_10?keywords=PLAYINN+Waterproof+Eyeliner+Gel&amp;qid=1695565652&amp;sr=8-10", "https://www.amazon.com/Rimmel-Scandaleyes-Waterproof-Eyeliner-Black/dp/B00IFSANQ0/ref=sr_1_10?keywords=PLAYINN+Waterproof+Eyeliner+Gel&amp;qid=1695565652&amp;sr=8-10")</f>
        <v/>
      </c>
      <c r="F1233" t="inlineStr">
        <is>
          <t>B00IFSANQ0</t>
        </is>
      </c>
      <c r="G1233">
        <f>_xlfn.IMAGE("https://camerareadycosmetics.com/cdn/shop/products/inglot-playinn-waterproof-eyeliner-gel_fea21202-486e-4f48-93e6-273951212b0c_50x.jpg?v=1662690098")</f>
        <v/>
      </c>
      <c r="H1233">
        <f>_xlfn.IMAGE("https://m.media-amazon.com/images/I/81wT00XayxL._AC_UL320_.jpg")</f>
        <v/>
      </c>
      <c r="K1233" t="inlineStr">
        <is>
          <t>14.0</t>
        </is>
      </c>
      <c r="L1233" t="n">
        <v>5.97</v>
      </c>
      <c r="M1233" s="1" t="inlineStr">
        <is>
          <t>-57.36%</t>
        </is>
      </c>
      <c r="N1233" t="n">
        <v>3.9</v>
      </c>
      <c r="O1233" t="n">
        <v>2240</v>
      </c>
      <c r="Q1233" t="inlineStr">
        <is>
          <t>InStock</t>
        </is>
      </c>
      <c r="R1233" t="inlineStr">
        <is>
          <t>undefined</t>
        </is>
      </c>
      <c r="S1233" t="inlineStr">
        <is>
          <t>7484093890745</t>
        </is>
      </c>
    </row>
    <row r="1234" ht="75" customHeight="1">
      <c r="A1234" s="2">
        <f>HYPERLINK("https://camerareadycosmetics.com/products/inglot-cosmetics-playinn-waterproof-eyeliner-gel", "https://camerareadycosmetics.com/products/inglot-cosmetics-playinn-waterproof-eyeliner-gel")</f>
        <v/>
      </c>
      <c r="B1234" s="2">
        <f>HYPERLINK("https://camerareadycosmetics.com/products/inglot-cosmetics-playinn-waterproof-eyeliner-gel", "https://camerareadycosmetics.com/products/inglot-cosmetics-playinn-waterproof-eyeliner-gel")</f>
        <v/>
      </c>
      <c r="C1234" t="inlineStr">
        <is>
          <t>PLAYINN Waterproof Eyeliner Gel</t>
        </is>
      </c>
      <c r="D1234" t="inlineStr">
        <is>
          <t>Rimmel Scandal eyes Waterproof Gel Eyeliner, Black, 0.085 oz</t>
        </is>
      </c>
      <c r="E1234" s="2">
        <f>HYPERLINK("https://www.amazon.com/Rimmel-Scandal-Waterproof-Eyeliner-Black/dp/B01LTHKVUG/ref=sr_1_3?keywords=PLAYINN+Waterproof+Eyeliner+Gel&amp;qid=1695565652&amp;sr=8-3", "https://www.amazon.com/Rimmel-Scandal-Waterproof-Eyeliner-Black/dp/B01LTHKVUG/ref=sr_1_3?keywords=PLAYINN+Waterproof+Eyeliner+Gel&amp;qid=1695565652&amp;sr=8-3")</f>
        <v/>
      </c>
      <c r="F1234" t="inlineStr">
        <is>
          <t>B01LTHKVUG</t>
        </is>
      </c>
      <c r="G1234">
        <f>_xlfn.IMAGE("https://camerareadycosmetics.com/cdn/shop/products/inglot-playinn-waterproof-eyeliner-gel_fea21202-486e-4f48-93e6-273951212b0c_50x.jpg?v=1662690098")</f>
        <v/>
      </c>
      <c r="H1234">
        <f>_xlfn.IMAGE("https://m.media-amazon.com/images/I/61L1fqmqETL._AC_UL320_.jpg")</f>
        <v/>
      </c>
      <c r="K1234" t="inlineStr">
        <is>
          <t>14.0</t>
        </is>
      </c>
      <c r="L1234" t="n">
        <v>5.97</v>
      </c>
      <c r="M1234" s="1" t="inlineStr">
        <is>
          <t>-57.36%</t>
        </is>
      </c>
      <c r="N1234" t="n">
        <v>3.8</v>
      </c>
      <c r="O1234" t="n">
        <v>320</v>
      </c>
      <c r="Q1234" t="inlineStr">
        <is>
          <t>InStock</t>
        </is>
      </c>
      <c r="R1234" t="inlineStr">
        <is>
          <t>undefined</t>
        </is>
      </c>
      <c r="S1234" t="inlineStr">
        <is>
          <t>7484093890745</t>
        </is>
      </c>
    </row>
    <row r="1235" ht="75" customHeight="1">
      <c r="A1235" s="2">
        <f>HYPERLINK("https://camerareadycosmetics.com/products/inglot-cosmetics-playinn-waterproof-eyeliner-gel", "https://camerareadycosmetics.com/products/inglot-cosmetics-playinn-waterproof-eyeliner-gel")</f>
        <v/>
      </c>
      <c r="B1235" s="2">
        <f>HYPERLINK("https://camerareadycosmetics.com/products/inglot-cosmetics-playinn-waterproof-eyeliner-gel", "https://camerareadycosmetics.com/products/inglot-cosmetics-playinn-waterproof-eyeliner-gel")</f>
        <v/>
      </c>
      <c r="C1235" t="inlineStr">
        <is>
          <t>PLAYINN Waterproof Eyeliner Gel</t>
        </is>
      </c>
      <c r="D1235" t="inlineStr">
        <is>
          <t>essence | Stay &amp; Play Gel Eyeliner | Super Soft Gel-like Texture | Waterproof &amp; Longlasting | Vegan &amp; Cruelty Free (Black Raven)</t>
        </is>
      </c>
      <c r="E1235" s="2">
        <f>HYPERLINK("https://www.amazon.com/essence-Eyeliner-Gel-like-Waterproof-Longlasting/dp/B0BQZ4F3P8/ref=sr_1_7?keywords=PLAYINN+Waterproof+Eyeliner+Gel&amp;qid=1695565652&amp;sr=8-7", "https://www.amazon.com/essence-Eyeliner-Gel-like-Waterproof-Longlasting/dp/B0BQZ4F3P8/ref=sr_1_7?keywords=PLAYINN+Waterproof+Eyeliner+Gel&amp;qid=1695565652&amp;sr=8-7")</f>
        <v/>
      </c>
      <c r="F1235" t="inlineStr">
        <is>
          <t>B0BQZ4F3P8</t>
        </is>
      </c>
      <c r="G1235">
        <f>_xlfn.IMAGE("https://camerareadycosmetics.com/cdn/shop/products/inglot-playinn-waterproof-eyeliner-gel_fea21202-486e-4f48-93e6-273951212b0c_50x.jpg?v=1662690098")</f>
        <v/>
      </c>
      <c r="H1235">
        <f>_xlfn.IMAGE("https://m.media-amazon.com/images/I/51rq+C-5aIL._AC_UL320_.jpg")</f>
        <v/>
      </c>
      <c r="K1235" t="inlineStr">
        <is>
          <t>14.0</t>
        </is>
      </c>
      <c r="L1235" t="n">
        <v>4.99</v>
      </c>
      <c r="M1235" s="1" t="inlineStr">
        <is>
          <t>-64.36%</t>
        </is>
      </c>
      <c r="N1235" t="n">
        <v>4.3</v>
      </c>
      <c r="O1235" t="n">
        <v>376</v>
      </c>
      <c r="Q1235" t="inlineStr">
        <is>
          <t>InStock</t>
        </is>
      </c>
      <c r="R1235" t="inlineStr">
        <is>
          <t>undefined</t>
        </is>
      </c>
      <c r="S1235" t="inlineStr">
        <is>
          <t>7484093890745</t>
        </is>
      </c>
    </row>
    <row r="1236" ht="75" customHeight="1">
      <c r="A1236" s="2">
        <f>HYPERLINK("https://camerareadycosmetics.com/products/inglot-cosmetics-playinn-waterproof-eyeliner-gel", "https://camerareadycosmetics.com/products/inglot-cosmetics-playinn-waterproof-eyeliner-gel")</f>
        <v/>
      </c>
      <c r="B1236" s="2">
        <f>HYPERLINK("https://camerareadycosmetics.com/products/inglot-cosmetics-playinn-waterproof-eyeliner-gel", "https://camerareadycosmetics.com/products/inglot-cosmetics-playinn-waterproof-eyeliner-gel")</f>
        <v/>
      </c>
      <c r="C1236" t="inlineStr">
        <is>
          <t>PLAYINN Waterproof Eyeliner Gel</t>
        </is>
      </c>
      <c r="D1236" t="inlineStr">
        <is>
          <t>Maybelline New York Eyestudio Lasting Drama Waterproof Matte Gel Pencil Black Eyeliner Makeup, Sleek Onyx, 1 Count</t>
        </is>
      </c>
      <c r="E1236" s="2">
        <f>HYPERLINK("https://www.amazon.com/Maybelline-New-York-Eyestudio-Waterproof/dp/B00YJJWLVO/ref=sr_1_4?keywords=PLAYINN+Waterproof+Eyeliner+Gel&amp;qid=1695565652&amp;sr=8-4", "https://www.amazon.com/Maybelline-New-York-Eyestudio-Waterproof/dp/B00YJJWLVO/ref=sr_1_4?keywords=PLAYINN+Waterproof+Eyeliner+Gel&amp;qid=1695565652&amp;sr=8-4")</f>
        <v/>
      </c>
      <c r="F1236" t="inlineStr">
        <is>
          <t>B00YJJWLVO</t>
        </is>
      </c>
      <c r="G1236">
        <f>_xlfn.IMAGE("https://camerareadycosmetics.com/cdn/shop/products/inglot-playinn-waterproof-eyeliner-gel_fea21202-486e-4f48-93e6-273951212b0c_50x.jpg?v=1662690098")</f>
        <v/>
      </c>
      <c r="H1236">
        <f>_xlfn.IMAGE("https://m.media-amazon.com/images/I/71f1uld7V6L._AC_UL320_.jpg")</f>
        <v/>
      </c>
      <c r="K1236" t="inlineStr">
        <is>
          <t>14.0</t>
        </is>
      </c>
      <c r="L1236" t="n">
        <v>6.25</v>
      </c>
      <c r="M1236" s="1" t="inlineStr">
        <is>
          <t>-55.36%</t>
        </is>
      </c>
      <c r="N1236" t="n">
        <v>4.3</v>
      </c>
      <c r="O1236" t="n">
        <v>1816</v>
      </c>
      <c r="Q1236" t="inlineStr">
        <is>
          <t>InStock</t>
        </is>
      </c>
      <c r="R1236" t="inlineStr">
        <is>
          <t>undefined</t>
        </is>
      </c>
      <c r="S1236" t="inlineStr">
        <is>
          <t>7484093890745</t>
        </is>
      </c>
    </row>
    <row r="1237" ht="75" customHeight="1">
      <c r="A1237" s="2">
        <f>HYPERLINK("https://camerareadycosmetics.com/products/inglot-cosmetics-playinn-waterproof-eyeliner-gel", "https://camerareadycosmetics.com/products/inglot-cosmetics-playinn-waterproof-eyeliner-gel")</f>
        <v/>
      </c>
      <c r="B1237" s="2">
        <f>HYPERLINK("https://camerareadycosmetics.com/products/inglot-cosmetics-playinn-waterproof-eyeliner-gel", "https://camerareadycosmetics.com/products/inglot-cosmetics-playinn-waterproof-eyeliner-gel")</f>
        <v/>
      </c>
      <c r="C1237" t="inlineStr">
        <is>
          <t>PLAYINN Waterproof Eyeliner Gel</t>
        </is>
      </c>
      <c r="D1237" t="inlineStr">
        <is>
          <t>Rimmel Scandaleyes Waterproof Gel Eyeliner, Black, 0.085 oz</t>
        </is>
      </c>
      <c r="E1237" s="2">
        <f>HYPERLINK("https://www.amazon.com/Rimmel-Scandaleyes-Waterproof-Eyeliner-Black/dp/B00IFSANQ0/ref=sr_1_10?keywords=PLAYINN+Waterproof+Eyeliner+Gel&amp;qid=1695565652&amp;sr=8-10", "https://www.amazon.com/Rimmel-Scandaleyes-Waterproof-Eyeliner-Black/dp/B00IFSANQ0/ref=sr_1_10?keywords=PLAYINN+Waterproof+Eyeliner+Gel&amp;qid=1695565652&amp;sr=8-10")</f>
        <v/>
      </c>
      <c r="F1237" t="inlineStr">
        <is>
          <t>B00IFSANQ0</t>
        </is>
      </c>
      <c r="G1237">
        <f>_xlfn.IMAGE("https://camerareadycosmetics.com/cdn/shop/products/inglot-playinn-waterproof-eyeliner-gel_fea21202-486e-4f48-93e6-273951212b0c_50x.jpg?v=1662690098")</f>
        <v/>
      </c>
      <c r="H1237">
        <f>_xlfn.IMAGE("https://m.media-amazon.com/images/I/81wT00XayxL._AC_UL320_.jpg")</f>
        <v/>
      </c>
      <c r="K1237" t="inlineStr">
        <is>
          <t>14.0</t>
        </is>
      </c>
      <c r="L1237" t="n">
        <v>5.97</v>
      </c>
      <c r="M1237" s="1" t="inlineStr">
        <is>
          <t>-57.36%</t>
        </is>
      </c>
      <c r="N1237" t="n">
        <v>3.9</v>
      </c>
      <c r="O1237" t="n">
        <v>2240</v>
      </c>
      <c r="Q1237" t="inlineStr">
        <is>
          <t>InStock</t>
        </is>
      </c>
      <c r="R1237" t="inlineStr">
        <is>
          <t>undefined</t>
        </is>
      </c>
      <c r="S1237" t="inlineStr">
        <is>
          <t>7484093890745</t>
        </is>
      </c>
    </row>
    <row r="1238" ht="75" customHeight="1">
      <c r="A1238" s="2">
        <f>HYPERLINK("https://camerareadycosmetics.com/products/inglot-cosmetics-playinn-waterproof-eyeliner-gel", "https://camerareadycosmetics.com/products/inglot-cosmetics-playinn-waterproof-eyeliner-gel")</f>
        <v/>
      </c>
      <c r="B1238" s="2">
        <f>HYPERLINK("https://camerareadycosmetics.com/products/inglot-cosmetics-playinn-waterproof-eyeliner-gel", "https://camerareadycosmetics.com/products/inglot-cosmetics-playinn-waterproof-eyeliner-gel")</f>
        <v/>
      </c>
      <c r="C1238" t="inlineStr">
        <is>
          <t>PLAYINN Waterproof Eyeliner Gel</t>
        </is>
      </c>
      <c r="D1238" t="inlineStr">
        <is>
          <t>Rimmel Scandal eyes Waterproof Gel Eyeliner, Black, 0.085 oz</t>
        </is>
      </c>
      <c r="E1238" s="2">
        <f>HYPERLINK("https://www.amazon.com/Rimmel-Scandal-Waterproof-Eyeliner-Black/dp/B01LTHKVUG/ref=sr_1_3?keywords=PLAYINN+Waterproof+Eyeliner+Gel&amp;qid=1695565652&amp;sr=8-3", "https://www.amazon.com/Rimmel-Scandal-Waterproof-Eyeliner-Black/dp/B01LTHKVUG/ref=sr_1_3?keywords=PLAYINN+Waterproof+Eyeliner+Gel&amp;qid=1695565652&amp;sr=8-3")</f>
        <v/>
      </c>
      <c r="F1238" t="inlineStr">
        <is>
          <t>B01LTHKVUG</t>
        </is>
      </c>
      <c r="G1238">
        <f>_xlfn.IMAGE("https://camerareadycosmetics.com/cdn/shop/products/inglot-playinn-waterproof-eyeliner-gel_fea21202-486e-4f48-93e6-273951212b0c_50x.jpg?v=1662690098")</f>
        <v/>
      </c>
      <c r="H1238">
        <f>_xlfn.IMAGE("https://m.media-amazon.com/images/I/61L1fqmqETL._AC_UL320_.jpg")</f>
        <v/>
      </c>
      <c r="K1238" t="inlineStr">
        <is>
          <t>14.0</t>
        </is>
      </c>
      <c r="L1238" t="n">
        <v>5.97</v>
      </c>
      <c r="M1238" s="1" t="inlineStr">
        <is>
          <t>-57.36%</t>
        </is>
      </c>
      <c r="N1238" t="n">
        <v>3.8</v>
      </c>
      <c r="O1238" t="n">
        <v>320</v>
      </c>
      <c r="Q1238" t="inlineStr">
        <is>
          <t>InStock</t>
        </is>
      </c>
      <c r="R1238" t="inlineStr">
        <is>
          <t>undefined</t>
        </is>
      </c>
      <c r="S1238" t="inlineStr">
        <is>
          <t>7484093890745</t>
        </is>
      </c>
    </row>
    <row r="1239" ht="75" customHeight="1">
      <c r="A1239" s="2">
        <f>HYPERLINK("https://camerareadycosmetics.com/products/inglot-cosmetics-playinn-waterproof-eyeliner-gel", "https://camerareadycosmetics.com/products/inglot-cosmetics-playinn-waterproof-eyeliner-gel")</f>
        <v/>
      </c>
      <c r="B1239" s="2">
        <f>HYPERLINK("https://camerareadycosmetics.com/products/inglot-cosmetics-playinn-waterproof-eyeliner-gel", "https://camerareadycosmetics.com/products/inglot-cosmetics-playinn-waterproof-eyeliner-gel")</f>
        <v/>
      </c>
      <c r="C1239" t="inlineStr">
        <is>
          <t>PLAYINN Waterproof Eyeliner Gel</t>
        </is>
      </c>
      <c r="D1239" t="inlineStr">
        <is>
          <t>essence | Stay &amp; Play Gel Eyeliner | Super Soft Gel-like Texture | Waterproof &amp; Longlasting | Vegan &amp; Cruelty Free (Black Raven)</t>
        </is>
      </c>
      <c r="E1239" s="2">
        <f>HYPERLINK("https://www.amazon.com/essence-Eyeliner-Gel-like-Waterproof-Longlasting/dp/B0BQZ4F3P8/ref=sr_1_7?keywords=PLAYINN+Waterproof+Eyeliner+Gel&amp;qid=1695565652&amp;sr=8-7", "https://www.amazon.com/essence-Eyeliner-Gel-like-Waterproof-Longlasting/dp/B0BQZ4F3P8/ref=sr_1_7?keywords=PLAYINN+Waterproof+Eyeliner+Gel&amp;qid=1695565652&amp;sr=8-7")</f>
        <v/>
      </c>
      <c r="F1239" t="inlineStr">
        <is>
          <t>B0BQZ4F3P8</t>
        </is>
      </c>
      <c r="G1239">
        <f>_xlfn.IMAGE("https://camerareadycosmetics.com/cdn/shop/products/inglot-playinn-waterproof-eyeliner-gel_fea21202-486e-4f48-93e6-273951212b0c_50x.jpg?v=1662690098")</f>
        <v/>
      </c>
      <c r="H1239">
        <f>_xlfn.IMAGE("https://m.media-amazon.com/images/I/51rq+C-5aIL._AC_UL320_.jpg")</f>
        <v/>
      </c>
      <c r="K1239" t="inlineStr">
        <is>
          <t>14.0</t>
        </is>
      </c>
      <c r="L1239" t="n">
        <v>4.99</v>
      </c>
      <c r="M1239" s="1" t="inlineStr">
        <is>
          <t>-64.36%</t>
        </is>
      </c>
      <c r="N1239" t="n">
        <v>4.3</v>
      </c>
      <c r="O1239" t="n">
        <v>376</v>
      </c>
      <c r="Q1239" t="inlineStr">
        <is>
          <t>InStock</t>
        </is>
      </c>
      <c r="R1239" t="inlineStr">
        <is>
          <t>undefined</t>
        </is>
      </c>
      <c r="S1239" t="inlineStr">
        <is>
          <t>7484093890745</t>
        </is>
      </c>
    </row>
    <row r="1240" ht="75" customHeight="1">
      <c r="A1240" s="2">
        <f>HYPERLINK("https://camerareadycosmetics.com/products/inglot-eye-essentials-set", "https://camerareadycosmetics.com/products/inglot-eye-essentials-set")</f>
        <v/>
      </c>
      <c r="B1240" s="2">
        <f>HYPERLINK("https://camerareadycosmetics.com/products/inglot-eye-essentials-set", "https://camerareadycosmetics.com/products/inglot-eye-essentials-set")</f>
        <v/>
      </c>
      <c r="C1240" t="inlineStr">
        <is>
          <t>Inglot Eye Essentials Set</t>
        </is>
      </c>
      <c r="D1240" t="inlineStr">
        <is>
          <t>Inglot Eye Essentials Set | Duraline + AMC Eyeliner Gel 77 + Makeup Brush 31T |</t>
        </is>
      </c>
      <c r="E1240" s="2">
        <f>HYPERLINK("https://www.amazon.com/Inglot-5901905007468-Eye-Essentials-Set/dp/B00FOJN7KM/ref=sr_1_1?keywords=Inglot+Eye+Essentials+Set&amp;qid=1695565468&amp;sr=8-1", "https://www.amazon.com/Inglot-5901905007468-Eye-Essentials-Set/dp/B00FOJN7KM/ref=sr_1_1?keywords=Inglot+Eye+Essentials+Set&amp;qid=1695565468&amp;sr=8-1")</f>
        <v/>
      </c>
      <c r="F1240" t="inlineStr">
        <is>
          <t>B00FOJN7KM</t>
        </is>
      </c>
      <c r="G1240">
        <f>_xlfn.IMAGE("https://camerareadycosmetics.com/cdn/shop/products/inglot-eye-essentials-set_50x.jpg?v=1603649407")</f>
        <v/>
      </c>
      <c r="H1240">
        <f>_xlfn.IMAGE("https://m.media-amazon.com/images/I/71JQI4oyO2L._AC_UL320_.jpg")</f>
        <v/>
      </c>
      <c r="K1240" t="inlineStr">
        <is>
          <t>47.0</t>
        </is>
      </c>
      <c r="L1240" t="n">
        <v>31.73</v>
      </c>
      <c r="M1240" s="1" t="inlineStr">
        <is>
          <t>-32.49%</t>
        </is>
      </c>
      <c r="N1240" t="n">
        <v>4.6</v>
      </c>
      <c r="O1240" t="n">
        <v>340</v>
      </c>
      <c r="Q1240" t="inlineStr">
        <is>
          <t>InStock</t>
        </is>
      </c>
      <c r="R1240" t="inlineStr">
        <is>
          <t>undefined</t>
        </is>
      </c>
      <c r="S1240" t="inlineStr">
        <is>
          <t>5969321197753</t>
        </is>
      </c>
    </row>
    <row r="1241" ht="75" customHeight="1">
      <c r="A1241" s="2">
        <f>HYPERLINK("https://camerareadycosmetics.com/products/inglot-eye-essentials-set", "https://camerareadycosmetics.com/products/inglot-eye-essentials-set")</f>
        <v/>
      </c>
      <c r="B1241" s="2">
        <f>HYPERLINK("https://camerareadycosmetics.com/products/inglot-eye-essentials-set", "https://camerareadycosmetics.com/products/inglot-eye-essentials-set")</f>
        <v/>
      </c>
      <c r="C1241" t="inlineStr">
        <is>
          <t>Inglot Eye Essentials Set</t>
        </is>
      </c>
      <c r="D1241" t="inlineStr">
        <is>
          <t>Inglot Eye Set | Duraline + AMC Eyeliner Gel 77</t>
        </is>
      </c>
      <c r="E1241" s="2">
        <f>HYPERLINK("https://www.amazon.com/INGLOT-Eye-Set-Duraline-Eyeliner/dp/B097N2Z9N8/ref=sr_1_5?keywords=Inglot+Eye+Essentials+Set&amp;qid=1695565468&amp;sr=8-5", "https://www.amazon.com/INGLOT-Eye-Set-Duraline-Eyeliner/dp/B097N2Z9N8/ref=sr_1_5?keywords=Inglot+Eye+Essentials+Set&amp;qid=1695565468&amp;sr=8-5")</f>
        <v/>
      </c>
      <c r="F1241" t="inlineStr">
        <is>
          <t>B097N2Z9N8</t>
        </is>
      </c>
      <c r="G1241">
        <f>_xlfn.IMAGE("https://camerareadycosmetics.com/cdn/shop/products/inglot-eye-essentials-set_50x.jpg?v=1603649407")</f>
        <v/>
      </c>
      <c r="H1241">
        <f>_xlfn.IMAGE("https://m.media-amazon.com/images/I/51EwJx4piIL._AC_UL320_.jpg")</f>
        <v/>
      </c>
      <c r="K1241" t="inlineStr">
        <is>
          <t>47.0</t>
        </is>
      </c>
      <c r="L1241" t="n">
        <v>27.84</v>
      </c>
      <c r="M1241" s="1" t="inlineStr">
        <is>
          <t>-40.77%</t>
        </is>
      </c>
      <c r="N1241" t="n">
        <v>4.6</v>
      </c>
      <c r="O1241" t="n">
        <v>4865</v>
      </c>
      <c r="Q1241" t="inlineStr">
        <is>
          <t>InStock</t>
        </is>
      </c>
      <c r="R1241" t="inlineStr">
        <is>
          <t>undefined</t>
        </is>
      </c>
      <c r="S1241" t="inlineStr">
        <is>
          <t>5969321197753</t>
        </is>
      </c>
    </row>
    <row r="1242" ht="75" customHeight="1">
      <c r="A1242" s="2">
        <f>HYPERLINK("https://camerareadycosmetics.com/products/inglot-eye-makeup-base", "https://camerareadycosmetics.com/products/inglot-eye-makeup-base")</f>
        <v/>
      </c>
      <c r="B1242" s="2">
        <f>HYPERLINK("https://camerareadycosmetics.com/products/inglot-eye-makeup-base", "https://camerareadycosmetics.com/products/inglot-eye-makeup-base")</f>
        <v/>
      </c>
      <c r="C1242" t="inlineStr">
        <is>
          <t>Inglot Eye Makeup Base 01</t>
        </is>
      </c>
      <c r="D1242" t="inlineStr">
        <is>
          <t>Inglot Eye Makeup Base 01 | 5.5 g/0.19 US OZ</t>
        </is>
      </c>
      <c r="E1242" s="2">
        <f>HYPERLINK("https://www.amazon.com/Inglot-Cosmetics-Eye-Makeup-Base/dp/B00K8J2O7K/ref=sr_1_1?keywords=Inglot+Eye+Makeup+Base+01&amp;qid=1695565473&amp;sr=8-1", "https://www.amazon.com/Inglot-Cosmetics-Eye-Makeup-Base/dp/B00K8J2O7K/ref=sr_1_1?keywords=Inglot+Eye+Makeup+Base+01&amp;qid=1695565473&amp;sr=8-1")</f>
        <v/>
      </c>
      <c r="F1242" t="inlineStr">
        <is>
          <t>B00K8J2O7K</t>
        </is>
      </c>
      <c r="G1242">
        <f>_xlfn.IMAGE("https://camerareadycosmetics.com/cdn/shop/products/14453_zoom_1434145764_50x.jpg?v=1689654454")</f>
        <v/>
      </c>
      <c r="H1242">
        <f>_xlfn.IMAGE("https://m.media-amazon.com/images/I/61wnAw+NNVS._AC_UL320_.jpg")</f>
        <v/>
      </c>
      <c r="K1242" t="inlineStr">
        <is>
          <t>14.0</t>
        </is>
      </c>
      <c r="L1242" t="n">
        <v>12</v>
      </c>
      <c r="M1242" s="1" t="inlineStr">
        <is>
          <t>-14.29%</t>
        </is>
      </c>
      <c r="N1242" t="n">
        <v>4.4</v>
      </c>
      <c r="O1242" t="n">
        <v>30</v>
      </c>
      <c r="Q1242" t="inlineStr">
        <is>
          <t>InStock</t>
        </is>
      </c>
      <c r="R1242" t="inlineStr">
        <is>
          <t>undefined</t>
        </is>
      </c>
      <c r="S1242" t="inlineStr">
        <is>
          <t>7048757575</t>
        </is>
      </c>
    </row>
    <row r="1243" ht="75" customHeight="1">
      <c r="A1243" s="2">
        <f>HYPERLINK("https://camerareadycosmetics.com/products/inglot-eye-shadow-keeper", "https://camerareadycosmetics.com/products/inglot-eye-shadow-keeper")</f>
        <v/>
      </c>
      <c r="B1243" s="2">
        <f>HYPERLINK("https://camerareadycosmetics.com/products/inglot-eye-shadow-keeper", "https://camerareadycosmetics.com/products/inglot-eye-shadow-keeper")</f>
        <v/>
      </c>
      <c r="C1243" t="inlineStr">
        <is>
          <t>Inglot Eye Shadow Keeper</t>
        </is>
      </c>
      <c r="D1243" t="inlineStr">
        <is>
          <t>Inglot AMC PURE PIGMENT EYE SHADOW 119 | 2 g/0.07 US OZ</t>
        </is>
      </c>
      <c r="E1243" s="2">
        <f>HYPERLINK("https://www.amazon.com/AMC-PURE-PIGMENT-EYE-SHADOW/dp/B01EO5UPGK/ref=sr_1_9?keywords=Inglot+Eye+Shadow+Keeper&amp;qid=1695565453&amp;sr=8-9", "https://www.amazon.com/AMC-PURE-PIGMENT-EYE-SHADOW/dp/B01EO5UPGK/ref=sr_1_9?keywords=Inglot+Eye+Shadow+Keeper&amp;qid=1695565453&amp;sr=8-9")</f>
        <v/>
      </c>
      <c r="F1243" t="inlineStr">
        <is>
          <t>B01EO5UPGK</t>
        </is>
      </c>
      <c r="G1243">
        <f>_xlfn.IMAGE("https://camerareadycosmetics.com/cdn/shop/products/eye_shadow_keeper_4__15788.1433790108.600.600_50x.jpeg?v=1689654318")</f>
        <v/>
      </c>
      <c r="H1243">
        <f>_xlfn.IMAGE("https://m.media-amazon.com/images/I/71sbmT5nBfS._AC_UL320_.jpg")</f>
        <v/>
      </c>
      <c r="K1243" t="inlineStr">
        <is>
          <t>24.0</t>
        </is>
      </c>
      <c r="L1243" t="n">
        <v>21.98</v>
      </c>
      <c r="M1243" s="1" t="inlineStr">
        <is>
          <t>-8.42%</t>
        </is>
      </c>
      <c r="N1243" t="n">
        <v>4.5</v>
      </c>
      <c r="O1243" t="n">
        <v>99</v>
      </c>
      <c r="Q1243" t="inlineStr">
        <is>
          <t>InStock</t>
        </is>
      </c>
      <c r="R1243" t="inlineStr">
        <is>
          <t>undefined</t>
        </is>
      </c>
      <c r="S1243" t="inlineStr">
        <is>
          <t>7048714823</t>
        </is>
      </c>
    </row>
    <row r="1244" ht="75" customHeight="1">
      <c r="A1244" s="2">
        <f>HYPERLINK("https://camerareadycosmetics.com/products/inglot-eye-shadow-keeper", "https://camerareadycosmetics.com/products/inglot-eye-shadow-keeper")</f>
        <v/>
      </c>
      <c r="B1244" s="2">
        <f>HYPERLINK("https://camerareadycosmetics.com/products/inglot-eye-shadow-keeper", "https://camerareadycosmetics.com/products/inglot-eye-shadow-keeper")</f>
        <v/>
      </c>
      <c r="C1244" t="inlineStr">
        <is>
          <t>Inglot Eye Shadow Keeper</t>
        </is>
      </c>
      <c r="D1244" t="inlineStr">
        <is>
          <t>Inglot EYE SHADOW KEEPER | 10 ml/0.33 US FL OZ</t>
        </is>
      </c>
      <c r="E1244" s="2">
        <f>HYPERLINK("https://www.amazon.com/Inglot-EYE-SHADOW-KEEPER/dp/B00ZXTJEM8/ref=sr_1_1?keywords=Inglot+Eye+Shadow+Keeper&amp;qid=1695565453&amp;sr=8-1", "https://www.amazon.com/Inglot-EYE-SHADOW-KEEPER/dp/B00ZXTJEM8/ref=sr_1_1?keywords=Inglot+Eye+Shadow+Keeper&amp;qid=1695565453&amp;sr=8-1")</f>
        <v/>
      </c>
      <c r="F1244" t="inlineStr">
        <is>
          <t>B00ZXTJEM8</t>
        </is>
      </c>
      <c r="G1244">
        <f>_xlfn.IMAGE("https://camerareadycosmetics.com/cdn/shop/products/eye_shadow_keeper_4__15788.1433790108.600.600_50x.jpeg?v=1689654318")</f>
        <v/>
      </c>
      <c r="H1244">
        <f>_xlfn.IMAGE("https://m.media-amazon.com/images/I/612FTtXhoIL._AC_UL320_.jpg")</f>
        <v/>
      </c>
      <c r="K1244" t="inlineStr">
        <is>
          <t>24.0</t>
        </is>
      </c>
      <c r="L1244" t="n">
        <v>18</v>
      </c>
      <c r="M1244" s="1" t="inlineStr">
        <is>
          <t>-25.00%</t>
        </is>
      </c>
      <c r="N1244" t="n">
        <v>4.3</v>
      </c>
      <c r="O1244" t="n">
        <v>59</v>
      </c>
      <c r="Q1244" t="inlineStr">
        <is>
          <t>InStock</t>
        </is>
      </c>
      <c r="R1244" t="inlineStr">
        <is>
          <t>undefined</t>
        </is>
      </c>
      <c r="S1244" t="inlineStr">
        <is>
          <t>7048714823</t>
        </is>
      </c>
    </row>
    <row r="1245" ht="75" customHeight="1">
      <c r="A1245" s="2">
        <f>HYPERLINK("https://camerareadycosmetics.com/products/inglot-eye-shadow-keeper", "https://camerareadycosmetics.com/products/inglot-eye-shadow-keeper")</f>
        <v/>
      </c>
      <c r="B1245" s="2">
        <f>HYPERLINK("https://camerareadycosmetics.com/products/inglot-eye-shadow-keeper", "https://camerareadycosmetics.com/products/inglot-eye-shadow-keeper")</f>
        <v/>
      </c>
      <c r="C1245" t="inlineStr">
        <is>
          <t>Inglot Eye Shadow Keeper</t>
        </is>
      </c>
      <c r="D1245" t="inlineStr">
        <is>
          <t>Inglot Duraline | Eyeliner sealant | Prolong Makeup Durability | Turn any Eyeshadow to Water Resistant Liquid Eyeliner | 9 ml/0.30 US FL OZ</t>
        </is>
      </c>
      <c r="E1245" s="2">
        <f>HYPERLINK("https://www.amazon.com/Inglot-DURALINE/dp/B00GM5VPEM/ref=sr_1_10?keywords=Inglot+Eye+Shadow+Keeper&amp;qid=1695565453&amp;sr=8-10", "https://www.amazon.com/Inglot-DURALINE/dp/B00GM5VPEM/ref=sr_1_10?keywords=Inglot+Eye+Shadow+Keeper&amp;qid=1695565453&amp;sr=8-10")</f>
        <v/>
      </c>
      <c r="F1245" t="inlineStr">
        <is>
          <t>B00GM5VPEM</t>
        </is>
      </c>
      <c r="G1245">
        <f>_xlfn.IMAGE("https://camerareadycosmetics.com/cdn/shop/products/eye_shadow_keeper_4__15788.1433790108.600.600_50x.jpeg?v=1689654318")</f>
        <v/>
      </c>
      <c r="H1245">
        <f>_xlfn.IMAGE("https://m.media-amazon.com/images/I/316pKlvBFhL._AC_UL320_.jpg")</f>
        <v/>
      </c>
      <c r="K1245" t="inlineStr">
        <is>
          <t>24.0</t>
        </is>
      </c>
      <c r="L1245" t="n">
        <v>13.59</v>
      </c>
      <c r="M1245" s="1" t="inlineStr">
        <is>
          <t>-43.38%</t>
        </is>
      </c>
      <c r="N1245" t="n">
        <v>4.6</v>
      </c>
      <c r="O1245" t="n">
        <v>4865</v>
      </c>
      <c r="Q1245" t="inlineStr">
        <is>
          <t>InStock</t>
        </is>
      </c>
      <c r="R1245" t="inlineStr">
        <is>
          <t>undefined</t>
        </is>
      </c>
      <c r="S1245" t="inlineStr">
        <is>
          <t>7048714823</t>
        </is>
      </c>
    </row>
    <row r="1246" ht="75" customHeight="1">
      <c r="A1246" s="2">
        <f>HYPERLINK("https://camerareadycosmetics.com/products/inglot-eye-shadow-keeper", "https://camerareadycosmetics.com/products/inglot-eye-shadow-keeper")</f>
        <v/>
      </c>
      <c r="B1246" s="2">
        <f>HYPERLINK("https://camerareadycosmetics.com/products/inglot-eye-shadow-keeper", "https://camerareadycosmetics.com/products/inglot-eye-shadow-keeper")</f>
        <v/>
      </c>
      <c r="C1246" t="inlineStr">
        <is>
          <t>Inglot Eye Shadow Keeper</t>
        </is>
      </c>
      <c r="D1246" t="inlineStr">
        <is>
          <t>Inglot FREEDOM SYSTEM EYE SHADOW PEARL NF 428 | 2.5 g/0.09 US OZ</t>
        </is>
      </c>
      <c r="E1246" s="2">
        <f>HYPERLINK("https://www.amazon.com/Inglot-FREEDOM-SYSTEM-SHADOW-PEARL/dp/B07KK6GPCS/ref=sr_1_4?keywords=Inglot+Eye+Shadow+Keeper&amp;qid=1695565453&amp;sr=8-4", "https://www.amazon.com/Inglot-FREEDOM-SYSTEM-SHADOW-PEARL/dp/B07KK6GPCS/ref=sr_1_4?keywords=Inglot+Eye+Shadow+Keeper&amp;qid=1695565453&amp;sr=8-4")</f>
        <v/>
      </c>
      <c r="F1246" t="inlineStr">
        <is>
          <t>B07KK6GPCS</t>
        </is>
      </c>
      <c r="G1246">
        <f>_xlfn.IMAGE("https://camerareadycosmetics.com/cdn/shop/products/eye_shadow_keeper_4__15788.1433790108.600.600_50x.jpeg?v=1689654318")</f>
        <v/>
      </c>
      <c r="H1246">
        <f>_xlfn.IMAGE("https://m.media-amazon.com/images/I/91v3stGb6NL._AC_UL320_.jpg")</f>
        <v/>
      </c>
      <c r="K1246" t="inlineStr">
        <is>
          <t>24.0</t>
        </is>
      </c>
      <c r="L1246" t="n">
        <v>7.2</v>
      </c>
      <c r="M1246" s="1" t="inlineStr">
        <is>
          <t>-70.00%</t>
        </is>
      </c>
      <c r="N1246" t="n">
        <v>5</v>
      </c>
      <c r="O1246" t="n">
        <v>2</v>
      </c>
      <c r="Q1246" t="inlineStr">
        <is>
          <t>InStock</t>
        </is>
      </c>
      <c r="R1246" t="inlineStr">
        <is>
          <t>undefined</t>
        </is>
      </c>
      <c r="S1246" t="inlineStr">
        <is>
          <t>7048714823</t>
        </is>
      </c>
    </row>
    <row r="1247" ht="75" customHeight="1">
      <c r="A1247" s="2">
        <f>HYPERLINK("https://camerareadycosmetics.com/products/inglot-eye-shadow-keeper", "https://camerareadycosmetics.com/products/inglot-eye-shadow-keeper")</f>
        <v/>
      </c>
      <c r="B1247" s="2">
        <f>HYPERLINK("https://camerareadycosmetics.com/products/inglot-eye-shadow-keeper", "https://camerareadycosmetics.com/products/inglot-eye-shadow-keeper")</f>
        <v/>
      </c>
      <c r="C1247" t="inlineStr">
        <is>
          <t>Inglot Eye Shadow Keeper</t>
        </is>
      </c>
      <c r="D1247" t="inlineStr">
        <is>
          <t>Inglot FREEDOM SYSTEM EYE SHADOW PEARL NF 428 | 2.5 g/0.09 US OZ</t>
        </is>
      </c>
      <c r="E1247" s="2">
        <f>HYPERLINK("https://www.amazon.com/Inglot-FREEDOM-SYSTEM-SHADOW-PEARL/dp/B07KK6GPCS/ref=sr_1_4?keywords=Inglot+Eye+Shadow+Keeper&amp;qid=1695565453&amp;sr=8-4", "https://www.amazon.com/Inglot-FREEDOM-SYSTEM-SHADOW-PEARL/dp/B07KK6GPCS/ref=sr_1_4?keywords=Inglot+Eye+Shadow+Keeper&amp;qid=1695565453&amp;sr=8-4")</f>
        <v/>
      </c>
      <c r="F1247" t="inlineStr">
        <is>
          <t>B07KK6GPCS</t>
        </is>
      </c>
      <c r="G1247">
        <f>_xlfn.IMAGE("https://camerareadycosmetics.com/cdn/shop/products/eye_shadow_keeper_4__15788.1433790108.600.600_50x.jpeg?v=1689654318")</f>
        <v/>
      </c>
      <c r="H1247">
        <f>_xlfn.IMAGE("https://m.media-amazon.com/images/I/91v3stGb6NL._AC_UL320_.jpg")</f>
        <v/>
      </c>
      <c r="K1247" t="inlineStr">
        <is>
          <t>24.0</t>
        </is>
      </c>
      <c r="L1247" t="n">
        <v>7.2</v>
      </c>
      <c r="M1247" s="1" t="inlineStr">
        <is>
          <t>-70.00%</t>
        </is>
      </c>
      <c r="N1247" t="n">
        <v>5</v>
      </c>
      <c r="O1247" t="n">
        <v>2</v>
      </c>
      <c r="Q1247" t="inlineStr">
        <is>
          <t>InStock</t>
        </is>
      </c>
      <c r="R1247" t="inlineStr">
        <is>
          <t>undefined</t>
        </is>
      </c>
      <c r="S1247" t="inlineStr">
        <is>
          <t>7048714823</t>
        </is>
      </c>
    </row>
    <row r="1248" ht="75" customHeight="1">
      <c r="A1248" s="2">
        <f>HYPERLINK("https://camerareadycosmetics.com/products/inglot-freedom-system-creamy-pigment-eye-shadow", "https://camerareadycosmetics.com/products/inglot-freedom-system-creamy-pigment-eye-shadow")</f>
        <v/>
      </c>
      <c r="B1248" s="2">
        <f>HYPERLINK("https://camerareadycosmetics.com/products/inglot-freedom-system-creamy-pigment-eye-shadow", "https://camerareadycosmetics.com/products/inglot-freedom-system-creamy-pigment-eye-shadow")</f>
        <v/>
      </c>
      <c r="C1248" t="inlineStr">
        <is>
          <t>Inglot Freedom System Creamy Pigment Eye Shadow</t>
        </is>
      </c>
      <c r="D1248" t="inlineStr">
        <is>
          <t>Inglot FREEDOM SYSTEM EYE SHADOW PEARL NF 428 | 2.5 g/0.09 US OZ</t>
        </is>
      </c>
      <c r="E1248" s="2">
        <f>HYPERLINK("https://www.amazon.com/Inglot-FREEDOM-SYSTEM-SHADOW-PEARL/dp/B07KK6GPCS/ref=sr_1_1?keywords=Inglot+Freedom+System+Creamy+Pigment+Eye+Shadow&amp;qid=1695565517&amp;sr=8-1", "https://www.amazon.com/Inglot-FREEDOM-SYSTEM-SHADOW-PEARL/dp/B07KK6GPCS/ref=sr_1_1?keywords=Inglot+Freedom+System+Creamy+Pigment+Eye+Shadow&amp;qid=1695565517&amp;sr=8-1")</f>
        <v/>
      </c>
      <c r="F1248" t="inlineStr">
        <is>
          <t>B07KK6GPCS</t>
        </is>
      </c>
      <c r="G1248">
        <f>_xlfn.IMAGE("https://camerareadycosmetics.com/cdn/shop/files/702-freedom-system-creamy-pigment-eye-shadow_50x.jpg?v=1687203399")</f>
        <v/>
      </c>
      <c r="H1248">
        <f>_xlfn.IMAGE("https://m.media-amazon.com/images/I/91v3stGb6NL._AC_UL320_.jpg")</f>
        <v/>
      </c>
      <c r="K1248" t="inlineStr">
        <is>
          <t>12.0</t>
        </is>
      </c>
      <c r="L1248" t="n">
        <v>7.2</v>
      </c>
      <c r="M1248" s="1" t="inlineStr">
        <is>
          <t>-40.00%</t>
        </is>
      </c>
      <c r="N1248" t="n">
        <v>5</v>
      </c>
      <c r="O1248" t="n">
        <v>2</v>
      </c>
      <c r="Q1248" t="inlineStr">
        <is>
          <t>InStock</t>
        </is>
      </c>
      <c r="R1248" t="inlineStr">
        <is>
          <t>undefined</t>
        </is>
      </c>
      <c r="S1248" t="inlineStr">
        <is>
          <t>4514594193519</t>
        </is>
      </c>
    </row>
    <row r="1249" ht="75" customHeight="1">
      <c r="A1249" s="2">
        <f>HYPERLINK("https://camerareadycosmetics.com/products/inglot-freedom-system-eye-shadow-matte-square", "https://camerareadycosmetics.com/products/inglot-freedom-system-eye-shadow-matte-square")</f>
        <v/>
      </c>
      <c r="B1249" s="2">
        <f>HYPERLINK("https://camerareadycosmetics.com/products/inglot-freedom-system-eye-shadow-matte-square", "https://camerareadycosmetics.com/products/inglot-freedom-system-eye-shadow-matte-square")</f>
        <v/>
      </c>
      <c r="C1249" t="inlineStr">
        <is>
          <t>Inglot Freedom System Eye Shadow Matte Square</t>
        </is>
      </c>
      <c r="D1249" t="inlineStr">
        <is>
          <t>Inglot FREEDOM SYSTEM EYE SHADOW PEARL NF 428 | 2.5 g/0.09 US OZ</t>
        </is>
      </c>
      <c r="E1249" s="2">
        <f>HYPERLINK("https://www.amazon.com/Inglot-FREEDOM-SYSTEM-SHADOW-PEARL/dp/B07KK6GPCS/ref=sr_1_1?keywords=Inglot+Freedom+System+Eye+Shadow+Matte+Square&amp;qid=1695565422&amp;sr=8-1", "https://www.amazon.com/Inglot-FREEDOM-SYSTEM-SHADOW-PEARL/dp/B07KK6GPCS/ref=sr_1_1?keywords=Inglot+Freedom+System+Eye+Shadow+Matte+Square&amp;qid=1695565422&amp;sr=8-1")</f>
        <v/>
      </c>
      <c r="F1249" t="inlineStr">
        <is>
          <t>B07KK6GPCS</t>
        </is>
      </c>
      <c r="G1249">
        <f>_xlfn.IMAGE("https://camerareadycosmetics.com/cdn/shop/products/304_50x.jpg?v=1689650354")</f>
        <v/>
      </c>
      <c r="H1249">
        <f>_xlfn.IMAGE("https://m.media-amazon.com/images/I/91v3stGb6NL._AC_UL320_.jpg")</f>
        <v/>
      </c>
      <c r="K1249" t="inlineStr">
        <is>
          <t>10.0</t>
        </is>
      </c>
      <c r="L1249" t="n">
        <v>7.2</v>
      </c>
      <c r="M1249" s="1" t="inlineStr">
        <is>
          <t>-28.00%</t>
        </is>
      </c>
      <c r="N1249" t="n">
        <v>5</v>
      </c>
      <c r="O1249" t="n">
        <v>2</v>
      </c>
      <c r="Q1249" t="inlineStr">
        <is>
          <t>InStock</t>
        </is>
      </c>
      <c r="R1249" t="inlineStr">
        <is>
          <t>undefined</t>
        </is>
      </c>
      <c r="S1249" t="inlineStr">
        <is>
          <t>7047397255</t>
        </is>
      </c>
    </row>
    <row r="1250" ht="75" customHeight="1">
      <c r="A1250" s="2">
        <f>HYPERLINK("https://camerareadycosmetics.com/products/inglot-freedom-system-eye-shadow-pearl-square", "https://camerareadycosmetics.com/products/inglot-freedom-system-eye-shadow-pearl-square")</f>
        <v/>
      </c>
      <c r="B1250" s="2">
        <f>HYPERLINK("https://camerareadycosmetics.com/products/inglot-freedom-system-eye-shadow-pearl-square", "https://camerareadycosmetics.com/products/inglot-freedom-system-eye-shadow-pearl-square")</f>
        <v/>
      </c>
      <c r="C1250" t="inlineStr">
        <is>
          <t>Inglot Freedom System Eye Shadow Pearl Square</t>
        </is>
      </c>
      <c r="D1250" t="inlineStr">
        <is>
          <t>Inglot FREEDOM SYSTEM EYE SHADOW PEARL NF 428 | 2.5 g/0.09 US OZ</t>
        </is>
      </c>
      <c r="E1250" s="2">
        <f>HYPERLINK("https://www.amazon.com/Inglot-FREEDOM-SYSTEM-SHADOW-PEARL/dp/B07KK6GPCS/ref=sr_1_1?keywords=Inglot+Freedom+System+Eye+Shadow+Pearl+Square&amp;qid=1695565463&amp;sr=8-1", "https://www.amazon.com/Inglot-FREEDOM-SYSTEM-SHADOW-PEARL/dp/B07KK6GPCS/ref=sr_1_1?keywords=Inglot+Freedom+System+Eye+Shadow+Pearl+Square&amp;qid=1695565463&amp;sr=8-1")</f>
        <v/>
      </c>
      <c r="F1250" t="inlineStr">
        <is>
          <t>B07KK6GPCS</t>
        </is>
      </c>
      <c r="G1250">
        <f>_xlfn.IMAGE("https://camerareadycosmetics.com/cdn/shop/products/13085_zoom_1433341149_50x.jpg?v=1689650621")</f>
        <v/>
      </c>
      <c r="H1250">
        <f>_xlfn.IMAGE("https://m.media-amazon.com/images/I/91v3stGb6NL._AC_UL320_.jpg")</f>
        <v/>
      </c>
      <c r="K1250" t="inlineStr">
        <is>
          <t>10.0</t>
        </is>
      </c>
      <c r="L1250" t="n">
        <v>7.2</v>
      </c>
      <c r="M1250" s="1" t="inlineStr">
        <is>
          <t>-28.00%</t>
        </is>
      </c>
      <c r="N1250" t="n">
        <v>5</v>
      </c>
      <c r="O1250" t="n">
        <v>2</v>
      </c>
      <c r="Q1250" t="inlineStr">
        <is>
          <t>InStock</t>
        </is>
      </c>
      <c r="R1250" t="inlineStr">
        <is>
          <t>undefined</t>
        </is>
      </c>
      <c r="S1250" t="inlineStr">
        <is>
          <t>7047444999</t>
        </is>
      </c>
    </row>
    <row r="1251" ht="75" customHeight="1">
      <c r="A1251" s="2">
        <f>HYPERLINK("https://camerareadycosmetics.com/products/inglot-freedom-system-hd-sculpting-powder", "https://camerareadycosmetics.com/products/inglot-freedom-system-hd-sculpting-powder")</f>
        <v/>
      </c>
      <c r="B1251" s="2">
        <f>HYPERLINK("https://camerareadycosmetics.com/products/inglot-freedom-system-hd-sculpting-powder", "https://camerareadycosmetics.com/products/inglot-freedom-system-hd-sculpting-powder")</f>
        <v/>
      </c>
      <c r="C1251" t="inlineStr">
        <is>
          <t>Inglot Freedom System HD Sculpting Powder</t>
        </is>
      </c>
      <c r="D1251" t="inlineStr">
        <is>
          <t>INGLOT FREEDOM SYSTEM HD PRESSED POWDER ROUND 403 | Face Powder | New Formula | 6.5 g/0.23 US OZ 8.0 g/0.28 US OZ</t>
        </is>
      </c>
      <c r="E1251" s="2">
        <f>HYPERLINK("https://www.amazon.com/INGLOT-FREEDOM-SYSTEM-PRESSED-Formula/dp/B08XXSV3NS/ref=sr_1_3?keywords=Inglot+Freedom+System+HD+Sculpting+Powder&amp;qid=1695565448&amp;sr=8-3", "https://www.amazon.com/INGLOT-FREEDOM-SYSTEM-PRESSED-Formula/dp/B08XXSV3NS/ref=sr_1_3?keywords=Inglot+Freedom+System+HD+Sculpting+Powder&amp;qid=1695565448&amp;sr=8-3")</f>
        <v/>
      </c>
      <c r="F1251" t="inlineStr">
        <is>
          <t>B08XXSV3NS</t>
        </is>
      </c>
      <c r="G1251">
        <f>_xlfn.IMAGE("https://camerareadycosmetics.com/cdn/shop/products/13177_zoom_1433349191_50x.jpg?v=1689651757")</f>
        <v/>
      </c>
      <c r="H1251">
        <f>_xlfn.IMAGE("https://m.media-amazon.com/images/I/61h8pAuq+WL._AC_UL320_.jpg")</f>
        <v/>
      </c>
      <c r="K1251" t="inlineStr">
        <is>
          <t>18.0</t>
        </is>
      </c>
      <c r="L1251" t="n">
        <v>14.4</v>
      </c>
      <c r="M1251" s="1" t="inlineStr">
        <is>
          <t>-20.00%</t>
        </is>
      </c>
      <c r="N1251" t="n">
        <v>3.6</v>
      </c>
      <c r="O1251" t="n">
        <v>3</v>
      </c>
      <c r="Q1251" t="inlineStr">
        <is>
          <t>InStock</t>
        </is>
      </c>
      <c r="R1251" t="inlineStr">
        <is>
          <t>undefined</t>
        </is>
      </c>
      <c r="S1251" t="inlineStr">
        <is>
          <t>7047887303</t>
        </is>
      </c>
    </row>
    <row r="1252" ht="75" customHeight="1">
      <c r="A1252" s="2">
        <f>HYPERLINK("https://camerareadycosmetics.com/products/inglot-freedom-system-hd-sculpting-powder", "https://camerareadycosmetics.com/products/inglot-freedom-system-hd-sculpting-powder")</f>
        <v/>
      </c>
      <c r="B1252" s="2">
        <f>HYPERLINK("https://camerareadycosmetics.com/products/inglot-freedom-system-hd-sculpting-powder", "https://camerareadycosmetics.com/products/inglot-freedom-system-hd-sculpting-powder")</f>
        <v/>
      </c>
      <c r="C1252" t="inlineStr">
        <is>
          <t>Inglot Freedom System HD Sculpting Powder</t>
        </is>
      </c>
      <c r="D1252" t="inlineStr">
        <is>
          <t>Inglot FREEDOM SYSTEM HD SCULPTING POWDER 502 | 5.5 g/0.19 US OZ</t>
        </is>
      </c>
      <c r="E1252" s="2">
        <f>HYPERLINK("https://www.amazon.com/Inglot-FREEDOM-SYSTEM-SCULPTING-POWDER/dp/B01EO64EWA/ref=sr_1_1?keywords=Inglot+Freedom+System+HD+Sculpting+Powder&amp;qid=1695565448&amp;sr=8-1", "https://www.amazon.com/Inglot-FREEDOM-SYSTEM-SCULPTING-POWDER/dp/B01EO64EWA/ref=sr_1_1?keywords=Inglot+Freedom+System+HD+Sculpting+Powder&amp;qid=1695565448&amp;sr=8-1")</f>
        <v/>
      </c>
      <c r="F1252" t="inlineStr">
        <is>
          <t>B01EO64EWA</t>
        </is>
      </c>
      <c r="G1252">
        <f>_xlfn.IMAGE("https://camerareadycosmetics.com/cdn/shop/products/13177_zoom_1433349191_50x.jpg?v=1689651757")</f>
        <v/>
      </c>
      <c r="H1252">
        <f>_xlfn.IMAGE("https://m.media-amazon.com/images/I/816-eUr5V3S._AC_UL320_.jpg")</f>
        <v/>
      </c>
      <c r="K1252" t="inlineStr">
        <is>
          <t>18.0</t>
        </is>
      </c>
      <c r="L1252" t="n">
        <v>12.8</v>
      </c>
      <c r="M1252" s="1" t="inlineStr">
        <is>
          <t>-28.89%</t>
        </is>
      </c>
      <c r="N1252" t="n">
        <v>4.7</v>
      </c>
      <c r="O1252" t="n">
        <v>5</v>
      </c>
      <c r="Q1252" t="inlineStr">
        <is>
          <t>InStock</t>
        </is>
      </c>
      <c r="R1252" t="inlineStr">
        <is>
          <t>undefined</t>
        </is>
      </c>
      <c r="S1252" t="inlineStr">
        <is>
          <t>7047887303</t>
        </is>
      </c>
    </row>
    <row r="1253" ht="75" customHeight="1">
      <c r="A1253" s="2">
        <f>HYPERLINK("https://camerareadycosmetics.com/products/inglot-freedom-system-hd-sculpting-powder", "https://camerareadycosmetics.com/products/inglot-freedom-system-hd-sculpting-powder")</f>
        <v/>
      </c>
      <c r="B1253" s="2">
        <f>HYPERLINK("https://camerareadycosmetics.com/products/inglot-freedom-system-hd-sculpting-powder", "https://camerareadycosmetics.com/products/inglot-freedom-system-hd-sculpting-powder")</f>
        <v/>
      </c>
      <c r="C1253" t="inlineStr">
        <is>
          <t>Inglot Freedom System HD Sculpting Powder</t>
        </is>
      </c>
      <c r="D1253" t="inlineStr">
        <is>
          <t>Inglot FREEDOM SYSTEM HD SCULPTING POWDER 509 | 5.5 g/0.19 US OZ</t>
        </is>
      </c>
      <c r="E1253" s="2">
        <f>HYPERLINK("https://www.amazon.com/Freedom-System-Sculpting-Powder-Inglot/dp/B01B4A7FU2/ref=sr_1_2?keywords=Inglot+Freedom+System+HD+Sculpting+Powder&amp;qid=1695565448&amp;sr=8-2", "https://www.amazon.com/Freedom-System-Sculpting-Powder-Inglot/dp/B01B4A7FU2/ref=sr_1_2?keywords=Inglot+Freedom+System+HD+Sculpting+Powder&amp;qid=1695565448&amp;sr=8-2")</f>
        <v/>
      </c>
      <c r="F1253" t="inlineStr">
        <is>
          <t>B01B4A7FU2</t>
        </is>
      </c>
      <c r="G1253">
        <f>_xlfn.IMAGE("https://camerareadycosmetics.com/cdn/shop/products/13177_zoom_1433349191_50x.jpg?v=1689651757")</f>
        <v/>
      </c>
      <c r="H1253">
        <f>_xlfn.IMAGE("https://m.media-amazon.com/images/I/81IUqI-6uLS._AC_UL320_.jpg")</f>
        <v/>
      </c>
      <c r="K1253" t="inlineStr">
        <is>
          <t>18.0</t>
        </is>
      </c>
      <c r="L1253" t="n">
        <v>11.99</v>
      </c>
      <c r="M1253" s="1" t="inlineStr">
        <is>
          <t>-33.39%</t>
        </is>
      </c>
      <c r="N1253" t="n">
        <v>5</v>
      </c>
      <c r="O1253" t="n">
        <v>6</v>
      </c>
      <c r="Q1253" t="inlineStr">
        <is>
          <t>InStock</t>
        </is>
      </c>
      <c r="R1253" t="inlineStr">
        <is>
          <t>undefined</t>
        </is>
      </c>
      <c r="S1253" t="inlineStr">
        <is>
          <t>7047887303</t>
        </is>
      </c>
    </row>
    <row r="1254" ht="75" customHeight="1">
      <c r="A1254" s="2">
        <f>HYPERLINK("https://camerareadycosmetics.com/products/inglot-kohl-pencil", "https://camerareadycosmetics.com/products/inglot-kohl-pencil")</f>
        <v/>
      </c>
      <c r="B1254" s="2">
        <f>HYPERLINK("https://camerareadycosmetics.com/products/inglot-kohl-pencil", "https://camerareadycosmetics.com/products/inglot-kohl-pencil")</f>
        <v/>
      </c>
      <c r="C1254" t="inlineStr">
        <is>
          <t>Inglot Kohl Pencil</t>
        </is>
      </c>
      <c r="D1254" t="inlineStr">
        <is>
          <t>INGLOT Eye Make Up Set SO CHOCOLATE - Brown Mascara, AMC EYELINER GEL 90, KOHL PENCIL 03 and AMC Pure Pigment Eyeshadow PLUS a Eyeliner Brush.</t>
        </is>
      </c>
      <c r="E1254" s="2">
        <f>HYPERLINK("https://www.amazon.com/INGLOT-Eye-Make-Set-CHOCOLATE/dp/B09MMN3H74/ref=sr_1_2?keywords=Inglot+Kohl+Pencil&amp;qid=1695565434&amp;sr=8-2", "https://www.amazon.com/INGLOT-Eye-Make-Set-CHOCOLATE/dp/B09MMN3H74/ref=sr_1_2?keywords=Inglot+Kohl+Pencil&amp;qid=1695565434&amp;sr=8-2")</f>
        <v/>
      </c>
      <c r="F1254" t="inlineStr">
        <is>
          <t>B09MMN3H74</t>
        </is>
      </c>
      <c r="G1254">
        <f>_xlfn.IMAGE("https://camerareadycosmetics.com/cdn/shop/products/15401_zoom_1445460788_50x.jpg?v=1689652109")</f>
        <v/>
      </c>
      <c r="H1254">
        <f>_xlfn.IMAGE("https://m.media-amazon.com/images/I/61DvIZkYoGL._AC_UL320_.jpg")</f>
        <v/>
      </c>
      <c r="K1254" t="inlineStr">
        <is>
          <t>19.0</t>
        </is>
      </c>
      <c r="L1254" t="n">
        <v>46.95</v>
      </c>
      <c r="M1254" s="1" t="inlineStr">
        <is>
          <t>147.11%</t>
        </is>
      </c>
      <c r="N1254" t="n">
        <v>1</v>
      </c>
      <c r="O1254" t="n">
        <v>1</v>
      </c>
      <c r="Q1254" t="inlineStr">
        <is>
          <t>InStock</t>
        </is>
      </c>
      <c r="R1254" t="inlineStr">
        <is>
          <t>undefined</t>
        </is>
      </c>
      <c r="S1254" t="inlineStr">
        <is>
          <t>7047996551</t>
        </is>
      </c>
    </row>
    <row r="1255" ht="75" customHeight="1">
      <c r="A1255" s="2">
        <f>HYPERLINK("https://camerareadycosmetics.com/products/inglot-kohl-pencil", "https://camerareadycosmetics.com/products/inglot-kohl-pencil")</f>
        <v/>
      </c>
      <c r="B1255" s="2">
        <f>HYPERLINK("https://camerareadycosmetics.com/products/inglot-kohl-pencil", "https://camerareadycosmetics.com/products/inglot-kohl-pencil")</f>
        <v/>
      </c>
      <c r="C1255" t="inlineStr">
        <is>
          <t>Inglot Kohl Pencil</t>
        </is>
      </c>
      <c r="D1255" t="inlineStr">
        <is>
          <t>INGLOT Kohl Pencil 01</t>
        </is>
      </c>
      <c r="E1255" s="2">
        <f>HYPERLINK("https://www.amazon.com/Inglot-INGLOT-Kohl-Pencil-01/dp/B07QWBLVTL/ref=sr_1_1?keywords=Inglot+Kohl+Pencil&amp;qid=1695565434&amp;sr=8-1", "https://www.amazon.com/Inglot-INGLOT-Kohl-Pencil-01/dp/B07QWBLVTL/ref=sr_1_1?keywords=Inglot+Kohl+Pencil&amp;qid=1695565434&amp;sr=8-1")</f>
        <v/>
      </c>
      <c r="F1255" t="inlineStr">
        <is>
          <t>B07QWBLVTL</t>
        </is>
      </c>
      <c r="G1255">
        <f>_xlfn.IMAGE("https://camerareadycosmetics.com/cdn/shop/products/15401_zoom_1445460788_50x.jpg?v=1689652109")</f>
        <v/>
      </c>
      <c r="H1255">
        <f>_xlfn.IMAGE("https://m.media-amazon.com/images/I/31-HNpGR+XL._AC_UL320_.jpg")</f>
        <v/>
      </c>
      <c r="K1255" t="inlineStr">
        <is>
          <t>19.0</t>
        </is>
      </c>
      <c r="L1255" t="n">
        <v>16.95</v>
      </c>
      <c r="M1255" s="1" t="inlineStr">
        <is>
          <t>-10.79%</t>
        </is>
      </c>
      <c r="N1255" t="n">
        <v>4.2</v>
      </c>
      <c r="O1255" t="n">
        <v>142</v>
      </c>
      <c r="Q1255" t="inlineStr">
        <is>
          <t>InStock</t>
        </is>
      </c>
      <c r="R1255" t="inlineStr">
        <is>
          <t>undefined</t>
        </is>
      </c>
      <c r="S1255" t="inlineStr">
        <is>
          <t>7047996551</t>
        </is>
      </c>
    </row>
    <row r="1256" ht="75" customHeight="1">
      <c r="A1256" s="2">
        <f>HYPERLINK("https://camerareadycosmetics.com/products/inglot-liquid-eyeliner", "https://camerareadycosmetics.com/products/inglot-liquid-eyeliner")</f>
        <v/>
      </c>
      <c r="B1256" s="2">
        <f>HYPERLINK("https://camerareadycosmetics.com/products/inglot-liquid-eyeliner", "https://camerareadycosmetics.com/products/inglot-liquid-eyeliner")</f>
        <v/>
      </c>
      <c r="C1256" t="inlineStr">
        <is>
          <t>Inglot Liquid Eyeliner</t>
        </is>
      </c>
      <c r="D1256" t="inlineStr">
        <is>
          <t>Inglot LIQUID EYELINER 25 | 4 ml/0.13 US FL OZ</t>
        </is>
      </c>
      <c r="E1256" s="2">
        <f>HYPERLINK("https://www.amazon.com/Inglot-LIQUID-EYELINER-25-Eyeliner/dp/B008EA8T42/ref=sr_1_1?keywords=Inglot+Liquid+Eyeliner&amp;qid=1695565484&amp;sr=8-1", "https://www.amazon.com/Inglot-LIQUID-EYELINER-25-Eyeliner/dp/B008EA8T42/ref=sr_1_1?keywords=Inglot+Liquid+Eyeliner&amp;qid=1695565484&amp;sr=8-1")</f>
        <v/>
      </c>
      <c r="F1256" t="inlineStr">
        <is>
          <t>B008EA8T42</t>
        </is>
      </c>
      <c r="G1256">
        <f>_xlfn.IMAGE("https://camerareadycosmetics.com/cdn/shop/products/14138_zoom_1433786363_50x.jpg?v=1689653606")</f>
        <v/>
      </c>
      <c r="H1256">
        <f>_xlfn.IMAGE("https://m.media-amazon.com/images/I/510PWArGApL._AC_UL320_.jpg")</f>
        <v/>
      </c>
      <c r="K1256" t="inlineStr">
        <is>
          <t>18.0</t>
        </is>
      </c>
      <c r="L1256" t="n">
        <v>13.95</v>
      </c>
      <c r="M1256" s="1" t="inlineStr">
        <is>
          <t>-22.50%</t>
        </is>
      </c>
      <c r="N1256" t="n">
        <v>4.2</v>
      </c>
      <c r="O1256" t="n">
        <v>125</v>
      </c>
      <c r="Q1256" t="inlineStr">
        <is>
          <t>InStock</t>
        </is>
      </c>
      <c r="R1256" t="inlineStr">
        <is>
          <t>undefined</t>
        </is>
      </c>
      <c r="S1256" t="inlineStr">
        <is>
          <t>7048333127</t>
        </is>
      </c>
    </row>
    <row r="1257" ht="75" customHeight="1">
      <c r="A1257" s="2">
        <f>HYPERLINK("https://camerareadycosmetics.com/products/inglot-liquid-eyeliner", "https://camerareadycosmetics.com/products/inglot-liquid-eyeliner")</f>
        <v/>
      </c>
      <c r="B1257" s="2">
        <f>HYPERLINK("https://camerareadycosmetics.com/products/inglot-liquid-eyeliner", "https://camerareadycosmetics.com/products/inglot-liquid-eyeliner")</f>
        <v/>
      </c>
      <c r="C1257" t="inlineStr">
        <is>
          <t>Inglot Liquid Eyeliner</t>
        </is>
      </c>
      <c r="D1257" t="inlineStr">
        <is>
          <t>Inglot Duraline | Eyeliner sealant | Prolong Makeup Durability | Turn any Eyeshadow to Water Resistant Liquid Eyeliner | 9 ml/0.30 US FL OZ</t>
        </is>
      </c>
      <c r="E1257" s="2">
        <f>HYPERLINK("https://www.amazon.com/Inglot-DURALINE/dp/B00GM5VPEM/ref=sr_1_2?keywords=Inglot+Liquid+Eyeliner&amp;qid=1695565484&amp;sr=8-2", "https://www.amazon.com/Inglot-DURALINE/dp/B00GM5VPEM/ref=sr_1_2?keywords=Inglot+Liquid+Eyeliner&amp;qid=1695565484&amp;sr=8-2")</f>
        <v/>
      </c>
      <c r="F1257" t="inlineStr">
        <is>
          <t>B00GM5VPEM</t>
        </is>
      </c>
      <c r="G1257">
        <f>_xlfn.IMAGE("https://camerareadycosmetics.com/cdn/shop/products/14138_zoom_1433786363_50x.jpg?v=1689653606")</f>
        <v/>
      </c>
      <c r="H1257">
        <f>_xlfn.IMAGE("https://m.media-amazon.com/images/I/316pKlvBFhL._AC_UL320_.jpg")</f>
        <v/>
      </c>
      <c r="K1257" t="inlineStr">
        <is>
          <t>18.0</t>
        </is>
      </c>
      <c r="L1257" t="n">
        <v>13.59</v>
      </c>
      <c r="M1257" s="1" t="inlineStr">
        <is>
          <t>-24.50%</t>
        </is>
      </c>
      <c r="N1257" t="n">
        <v>4.6</v>
      </c>
      <c r="O1257" t="n">
        <v>4865</v>
      </c>
      <c r="Q1257" t="inlineStr">
        <is>
          <t>InStock</t>
        </is>
      </c>
      <c r="R1257" t="inlineStr">
        <is>
          <t>undefined</t>
        </is>
      </c>
      <c r="S1257" t="inlineStr">
        <is>
          <t>7048333127</t>
        </is>
      </c>
    </row>
    <row r="1258" ht="75" customHeight="1">
      <c r="A1258" s="2">
        <f>HYPERLINK("https://camerareadycosmetics.com/products/inglot-makeup-fixer-spray", "https://camerareadycosmetics.com/products/inglot-makeup-fixer-spray")</f>
        <v/>
      </c>
      <c r="B1258" s="2">
        <f>HYPERLINK("https://camerareadycosmetics.com/products/inglot-makeup-fixer-spray", "https://camerareadycosmetics.com/products/inglot-makeup-fixer-spray")</f>
        <v/>
      </c>
      <c r="C1258" t="inlineStr">
        <is>
          <t>Inglot Makeup Fixer Spray</t>
        </is>
      </c>
      <c r="D1258" t="inlineStr">
        <is>
          <t>Inglot Makeup Fixer for Long Lasting Wear: Keep Makeup Looking Fresh</t>
        </is>
      </c>
      <c r="E1258" s="2">
        <f>HYPERLINK("https://www.amazon.com/Inglot-Makeup-Fixer-150-5-1/dp/B016PYXX0S/ref=sr_1_1?keywords=Inglot+Makeup+Fixer+Spray&amp;qid=1695565555&amp;sr=8-1", "https://www.amazon.com/Inglot-Makeup-Fixer-150-5-1/dp/B016PYXX0S/ref=sr_1_1?keywords=Inglot+Makeup+Fixer+Spray&amp;qid=1695565555&amp;sr=8-1")</f>
        <v/>
      </c>
      <c r="F1258" t="inlineStr">
        <is>
          <t>B016PYXX0S</t>
        </is>
      </c>
      <c r="G1258">
        <f>_xlfn.IMAGE("https://camerareadycosmetics.com/cdn/shop/products/Fixer_Spray__50266.1433440984.600.600_50x.jpeg?v=1689652162")</f>
        <v/>
      </c>
      <c r="H1258">
        <f>_xlfn.IMAGE("https://m.media-amazon.com/images/I/61L6uR+djTL._AC_UL320_.jpg")</f>
        <v/>
      </c>
      <c r="K1258" t="inlineStr">
        <is>
          <t>25.0</t>
        </is>
      </c>
      <c r="L1258" t="n">
        <v>12.83</v>
      </c>
      <c r="M1258" s="1" t="inlineStr">
        <is>
          <t>-48.68%</t>
        </is>
      </c>
      <c r="N1258" t="n">
        <v>4.4</v>
      </c>
      <c r="O1258" t="n">
        <v>8</v>
      </c>
      <c r="Q1258" t="inlineStr">
        <is>
          <t>InStock</t>
        </is>
      </c>
      <c r="R1258" t="inlineStr">
        <is>
          <t>undefined</t>
        </is>
      </c>
      <c r="S1258" t="inlineStr">
        <is>
          <t>7048006919</t>
        </is>
      </c>
    </row>
    <row r="1259" ht="75" customHeight="1">
      <c r="A1259" s="2">
        <f>HYPERLINK("https://camerareadycosmetics.com/products/inglot-makeup-fixer-spray", "https://camerareadycosmetics.com/products/inglot-makeup-fixer-spray")</f>
        <v/>
      </c>
      <c r="B1259" s="2">
        <f>HYPERLINK("https://camerareadycosmetics.com/products/inglot-makeup-fixer-spray", "https://camerareadycosmetics.com/products/inglot-makeup-fixer-spray")</f>
        <v/>
      </c>
      <c r="C1259" t="inlineStr">
        <is>
          <t>Inglot Makeup Fixer Spray</t>
        </is>
      </c>
      <c r="D1259" t="inlineStr">
        <is>
          <t>Inglot Makeup Fixer for Long Lasting Wear: Keep Makeup Looking Fresh</t>
        </is>
      </c>
      <c r="E1259" s="2">
        <f>HYPERLINK("https://www.amazon.com/Inglot-Makeup-Fixer-150-5-1/dp/B016PYXX0S/ref=sr_1_1?keywords=Inglot+Makeup+Fixer+Spray&amp;qid=1695565555&amp;sr=8-1", "https://www.amazon.com/Inglot-Makeup-Fixer-150-5-1/dp/B016PYXX0S/ref=sr_1_1?keywords=Inglot+Makeup+Fixer+Spray&amp;qid=1695565555&amp;sr=8-1")</f>
        <v/>
      </c>
      <c r="F1259" t="inlineStr">
        <is>
          <t>B016PYXX0S</t>
        </is>
      </c>
      <c r="G1259">
        <f>_xlfn.IMAGE("https://camerareadycosmetics.com/cdn/shop/products/Fixer_Spray__50266.1433440984.600.600_50x.jpeg?v=1689652162")</f>
        <v/>
      </c>
      <c r="H1259">
        <f>_xlfn.IMAGE("https://m.media-amazon.com/images/I/61L6uR+djTL._AC_UL320_.jpg")</f>
        <v/>
      </c>
      <c r="K1259" t="inlineStr">
        <is>
          <t>25.0</t>
        </is>
      </c>
      <c r="L1259" t="n">
        <v>12.83</v>
      </c>
      <c r="M1259" s="1" t="inlineStr">
        <is>
          <t>-48.68%</t>
        </is>
      </c>
      <c r="N1259" t="n">
        <v>4.4</v>
      </c>
      <c r="O1259" t="n">
        <v>8</v>
      </c>
      <c r="Q1259" t="inlineStr">
        <is>
          <t>InStock</t>
        </is>
      </c>
      <c r="R1259" t="inlineStr">
        <is>
          <t>undefined</t>
        </is>
      </c>
      <c r="S1259" t="inlineStr">
        <is>
          <t>7048006919</t>
        </is>
      </c>
    </row>
    <row r="1260" ht="75" customHeight="1">
      <c r="A1260" s="2">
        <f>HYPERLINK("https://camerareadycosmetics.com/products/inglot-makeup-set-for-lips-nude-kiss", "https://camerareadycosmetics.com/products/inglot-makeup-set-for-lips-nude-kiss")</f>
        <v/>
      </c>
      <c r="B1260" s="2">
        <f>HYPERLINK("https://camerareadycosmetics.com/products/inglot-makeup-set-for-lips-nude-kiss", "https://camerareadycosmetics.com/products/inglot-makeup-set-for-lips-nude-kiss")</f>
        <v/>
      </c>
      <c r="C1260" t="inlineStr">
        <is>
          <t>Inglot Makeup Set for Lips - Nude Kiss</t>
        </is>
      </c>
      <c r="D1260" t="inlineStr">
        <is>
          <t>Charm Kiss Lip Liner and Lipstick Makeup Set,Matte Lipstick with Matching Lip Liner,Gloss Long-Lasting Non-Stick Cup,Not Fade Waterproof Nude Velvety Lipstick Makeup Kit (08#)</t>
        </is>
      </c>
      <c r="E1260" s="2">
        <f>HYPERLINK("https://www.amazon.com/Charm-Kiss-Long-Lasting-Non-Stick-Waterproof/dp/B0BZD4NX37/ref=sr_1_2?keywords=Inglot+Makeup+Set+for+Lips+-+Nude+Kiss&amp;qid=1695565737&amp;sr=8-2", "https://www.amazon.com/Charm-Kiss-Long-Lasting-Non-Stick-Waterproof/dp/B0BZD4NX37/ref=sr_1_2?keywords=Inglot+Makeup+Set+for+Lips+-+Nude+Kiss&amp;qid=1695565737&amp;sr=8-2")</f>
        <v/>
      </c>
      <c r="F1260" t="inlineStr">
        <is>
          <t>B0BZD4NX37</t>
        </is>
      </c>
      <c r="G1260">
        <f>_xlfn.IMAGE("https://camerareadycosmetics.com/cdn/shop/products/makeup-set-for-lips-nude-kiss_2_50x.jpg?v=1641857785")</f>
        <v/>
      </c>
      <c r="H1260">
        <f>_xlfn.IMAGE("https://m.media-amazon.com/images/I/517rQsVNcnL._AC_UL320_.jpg")</f>
        <v/>
      </c>
      <c r="K1260" t="inlineStr">
        <is>
          <t>30.0</t>
        </is>
      </c>
      <c r="L1260" t="n">
        <v>5.98</v>
      </c>
      <c r="M1260" s="1" t="inlineStr">
        <is>
          <t>-80.07%</t>
        </is>
      </c>
      <c r="N1260" t="n">
        <v>3.3</v>
      </c>
      <c r="O1260" t="n">
        <v>20</v>
      </c>
      <c r="Q1260" t="inlineStr">
        <is>
          <t>OutOfStock</t>
        </is>
      </c>
      <c r="R1260" t="inlineStr">
        <is>
          <t>undefined</t>
        </is>
      </c>
      <c r="S1260" t="inlineStr">
        <is>
          <t>4397705625711</t>
        </is>
      </c>
    </row>
    <row r="1261" ht="75" customHeight="1">
      <c r="A1261" s="2">
        <f>HYPERLINK("https://camerareadycosmetics.com/products/inglot-makeup-set-for-lips-nude-kiss", "https://camerareadycosmetics.com/products/inglot-makeup-set-for-lips-nude-kiss")</f>
        <v/>
      </c>
      <c r="B1261" s="2">
        <f>HYPERLINK("https://camerareadycosmetics.com/products/inglot-makeup-set-for-lips-nude-kiss", "https://camerareadycosmetics.com/products/inglot-makeup-set-for-lips-nude-kiss")</f>
        <v/>
      </c>
      <c r="C1261" t="inlineStr">
        <is>
          <t>Inglot Makeup Set for Lips - Nude Kiss</t>
        </is>
      </c>
      <c r="D1261" t="inlineStr">
        <is>
          <t>Charm Kiss Lip Liner and Lipstick Makeup Set,Matte Lipstick with Matching Lip Liner,Gloss Long-Lasting Non-Stick Cup,Not Fade Waterproof Nude Velvety Lipstick Makeup Kit (08#)</t>
        </is>
      </c>
      <c r="E1261" s="2">
        <f>HYPERLINK("https://www.amazon.com/Charm-Kiss-Long-Lasting-Non-Stick-Waterproof/dp/B0BZD4NX37/ref=sr_1_2?keywords=Inglot+Makeup+Set+for+Lips+-+Nude+Kiss&amp;qid=1695565737&amp;sr=8-2", "https://www.amazon.com/Charm-Kiss-Long-Lasting-Non-Stick-Waterproof/dp/B0BZD4NX37/ref=sr_1_2?keywords=Inglot+Makeup+Set+for+Lips+-+Nude+Kiss&amp;qid=1695565737&amp;sr=8-2")</f>
        <v/>
      </c>
      <c r="F1261" t="inlineStr">
        <is>
          <t>B0BZD4NX37</t>
        </is>
      </c>
      <c r="G1261">
        <f>_xlfn.IMAGE("https://camerareadycosmetics.com/cdn/shop/products/makeup-set-for-lips-nude-kiss_2_50x.jpg?v=1641857785")</f>
        <v/>
      </c>
      <c r="H1261">
        <f>_xlfn.IMAGE("https://m.media-amazon.com/images/I/517rQsVNcnL._AC_UL320_.jpg")</f>
        <v/>
      </c>
      <c r="K1261" t="inlineStr">
        <is>
          <t>30.0</t>
        </is>
      </c>
      <c r="L1261" t="n">
        <v>5.98</v>
      </c>
      <c r="M1261" s="1" t="inlineStr">
        <is>
          <t>-80.07%</t>
        </is>
      </c>
      <c r="N1261" t="n">
        <v>3.3</v>
      </c>
      <c r="O1261" t="n">
        <v>20</v>
      </c>
      <c r="Q1261" t="inlineStr">
        <is>
          <t>OutOfStock</t>
        </is>
      </c>
      <c r="R1261" t="inlineStr">
        <is>
          <t>undefined</t>
        </is>
      </c>
      <c r="S1261" t="inlineStr">
        <is>
          <t>4397705625711</t>
        </is>
      </c>
    </row>
    <row r="1262" ht="75" customHeight="1">
      <c r="A1262" s="2">
        <f>HYPERLINK("https://camerareadycosmetics.com/products/inglot-mattifying-under-makeup-base", "https://camerareadycosmetics.com/products/inglot-mattifying-under-makeup-base")</f>
        <v/>
      </c>
      <c r="B1262" s="2">
        <f>HYPERLINK("https://camerareadycosmetics.com/products/inglot-mattifying-under-makeup-base", "https://camerareadycosmetics.com/products/inglot-mattifying-under-makeup-base")</f>
        <v/>
      </c>
      <c r="C1262" t="inlineStr">
        <is>
          <t>Inglot Mattifying Under Makeup Base</t>
        </is>
      </c>
      <c r="D1262" t="inlineStr">
        <is>
          <t>Inglot UNDER MAKEUP BASE PRO | 30 ml/1 US FL OZ</t>
        </is>
      </c>
      <c r="E1262" s="2">
        <f>HYPERLINK("https://www.amazon.com/INGLOT-UNDER-MAKEUP-BASE-PRO/dp/B00VXDBUOS/ref=sr_1_1?keywords=Inglot+Mattifying+Under+Makeup+Base&amp;qid=1695565612&amp;sr=8-1", "https://www.amazon.com/INGLOT-UNDER-MAKEUP-BASE-PRO/dp/B00VXDBUOS/ref=sr_1_1?keywords=Inglot+Mattifying+Under+Makeup+Base&amp;qid=1695565612&amp;sr=8-1")</f>
        <v/>
      </c>
      <c r="F1262" t="inlineStr">
        <is>
          <t>B00VXDBUOS</t>
        </is>
      </c>
      <c r="G1262">
        <f>_xlfn.IMAGE("https://camerareadycosmetics.com/cdn/shop/products/mattifying_under_makeup_base_a__56491.1433785584.600.600_50x.jpeg?v=1689654205")</f>
        <v/>
      </c>
      <c r="H1262">
        <f>_xlfn.IMAGE("https://m.media-amazon.com/images/I/61orGsVteDS._AC_UL320_.jpg")</f>
        <v/>
      </c>
      <c r="K1262" t="inlineStr">
        <is>
          <t>30.0</t>
        </is>
      </c>
      <c r="L1262" t="n">
        <v>19.2</v>
      </c>
      <c r="M1262" s="1" t="inlineStr">
        <is>
          <t>-36.00%</t>
        </is>
      </c>
      <c r="N1262" t="n">
        <v>4.7</v>
      </c>
      <c r="O1262" t="n">
        <v>27</v>
      </c>
      <c r="Q1262" t="inlineStr">
        <is>
          <t>InStock</t>
        </is>
      </c>
      <c r="R1262" t="inlineStr">
        <is>
          <t>30.0</t>
        </is>
      </c>
      <c r="S1262" t="inlineStr">
        <is>
          <t>7048690503</t>
        </is>
      </c>
    </row>
    <row r="1263" ht="75" customHeight="1">
      <c r="A1263" s="2">
        <f>HYPERLINK("https://camerareadycosmetics.com/products/inglot-playinn-soap-brow", "https://camerareadycosmetics.com/products/inglot-playinn-soap-brow")</f>
        <v/>
      </c>
      <c r="B1263" s="2">
        <f>HYPERLINK("https://camerareadycosmetics.com/products/inglot-playinn-soap-brow", "https://camerareadycosmetics.com/products/inglot-playinn-soap-brow")</f>
        <v/>
      </c>
      <c r="C1263" t="inlineStr">
        <is>
          <t>Inglot PLAYINN Soap Brow</t>
        </is>
      </c>
      <c r="D1263" t="inlineStr">
        <is>
          <t>Inglot Soap Brow Clear Eyebrow Makeup</t>
        </is>
      </c>
      <c r="E1263" s="2">
        <f>HYPERLINK("https://www.amazon.com/INGLOT-PLAYINN-Soap-Brow-30ml/dp/B0B6G427CT/ref=sr_1_1?keywords=inglot+playing+soap+brow&amp;qid=1695565582&amp;sr=8-1", "https://www.amazon.com/INGLOT-PLAYINN-Soap-Brow-30ml/dp/B0B6G427CT/ref=sr_1_1?keywords=inglot+playing+soap+brow&amp;qid=1695565582&amp;sr=8-1")</f>
        <v/>
      </c>
      <c r="F1263" t="inlineStr">
        <is>
          <t>B0B6G427CT</t>
        </is>
      </c>
      <c r="G1263">
        <f>_xlfn.IMAGE("https://camerareadycosmetics.com/cdn/shop/products/inglot-playinn-soap-brow_50x.jpg?v=1662669764")</f>
        <v/>
      </c>
      <c r="H1263">
        <f>_xlfn.IMAGE("https://m.media-amazon.com/images/I/71KMvBkTI-L._AC_UL320_.jpg")</f>
        <v/>
      </c>
      <c r="K1263" t="inlineStr">
        <is>
          <t>12.0</t>
        </is>
      </c>
      <c r="L1263" t="n">
        <v>12</v>
      </c>
      <c r="M1263" s="1" t="inlineStr">
        <is>
          <t>0.00%</t>
        </is>
      </c>
      <c r="N1263" t="n">
        <v>5</v>
      </c>
      <c r="O1263" t="n">
        <v>3</v>
      </c>
      <c r="Q1263" t="inlineStr">
        <is>
          <t>InStock</t>
        </is>
      </c>
      <c r="R1263" t="inlineStr">
        <is>
          <t>undefined</t>
        </is>
      </c>
      <c r="S1263" t="inlineStr">
        <is>
          <t>7483888697529</t>
        </is>
      </c>
    </row>
    <row r="1264" ht="75" customHeight="1">
      <c r="A1264" s="2">
        <f>HYPERLINK("https://camerareadycosmetics.com/products/inglot-soft-precision-lipliner", "https://camerareadycosmetics.com/products/inglot-soft-precision-lipliner")</f>
        <v/>
      </c>
      <c r="B1264" s="2">
        <f>HYPERLINK("https://camerareadycosmetics.com/products/inglot-soft-precision-lipliner", "https://camerareadycosmetics.com/products/inglot-soft-precision-lipliner")</f>
        <v/>
      </c>
      <c r="C1264" t="inlineStr">
        <is>
          <t>Inglot Soft Precision Lipliner</t>
        </is>
      </c>
      <c r="D1264" t="inlineStr">
        <is>
          <t>Inglot SOFT PRECISION LIPLINER 56 | 1.13 g/0.04 US OZ</t>
        </is>
      </c>
      <c r="E1264" s="2">
        <f>HYPERLINK("https://www.amazon.com/Inglot-SOFT-PRECISION-LIPLINER-1-13/dp/B07DR4Z6KB/ref=sr_1_1?keywords=Inglot+Soft+Precision+Lipliner&amp;qid=1695565565&amp;sr=8-1", "https://www.amazon.com/Inglot-SOFT-PRECISION-LIPLINER-1-13/dp/B07DR4Z6KB/ref=sr_1_1?keywords=Inglot+Soft+Precision+Lipliner&amp;qid=1695565565&amp;sr=8-1")</f>
        <v/>
      </c>
      <c r="F1264" t="inlineStr">
        <is>
          <t>B07DR4Z6KB</t>
        </is>
      </c>
      <c r="G1264">
        <f>_xlfn.IMAGE("https://camerareadycosmetics.com/cdn/shop/products/13282_zoom_1433515759_50x.jpg?v=1689651968")</f>
        <v/>
      </c>
      <c r="H1264">
        <f>_xlfn.IMAGE("https://m.media-amazon.com/images/I/41+t+SRPdPL._AC_UL320_.jpg")</f>
        <v/>
      </c>
      <c r="K1264" t="inlineStr">
        <is>
          <t>17.0</t>
        </is>
      </c>
      <c r="L1264" t="n">
        <v>11.99</v>
      </c>
      <c r="M1264" s="1" t="inlineStr">
        <is>
          <t>-29.47%</t>
        </is>
      </c>
      <c r="N1264" t="n">
        <v>5</v>
      </c>
      <c r="O1264" t="n">
        <v>6</v>
      </c>
      <c r="Q1264" t="inlineStr">
        <is>
          <t>InStock</t>
        </is>
      </c>
      <c r="R1264" t="inlineStr">
        <is>
          <t>undefined</t>
        </is>
      </c>
      <c r="S1264" t="inlineStr">
        <is>
          <t>7047942983</t>
        </is>
      </c>
    </row>
    <row r="1265" ht="75" customHeight="1">
      <c r="A1265" s="2">
        <f>HYPERLINK("https://camerareadycosmetics.com/products/inglot-under-makeup-base-30-ml", "https://camerareadycosmetics.com/products/inglot-under-makeup-base-30-ml")</f>
        <v/>
      </c>
      <c r="B1265" s="2">
        <f>HYPERLINK("https://camerareadycosmetics.com/products/inglot-under-makeup-base-30-ml", "https://camerareadycosmetics.com/products/inglot-under-makeup-base-30-ml")</f>
        <v/>
      </c>
      <c r="C1265" t="inlineStr">
        <is>
          <t>Inglot Under Makeup Base 30 ml</t>
        </is>
      </c>
      <c r="D1265" t="inlineStr">
        <is>
          <t>Inglot UNDER MAKEUP BASE PRO | 30 ml/1 US FL OZ</t>
        </is>
      </c>
      <c r="E1265" s="2">
        <f>HYPERLINK("https://www.amazon.com/INGLOT-UNDER-MAKEUP-BASE-PRO/dp/B00VXDBUOS/ref=sr_1_2?keywords=Inglot+Under+Makeup+Base+30+ml&amp;qid=1695565679&amp;sr=8-2", "https://www.amazon.com/INGLOT-UNDER-MAKEUP-BASE-PRO/dp/B00VXDBUOS/ref=sr_1_2?keywords=Inglot+Under+Makeup+Base+30+ml&amp;qid=1695565679&amp;sr=8-2")</f>
        <v/>
      </c>
      <c r="F1265" t="inlineStr">
        <is>
          <t>B00VXDBUOS</t>
        </is>
      </c>
      <c r="G1265">
        <f>_xlfn.IMAGE("https://camerareadycosmetics.com/cdn/shop/products/Under_Makeup_Base_1__42051.1433441859.600.600_50x.jpeg?v=1689652169")</f>
        <v/>
      </c>
      <c r="H1265">
        <f>_xlfn.IMAGE("https://m.media-amazon.com/images/I/61orGsVteDS._AC_UL320_.jpg")</f>
        <v/>
      </c>
      <c r="K1265" t="inlineStr">
        <is>
          <t>28.0</t>
        </is>
      </c>
      <c r="L1265" t="n">
        <v>19.2</v>
      </c>
      <c r="M1265" s="1" t="inlineStr">
        <is>
          <t>-31.43%</t>
        </is>
      </c>
      <c r="N1265" t="n">
        <v>4.7</v>
      </c>
      <c r="O1265" t="n">
        <v>27</v>
      </c>
      <c r="Q1265" t="inlineStr">
        <is>
          <t>InStock</t>
        </is>
      </c>
      <c r="R1265" t="inlineStr">
        <is>
          <t>undefined</t>
        </is>
      </c>
      <c r="S1265" t="inlineStr">
        <is>
          <t>7048008455</t>
        </is>
      </c>
    </row>
    <row r="1266" ht="75" customHeight="1">
      <c r="A1266" s="2">
        <f>HYPERLINK("https://camerareadycosmetics.com/products/jason-wu-beauty-highlighter-trio", "https://camerareadycosmetics.com/products/jason-wu-beauty-highlighter-trio")</f>
        <v/>
      </c>
      <c r="B1266" s="2">
        <f>HYPERLINK("https://camerareadycosmetics.com/products/jason-wu-beauty-highlighter-trio", "https://camerareadycosmetics.com/products/jason-wu-beauty-highlighter-trio")</f>
        <v/>
      </c>
      <c r="C1266" t="inlineStr">
        <is>
          <t>Highlighter Trio</t>
        </is>
      </c>
      <c r="D1266" t="inlineStr">
        <is>
          <t>Ogee Face Stick Trio - Contour Stick Makeup Collection - Certified Organic Bronzer, Blush Stick, and Highlighter Stick for a Flawless Look</t>
        </is>
      </c>
      <c r="E1266" s="2">
        <f>HYPERLINK("https://www.amazon.com/Ogee-Sculpted-Crystal-Contour-Collection/dp/B0B57D3V1F/ref=sr_1_9?keywords=Highlighter+Trio&amp;qid=1695565837&amp;sr=8-9", "https://www.amazon.com/Ogee-Sculpted-Crystal-Contour-Collection/dp/B0B57D3V1F/ref=sr_1_9?keywords=Highlighter+Trio&amp;qid=1695565837&amp;sr=8-9")</f>
        <v/>
      </c>
      <c r="F1266" t="inlineStr">
        <is>
          <t>B0B57D3V1F</t>
        </is>
      </c>
      <c r="G1266">
        <f>_xlfn.IMAGE("https://camerareadycosmetics.com/cdn/shop/products/Highlight_box_1200x1200_Jason-Wu_50x.jpg?v=1650319003")</f>
        <v/>
      </c>
      <c r="H1266">
        <f>_xlfn.IMAGE("https://m.media-amazon.com/images/I/61LjslT5Z5L._AC_UL320_.jpg")</f>
        <v/>
      </c>
      <c r="K1266" t="inlineStr">
        <is>
          <t>16.0</t>
        </is>
      </c>
      <c r="L1266" t="n">
        <v>138</v>
      </c>
      <c r="M1266" s="1" t="inlineStr">
        <is>
          <t>762.50%</t>
        </is>
      </c>
      <c r="N1266" t="n">
        <v>4.3</v>
      </c>
      <c r="O1266" t="n">
        <v>1120</v>
      </c>
      <c r="Q1266" t="inlineStr">
        <is>
          <t>InStock</t>
        </is>
      </c>
      <c r="R1266" t="inlineStr">
        <is>
          <t>undefined</t>
        </is>
      </c>
      <c r="S1266" t="inlineStr">
        <is>
          <t>7294040015033</t>
        </is>
      </c>
    </row>
    <row r="1267" ht="75" customHeight="1">
      <c r="A1267" s="2">
        <f>HYPERLINK("https://camerareadycosmetics.com/products/jason-wu-beauty-highlighter-trio", "https://camerareadycosmetics.com/products/jason-wu-beauty-highlighter-trio")</f>
        <v/>
      </c>
      <c r="B1267" s="2">
        <f>HYPERLINK("https://camerareadycosmetics.com/products/jason-wu-beauty-highlighter-trio", "https://camerareadycosmetics.com/products/jason-wu-beauty-highlighter-trio")</f>
        <v/>
      </c>
      <c r="C1267" t="inlineStr">
        <is>
          <t>Highlighter Trio</t>
        </is>
      </c>
      <c r="D1267" t="inlineStr">
        <is>
          <t>Kaja 3-in-1 Blendable Sculpting Trio - Play Bento | with Mango Seed Butter, Cream Bronzer, Powder Blush, and Highlighter, 01 Butter Up</t>
        </is>
      </c>
      <c r="E1267" s="2">
        <f>HYPERLINK("https://www.amazon.com/Bronzer-Highlighter-Sculpting-K-Beauty-Cruelty/dp/B08Y66FC82/ref=sr_1_1?keywords=Highlighter+Trio&amp;qid=1695565837&amp;sr=8-1", "https://www.amazon.com/Bronzer-Highlighter-Sculpting-K-Beauty-Cruelty/dp/B08Y66FC82/ref=sr_1_1?keywords=Highlighter+Trio&amp;qid=1695565837&amp;sr=8-1")</f>
        <v/>
      </c>
      <c r="F1267" t="inlineStr">
        <is>
          <t>B08Y66FC82</t>
        </is>
      </c>
      <c r="G1267">
        <f>_xlfn.IMAGE("https://camerareadycosmetics.com/cdn/shop/products/Highlight_box_1200x1200_Jason-Wu_50x.jpg?v=1650319003")</f>
        <v/>
      </c>
      <c r="H1267">
        <f>_xlfn.IMAGE("https://m.media-amazon.com/images/I/716lMnW+w8L._AC_UL320_.jpg")</f>
        <v/>
      </c>
      <c r="K1267" t="inlineStr">
        <is>
          <t>16.0</t>
        </is>
      </c>
      <c r="L1267" t="n">
        <v>28</v>
      </c>
      <c r="M1267" s="1" t="inlineStr">
        <is>
          <t>75.00%</t>
        </is>
      </c>
      <c r="N1267" t="n">
        <v>4.3</v>
      </c>
      <c r="O1267" t="n">
        <v>254</v>
      </c>
      <c r="Q1267" t="inlineStr">
        <is>
          <t>InStock</t>
        </is>
      </c>
      <c r="R1267" t="inlineStr">
        <is>
          <t>undefined</t>
        </is>
      </c>
      <c r="S1267" t="inlineStr">
        <is>
          <t>7294040015033</t>
        </is>
      </c>
    </row>
    <row r="1268" ht="75" customHeight="1">
      <c r="A1268" s="2">
        <f>HYPERLINK("https://camerareadycosmetics.com/products/jason-wu-beauty-highlighter-trio", "https://camerareadycosmetics.com/products/jason-wu-beauty-highlighter-trio")</f>
        <v/>
      </c>
      <c r="B1268" s="2">
        <f>HYPERLINK("https://camerareadycosmetics.com/products/jason-wu-beauty-highlighter-trio", "https://camerareadycosmetics.com/products/jason-wu-beauty-highlighter-trio")</f>
        <v/>
      </c>
      <c r="C1268" t="inlineStr">
        <is>
          <t>Highlighter Trio</t>
        </is>
      </c>
      <c r="D1268" t="inlineStr">
        <is>
          <t>Belor Design Sculpting Trio Contour&amp;Highlighter&amp;Blush 10.9 g 3 in 1 Cosmetic Professional Powder Palette (Tone 1 Warm)</t>
        </is>
      </c>
      <c r="E1268" s="2">
        <f>HYPERLINK("https://www.amazon.com/BelorDesign-Sculpting-Highlighter-Cosmetic-Professional/dp/B08264PN6F/ref=sr_1_10?keywords=Highlighter+Trio&amp;qid=1695565837&amp;sr=8-10", "https://www.amazon.com/BelorDesign-Sculpting-Highlighter-Cosmetic-Professional/dp/B08264PN6F/ref=sr_1_10?keywords=Highlighter+Trio&amp;qid=1695565837&amp;sr=8-10")</f>
        <v/>
      </c>
      <c r="F1268" t="inlineStr">
        <is>
          <t>B08264PN6F</t>
        </is>
      </c>
      <c r="G1268">
        <f>_xlfn.IMAGE("https://camerareadycosmetics.com/cdn/shop/products/Highlight_box_1200x1200_Jason-Wu_50x.jpg?v=1650319003")</f>
        <v/>
      </c>
      <c r="H1268">
        <f>_xlfn.IMAGE("https://m.media-amazon.com/images/I/51ET-DKZptL._AC_UL320_.jpg")</f>
        <v/>
      </c>
      <c r="K1268" t="inlineStr">
        <is>
          <t>16.0</t>
        </is>
      </c>
      <c r="L1268" t="n">
        <v>14.99</v>
      </c>
      <c r="M1268" s="1" t="inlineStr">
        <is>
          <t>-6.31%</t>
        </is>
      </c>
      <c r="N1268" t="n">
        <v>3.3</v>
      </c>
      <c r="O1268" t="n">
        <v>7</v>
      </c>
      <c r="Q1268" t="inlineStr">
        <is>
          <t>InStock</t>
        </is>
      </c>
      <c r="R1268" t="inlineStr">
        <is>
          <t>undefined</t>
        </is>
      </c>
      <c r="S1268" t="inlineStr">
        <is>
          <t>7294040015033</t>
        </is>
      </c>
    </row>
    <row r="1269" ht="75" customHeight="1">
      <c r="A1269" s="2">
        <f>HYPERLINK("https://camerareadycosmetics.com/products/jason-wu-beauty-highlighter-trio", "https://camerareadycosmetics.com/products/jason-wu-beauty-highlighter-trio")</f>
        <v/>
      </c>
      <c r="B1269" s="2">
        <f>HYPERLINK("https://camerareadycosmetics.com/products/jason-wu-beauty-highlighter-trio", "https://camerareadycosmetics.com/products/jason-wu-beauty-highlighter-trio")</f>
        <v/>
      </c>
      <c r="C1269" t="inlineStr">
        <is>
          <t>Highlighter Trio</t>
        </is>
      </c>
      <c r="D1269" t="inlineStr">
        <is>
          <t>FARMASI Makeup Face Palette, Trio Eyeshadow, Long Lasting Face Sculpting, Shimmer Illuminator, Blush and Highlighter Powder, Glow Contour Shadow Bronzer, All Skin Types, 0.52 oz. / 15 g (Peach Bite Palette)</t>
        </is>
      </c>
      <c r="E1269" s="2">
        <f>HYPERLINK("https://www.amazon.com/FARMASi-Eyeshadow-Sculpting-Illuminator-Highlighter/dp/B07YBN3YQP/ref=sr_1_2?keywords=Highlighter+Trio&amp;qid=1695565837&amp;sr=8-2", "https://www.amazon.com/FARMASi-Eyeshadow-Sculpting-Illuminator-Highlighter/dp/B07YBN3YQP/ref=sr_1_2?keywords=Highlighter+Trio&amp;qid=1695565837&amp;sr=8-2")</f>
        <v/>
      </c>
      <c r="F1269" t="inlineStr">
        <is>
          <t>B07YBN3YQP</t>
        </is>
      </c>
      <c r="G1269">
        <f>_xlfn.IMAGE("https://camerareadycosmetics.com/cdn/shop/products/Highlight_box_1200x1200_Jason-Wu_50x.jpg?v=1650319003")</f>
        <v/>
      </c>
      <c r="H1269">
        <f>_xlfn.IMAGE("https://m.media-amazon.com/images/I/513U0L2KGYL._AC_UL320_.jpg")</f>
        <v/>
      </c>
      <c r="K1269" t="inlineStr">
        <is>
          <t>16.0</t>
        </is>
      </c>
      <c r="L1269" t="n">
        <v>13</v>
      </c>
      <c r="M1269" s="1" t="inlineStr">
        <is>
          <t>-18.75%</t>
        </is>
      </c>
      <c r="N1269" t="n">
        <v>4.4</v>
      </c>
      <c r="O1269" t="n">
        <v>151</v>
      </c>
      <c r="Q1269" t="inlineStr">
        <is>
          <t>InStock</t>
        </is>
      </c>
      <c r="R1269" t="inlineStr">
        <is>
          <t>undefined</t>
        </is>
      </c>
      <c r="S1269" t="inlineStr">
        <is>
          <t>7294040015033</t>
        </is>
      </c>
    </row>
    <row r="1270" ht="75" customHeight="1">
      <c r="A1270" s="2">
        <f>HYPERLINK("https://camerareadycosmetics.com/products/jason-wu-beauty-highlighter-trio", "https://camerareadycosmetics.com/products/jason-wu-beauty-highlighter-trio")</f>
        <v/>
      </c>
      <c r="B1270" s="2">
        <f>HYPERLINK("https://camerareadycosmetics.com/products/jason-wu-beauty-highlighter-trio", "https://camerareadycosmetics.com/products/jason-wu-beauty-highlighter-trio")</f>
        <v/>
      </c>
      <c r="C1270" t="inlineStr">
        <is>
          <t>Highlighter Trio</t>
        </is>
      </c>
      <c r="D1270" t="inlineStr">
        <is>
          <t>Paminify Contour Beauty Wand,Liquid Highlighter Wand,Blush Wand Trio with Cushion Applicator,Nourishing Illuminator,Bronzer Contouring Stick,Cruelty-free,Fair Contour+Pink Blush+Pearl White Highlight</t>
        </is>
      </c>
      <c r="E1270" s="2">
        <f>HYPERLINK("https://www.amazon.com/Highlighter-Applicator-Nourishing-Illuminator-Cruelty-free/dp/B0BY83LCNX/ref=sr_1_8?keywords=Highlighter+Trio&amp;qid=1695565837&amp;sr=8-8", "https://www.amazon.com/Highlighter-Applicator-Nourishing-Illuminator-Cruelty-free/dp/B0BY83LCNX/ref=sr_1_8?keywords=Highlighter+Trio&amp;qid=1695565837&amp;sr=8-8")</f>
        <v/>
      </c>
      <c r="F1270" t="inlineStr">
        <is>
          <t>B0BY83LCNX</t>
        </is>
      </c>
      <c r="G1270">
        <f>_xlfn.IMAGE("https://camerareadycosmetics.com/cdn/shop/products/Highlight_box_1200x1200_Jason-Wu_50x.jpg?v=1650319003")</f>
        <v/>
      </c>
      <c r="H1270">
        <f>_xlfn.IMAGE("https://m.media-amazon.com/images/I/71C3pqXOWJL._AC_UL320_.jpg")</f>
        <v/>
      </c>
      <c r="K1270" t="inlineStr">
        <is>
          <t>16.0</t>
        </is>
      </c>
      <c r="L1270" t="n">
        <v>11.98</v>
      </c>
      <c r="M1270" s="1" t="inlineStr">
        <is>
          <t>-25.12%</t>
        </is>
      </c>
      <c r="N1270" t="n">
        <v>3.6</v>
      </c>
      <c r="O1270" t="n">
        <v>682</v>
      </c>
      <c r="Q1270" t="inlineStr">
        <is>
          <t>InStock</t>
        </is>
      </c>
      <c r="R1270" t="inlineStr">
        <is>
          <t>undefined</t>
        </is>
      </c>
      <c r="S1270" t="inlineStr">
        <is>
          <t>7294040015033</t>
        </is>
      </c>
    </row>
    <row r="1271" ht="75" customHeight="1">
      <c r="A1271" s="2">
        <f>HYPERLINK("https://camerareadycosmetics.com/products/jason-wu-beauty-highlighter-trio", "https://camerareadycosmetics.com/products/jason-wu-beauty-highlighter-trio")</f>
        <v/>
      </c>
      <c r="B1271" s="2">
        <f>HYPERLINK("https://camerareadycosmetics.com/products/jason-wu-beauty-highlighter-trio", "https://camerareadycosmetics.com/products/jason-wu-beauty-highlighter-trio")</f>
        <v/>
      </c>
      <c r="C1271" t="inlineStr">
        <is>
          <t>Highlighter Trio</t>
        </is>
      </c>
      <c r="D1271" t="inlineStr">
        <is>
          <t>HOSAILY 3Pcs Cream Contour Highlighter Blush Stick for Cheeks, Lightweight Blendable Matte Dewy Finish Blush Waterproof Long Lasting Contour Bronzer Stick Trio Wand Face Makeup Set for Girls and Women</t>
        </is>
      </c>
      <c r="E1271" s="2">
        <f>HYPERLINK("https://www.amazon.com/HOSAILY-Highlighter-Lightweight-Blendable-Waterproof/dp/B0C7GJQBBK/ref=sr_1_4?keywords=Highlighter+Trio&amp;qid=1695565837&amp;sr=8-4", "https://www.amazon.com/HOSAILY-Highlighter-Lightweight-Blendable-Waterproof/dp/B0C7GJQBBK/ref=sr_1_4?keywords=Highlighter+Trio&amp;qid=1695565837&amp;sr=8-4")</f>
        <v/>
      </c>
      <c r="F1271" t="inlineStr">
        <is>
          <t>B0C7GJQBBK</t>
        </is>
      </c>
      <c r="G1271">
        <f>_xlfn.IMAGE("https://camerareadycosmetics.com/cdn/shop/products/Highlight_box_1200x1200_Jason-Wu_50x.jpg?v=1650319003")</f>
        <v/>
      </c>
      <c r="H1271">
        <f>_xlfn.IMAGE("https://m.media-amazon.com/images/I/71UXcE0gWwL._AC_UL320_.jpg")</f>
        <v/>
      </c>
      <c r="K1271" t="inlineStr">
        <is>
          <t>16.0</t>
        </is>
      </c>
      <c r="L1271" t="n">
        <v>8.99</v>
      </c>
      <c r="M1271" s="1" t="inlineStr">
        <is>
          <t>-43.81%</t>
        </is>
      </c>
      <c r="N1271" t="n">
        <v>5</v>
      </c>
      <c r="O1271" t="n">
        <v>1</v>
      </c>
      <c r="Q1271" t="inlineStr">
        <is>
          <t>InStock</t>
        </is>
      </c>
      <c r="R1271" t="inlineStr">
        <is>
          <t>undefined</t>
        </is>
      </c>
      <c r="S1271" t="inlineStr">
        <is>
          <t>7294040015033</t>
        </is>
      </c>
    </row>
    <row r="1272" ht="75" customHeight="1">
      <c r="A1272" s="2">
        <f>HYPERLINK("https://camerareadycosmetics.com/products/jason-wu-beauty-highlighter-trio", "https://camerareadycosmetics.com/products/jason-wu-beauty-highlighter-trio")</f>
        <v/>
      </c>
      <c r="B1272" s="2">
        <f>HYPERLINK("https://camerareadycosmetics.com/products/jason-wu-beauty-highlighter-trio", "https://camerareadycosmetics.com/products/jason-wu-beauty-highlighter-trio")</f>
        <v/>
      </c>
      <c r="C1272" t="inlineStr">
        <is>
          <t>Highlighter Trio</t>
        </is>
      </c>
      <c r="D1272" t="inlineStr">
        <is>
          <t>3 Colors Polvo De Hadas Highlighter Powder Stick Set, Trio Shimmer Glitter Patting Highlight Puff, Glow Luminizer Sparkle Fairy Highlighters for Brighten Face Body Lips Makeup Kit</t>
        </is>
      </c>
      <c r="E1272" s="2">
        <f>HYPERLINK("https://www.amazon.com/Highlighter-Highlight-Luminizer-Highlighters-Brighten/dp/B0BR57N1NG/ref=sr_1_3?keywords=Highlighter+Trio&amp;qid=1695565837&amp;sr=8-3", "https://www.amazon.com/Highlighter-Highlight-Luminizer-Highlighters-Brighten/dp/B0BR57N1NG/ref=sr_1_3?keywords=Highlighter+Trio&amp;qid=1695565837&amp;sr=8-3")</f>
        <v/>
      </c>
      <c r="F1272" t="inlineStr">
        <is>
          <t>B0BR57N1NG</t>
        </is>
      </c>
      <c r="G1272">
        <f>_xlfn.IMAGE("https://camerareadycosmetics.com/cdn/shop/products/Highlight_box_1200x1200_Jason-Wu_50x.jpg?v=1650319003")</f>
        <v/>
      </c>
      <c r="H1272">
        <f>_xlfn.IMAGE("https://m.media-amazon.com/images/I/81BjpMyJLTL._AC_UL320_.jpg")</f>
        <v/>
      </c>
      <c r="K1272" t="inlineStr">
        <is>
          <t>16.0</t>
        </is>
      </c>
      <c r="L1272" t="n">
        <v>7.5</v>
      </c>
      <c r="M1272" s="1" t="inlineStr">
        <is>
          <t>-53.12%</t>
        </is>
      </c>
      <c r="N1272" t="n">
        <v>4.1</v>
      </c>
      <c r="O1272" t="n">
        <v>191</v>
      </c>
      <c r="Q1272" t="inlineStr">
        <is>
          <t>InStock</t>
        </is>
      </c>
      <c r="R1272" t="inlineStr">
        <is>
          <t>undefined</t>
        </is>
      </c>
      <c r="S1272" t="inlineStr">
        <is>
          <t>7294040015033</t>
        </is>
      </c>
    </row>
    <row r="1273" ht="75" customHeight="1">
      <c r="A1273" s="2">
        <f>HYPERLINK("https://camerareadycosmetics.com/products/jason-wu-beauty-highlighter-trio", "https://camerareadycosmetics.com/products/jason-wu-beauty-highlighter-trio")</f>
        <v/>
      </c>
      <c r="B1273" s="2">
        <f>HYPERLINK("https://camerareadycosmetics.com/products/jason-wu-beauty-highlighter-trio", "https://camerareadycosmetics.com/products/jason-wu-beauty-highlighter-trio")</f>
        <v/>
      </c>
      <c r="C1273" t="inlineStr">
        <is>
          <t>Highlighter Trio</t>
        </is>
      </c>
      <c r="D1273" t="inlineStr">
        <is>
          <t>MEICOLY 3-in-1 Compact Powder Blush Highlighter Contour Makeup Set,Silky Smooth Face Blush Cheek Tint,Moisturizing Face Luminizer Bronzer for Women,Trio Eyeshadow Powder Makeup,Dark</t>
        </is>
      </c>
      <c r="E1273" s="2">
        <f>HYPERLINK("https://www.amazon.com/MEICOLY-Highlighter-Moisturizing-Luminizer-Eyeshadow/dp/B0CBTMV8KR/ref=sr_1_5?keywords=Highlighter+Trio&amp;qid=1695565837&amp;sr=8-5", "https://www.amazon.com/MEICOLY-Highlighter-Moisturizing-Luminizer-Eyeshadow/dp/B0CBTMV8KR/ref=sr_1_5?keywords=Highlighter+Trio&amp;qid=1695565837&amp;sr=8-5")</f>
        <v/>
      </c>
      <c r="F1273" t="inlineStr">
        <is>
          <t>B0CBTMV8KR</t>
        </is>
      </c>
      <c r="G1273">
        <f>_xlfn.IMAGE("https://camerareadycosmetics.com/cdn/shop/products/Highlight_box_1200x1200_Jason-Wu_50x.jpg?v=1650319003")</f>
        <v/>
      </c>
      <c r="H1273">
        <f>_xlfn.IMAGE("https://m.media-amazon.com/images/I/71L9a6URdvL._AC_UL320_.jpg")</f>
        <v/>
      </c>
      <c r="K1273" t="inlineStr">
        <is>
          <t>16.0</t>
        </is>
      </c>
      <c r="L1273" t="n">
        <v>6.99</v>
      </c>
      <c r="M1273" s="1" t="inlineStr">
        <is>
          <t>-56.31%</t>
        </is>
      </c>
      <c r="N1273" t="n">
        <v>3.5</v>
      </c>
      <c r="O1273" t="n">
        <v>35</v>
      </c>
      <c r="Q1273" t="inlineStr">
        <is>
          <t>InStock</t>
        </is>
      </c>
      <c r="R1273" t="inlineStr">
        <is>
          <t>undefined</t>
        </is>
      </c>
      <c r="S1273" t="inlineStr">
        <is>
          <t>7294040015033</t>
        </is>
      </c>
    </row>
    <row r="1274" ht="75" customHeight="1">
      <c r="A1274" s="2">
        <f>HYPERLINK("https://camerareadycosmetics.com/products/jason-wu-beauty-highlighter-trio", "https://camerareadycosmetics.com/products/jason-wu-beauty-highlighter-trio")</f>
        <v/>
      </c>
      <c r="B1274" s="2">
        <f>HYPERLINK("https://camerareadycosmetics.com/products/jason-wu-beauty-highlighter-trio", "https://camerareadycosmetics.com/products/jason-wu-beauty-highlighter-trio")</f>
        <v/>
      </c>
      <c r="C1274" t="inlineStr">
        <is>
          <t>Highlighter Trio</t>
        </is>
      </c>
      <c r="D1274" t="inlineStr">
        <is>
          <t>3 Colors Polvo De Hadas Highlighter Powder Stick Set, Trio Shimmer Glitter Patting Highlight Puff, Glow Luminizer Sparkle Fairy Highlighters for Brighten Face Body Lips Makeup Kit</t>
        </is>
      </c>
      <c r="E1274" s="2">
        <f>HYPERLINK("https://www.amazon.com/Highlighter-Highlight-Luminizer-Highlighters-Brighten/dp/B0BR57N1NG/ref=sr_1_3?keywords=Highlighter+Trio&amp;qid=1695565837&amp;sr=8-3", "https://www.amazon.com/Highlighter-Highlight-Luminizer-Highlighters-Brighten/dp/B0BR57N1NG/ref=sr_1_3?keywords=Highlighter+Trio&amp;qid=1695565837&amp;sr=8-3")</f>
        <v/>
      </c>
      <c r="F1274" t="inlineStr">
        <is>
          <t>B0BR57N1NG</t>
        </is>
      </c>
      <c r="G1274">
        <f>_xlfn.IMAGE("https://camerareadycosmetics.com/cdn/shop/products/Highlight_box_1200x1200_Jason-Wu_50x.jpg?v=1650319003")</f>
        <v/>
      </c>
      <c r="H1274">
        <f>_xlfn.IMAGE("https://m.media-amazon.com/images/I/81BjpMyJLTL._AC_UL320_.jpg")</f>
        <v/>
      </c>
      <c r="K1274" t="inlineStr">
        <is>
          <t>16.0</t>
        </is>
      </c>
      <c r="L1274" t="n">
        <v>7.5</v>
      </c>
      <c r="M1274" s="1" t="inlineStr">
        <is>
          <t>-53.12%</t>
        </is>
      </c>
      <c r="N1274" t="n">
        <v>4.1</v>
      </c>
      <c r="O1274" t="n">
        <v>191</v>
      </c>
      <c r="Q1274" t="inlineStr">
        <is>
          <t>InStock</t>
        </is>
      </c>
      <c r="R1274" t="inlineStr">
        <is>
          <t>undefined</t>
        </is>
      </c>
      <c r="S1274" t="inlineStr">
        <is>
          <t>7294040015033</t>
        </is>
      </c>
    </row>
    <row r="1275" ht="75" customHeight="1">
      <c r="A1275" s="2">
        <f>HYPERLINK("https://camerareadycosmetics.com/products/jason-wu-beauty-highlighter-trio", "https://camerareadycosmetics.com/products/jason-wu-beauty-highlighter-trio")</f>
        <v/>
      </c>
      <c r="B1275" s="2">
        <f>HYPERLINK("https://camerareadycosmetics.com/products/jason-wu-beauty-highlighter-trio", "https://camerareadycosmetics.com/products/jason-wu-beauty-highlighter-trio")</f>
        <v/>
      </c>
      <c r="C1275" t="inlineStr">
        <is>
          <t>Highlighter Trio</t>
        </is>
      </c>
      <c r="D1275" t="inlineStr">
        <is>
          <t>MEICOLY 3-in-1 Compact Powder Blush Highlighter Contour Makeup Set,Silky Smooth Face Blush Cheek Tint,Moisturizing Face Luminizer Bronzer for Women,Trio Eyeshadow Powder Makeup,Dark</t>
        </is>
      </c>
      <c r="E1275" s="2">
        <f>HYPERLINK("https://www.amazon.com/MEICOLY-Highlighter-Moisturizing-Luminizer-Eyeshadow/dp/B0CBTMV8KR/ref=sr_1_5?keywords=Highlighter+Trio&amp;qid=1695565837&amp;sr=8-5", "https://www.amazon.com/MEICOLY-Highlighter-Moisturizing-Luminizer-Eyeshadow/dp/B0CBTMV8KR/ref=sr_1_5?keywords=Highlighter+Trio&amp;qid=1695565837&amp;sr=8-5")</f>
        <v/>
      </c>
      <c r="F1275" t="inlineStr">
        <is>
          <t>B0CBTMV8KR</t>
        </is>
      </c>
      <c r="G1275">
        <f>_xlfn.IMAGE("https://camerareadycosmetics.com/cdn/shop/products/Highlight_box_1200x1200_Jason-Wu_50x.jpg?v=1650319003")</f>
        <v/>
      </c>
      <c r="H1275">
        <f>_xlfn.IMAGE("https://m.media-amazon.com/images/I/71L9a6URdvL._AC_UL320_.jpg")</f>
        <v/>
      </c>
      <c r="K1275" t="inlineStr">
        <is>
          <t>16.0</t>
        </is>
      </c>
      <c r="L1275" t="n">
        <v>6.99</v>
      </c>
      <c r="M1275" s="1" t="inlineStr">
        <is>
          <t>-56.31%</t>
        </is>
      </c>
      <c r="N1275" t="n">
        <v>3.5</v>
      </c>
      <c r="O1275" t="n">
        <v>35</v>
      </c>
      <c r="Q1275" t="inlineStr">
        <is>
          <t>InStock</t>
        </is>
      </c>
      <c r="R1275" t="inlineStr">
        <is>
          <t>undefined</t>
        </is>
      </c>
      <c r="S1275" t="inlineStr">
        <is>
          <t>7294040015033</t>
        </is>
      </c>
    </row>
    <row r="1276" ht="75" customHeight="1">
      <c r="A1276" s="2">
        <f>HYPERLINK("https://camerareadycosmetics.com/products/jason-wu-beauty-honey-fluff-lip-cream", "https://camerareadycosmetics.com/products/jason-wu-beauty-honey-fluff-lip-cream")</f>
        <v/>
      </c>
      <c r="B1276" s="2">
        <f>HYPERLINK("https://camerareadycosmetics.com/products/jason-wu-beauty-honey-fluff-lip-cream", "https://camerareadycosmetics.com/products/jason-wu-beauty-honey-fluff-lip-cream")</f>
        <v/>
      </c>
      <c r="C1276" t="inlineStr">
        <is>
          <t>Honey Fluff Lip Cream</t>
        </is>
      </c>
      <c r="D1276" t="inlineStr">
        <is>
          <t>2Pcs Milk Jelly Honey Lip Oil/Cream Set Moisturizing Reduce Lip Wrinkles Repair Chapped Lipgloss Balm Lip Care Lip Plumper</t>
        </is>
      </c>
      <c r="E1276" s="2">
        <f>HYPERLINK("https://www.amazon.com/Moisturizing-Wrinkles-Chapped-Lipgloss-Plumper/dp/B09WMSQJ9L/ref=sr_1_2?keywords=Honey+Fluff+Lip+Cream&amp;qid=1695565598&amp;sr=8-2", "https://www.amazon.com/Moisturizing-Wrinkles-Chapped-Lipgloss-Plumper/dp/B09WMSQJ9L/ref=sr_1_2?keywords=Honey+Fluff+Lip+Cream&amp;qid=1695565598&amp;sr=8-2")</f>
        <v/>
      </c>
      <c r="F1276" t="inlineStr">
        <is>
          <t>B09WMSQJ9L</t>
        </is>
      </c>
      <c r="G1276">
        <f>_xlfn.IMAGE("https://camerareadycosmetics.com/cdn/shop/products/wu-me-Jason_Wu_Beauty_Honey_Fluff_Lip_Cream-honeyfluff03wumefinalsquare_1000x_94740753-b686-487d-ad74-4a36225127e7_50x.jpg?v=1645472276")</f>
        <v/>
      </c>
      <c r="H1276">
        <f>_xlfn.IMAGE("https://m.media-amazon.com/images/I/61Ws7khpFaL._AC_UL320_.jpg")</f>
        <v/>
      </c>
      <c r="K1276" t="inlineStr">
        <is>
          <t>12.0</t>
        </is>
      </c>
      <c r="L1276" t="n">
        <v>7.99</v>
      </c>
      <c r="M1276" s="1" t="inlineStr">
        <is>
          <t>-33.42%</t>
        </is>
      </c>
      <c r="N1276" t="n">
        <v>3.2</v>
      </c>
      <c r="O1276" t="n">
        <v>11</v>
      </c>
      <c r="Q1276" t="inlineStr">
        <is>
          <t>InStock</t>
        </is>
      </c>
      <c r="R1276" t="inlineStr">
        <is>
          <t>12.0</t>
        </is>
      </c>
      <c r="S1276" t="inlineStr">
        <is>
          <t>7225356452025</t>
        </is>
      </c>
    </row>
    <row r="1277" ht="75" customHeight="1">
      <c r="A1277" s="2">
        <f>HYPERLINK("https://camerareadycosmetics.com/products/jason-wu-beauty-honey-fluff-lip-cream", "https://camerareadycosmetics.com/products/jason-wu-beauty-honey-fluff-lip-cream")</f>
        <v/>
      </c>
      <c r="B1277" s="2">
        <f>HYPERLINK("https://camerareadycosmetics.com/products/jason-wu-beauty-honey-fluff-lip-cream", "https://camerareadycosmetics.com/products/jason-wu-beauty-honey-fluff-lip-cream")</f>
        <v/>
      </c>
      <c r="C1277" t="inlineStr">
        <is>
          <t>Honey Fluff Lip Cream</t>
        </is>
      </c>
      <c r="D1277" t="inlineStr">
        <is>
          <t>NYX PROFESSIONAL MAKEUP Smooth Whip Matte Lip Cream, Long Lasting, Moisturizing, Vegan Liquid Lipstick - Teddy Fluff (Midtone Pinky Brown)</t>
        </is>
      </c>
      <c r="E1277" s="2">
        <f>HYPERLINK("https://www.amazon.com/NYX-PROFESSIONAL-MAKEUP-Moisturizing-Lipstick/dp/B0BGYCKQ2G/ref=sr_1_9?keywords=Honey+Fluff+Lip+Cream&amp;qid=1695565598&amp;sr=8-9", "https://www.amazon.com/NYX-PROFESSIONAL-MAKEUP-Moisturizing-Lipstick/dp/B0BGYCKQ2G/ref=sr_1_9?keywords=Honey+Fluff+Lip+Cream&amp;qid=1695565598&amp;sr=8-9")</f>
        <v/>
      </c>
      <c r="F1277" t="inlineStr">
        <is>
          <t>B0BGYCKQ2G</t>
        </is>
      </c>
      <c r="G1277">
        <f>_xlfn.IMAGE("https://camerareadycosmetics.com/cdn/shop/products/wu-me-Jason_Wu_Beauty_Honey_Fluff_Lip_Cream-honeyfluff03wumefinalsquare_1000x_94740753-b686-487d-ad74-4a36225127e7_50x.jpg?v=1645472276")</f>
        <v/>
      </c>
      <c r="H1277">
        <f>_xlfn.IMAGE("https://m.media-amazon.com/images/I/61pH7C7AvTL._AC_UL320_.jpg")</f>
        <v/>
      </c>
      <c r="K1277" t="inlineStr">
        <is>
          <t>12.0</t>
        </is>
      </c>
      <c r="L1277" t="n">
        <v>7.97</v>
      </c>
      <c r="M1277" s="1" t="inlineStr">
        <is>
          <t>-33.58%</t>
        </is>
      </c>
      <c r="N1277" t="n">
        <v>4.4</v>
      </c>
      <c r="O1277" t="n">
        <v>511</v>
      </c>
      <c r="Q1277" t="inlineStr">
        <is>
          <t>InStock</t>
        </is>
      </c>
      <c r="R1277" t="inlineStr">
        <is>
          <t>12.0</t>
        </is>
      </c>
      <c r="S1277" t="inlineStr">
        <is>
          <t>7225356452025</t>
        </is>
      </c>
    </row>
    <row r="1278" ht="75" customHeight="1">
      <c r="A1278" s="2">
        <f>HYPERLINK("https://camerareadycosmetics.com/products/jason-wu-beauty-jewel-stick-cream-pencil", "https://camerareadycosmetics.com/products/jason-wu-beauty-jewel-stick-cream-pencil")</f>
        <v/>
      </c>
      <c r="B1278" s="2">
        <f>HYPERLINK("https://camerareadycosmetics.com/products/jason-wu-beauty-jewel-stick-cream-pencil", "https://camerareadycosmetics.com/products/jason-wu-beauty-jewel-stick-cream-pencil")</f>
        <v/>
      </c>
      <c r="C1278" t="inlineStr">
        <is>
          <t>Jewel Stick</t>
        </is>
      </c>
      <c r="D1278" t="inlineStr">
        <is>
          <t>Self Adhesive Jewels for Kids Crafting Colorful Crystal platback Stick on gems and Rhinestones 10Shapes Size ：8mm to 20mm with Glue Stickers Sequins for Kids Arts &amp; Crafts Projects(Color at Random)</t>
        </is>
      </c>
      <c r="E1278" s="2">
        <f>HYPERLINK("https://www.amazon.com/Adhesive-Rhinestones-Stickers-Rhinestones%EF%BC%8Csize-Projects/dp/B07QW9RF2W/ref=sr_1_2?keywords=Jewel+Stick&amp;qid=1695565648&amp;sr=8-2", "https://www.amazon.com/Adhesive-Rhinestones-Stickers-Rhinestones%EF%BC%8Csize-Projects/dp/B07QW9RF2W/ref=sr_1_2?keywords=Jewel+Stick&amp;qid=1695565648&amp;sr=8-2")</f>
        <v/>
      </c>
      <c r="F1278" t="inlineStr">
        <is>
          <t>B07QW9RF2W</t>
        </is>
      </c>
      <c r="G1278">
        <f>_xlfn.IMAGE("https://camerareadycosmetics.com/cdn/shop/products/Jewelsticks05_1000x_ee481715-76d5-4d3d-b38b-1b6dff852eb5_50x.jpg?v=1645590785")</f>
        <v/>
      </c>
      <c r="H1278">
        <f>_xlfn.IMAGE("https://m.media-amazon.com/images/I/81UKZfYPqPL._AC_UL320_.jpg")</f>
        <v/>
      </c>
      <c r="K1278" t="inlineStr">
        <is>
          <t>16.0</t>
        </is>
      </c>
      <c r="L1278" t="n">
        <v>12.99</v>
      </c>
      <c r="M1278" s="1" t="inlineStr">
        <is>
          <t>-18.81%</t>
        </is>
      </c>
      <c r="N1278" t="n">
        <v>4.5</v>
      </c>
      <c r="O1278" t="n">
        <v>386</v>
      </c>
      <c r="Q1278" t="inlineStr">
        <is>
          <t>InStock</t>
        </is>
      </c>
      <c r="R1278" t="inlineStr">
        <is>
          <t>16.0</t>
        </is>
      </c>
      <c r="S1278" t="inlineStr">
        <is>
          <t>7236507336889</t>
        </is>
      </c>
    </row>
    <row r="1279" ht="75" customHeight="1">
      <c r="A1279" s="2">
        <f>HYPERLINK("https://camerareadycosmetics.com/products/jason-wu-beauty-jewel-stick-cream-pencil", "https://camerareadycosmetics.com/products/jason-wu-beauty-jewel-stick-cream-pencil")</f>
        <v/>
      </c>
      <c r="B1279" s="2">
        <f>HYPERLINK("https://camerareadycosmetics.com/products/jason-wu-beauty-jewel-stick-cream-pencil", "https://camerareadycosmetics.com/products/jason-wu-beauty-jewel-stick-cream-pencil")</f>
        <v/>
      </c>
      <c r="C1279" t="inlineStr">
        <is>
          <t>Jewel Stick</t>
        </is>
      </c>
      <c r="D1279" t="inlineStr">
        <is>
          <t>2102pcs Gems Stickers, Self Adhesive Gems for Crafts Bling Rhinestones for Crafts, Assorted Shapes Jewels Rhinestones Stickers, Muticolor</t>
        </is>
      </c>
      <c r="E1279" s="2" t="n"/>
      <c r="F1279" t="inlineStr">
        <is>
          <t>B09Z5S1KYT</t>
        </is>
      </c>
      <c r="G1279">
        <f>_xlfn.IMAGE("https://camerareadycosmetics.com/cdn/shop/products/Jewelsticks05_1000x_ee481715-76d5-4d3d-b38b-1b6dff852eb5_50x.jpg?v=1645590785")</f>
        <v/>
      </c>
      <c r="H1279">
        <f>_xlfn.IMAGE("https://m.media-amazon.com/images/I/81U5SmJWP7L._AC_UL320_.jpg")</f>
        <v/>
      </c>
      <c r="K1279" t="inlineStr">
        <is>
          <t>16.0</t>
        </is>
      </c>
      <c r="L1279" t="n">
        <v>11.99</v>
      </c>
      <c r="M1279" s="1" t="inlineStr">
        <is>
          <t>-25.06%</t>
        </is>
      </c>
      <c r="N1279" t="n">
        <v>4.6</v>
      </c>
      <c r="O1279" t="n">
        <v>399</v>
      </c>
      <c r="Q1279" t="inlineStr">
        <is>
          <t>InStock</t>
        </is>
      </c>
      <c r="R1279" t="inlineStr">
        <is>
          <t>16.0</t>
        </is>
      </c>
      <c r="S1279" t="inlineStr">
        <is>
          <t>7236507336889</t>
        </is>
      </c>
    </row>
    <row r="1280" ht="75" customHeight="1">
      <c r="A1280" s="2">
        <f>HYPERLINK("https://camerareadycosmetics.com/products/jason-wu-beauty-jewel-stick-cream-pencil", "https://camerareadycosmetics.com/products/jason-wu-beauty-jewel-stick-cream-pencil")</f>
        <v/>
      </c>
      <c r="B1280" s="2">
        <f>HYPERLINK("https://camerareadycosmetics.com/products/jason-wu-beauty-jewel-stick-cream-pencil", "https://camerareadycosmetics.com/products/jason-wu-beauty-jewel-stick-cream-pencil")</f>
        <v/>
      </c>
      <c r="C1280" t="inlineStr">
        <is>
          <t>Jewel Stick</t>
        </is>
      </c>
      <c r="D1280" t="inlineStr">
        <is>
          <t>Gem Stickers 1200+ Self Adhesive Jewel for Crafts Sparkly Flatback Rhinestone Stickers Crystal Sticker for Kids DIY</t>
        </is>
      </c>
      <c r="E1280" s="2">
        <f>HYPERLINK("https://www.amazon.com/Meafeng-Rhinestone-Different-Scrapbooking-Embellishments/dp/B086TY6NGM/ref=sr_1_8?keywords=Jewel+Stick&amp;qid=1695565648&amp;sr=8-8", "https://www.amazon.com/Meafeng-Rhinestone-Different-Scrapbooking-Embellishments/dp/B086TY6NGM/ref=sr_1_8?keywords=Jewel+Stick&amp;qid=1695565648&amp;sr=8-8")</f>
        <v/>
      </c>
      <c r="F1280" t="inlineStr">
        <is>
          <t>B086TY6NGM</t>
        </is>
      </c>
      <c r="G1280">
        <f>_xlfn.IMAGE("https://camerareadycosmetics.com/cdn/shop/products/Jewelsticks05_1000x_ee481715-76d5-4d3d-b38b-1b6dff852eb5_50x.jpg?v=1645590785")</f>
        <v/>
      </c>
      <c r="H1280">
        <f>_xlfn.IMAGE("https://m.media-amazon.com/images/I/81vfeRQnnXL._AC_UL320_.jpg")</f>
        <v/>
      </c>
      <c r="K1280" t="inlineStr">
        <is>
          <t>16.0</t>
        </is>
      </c>
      <c r="L1280" t="n">
        <v>9.99</v>
      </c>
      <c r="M1280" s="1" t="inlineStr">
        <is>
          <t>-37.56%</t>
        </is>
      </c>
      <c r="N1280" t="n">
        <v>4.5</v>
      </c>
      <c r="O1280" t="n">
        <v>742</v>
      </c>
      <c r="Q1280" t="inlineStr">
        <is>
          <t>InStock</t>
        </is>
      </c>
      <c r="R1280" t="inlineStr">
        <is>
          <t>16.0</t>
        </is>
      </c>
      <c r="S1280" t="inlineStr">
        <is>
          <t>7236507336889</t>
        </is>
      </c>
    </row>
    <row r="1281" ht="75" customHeight="1">
      <c r="A1281" s="2">
        <f>HYPERLINK("https://camerareadycosmetics.com/products/jason-wu-beauty-jewel-stick-cream-pencil", "https://camerareadycosmetics.com/products/jason-wu-beauty-jewel-stick-cream-pencil")</f>
        <v/>
      </c>
      <c r="B1281" s="2">
        <f>HYPERLINK("https://camerareadycosmetics.com/products/jason-wu-beauty-jewel-stick-cream-pencil", "https://camerareadycosmetics.com/products/jason-wu-beauty-jewel-stick-cream-pencil")</f>
        <v/>
      </c>
      <c r="C1281" t="inlineStr">
        <is>
          <t>Jewel Stick</t>
        </is>
      </c>
      <c r="D1281" t="inlineStr">
        <is>
          <t>Rhinestone Stickers Self-Adhesive, 1141Pcs Gems for Crafts Bling Jewel Crystal Stickers for DIY Craft Nail Body Makeup Festival</t>
        </is>
      </c>
      <c r="E1281" s="2">
        <f>HYPERLINK("https://www.amazon.com/Rhinestone-Stickers-Self-Adhesive-1141Pcs-Festival/dp/B0859RFRVS/ref=sr_1_4?keywords=Jewel+Stick&amp;qid=1695565648&amp;sr=8-4", "https://www.amazon.com/Rhinestone-Stickers-Self-Adhesive-1141Pcs-Festival/dp/B0859RFRVS/ref=sr_1_4?keywords=Jewel+Stick&amp;qid=1695565648&amp;sr=8-4")</f>
        <v/>
      </c>
      <c r="F1281" t="inlineStr">
        <is>
          <t>B0859RFRVS</t>
        </is>
      </c>
      <c r="G1281">
        <f>_xlfn.IMAGE("https://camerareadycosmetics.com/cdn/shop/products/Jewelsticks05_1000x_ee481715-76d5-4d3d-b38b-1b6dff852eb5_50x.jpg?v=1645590785")</f>
        <v/>
      </c>
      <c r="H1281">
        <f>_xlfn.IMAGE("https://m.media-amazon.com/images/I/81RLYpacL+L._AC_UL320_.jpg")</f>
        <v/>
      </c>
      <c r="K1281" t="inlineStr">
        <is>
          <t>16.0</t>
        </is>
      </c>
      <c r="L1281" t="n">
        <v>8.99</v>
      </c>
      <c r="M1281" s="1" t="inlineStr">
        <is>
          <t>-43.81%</t>
        </is>
      </c>
      <c r="N1281" t="n">
        <v>4.6</v>
      </c>
      <c r="O1281" t="n">
        <v>894</v>
      </c>
      <c r="Q1281" t="inlineStr">
        <is>
          <t>InStock</t>
        </is>
      </c>
      <c r="R1281" t="inlineStr">
        <is>
          <t>16.0</t>
        </is>
      </c>
      <c r="S1281" t="inlineStr">
        <is>
          <t>7236507336889</t>
        </is>
      </c>
    </row>
    <row r="1282" ht="75" customHeight="1">
      <c r="A1282" s="2">
        <f>HYPERLINK("https://camerareadycosmetics.com/products/jason-wu-beauty-jewel-stick-cream-pencil", "https://camerareadycosmetics.com/products/jason-wu-beauty-jewel-stick-cream-pencil")</f>
        <v/>
      </c>
      <c r="B1282" s="2">
        <f>HYPERLINK("https://camerareadycosmetics.com/products/jason-wu-beauty-jewel-stick-cream-pencil", "https://camerareadycosmetics.com/products/jason-wu-beauty-jewel-stick-cream-pencil")</f>
        <v/>
      </c>
      <c r="C1282" t="inlineStr">
        <is>
          <t>Jewel Stick</t>
        </is>
      </c>
      <c r="D1282" t="inlineStr">
        <is>
          <t>Clear Self Adhesive Rhinestone Stickers, Gartful 2790 PCS Round Gem Sticker for Crafts, Crystal Jewel Sticky Rhinestone for Scrapbooking Embellishments, DIY Crafts, Wedding, Decor, 4 Sizes(3/4/5/6mm)</t>
        </is>
      </c>
      <c r="E1282" s="2">
        <f>HYPERLINK("https://www.amazon.com/Rhinestone-Stickers-Gartful-Scrapbook-Embellishments/dp/B07YXNWPBL/ref=sr_1_3?keywords=Jewel+Stick&amp;qid=1695565648&amp;sr=8-3", "https://www.amazon.com/Rhinestone-Stickers-Gartful-Scrapbook-Embellishments/dp/B07YXNWPBL/ref=sr_1_3?keywords=Jewel+Stick&amp;qid=1695565648&amp;sr=8-3")</f>
        <v/>
      </c>
      <c r="F1282" t="inlineStr">
        <is>
          <t>B07YXNWPBL</t>
        </is>
      </c>
      <c r="G1282">
        <f>_xlfn.IMAGE("https://camerareadycosmetics.com/cdn/shop/products/Jewelsticks05_1000x_ee481715-76d5-4d3d-b38b-1b6dff852eb5_50x.jpg?v=1645590785")</f>
        <v/>
      </c>
      <c r="H1282">
        <f>_xlfn.IMAGE("https://m.media-amazon.com/images/I/81VBQytGaQL._AC_UL320_.jpg")</f>
        <v/>
      </c>
      <c r="K1282" t="inlineStr">
        <is>
          <t>16.0</t>
        </is>
      </c>
      <c r="L1282" t="n">
        <v>8.49</v>
      </c>
      <c r="M1282" s="1" t="inlineStr">
        <is>
          <t>-46.94%</t>
        </is>
      </c>
      <c r="N1282" t="n">
        <v>4.5</v>
      </c>
      <c r="O1282" t="n">
        <v>725</v>
      </c>
      <c r="Q1282" t="inlineStr">
        <is>
          <t>InStock</t>
        </is>
      </c>
      <c r="R1282" t="inlineStr">
        <is>
          <t>16.0</t>
        </is>
      </c>
      <c r="S1282" t="inlineStr">
        <is>
          <t>7236507336889</t>
        </is>
      </c>
    </row>
    <row r="1283" ht="75" customHeight="1">
      <c r="A1283" s="2">
        <f>HYPERLINK("https://camerareadycosmetics.com/products/jason-wu-beauty-jewel-stick-cream-pencil", "https://camerareadycosmetics.com/products/jason-wu-beauty-jewel-stick-cream-pencil")</f>
        <v/>
      </c>
      <c r="B1283" s="2">
        <f>HYPERLINK("https://camerareadycosmetics.com/products/jason-wu-beauty-jewel-stick-cream-pencil", "https://camerareadycosmetics.com/products/jason-wu-beauty-jewel-stick-cream-pencil")</f>
        <v/>
      </c>
      <c r="C1283" t="inlineStr">
        <is>
          <t>Jewel Stick</t>
        </is>
      </c>
      <c r="D1283" t="inlineStr">
        <is>
          <t>Super Z Outlet 1" Assorted Colorful Adhesive Stick-On Heart Star Round Shaped Jewel Gems for Arts &amp; Crafts, Themed Party Decoration Accessories, Children Activities (100 Pack)</t>
        </is>
      </c>
      <c r="E1283" s="2">
        <f>HYPERLINK("https://www.amazon.com/Super-Outlet-Decoration-Accessories-Activities/dp/B01EBGUSFU/ref=sr_1_6?keywords=Jewel+Stick&amp;qid=1695565648&amp;sr=8-6", "https://www.amazon.com/Super-Outlet-Decoration-Accessories-Activities/dp/B01EBGUSFU/ref=sr_1_6?keywords=Jewel+Stick&amp;qid=1695565648&amp;sr=8-6")</f>
        <v/>
      </c>
      <c r="F1283" t="inlineStr">
        <is>
          <t>B01EBGUSFU</t>
        </is>
      </c>
      <c r="G1283">
        <f>_xlfn.IMAGE("https://camerareadycosmetics.com/cdn/shop/products/Jewelsticks05_1000x_ee481715-76d5-4d3d-b38b-1b6dff852eb5_50x.jpg?v=1645590785")</f>
        <v/>
      </c>
      <c r="H1283">
        <f>_xlfn.IMAGE("https://m.media-amazon.com/images/I/815NY+I8yzL._AC_UL320_.jpg")</f>
        <v/>
      </c>
      <c r="K1283" t="inlineStr">
        <is>
          <t>16.0</t>
        </is>
      </c>
      <c r="L1283" t="n">
        <v>7.99</v>
      </c>
      <c r="M1283" s="1" t="inlineStr">
        <is>
          <t>-50.06%</t>
        </is>
      </c>
      <c r="N1283" t="n">
        <v>4.2</v>
      </c>
      <c r="O1283" t="n">
        <v>1676</v>
      </c>
      <c r="Q1283" t="inlineStr">
        <is>
          <t>InStock</t>
        </is>
      </c>
      <c r="R1283" t="inlineStr">
        <is>
          <t>16.0</t>
        </is>
      </c>
      <c r="S1283" t="inlineStr">
        <is>
          <t>7236507336889</t>
        </is>
      </c>
    </row>
    <row r="1284" ht="75" customHeight="1">
      <c r="A1284" s="2">
        <f>HYPERLINK("https://camerareadycosmetics.com/products/jason-wu-beauty-jewel-stick-cream-pencil", "https://camerareadycosmetics.com/products/jason-wu-beauty-jewel-stick-cream-pencil")</f>
        <v/>
      </c>
      <c r="B1284" s="2">
        <f>HYPERLINK("https://camerareadycosmetics.com/products/jason-wu-beauty-jewel-stick-cream-pencil", "https://camerareadycosmetics.com/products/jason-wu-beauty-jewel-stick-cream-pencil")</f>
        <v/>
      </c>
      <c r="C1284" t="inlineStr">
        <is>
          <t>Jewel Stick</t>
        </is>
      </c>
      <c r="D1284" t="inlineStr">
        <is>
          <t>Selizo Craft Gems Self Adhesive Rhinestones Stickers Jewel Stickers Craft Jewels Stick On Gems Bling Crystal Diamond Stickers for Crafts, Assorted Shapes, Sizes and Colors (658Pcs, 14 Sheets)</t>
        </is>
      </c>
      <c r="E1284" s="2">
        <f>HYPERLINK("https://www.amazon.com/Adhesive-Rhinestones-Stickers-Crystal-Assorted/dp/B07PVP8JPP/ref=sr_1_5?keywords=Jewel+Stick&amp;qid=1695565648&amp;sr=8-5", "https://www.amazon.com/Adhesive-Rhinestones-Stickers-Crystal-Assorted/dp/B07PVP8JPP/ref=sr_1_5?keywords=Jewel+Stick&amp;qid=1695565648&amp;sr=8-5")</f>
        <v/>
      </c>
      <c r="F1284" t="inlineStr">
        <is>
          <t>B07PVP8JPP</t>
        </is>
      </c>
      <c r="G1284">
        <f>_xlfn.IMAGE("https://camerareadycosmetics.com/cdn/shop/products/Jewelsticks05_1000x_ee481715-76d5-4d3d-b38b-1b6dff852eb5_50x.jpg?v=1645590785")</f>
        <v/>
      </c>
      <c r="H1284">
        <f>_xlfn.IMAGE("https://m.media-amazon.com/images/I/713wzmeEEaL._AC_UL320_.jpg")</f>
        <v/>
      </c>
      <c r="K1284" t="inlineStr">
        <is>
          <t>16.0</t>
        </is>
      </c>
      <c r="L1284" t="n">
        <v>7.99</v>
      </c>
      <c r="M1284" s="1" t="inlineStr">
        <is>
          <t>-50.06%</t>
        </is>
      </c>
      <c r="N1284" t="n">
        <v>4.5</v>
      </c>
      <c r="O1284" t="n">
        <v>488</v>
      </c>
      <c r="Q1284" t="inlineStr">
        <is>
          <t>InStock</t>
        </is>
      </c>
      <c r="R1284" t="inlineStr">
        <is>
          <t>16.0</t>
        </is>
      </c>
      <c r="S1284" t="inlineStr">
        <is>
          <t>7236507336889</t>
        </is>
      </c>
    </row>
    <row r="1285" ht="75" customHeight="1">
      <c r="A1285" s="2">
        <f>HYPERLINK("https://camerareadycosmetics.com/products/jason-wu-beauty-jewel-stick-cream-pencil", "https://camerareadycosmetics.com/products/jason-wu-beauty-jewel-stick-cream-pencil")</f>
        <v/>
      </c>
      <c r="B1285" s="2">
        <f>HYPERLINK("https://camerareadycosmetics.com/products/jason-wu-beauty-jewel-stick-cream-pencil", "https://camerareadycosmetics.com/products/jason-wu-beauty-jewel-stick-cream-pencil")</f>
        <v/>
      </c>
      <c r="C1285" t="inlineStr">
        <is>
          <t>Jewel Stick</t>
        </is>
      </c>
      <c r="D1285" t="inlineStr">
        <is>
          <t>Holicolor 390pcs Gem Stickers Jewels Stickers Rhinestones Crystal for Crafts Stickers Self Adhesive Craft Jewels, Muticolor, Assorted Size</t>
        </is>
      </c>
      <c r="E1285" s="2">
        <f>HYPERLINK("https://www.amazon.com/Holicolor-Rhinestones-Self-Adhesive-Muticolor-Rhinestone/dp/B07PDDMDGW/ref=sr_1_7?keywords=Jewel+Stick&amp;qid=1695565648&amp;sr=8-7", "https://www.amazon.com/Holicolor-Rhinestones-Self-Adhesive-Muticolor-Rhinestone/dp/B07PDDMDGW/ref=sr_1_7?keywords=Jewel+Stick&amp;qid=1695565648&amp;sr=8-7")</f>
        <v/>
      </c>
      <c r="F1285" t="inlineStr">
        <is>
          <t>B07PDDMDGW</t>
        </is>
      </c>
      <c r="G1285">
        <f>_xlfn.IMAGE("https://camerareadycosmetics.com/cdn/shop/products/Jewelsticks05_1000x_ee481715-76d5-4d3d-b38b-1b6dff852eb5_50x.jpg?v=1645590785")</f>
        <v/>
      </c>
      <c r="H1285">
        <f>_xlfn.IMAGE("https://m.media-amazon.com/images/I/81JfQSPeweL._AC_UL320_.jpg")</f>
        <v/>
      </c>
      <c r="K1285" t="inlineStr">
        <is>
          <t>16.0</t>
        </is>
      </c>
      <c r="L1285" t="n">
        <v>5.99</v>
      </c>
      <c r="M1285" s="1" t="inlineStr">
        <is>
          <t>-62.56%</t>
        </is>
      </c>
      <c r="N1285" t="n">
        <v>4.6</v>
      </c>
      <c r="O1285" t="n">
        <v>1406</v>
      </c>
      <c r="Q1285" t="inlineStr">
        <is>
          <t>InStock</t>
        </is>
      </c>
      <c r="R1285" t="inlineStr">
        <is>
          <t>16.0</t>
        </is>
      </c>
      <c r="S1285" t="inlineStr">
        <is>
          <t>7236507336889</t>
        </is>
      </c>
    </row>
    <row r="1286" ht="75" customHeight="1">
      <c r="A1286" s="2">
        <f>HYPERLINK("https://camerareadycosmetics.com/products/jason-wu-beauty-jewel-stick-cream-pencil", "https://camerareadycosmetics.com/products/jason-wu-beauty-jewel-stick-cream-pencil")</f>
        <v/>
      </c>
      <c r="B1286" s="2">
        <f>HYPERLINK("https://camerareadycosmetics.com/products/jason-wu-beauty-jewel-stick-cream-pencil", "https://camerareadycosmetics.com/products/jason-wu-beauty-jewel-stick-cream-pencil")</f>
        <v/>
      </c>
      <c r="C1286" t="inlineStr">
        <is>
          <t>Jewel Stick</t>
        </is>
      </c>
      <c r="D1286" t="inlineStr">
        <is>
          <t>Super Z Outlet 1" Assorted Colorful Adhesive Stick-On Heart Star Round Shaped Jewel Gems for Arts &amp; Crafts, Themed Party Decoration Accessories, Children Activities (100 Pack)</t>
        </is>
      </c>
      <c r="E1286" s="2">
        <f>HYPERLINK("https://www.amazon.com/Super-Outlet-Decoration-Accessories-Activities/dp/B01EBGUSFU/ref=sr_1_6?keywords=Jewel+Stick&amp;qid=1695565648&amp;sr=8-6", "https://www.amazon.com/Super-Outlet-Decoration-Accessories-Activities/dp/B01EBGUSFU/ref=sr_1_6?keywords=Jewel+Stick&amp;qid=1695565648&amp;sr=8-6")</f>
        <v/>
      </c>
      <c r="F1286" t="inlineStr">
        <is>
          <t>B01EBGUSFU</t>
        </is>
      </c>
      <c r="G1286">
        <f>_xlfn.IMAGE("https://camerareadycosmetics.com/cdn/shop/products/Jewelsticks05_1000x_ee481715-76d5-4d3d-b38b-1b6dff852eb5_50x.jpg?v=1645590785")</f>
        <v/>
      </c>
      <c r="H1286">
        <f>_xlfn.IMAGE("https://m.media-amazon.com/images/I/815NY+I8yzL._AC_UL320_.jpg")</f>
        <v/>
      </c>
      <c r="K1286" t="inlineStr">
        <is>
          <t>16.0</t>
        </is>
      </c>
      <c r="L1286" t="n">
        <v>7.99</v>
      </c>
      <c r="M1286" s="1" t="inlineStr">
        <is>
          <t>-50.06%</t>
        </is>
      </c>
      <c r="N1286" t="n">
        <v>4.2</v>
      </c>
      <c r="O1286" t="n">
        <v>1676</v>
      </c>
      <c r="Q1286" t="inlineStr">
        <is>
          <t>InStock</t>
        </is>
      </c>
      <c r="R1286" t="inlineStr">
        <is>
          <t>16.0</t>
        </is>
      </c>
      <c r="S1286" t="inlineStr">
        <is>
          <t>7236507336889</t>
        </is>
      </c>
    </row>
    <row r="1287" ht="75" customHeight="1">
      <c r="A1287" s="2">
        <f>HYPERLINK("https://camerareadycosmetics.com/products/jason-wu-beauty-jewel-stick-cream-pencil", "https://camerareadycosmetics.com/products/jason-wu-beauty-jewel-stick-cream-pencil")</f>
        <v/>
      </c>
      <c r="B1287" s="2">
        <f>HYPERLINK("https://camerareadycosmetics.com/products/jason-wu-beauty-jewel-stick-cream-pencil", "https://camerareadycosmetics.com/products/jason-wu-beauty-jewel-stick-cream-pencil")</f>
        <v/>
      </c>
      <c r="C1287" t="inlineStr">
        <is>
          <t>Jewel Stick</t>
        </is>
      </c>
      <c r="D1287" t="inlineStr">
        <is>
          <t>Selizo Craft Gems Self Adhesive Rhinestones Stickers Jewel Stickers Craft Jewels Stick On Gems Bling Crystal Diamond Stickers for Crafts, Assorted Shapes, Sizes and Colors (658Pcs, 14 Sheets)</t>
        </is>
      </c>
      <c r="E1287" s="2">
        <f>HYPERLINK("https://www.amazon.com/Adhesive-Rhinestones-Stickers-Crystal-Assorted/dp/B07PVP8JPP/ref=sr_1_5?keywords=Jewel+Stick&amp;qid=1695565648&amp;sr=8-5", "https://www.amazon.com/Adhesive-Rhinestones-Stickers-Crystal-Assorted/dp/B07PVP8JPP/ref=sr_1_5?keywords=Jewel+Stick&amp;qid=1695565648&amp;sr=8-5")</f>
        <v/>
      </c>
      <c r="F1287" t="inlineStr">
        <is>
          <t>B07PVP8JPP</t>
        </is>
      </c>
      <c r="G1287">
        <f>_xlfn.IMAGE("https://camerareadycosmetics.com/cdn/shop/products/Jewelsticks05_1000x_ee481715-76d5-4d3d-b38b-1b6dff852eb5_50x.jpg?v=1645590785")</f>
        <v/>
      </c>
      <c r="H1287">
        <f>_xlfn.IMAGE("https://m.media-amazon.com/images/I/713wzmeEEaL._AC_UL320_.jpg")</f>
        <v/>
      </c>
      <c r="K1287" t="inlineStr">
        <is>
          <t>16.0</t>
        </is>
      </c>
      <c r="L1287" t="n">
        <v>7.99</v>
      </c>
      <c r="M1287" s="1" t="inlineStr">
        <is>
          <t>-50.06%</t>
        </is>
      </c>
      <c r="N1287" t="n">
        <v>4.5</v>
      </c>
      <c r="O1287" t="n">
        <v>488</v>
      </c>
      <c r="Q1287" t="inlineStr">
        <is>
          <t>InStock</t>
        </is>
      </c>
      <c r="R1287" t="inlineStr">
        <is>
          <t>16.0</t>
        </is>
      </c>
      <c r="S1287" t="inlineStr">
        <is>
          <t>7236507336889</t>
        </is>
      </c>
    </row>
    <row r="1288" ht="75" customHeight="1">
      <c r="A1288" s="2">
        <f>HYPERLINK("https://camerareadycosmetics.com/products/jason-wu-beauty-jewel-stick-cream-pencil", "https://camerareadycosmetics.com/products/jason-wu-beauty-jewel-stick-cream-pencil")</f>
        <v/>
      </c>
      <c r="B1288" s="2">
        <f>HYPERLINK("https://camerareadycosmetics.com/products/jason-wu-beauty-jewel-stick-cream-pencil", "https://camerareadycosmetics.com/products/jason-wu-beauty-jewel-stick-cream-pencil")</f>
        <v/>
      </c>
      <c r="C1288" t="inlineStr">
        <is>
          <t>Jewel Stick</t>
        </is>
      </c>
      <c r="D1288" t="inlineStr">
        <is>
          <t>Holicolor 390pcs Gem Stickers Jewels Stickers Rhinestones Crystal for Crafts Stickers Self Adhesive Craft Jewels, Muticolor, Assorted Size</t>
        </is>
      </c>
      <c r="E1288" s="2">
        <f>HYPERLINK("https://www.amazon.com/Holicolor-Rhinestones-Self-Adhesive-Muticolor-Rhinestone/dp/B07PDDMDGW/ref=sr_1_7?keywords=Jewel+Stick&amp;qid=1695565648&amp;sr=8-7", "https://www.amazon.com/Holicolor-Rhinestones-Self-Adhesive-Muticolor-Rhinestone/dp/B07PDDMDGW/ref=sr_1_7?keywords=Jewel+Stick&amp;qid=1695565648&amp;sr=8-7")</f>
        <v/>
      </c>
      <c r="F1288" t="inlineStr">
        <is>
          <t>B07PDDMDGW</t>
        </is>
      </c>
      <c r="G1288">
        <f>_xlfn.IMAGE("https://camerareadycosmetics.com/cdn/shop/products/Jewelsticks05_1000x_ee481715-76d5-4d3d-b38b-1b6dff852eb5_50x.jpg?v=1645590785")</f>
        <v/>
      </c>
      <c r="H1288">
        <f>_xlfn.IMAGE("https://m.media-amazon.com/images/I/81JfQSPeweL._AC_UL320_.jpg")</f>
        <v/>
      </c>
      <c r="K1288" t="inlineStr">
        <is>
          <t>16.0</t>
        </is>
      </c>
      <c r="L1288" t="n">
        <v>5.99</v>
      </c>
      <c r="M1288" s="1" t="inlineStr">
        <is>
          <t>-62.56%</t>
        </is>
      </c>
      <c r="N1288" t="n">
        <v>4.6</v>
      </c>
      <c r="O1288" t="n">
        <v>1406</v>
      </c>
      <c r="Q1288" t="inlineStr">
        <is>
          <t>InStock</t>
        </is>
      </c>
      <c r="R1288" t="inlineStr">
        <is>
          <t>16.0</t>
        </is>
      </c>
      <c r="S1288" t="inlineStr">
        <is>
          <t>7236507336889</t>
        </is>
      </c>
    </row>
    <row r="1289" ht="75" customHeight="1">
      <c r="A1289" s="2">
        <f>HYPERLINK("https://camerareadycosmetics.com/products/jason-wu-beauty-magic-spell-potion-5", "https://camerareadycosmetics.com/products/jason-wu-beauty-magic-spell-potion-5")</f>
        <v/>
      </c>
      <c r="B1289" s="2">
        <f>HYPERLINK("https://camerareadycosmetics.com/products/jason-wu-beauty-magic-spell-potion-5", "https://camerareadycosmetics.com/products/jason-wu-beauty-magic-spell-potion-5")</f>
        <v/>
      </c>
      <c r="C1289" t="inlineStr">
        <is>
          <t>Magic Spell Potion 5</t>
        </is>
      </c>
      <c r="D1289" t="inlineStr">
        <is>
          <t>Magic Mixies Magic Potion Kit. Children Can Follow Their Spell Book and Mix Ingredients to Create Over 70 Magic Potions. Make Potions That Fizz, Bubble and Magically Change Form!</t>
        </is>
      </c>
      <c r="E1289" s="2">
        <f>HYPERLINK("https://www.amazon.com/Magic-Mixies-Potions-S1-Kit/dp/B0BQSH29WP/ref=sr_1_4?keywords=Magic+Spell+Potion+5&amp;qid=1695565776&amp;sr=8-4", "https://www.amazon.com/Magic-Mixies-Potions-S1-Kit/dp/B0BQSH29WP/ref=sr_1_4?keywords=Magic+Spell+Potion+5&amp;qid=1695565776&amp;sr=8-4")</f>
        <v/>
      </c>
      <c r="F1289" t="inlineStr">
        <is>
          <t>B0BQSH29WP</t>
        </is>
      </c>
      <c r="G1289">
        <f>_xlfn.IMAGE("https://camerareadycosmetics.com/cdn/shop/products/MSP5_model-with-text3_1000x_63c3de3e-6ce8-4706-ac3c-e6fdb5f013d2_50x.jpg?v=1680712481")</f>
        <v/>
      </c>
      <c r="H1289">
        <f>_xlfn.IMAGE("https://m.media-amazon.com/images/I/81Xw1yr7F1L._AC_UL320_.jpg")</f>
        <v/>
      </c>
      <c r="K1289" t="inlineStr">
        <is>
          <t>25.0</t>
        </is>
      </c>
      <c r="L1289" t="n">
        <v>19.99</v>
      </c>
      <c r="M1289" s="1" t="inlineStr">
        <is>
          <t>-20.04%</t>
        </is>
      </c>
      <c r="N1289" t="n">
        <v>4</v>
      </c>
      <c r="O1289" t="n">
        <v>32</v>
      </c>
      <c r="Q1289" t="inlineStr">
        <is>
          <t>InStock</t>
        </is>
      </c>
      <c r="R1289" t="inlineStr">
        <is>
          <t>undefined</t>
        </is>
      </c>
      <c r="S1289" t="inlineStr">
        <is>
          <t>7581834969273</t>
        </is>
      </c>
    </row>
    <row r="1290" ht="75" customHeight="1">
      <c r="A1290" s="2">
        <f>HYPERLINK("https://camerareadycosmetics.com/products/jason-wu-beauty-magic-spell-potion-5", "https://camerareadycosmetics.com/products/jason-wu-beauty-magic-spell-potion-5")</f>
        <v/>
      </c>
      <c r="B1290" s="2">
        <f>HYPERLINK("https://camerareadycosmetics.com/products/jason-wu-beauty-magic-spell-potion-5", "https://camerareadycosmetics.com/products/jason-wu-beauty-magic-spell-potion-5")</f>
        <v/>
      </c>
      <c r="C1290" t="inlineStr">
        <is>
          <t>Magic Spell Potion 5</t>
        </is>
      </c>
      <c r="D1290" t="inlineStr">
        <is>
          <t>Magic Mixies Pixlings. Unia The Unicorn Pixling. Create and Mix A Magic Potion That Magically Reveals A Beautiful 6.5" Pixling Doll Inside A Potion Bottle!</t>
        </is>
      </c>
      <c r="E1290" s="2">
        <f>HYPERLINK("https://www.amazon.com/Magic-Mixies-Pixlings-Single-Purple/dp/B0BQSM2BQ1/ref=sr_1_8?keywords=Magic+Spell+Potion+5&amp;qid=1695565776&amp;sr=8-8", "https://www.amazon.com/Magic-Mixies-Pixlings-Single-Purple/dp/B0BQSM2BQ1/ref=sr_1_8?keywords=Magic+Spell+Potion+5&amp;qid=1695565776&amp;sr=8-8")</f>
        <v/>
      </c>
      <c r="F1290" t="inlineStr">
        <is>
          <t>B0BQSM2BQ1</t>
        </is>
      </c>
      <c r="G1290">
        <f>_xlfn.IMAGE("https://camerareadycosmetics.com/cdn/shop/products/MSP5_model-with-text3_1000x_63c3de3e-6ce8-4706-ac3c-e6fdb5f013d2_50x.jpg?v=1680712481")</f>
        <v/>
      </c>
      <c r="H1290">
        <f>_xlfn.IMAGE("https://m.media-amazon.com/images/I/71fkiCCDBGL._AC_UL320_.jpg")</f>
        <v/>
      </c>
      <c r="K1290" t="inlineStr">
        <is>
          <t>25.0</t>
        </is>
      </c>
      <c r="L1290" t="n">
        <v>17.99</v>
      </c>
      <c r="M1290" s="1" t="inlineStr">
        <is>
          <t>-28.04%</t>
        </is>
      </c>
      <c r="N1290" t="n">
        <v>4.6</v>
      </c>
      <c r="O1290" t="n">
        <v>111</v>
      </c>
      <c r="Q1290" t="inlineStr">
        <is>
          <t>InStock</t>
        </is>
      </c>
      <c r="R1290" t="inlineStr">
        <is>
          <t>undefined</t>
        </is>
      </c>
      <c r="S1290" t="inlineStr">
        <is>
          <t>7581834969273</t>
        </is>
      </c>
    </row>
    <row r="1291" ht="75" customHeight="1">
      <c r="A1291" s="2">
        <f>HYPERLINK("https://camerareadycosmetics.com/products/jason-wu-beauty-ready-set-matte", "https://camerareadycosmetics.com/products/jason-wu-beauty-ready-set-matte")</f>
        <v/>
      </c>
      <c r="B1291" s="2">
        <f>HYPERLINK("https://camerareadycosmetics.com/products/jason-wu-beauty-ready-set-matte", "https://camerareadycosmetics.com/products/jason-wu-beauty-ready-set-matte")</f>
        <v/>
      </c>
      <c r="C1291" t="inlineStr">
        <is>
          <t>Ready Set Matte</t>
        </is>
      </c>
      <c r="D1291" t="inlineStr">
        <is>
          <t>Premium Red Matte Lip Kit | Long Lasting Liquid Lipstick and Liner Set | Red Carpet Ready</t>
        </is>
      </c>
      <c r="E1291" s="2">
        <f>HYPERLINK("https://www.amazon.com/Carpet-Ready-Premium-Cliquestick-Lipstick/dp/B07CW7NC55/ref=sr_1_3?keywords=Ready+Set+Matte&amp;qid=1695565842&amp;sr=8-3", "https://www.amazon.com/Carpet-Ready-Premium-Cliquestick-Lipstick/dp/B07CW7NC55/ref=sr_1_3?keywords=Ready+Set+Matte&amp;qid=1695565842&amp;sr=8-3")</f>
        <v/>
      </c>
      <c r="F1291" t="inlineStr">
        <is>
          <t>B07CW7NC55</t>
        </is>
      </c>
      <c r="G1291">
        <f>_xlfn.IMAGE("https://camerareadycosmetics.com/cdn/shop/files/RSM_02-with-swatch-1400_700x_79f8cf4b-30b1-425d-a226-f747842d5a14_50x.png?v=1690400097")</f>
        <v/>
      </c>
      <c r="H1291">
        <f>_xlfn.IMAGE("https://m.media-amazon.com/images/I/41OY1xJlV5L._AC_UL320_.jpg")</f>
        <v/>
      </c>
      <c r="K1291" t="inlineStr">
        <is>
          <t>20.0</t>
        </is>
      </c>
      <c r="L1291" t="n">
        <v>29</v>
      </c>
      <c r="M1291" s="1" t="inlineStr">
        <is>
          <t>45.00%</t>
        </is>
      </c>
      <c r="N1291" t="n">
        <v>3.7</v>
      </c>
      <c r="O1291" t="n">
        <v>353</v>
      </c>
      <c r="Q1291" t="inlineStr">
        <is>
          <t>InStock</t>
        </is>
      </c>
      <c r="R1291" t="inlineStr">
        <is>
          <t>undefined</t>
        </is>
      </c>
      <c r="S1291" t="inlineStr">
        <is>
          <t>7237418352825</t>
        </is>
      </c>
    </row>
    <row r="1292" ht="75" customHeight="1">
      <c r="A1292" s="2">
        <f>HYPERLINK("https://camerareadycosmetics.com/products/jason-wu-beauty-stay-in-line-lip-pencil", "https://camerareadycosmetics.com/products/jason-wu-beauty-stay-in-line-lip-pencil")</f>
        <v/>
      </c>
      <c r="B1292" s="2">
        <f>HYPERLINK("https://camerareadycosmetics.com/products/jason-wu-beauty-stay-in-line-lip-pencil", "https://camerareadycosmetics.com/products/jason-wu-beauty-stay-in-line-lip-pencil")</f>
        <v/>
      </c>
      <c r="C1292" t="inlineStr">
        <is>
          <t>Stay In Line Lip Pencil</t>
        </is>
      </c>
      <c r="D1292" t="inlineStr">
        <is>
          <t>6pcs Lip Liner Pencel Set, Superstay Retractable Lip Crayon, Long Lasting Waterproof Nude to Red Velvety Matte Finish Lipstick Lip Makeup Set for Women, Include Built-Sharpener (SET A)</t>
        </is>
      </c>
      <c r="E1292" s="2">
        <f>HYPERLINK("https://www.amazon.com/KIMIEYE-Superstay-Retractable-Waterproof-Built-Sharpener/dp/B0BTMLLRXK/ref=sr_1_1?keywords=Stay+In+Line+Lip+Pencil&amp;qid=1695565515&amp;sr=8-1", "https://www.amazon.com/KIMIEYE-Superstay-Retractable-Waterproof-Built-Sharpener/dp/B0BTMLLRXK/ref=sr_1_1?keywords=Stay+In+Line+Lip+Pencil&amp;qid=1695565515&amp;sr=8-1")</f>
        <v/>
      </c>
      <c r="F1292" t="inlineStr">
        <is>
          <t>B0BTMLLRXK</t>
        </is>
      </c>
      <c r="G1292">
        <f>_xlfn.IMAGE("https://camerareadycosmetics.com/cdn/shop/products/Adored-01-CloseUp_1000x_b639fc31-57b6-43f3-aec4-451ef6fae2e5_50x.jpg?v=1663364571")</f>
        <v/>
      </c>
      <c r="H1292">
        <f>_xlfn.IMAGE("https://m.media-amazon.com/images/I/71sAAkOV7QL._AC_UL320_.jpg")</f>
        <v/>
      </c>
      <c r="K1292" t="inlineStr">
        <is>
          <t>10.0</t>
        </is>
      </c>
      <c r="L1292" t="n">
        <v>9.99</v>
      </c>
      <c r="M1292" s="1" t="inlineStr">
        <is>
          <t>-0.10%</t>
        </is>
      </c>
      <c r="N1292" t="n">
        <v>3.9</v>
      </c>
      <c r="O1292" t="n">
        <v>84</v>
      </c>
      <c r="Q1292" t="inlineStr">
        <is>
          <t>InStock</t>
        </is>
      </c>
      <c r="R1292" t="inlineStr">
        <is>
          <t>10.0</t>
        </is>
      </c>
      <c r="S1292" t="inlineStr">
        <is>
          <t>7238184960185</t>
        </is>
      </c>
    </row>
    <row r="1293" ht="75" customHeight="1">
      <c r="A1293" s="2">
        <f>HYPERLINK("https://camerareadycosmetics.com/products/jason-wu-beauty-stay-in-line-lip-pencil", "https://camerareadycosmetics.com/products/jason-wu-beauty-stay-in-line-lip-pencil")</f>
        <v/>
      </c>
      <c r="B1293" s="2">
        <f>HYPERLINK("https://camerareadycosmetics.com/products/jason-wu-beauty-stay-in-line-lip-pencil", "https://camerareadycosmetics.com/products/jason-wu-beauty-stay-in-line-lip-pencil")</f>
        <v/>
      </c>
      <c r="C1293" t="inlineStr">
        <is>
          <t>Stay In Line Lip Pencil</t>
        </is>
      </c>
      <c r="D1293" t="inlineStr">
        <is>
          <t>Lip Liner,Creamy Lip Liner Pencil,Long Lasting Lip Liner with Sharpener,Matte Finish,Smooth and Soft,Non-Dry,Easy to Use,Cruelty free,0.02 oz(07#Daejeeling)</t>
        </is>
      </c>
      <c r="E1293" s="2">
        <f>HYPERLINK("https://www.amazon.com/KISSIO-Lasting-Sharppens-Non-Dry-Daejeeling/dp/B09NKTJBHK/ref=sr_1_6?keywords=Stay+In+Line+Lip+Pencil&amp;qid=1695565515&amp;sr=8-6", "https://www.amazon.com/KISSIO-Lasting-Sharppens-Non-Dry-Daejeeling/dp/B09NKTJBHK/ref=sr_1_6?keywords=Stay+In+Line+Lip+Pencil&amp;qid=1695565515&amp;sr=8-6")</f>
        <v/>
      </c>
      <c r="F1293" t="inlineStr">
        <is>
          <t>B09NKTJBHK</t>
        </is>
      </c>
      <c r="G1293">
        <f>_xlfn.IMAGE("https://camerareadycosmetics.com/cdn/shop/products/Adored-01-CloseUp_1000x_b639fc31-57b6-43f3-aec4-451ef6fae2e5_50x.jpg?v=1663364571")</f>
        <v/>
      </c>
      <c r="H1293">
        <f>_xlfn.IMAGE("https://m.media-amazon.com/images/I/61e3AGeRbBL._AC_UL320_.jpg")</f>
        <v/>
      </c>
      <c r="K1293" t="inlineStr">
        <is>
          <t>10.0</t>
        </is>
      </c>
      <c r="L1293" t="n">
        <v>9.99</v>
      </c>
      <c r="M1293" s="1" t="inlineStr">
        <is>
          <t>-0.10%</t>
        </is>
      </c>
      <c r="N1293" t="n">
        <v>4.2</v>
      </c>
      <c r="O1293" t="n">
        <v>291</v>
      </c>
      <c r="Q1293" t="inlineStr">
        <is>
          <t>InStock</t>
        </is>
      </c>
      <c r="R1293" t="inlineStr">
        <is>
          <t>10.0</t>
        </is>
      </c>
      <c r="S1293" t="inlineStr">
        <is>
          <t>7238184960185</t>
        </is>
      </c>
    </row>
    <row r="1294" ht="75" customHeight="1">
      <c r="A1294" s="2">
        <f>HYPERLINK("https://camerareadycosmetics.com/products/jason-wu-beauty-stay-in-line-lip-pencil", "https://camerareadycosmetics.com/products/jason-wu-beauty-stay-in-line-lip-pencil")</f>
        <v/>
      </c>
      <c r="B1294" s="2">
        <f>HYPERLINK("https://camerareadycosmetics.com/products/jason-wu-beauty-stay-in-line-lip-pencil", "https://camerareadycosmetics.com/products/jason-wu-beauty-stay-in-line-lip-pencil")</f>
        <v/>
      </c>
      <c r="C1294" t="inlineStr">
        <is>
          <t>Stay In Line Lip Pencil</t>
        </is>
      </c>
      <c r="D1294" t="inlineStr">
        <is>
          <t>Revlon Lip Liner, Colorstay Face Makeup with Built-in-Sharpener, Longwear Rich Lip Colors, Smooth Application, 685 Natural</t>
        </is>
      </c>
      <c r="E1294" s="2">
        <f>HYPERLINK("https://www.amazon.com/Colorstay-Sharpener-Longwear-Application-Natural/dp/B002HRCGRE/ref=sr_1_3?keywords=Stay+In+Line+Lip+Pencil&amp;qid=1695565515&amp;sr=8-3", "https://www.amazon.com/Colorstay-Sharpener-Longwear-Application-Natural/dp/B002HRCGRE/ref=sr_1_3?keywords=Stay+In+Line+Lip+Pencil&amp;qid=1695565515&amp;sr=8-3")</f>
        <v/>
      </c>
      <c r="F1294" t="inlineStr">
        <is>
          <t>B002HRCGRE</t>
        </is>
      </c>
      <c r="G1294">
        <f>_xlfn.IMAGE("https://camerareadycosmetics.com/cdn/shop/products/Adored-01-CloseUp_1000x_b639fc31-57b6-43f3-aec4-451ef6fae2e5_50x.jpg?v=1663364571")</f>
        <v/>
      </c>
      <c r="H1294">
        <f>_xlfn.IMAGE("https://m.media-amazon.com/images/I/61e5B0H2iBL._AC_UL320_.jpg")</f>
        <v/>
      </c>
      <c r="K1294" t="inlineStr">
        <is>
          <t>10.0</t>
        </is>
      </c>
      <c r="L1294" t="n">
        <v>8.48</v>
      </c>
      <c r="M1294" s="1" t="inlineStr">
        <is>
          <t>-15.20%</t>
        </is>
      </c>
      <c r="N1294" t="n">
        <v>4.5</v>
      </c>
      <c r="O1294" t="n">
        <v>14561</v>
      </c>
      <c r="Q1294" t="inlineStr">
        <is>
          <t>InStock</t>
        </is>
      </c>
      <c r="R1294" t="inlineStr">
        <is>
          <t>10.0</t>
        </is>
      </c>
      <c r="S1294" t="inlineStr">
        <is>
          <t>7238184960185</t>
        </is>
      </c>
    </row>
    <row r="1295" ht="75" customHeight="1">
      <c r="A1295" s="2">
        <f>HYPERLINK("https://camerareadycosmetics.com/products/jason-wu-beauty-stay-in-line-lip-pencil", "https://camerareadycosmetics.com/products/jason-wu-beauty-stay-in-line-lip-pencil")</f>
        <v/>
      </c>
      <c r="B1295" s="2">
        <f>HYPERLINK("https://camerareadycosmetics.com/products/jason-wu-beauty-stay-in-line-lip-pencil", "https://camerareadycosmetics.com/products/jason-wu-beauty-stay-in-line-lip-pencil")</f>
        <v/>
      </c>
      <c r="C1295" t="inlineStr">
        <is>
          <t>Stay In Line Lip Pencil</t>
        </is>
      </c>
      <c r="D1295" t="inlineStr">
        <is>
          <t>Matte Lip Liner Pencil Set - 12 Assorted Colors Natural Lip Makeup Soft Pencils Waterproof and Longwear Ultra Fine Lip Liners (Color Set-3)</t>
        </is>
      </c>
      <c r="E1295" s="2">
        <f>HYPERLINK("https://www.amazon.com/ISMINE-Matte-Lip-Liner-Pencil/dp/B0BWCLBPNM/ref=sr_1_10?keywords=Stay+In+Line+Lip+Pencil&amp;qid=1695565515&amp;sr=8-10", "https://www.amazon.com/ISMINE-Matte-Lip-Liner-Pencil/dp/B0BWCLBPNM/ref=sr_1_10?keywords=Stay+In+Line+Lip+Pencil&amp;qid=1695565515&amp;sr=8-10")</f>
        <v/>
      </c>
      <c r="F1295" t="inlineStr">
        <is>
          <t>B0BWCLBPNM</t>
        </is>
      </c>
      <c r="G1295">
        <f>_xlfn.IMAGE("https://camerareadycosmetics.com/cdn/shop/products/Adored-01-CloseUp_1000x_b639fc31-57b6-43f3-aec4-451ef6fae2e5_50x.jpg?v=1663364571")</f>
        <v/>
      </c>
      <c r="H1295">
        <f>_xlfn.IMAGE("https://m.media-amazon.com/images/I/71PD6rKoKLL._AC_UL320_.jpg")</f>
        <v/>
      </c>
      <c r="K1295" t="inlineStr">
        <is>
          <t>10.0</t>
        </is>
      </c>
      <c r="L1295" t="n">
        <v>7.98</v>
      </c>
      <c r="M1295" s="1" t="inlineStr">
        <is>
          <t>-20.20%</t>
        </is>
      </c>
      <c r="N1295" t="n">
        <v>4.3</v>
      </c>
      <c r="O1295" t="n">
        <v>3527</v>
      </c>
      <c r="Q1295" t="inlineStr">
        <is>
          <t>InStock</t>
        </is>
      </c>
      <c r="R1295" t="inlineStr">
        <is>
          <t>10.0</t>
        </is>
      </c>
      <c r="S1295" t="inlineStr">
        <is>
          <t>7238184960185</t>
        </is>
      </c>
    </row>
    <row r="1296" ht="75" customHeight="1">
      <c r="A1296" s="2">
        <f>HYPERLINK("https://camerareadycosmetics.com/products/jason-wu-beauty-stay-in-line-lip-pencil", "https://camerareadycosmetics.com/products/jason-wu-beauty-stay-in-line-lip-pencil")</f>
        <v/>
      </c>
      <c r="B1296" s="2">
        <f>HYPERLINK("https://camerareadycosmetics.com/products/jason-wu-beauty-stay-in-line-lip-pencil", "https://camerareadycosmetics.com/products/jason-wu-beauty-stay-in-line-lip-pencil")</f>
        <v/>
      </c>
      <c r="C1296" t="inlineStr">
        <is>
          <t>Stay In Line Lip Pencil</t>
        </is>
      </c>
      <c r="D1296" t="inlineStr">
        <is>
          <t>NYX PROFESSIONAL MAKEUP Line Loud Lip Liner, Longwear and Pigmented Lip Pencil with Jojoba Oil &amp; Vitamin E - Stay Stuntin' (Midtone Bright Orange)</t>
        </is>
      </c>
      <c r="E1296" s="2">
        <f>HYPERLINK("https://www.amazon.com/PROFESSIONAL-MAKEUP-Line-Loud-Liner/dp/B09ZJXYWPB/ref=sr_1_4?keywords=Stay+In+Line+Lip+Pencil&amp;qid=1695565515&amp;sr=8-4", "https://www.amazon.com/PROFESSIONAL-MAKEUP-Line-Loud-Liner/dp/B09ZJXYWPB/ref=sr_1_4?keywords=Stay+In+Line+Lip+Pencil&amp;qid=1695565515&amp;sr=8-4")</f>
        <v/>
      </c>
      <c r="F1296" t="inlineStr">
        <is>
          <t>B09ZJXYWPB</t>
        </is>
      </c>
      <c r="G1296">
        <f>_xlfn.IMAGE("https://camerareadycosmetics.com/cdn/shop/products/Adored-01-CloseUp_1000x_b639fc31-57b6-43f3-aec4-451ef6fae2e5_50x.jpg?v=1663364571")</f>
        <v/>
      </c>
      <c r="H1296">
        <f>_xlfn.IMAGE("https://m.media-amazon.com/images/I/71l1iijth7L._AC_UL320_.jpg")</f>
        <v/>
      </c>
      <c r="K1296" t="inlineStr">
        <is>
          <t>10.0</t>
        </is>
      </c>
      <c r="L1296" t="n">
        <v>6.98</v>
      </c>
      <c r="M1296" s="1" t="inlineStr">
        <is>
          <t>-30.20%</t>
        </is>
      </c>
      <c r="N1296" t="n">
        <v>4.3</v>
      </c>
      <c r="O1296" t="n">
        <v>1508</v>
      </c>
      <c r="Q1296" t="inlineStr">
        <is>
          <t>InStock</t>
        </is>
      </c>
      <c r="R1296" t="inlineStr">
        <is>
          <t>10.0</t>
        </is>
      </c>
      <c r="S1296" t="inlineStr">
        <is>
          <t>7238184960185</t>
        </is>
      </c>
    </row>
    <row r="1297" ht="75" customHeight="1">
      <c r="A1297" s="2">
        <f>HYPERLINK("https://camerareadycosmetics.com/products/jason-wu-beauty-stay-in-line-lip-pencil", "https://camerareadycosmetics.com/products/jason-wu-beauty-stay-in-line-lip-pencil")</f>
        <v/>
      </c>
      <c r="B1297" s="2">
        <f>HYPERLINK("https://camerareadycosmetics.com/products/jason-wu-beauty-stay-in-line-lip-pencil", "https://camerareadycosmetics.com/products/jason-wu-beauty-stay-in-line-lip-pencil")</f>
        <v/>
      </c>
      <c r="C1297" t="inlineStr">
        <is>
          <t>Stay In Line Lip Pencil</t>
        </is>
      </c>
      <c r="D1297" t="inlineStr">
        <is>
          <t>Lip Liner Pencil, Long Lasting Waterproof Creamy Lip Liner Pencil with Sharppens, Non-Fade, Non-Dry, High Pigmented, UP TO 12 HOURS, Professional Lip Makeup Matte Lip Liner Pencil for Women (02# UNTAMABLE)</t>
        </is>
      </c>
      <c r="E1297" s="2">
        <f>HYPERLINK("https://www.amazon.com/Waterproof-Sharppens-Pigmented-Professional-UNTAMABLE/dp/B09YVS2DBM/ref=sr_1_8?keywords=Stay+In+Line+Lip+Pencil&amp;qid=1695565515&amp;sr=8-8", "https://www.amazon.com/Waterproof-Sharppens-Pigmented-Professional-UNTAMABLE/dp/B09YVS2DBM/ref=sr_1_8?keywords=Stay+In+Line+Lip+Pencil&amp;qid=1695565515&amp;sr=8-8")</f>
        <v/>
      </c>
      <c r="F1297" t="inlineStr">
        <is>
          <t>B09YVS2DBM</t>
        </is>
      </c>
      <c r="G1297">
        <f>_xlfn.IMAGE("https://camerareadycosmetics.com/cdn/shop/products/Adored-01-CloseUp_1000x_b639fc31-57b6-43f3-aec4-451ef6fae2e5_50x.jpg?v=1663364571")</f>
        <v/>
      </c>
      <c r="H1297">
        <f>_xlfn.IMAGE("https://m.media-amazon.com/images/I/61e30hnDxKL._AC_UL320_.jpg")</f>
        <v/>
      </c>
      <c r="K1297" t="inlineStr">
        <is>
          <t>10.0</t>
        </is>
      </c>
      <c r="L1297" t="n">
        <v>5.99</v>
      </c>
      <c r="M1297" s="1" t="inlineStr">
        <is>
          <t>-40.10%</t>
        </is>
      </c>
      <c r="N1297" t="n">
        <v>3.9</v>
      </c>
      <c r="O1297" t="n">
        <v>167</v>
      </c>
      <c r="Q1297" t="inlineStr">
        <is>
          <t>InStock</t>
        </is>
      </c>
      <c r="R1297" t="inlineStr">
        <is>
          <t>10.0</t>
        </is>
      </c>
      <c r="S1297" t="inlineStr">
        <is>
          <t>7238184960185</t>
        </is>
      </c>
    </row>
    <row r="1298" ht="75" customHeight="1">
      <c r="A1298" s="2">
        <f>HYPERLINK("https://camerareadycosmetics.com/products/jason-wu-beauty-stay-in-line-lip-pencil", "https://camerareadycosmetics.com/products/jason-wu-beauty-stay-in-line-lip-pencil")</f>
        <v/>
      </c>
      <c r="B1298" s="2">
        <f>HYPERLINK("https://camerareadycosmetics.com/products/jason-wu-beauty-stay-in-line-lip-pencil", "https://camerareadycosmetics.com/products/jason-wu-beauty-stay-in-line-lip-pencil")</f>
        <v/>
      </c>
      <c r="C1298" t="inlineStr">
        <is>
          <t>Stay In Line Lip Pencil</t>
        </is>
      </c>
      <c r="D1298" t="inlineStr">
        <is>
          <t>COVERGIRL Exhibitionist Lip Liner, Pencil, Creamy, In the Nude, 0.012 Fl Oz ,Lip Crayon, Makeup, Intense Pigmentation, Self-Sharpening Easy Application, Instant Definition</t>
        </is>
      </c>
      <c r="E1298" s="2">
        <f>HYPERLINK("https://www.amazon.com/COVERGIRL-Exhibitionist-Pigmentation-Self-Sharpening-Application/dp/B07CGS8Z4P/ref=sr_1_5?keywords=Stay+In+Line+Lip+Pencil&amp;qid=1695565515&amp;sr=8-5", "https://www.amazon.com/COVERGIRL-Exhibitionist-Pigmentation-Self-Sharpening-Application/dp/B07CGS8Z4P/ref=sr_1_5?keywords=Stay+In+Line+Lip+Pencil&amp;qid=1695565515&amp;sr=8-5")</f>
        <v/>
      </c>
      <c r="F1298" t="inlineStr">
        <is>
          <t>B07CGS8Z4P</t>
        </is>
      </c>
      <c r="G1298">
        <f>_xlfn.IMAGE("https://camerareadycosmetics.com/cdn/shop/products/Adored-01-CloseUp_1000x_b639fc31-57b6-43f3-aec4-451ef6fae2e5_50x.jpg?v=1663364571")</f>
        <v/>
      </c>
      <c r="H1298">
        <f>_xlfn.IMAGE("https://m.media-amazon.com/images/I/51l+6C7IphL._AC_UL320_.jpg")</f>
        <v/>
      </c>
      <c r="K1298" t="inlineStr">
        <is>
          <t>10.0</t>
        </is>
      </c>
      <c r="L1298" t="n">
        <v>4.98</v>
      </c>
      <c r="M1298" s="1" t="inlineStr">
        <is>
          <t>-50.20%</t>
        </is>
      </c>
      <c r="N1298" t="n">
        <v>4.3</v>
      </c>
      <c r="O1298" t="n">
        <v>1074</v>
      </c>
      <c r="Q1298" t="inlineStr">
        <is>
          <t>InStock</t>
        </is>
      </c>
      <c r="R1298" t="inlineStr">
        <is>
          <t>10.0</t>
        </is>
      </c>
      <c r="S1298" t="inlineStr">
        <is>
          <t>7238184960185</t>
        </is>
      </c>
    </row>
    <row r="1299" ht="75" customHeight="1">
      <c r="A1299" s="2">
        <f>HYPERLINK("https://camerareadycosmetics.com/products/jason-wu-beauty-stay-in-line-lip-pencil", "https://camerareadycosmetics.com/products/jason-wu-beauty-stay-in-line-lip-pencil")</f>
        <v/>
      </c>
      <c r="B1299" s="2">
        <f>HYPERLINK("https://camerareadycosmetics.com/products/jason-wu-beauty-stay-in-line-lip-pencil", "https://camerareadycosmetics.com/products/jason-wu-beauty-stay-in-line-lip-pencil")</f>
        <v/>
      </c>
      <c r="C1299" t="inlineStr">
        <is>
          <t>Stay In Line Lip Pencil</t>
        </is>
      </c>
      <c r="D1299" t="inlineStr">
        <is>
          <t>NYX PROFESSIONAL MAKEUP Slim Lip Pencil, Long-Lasting Creamy Lip Liner - Nude Pink</t>
        </is>
      </c>
      <c r="E1299" s="2">
        <f>HYPERLINK("https://www.amazon.com/NYX-PROFESSIONAL-MAKEUP-Pencil-Ounce/dp/B079ZX2WJ7/ref=sr_1_9?keywords=Stay+In+Line+Lip+Pencil&amp;qid=1695565515&amp;sr=8-9", "https://www.amazon.com/NYX-PROFESSIONAL-MAKEUP-Pencil-Ounce/dp/B079ZX2WJ7/ref=sr_1_9?keywords=Stay+In+Line+Lip+Pencil&amp;qid=1695565515&amp;sr=8-9")</f>
        <v/>
      </c>
      <c r="F1299" t="inlineStr">
        <is>
          <t>B079ZX2WJ7</t>
        </is>
      </c>
      <c r="G1299">
        <f>_xlfn.IMAGE("https://camerareadycosmetics.com/cdn/shop/products/Adored-01-CloseUp_1000x_b639fc31-57b6-43f3-aec4-451ef6fae2e5_50x.jpg?v=1663364571")</f>
        <v/>
      </c>
      <c r="H1299">
        <f>_xlfn.IMAGE("https://m.media-amazon.com/images/I/61NHRt+3f7L._AC_UL320_.jpg")</f>
        <v/>
      </c>
      <c r="K1299" t="inlineStr">
        <is>
          <t>10.0</t>
        </is>
      </c>
      <c r="L1299" t="n">
        <v>4.49</v>
      </c>
      <c r="M1299" s="1" t="inlineStr">
        <is>
          <t>-55.10%</t>
        </is>
      </c>
      <c r="N1299" t="n">
        <v>4.4</v>
      </c>
      <c r="O1299" t="n">
        <v>38236</v>
      </c>
      <c r="Q1299" t="inlineStr">
        <is>
          <t>InStock</t>
        </is>
      </c>
      <c r="R1299" t="inlineStr">
        <is>
          <t>10.0</t>
        </is>
      </c>
      <c r="S1299" t="inlineStr">
        <is>
          <t>7238184960185</t>
        </is>
      </c>
    </row>
    <row r="1300" ht="75" customHeight="1">
      <c r="A1300" s="2">
        <f>HYPERLINK("https://camerareadycosmetics.com/products/jason-wu-beauty-stay-in-line-lip-pencil", "https://camerareadycosmetics.com/products/jason-wu-beauty-stay-in-line-lip-pencil")</f>
        <v/>
      </c>
      <c r="B1300" s="2">
        <f>HYPERLINK("https://camerareadycosmetics.com/products/jason-wu-beauty-stay-in-line-lip-pencil", "https://camerareadycosmetics.com/products/jason-wu-beauty-stay-in-line-lip-pencil")</f>
        <v/>
      </c>
      <c r="C1300" t="inlineStr">
        <is>
          <t>Stay In Line Lip Pencil</t>
        </is>
      </c>
      <c r="D1300" t="inlineStr">
        <is>
          <t>MYUANGO Lip Liner Pencil -Vegan and Creamy Formula, 24-Hour Long-Wear, Waterproof &amp; Smudge-Resistant (B101)</t>
        </is>
      </c>
      <c r="E1300" s="2">
        <f>HYPERLINK("https://www.amazon.com/MYUANGO-Formula-Long-Wear-Waterproof-Smudge-Resistant/dp/B0CCHZ6R6F/ref=sr_1_2?keywords=Stay+In+Line+Lip+Pencil&amp;qid=1695565515&amp;sr=8-2", "https://www.amazon.com/MYUANGO-Formula-Long-Wear-Waterproof-Smudge-Resistant/dp/B0CCHZ6R6F/ref=sr_1_2?keywords=Stay+In+Line+Lip+Pencil&amp;qid=1695565515&amp;sr=8-2")</f>
        <v/>
      </c>
      <c r="F1300" t="inlineStr">
        <is>
          <t>B0CCHZ6R6F</t>
        </is>
      </c>
      <c r="G1300">
        <f>_xlfn.IMAGE("https://camerareadycosmetics.com/cdn/shop/products/Adored-01-CloseUp_1000x_b639fc31-57b6-43f3-aec4-451ef6fae2e5_50x.jpg?v=1663364571")</f>
        <v/>
      </c>
      <c r="H1300">
        <f>_xlfn.IMAGE("https://m.media-amazon.com/images/I/4160WcLchXL._AC_UL320_.jpg")</f>
        <v/>
      </c>
      <c r="K1300" t="inlineStr">
        <is>
          <t>10.0</t>
        </is>
      </c>
      <c r="L1300" t="n">
        <v>3.99</v>
      </c>
      <c r="M1300" s="1" t="inlineStr">
        <is>
          <t>-60.10%</t>
        </is>
      </c>
      <c r="N1300" t="n">
        <v>5</v>
      </c>
      <c r="O1300" t="n">
        <v>1</v>
      </c>
      <c r="Q1300" t="inlineStr">
        <is>
          <t>InStock</t>
        </is>
      </c>
      <c r="R1300" t="inlineStr">
        <is>
          <t>10.0</t>
        </is>
      </c>
      <c r="S1300" t="inlineStr">
        <is>
          <t>7238184960185</t>
        </is>
      </c>
    </row>
    <row r="1301" ht="75" customHeight="1">
      <c r="A1301" s="2">
        <f>HYPERLINK("https://camerareadycosmetics.com/products/jason-wu-beauty-stay-in-line-lip-pencil", "https://camerareadycosmetics.com/products/jason-wu-beauty-stay-in-line-lip-pencil")</f>
        <v/>
      </c>
      <c r="B1301" s="2">
        <f>HYPERLINK("https://camerareadycosmetics.com/products/jason-wu-beauty-stay-in-line-lip-pencil", "https://camerareadycosmetics.com/products/jason-wu-beauty-stay-in-line-lip-pencil")</f>
        <v/>
      </c>
      <c r="C1301" t="inlineStr">
        <is>
          <t>Stay In Line Lip Pencil</t>
        </is>
      </c>
      <c r="D1301" t="inlineStr">
        <is>
          <t>COVERGIRL Exhibitionist Lip Liner, Pencil, Creamy, In the Nude, 0.012 Fl Oz ,Lip Crayon, Makeup, Intense Pigmentation, Self-Sharpening Easy Application, Instant Definition</t>
        </is>
      </c>
      <c r="E1301" s="2">
        <f>HYPERLINK("https://www.amazon.com/COVERGIRL-Exhibitionist-Pigmentation-Self-Sharpening-Application/dp/B07CGS8Z4P/ref=sr_1_5?keywords=Stay+In+Line+Lip+Pencil&amp;qid=1695565515&amp;sr=8-5", "https://www.amazon.com/COVERGIRL-Exhibitionist-Pigmentation-Self-Sharpening-Application/dp/B07CGS8Z4P/ref=sr_1_5?keywords=Stay+In+Line+Lip+Pencil&amp;qid=1695565515&amp;sr=8-5")</f>
        <v/>
      </c>
      <c r="F1301" t="inlineStr">
        <is>
          <t>B07CGS8Z4P</t>
        </is>
      </c>
      <c r="G1301">
        <f>_xlfn.IMAGE("https://camerareadycosmetics.com/cdn/shop/products/Adored-01-CloseUp_1000x_b639fc31-57b6-43f3-aec4-451ef6fae2e5_50x.jpg?v=1663364571")</f>
        <v/>
      </c>
      <c r="H1301">
        <f>_xlfn.IMAGE("https://m.media-amazon.com/images/I/51l+6C7IphL._AC_UL320_.jpg")</f>
        <v/>
      </c>
      <c r="K1301" t="inlineStr">
        <is>
          <t>10.0</t>
        </is>
      </c>
      <c r="L1301" t="n">
        <v>4.98</v>
      </c>
      <c r="M1301" s="1" t="inlineStr">
        <is>
          <t>-50.20%</t>
        </is>
      </c>
      <c r="N1301" t="n">
        <v>4.3</v>
      </c>
      <c r="O1301" t="n">
        <v>1074</v>
      </c>
      <c r="Q1301" t="inlineStr">
        <is>
          <t>InStock</t>
        </is>
      </c>
      <c r="R1301" t="inlineStr">
        <is>
          <t>10.0</t>
        </is>
      </c>
      <c r="S1301" t="inlineStr">
        <is>
          <t>7238184960185</t>
        </is>
      </c>
    </row>
    <row r="1302" ht="75" customHeight="1">
      <c r="A1302" s="2">
        <f>HYPERLINK("https://camerareadycosmetics.com/products/jason-wu-beauty-stay-in-line-lip-pencil", "https://camerareadycosmetics.com/products/jason-wu-beauty-stay-in-line-lip-pencil")</f>
        <v/>
      </c>
      <c r="B1302" s="2">
        <f>HYPERLINK("https://camerareadycosmetics.com/products/jason-wu-beauty-stay-in-line-lip-pencil", "https://camerareadycosmetics.com/products/jason-wu-beauty-stay-in-line-lip-pencil")</f>
        <v/>
      </c>
      <c r="C1302" t="inlineStr">
        <is>
          <t>Stay In Line Lip Pencil</t>
        </is>
      </c>
      <c r="D1302" t="inlineStr">
        <is>
          <t>NYX PROFESSIONAL MAKEUP Slim Lip Pencil, Long-Lasting Creamy Lip Liner - Nude Pink</t>
        </is>
      </c>
      <c r="E1302" s="2">
        <f>HYPERLINK("https://www.amazon.com/NYX-PROFESSIONAL-MAKEUP-Pencil-Ounce/dp/B079ZX2WJ7/ref=sr_1_9?keywords=Stay+In+Line+Lip+Pencil&amp;qid=1695565515&amp;sr=8-9", "https://www.amazon.com/NYX-PROFESSIONAL-MAKEUP-Pencil-Ounce/dp/B079ZX2WJ7/ref=sr_1_9?keywords=Stay+In+Line+Lip+Pencil&amp;qid=1695565515&amp;sr=8-9")</f>
        <v/>
      </c>
      <c r="F1302" t="inlineStr">
        <is>
          <t>B079ZX2WJ7</t>
        </is>
      </c>
      <c r="G1302">
        <f>_xlfn.IMAGE("https://camerareadycosmetics.com/cdn/shop/products/Adored-01-CloseUp_1000x_b639fc31-57b6-43f3-aec4-451ef6fae2e5_50x.jpg?v=1663364571")</f>
        <v/>
      </c>
      <c r="H1302">
        <f>_xlfn.IMAGE("https://m.media-amazon.com/images/I/61NHRt+3f7L._AC_UL320_.jpg")</f>
        <v/>
      </c>
      <c r="K1302" t="inlineStr">
        <is>
          <t>10.0</t>
        </is>
      </c>
      <c r="L1302" t="n">
        <v>4.49</v>
      </c>
      <c r="M1302" s="1" t="inlineStr">
        <is>
          <t>-55.10%</t>
        </is>
      </c>
      <c r="N1302" t="n">
        <v>4.4</v>
      </c>
      <c r="O1302" t="n">
        <v>38236</v>
      </c>
      <c r="Q1302" t="inlineStr">
        <is>
          <t>InStock</t>
        </is>
      </c>
      <c r="R1302" t="inlineStr">
        <is>
          <t>10.0</t>
        </is>
      </c>
      <c r="S1302" t="inlineStr">
        <is>
          <t>7238184960185</t>
        </is>
      </c>
    </row>
    <row r="1303" ht="75" customHeight="1">
      <c r="A1303" s="2">
        <f>HYPERLINK("https://camerareadycosmetics.com/products/jason-wu-beauty-stay-in-line-lip-pencil", "https://camerareadycosmetics.com/products/jason-wu-beauty-stay-in-line-lip-pencil")</f>
        <v/>
      </c>
      <c r="B1303" s="2">
        <f>HYPERLINK("https://camerareadycosmetics.com/products/jason-wu-beauty-stay-in-line-lip-pencil", "https://camerareadycosmetics.com/products/jason-wu-beauty-stay-in-line-lip-pencil")</f>
        <v/>
      </c>
      <c r="C1303" t="inlineStr">
        <is>
          <t>Stay In Line Lip Pencil</t>
        </is>
      </c>
      <c r="D1303" t="inlineStr">
        <is>
          <t>MYUANGO Lip Liner Pencil -Vegan and Creamy Formula, 24-Hour Long-Wear, Waterproof &amp; Smudge-Resistant (B101)</t>
        </is>
      </c>
      <c r="E1303" s="2">
        <f>HYPERLINK("https://www.amazon.com/MYUANGO-Formula-Long-Wear-Waterproof-Smudge-Resistant/dp/B0CCHZ6R6F/ref=sr_1_2?keywords=Stay+In+Line+Lip+Pencil&amp;qid=1695565515&amp;sr=8-2", "https://www.amazon.com/MYUANGO-Formula-Long-Wear-Waterproof-Smudge-Resistant/dp/B0CCHZ6R6F/ref=sr_1_2?keywords=Stay+In+Line+Lip+Pencil&amp;qid=1695565515&amp;sr=8-2")</f>
        <v/>
      </c>
      <c r="F1303" t="inlineStr">
        <is>
          <t>B0CCHZ6R6F</t>
        </is>
      </c>
      <c r="G1303">
        <f>_xlfn.IMAGE("https://camerareadycosmetics.com/cdn/shop/products/Adored-01-CloseUp_1000x_b639fc31-57b6-43f3-aec4-451ef6fae2e5_50x.jpg?v=1663364571")</f>
        <v/>
      </c>
      <c r="H1303">
        <f>_xlfn.IMAGE("https://m.media-amazon.com/images/I/4160WcLchXL._AC_UL320_.jpg")</f>
        <v/>
      </c>
      <c r="K1303" t="inlineStr">
        <is>
          <t>10.0</t>
        </is>
      </c>
      <c r="L1303" t="n">
        <v>3.99</v>
      </c>
      <c r="M1303" s="1" t="inlineStr">
        <is>
          <t>-60.10%</t>
        </is>
      </c>
      <c r="N1303" t="n">
        <v>5</v>
      </c>
      <c r="O1303" t="n">
        <v>1</v>
      </c>
      <c r="Q1303" t="inlineStr">
        <is>
          <t>InStock</t>
        </is>
      </c>
      <c r="R1303" t="inlineStr">
        <is>
          <t>10.0</t>
        </is>
      </c>
      <c r="S1303" t="inlineStr">
        <is>
          <t>7238184960185</t>
        </is>
      </c>
    </row>
    <row r="1304" ht="75" customHeight="1">
      <c r="A1304" s="2">
        <f>HYPERLINK("https://camerareadycosmetics.com/products/jason-wu-beauty-tint-it-oil-it-plump-it", "https://camerareadycosmetics.com/products/jason-wu-beauty-tint-it-oil-it-plump-it")</f>
        <v/>
      </c>
      <c r="B1304" s="2">
        <f>HYPERLINK("https://camerareadycosmetics.com/products/jason-wu-beauty-tint-it-oil-it-plump-it", "https://camerareadycosmetics.com/products/jason-wu-beauty-tint-it-oil-it-plump-it")</f>
        <v/>
      </c>
      <c r="C1304" t="inlineStr">
        <is>
          <t>Tint It Oil It Plump It</t>
        </is>
      </c>
      <c r="D1304" t="inlineStr">
        <is>
          <t>Dragonranee Plumping Lip Oil, Hydrating Gloss Tinted Moisturizing Balm, Nourishing Glow, Care Lasting Non-sticky Big Brush Head Glitter Shine Primer Tint (Hello-lip oil#1)</t>
        </is>
      </c>
      <c r="E1304" s="2">
        <f>HYPERLINK("https://www.amazon.com/Dragonranee-Hydrating-Moisturizing-Nourishing-Non-sticky/dp/B0C4SPML76/ref=sr_1_6?keywords=Tint+It+Oil+It+Plump+It&amp;qid=1695565760&amp;sr=8-6", "https://www.amazon.com/Dragonranee-Hydrating-Moisturizing-Nourishing-Non-sticky/dp/B0C4SPML76/ref=sr_1_6?keywords=Tint+It+Oil+It+Plump+It&amp;qid=1695565760&amp;sr=8-6")</f>
        <v/>
      </c>
      <c r="F1304" t="inlineStr">
        <is>
          <t>B0C4SPML76</t>
        </is>
      </c>
      <c r="G1304">
        <f>_xlfn.IMAGE("https://camerareadycosmetics.com/cdn/shop/files/TIOIPI_03_swatch_2800x2800_1000x_d9746980-04bb-49ed-b03b-587451356675_50x.jpg?v=1687204633")</f>
        <v/>
      </c>
      <c r="H1304">
        <f>_xlfn.IMAGE("https://m.media-amazon.com/images/I/61E95SX2IhL._AC_UL320_.jpg")</f>
        <v/>
      </c>
      <c r="K1304" t="inlineStr">
        <is>
          <t>12.0</t>
        </is>
      </c>
      <c r="L1304" t="n">
        <v>5.99</v>
      </c>
      <c r="M1304" s="1" t="inlineStr">
        <is>
          <t>-50.08%</t>
        </is>
      </c>
      <c r="N1304" t="n">
        <v>5</v>
      </c>
      <c r="O1304" t="n">
        <v>4</v>
      </c>
      <c r="Q1304" t="inlineStr">
        <is>
          <t>InStock</t>
        </is>
      </c>
      <c r="R1304" t="inlineStr">
        <is>
          <t>undefined</t>
        </is>
      </c>
      <c r="S1304" t="inlineStr">
        <is>
          <t>7569352065209</t>
        </is>
      </c>
    </row>
    <row r="1305" ht="75" customHeight="1">
      <c r="A1305" s="2">
        <f>HYPERLINK("https://camerareadycosmetics.com/products/jason-wu-beauty-tint-it-oil-it-plump-it", "https://camerareadycosmetics.com/products/jason-wu-beauty-tint-it-oil-it-plump-it")</f>
        <v/>
      </c>
      <c r="B1305" s="2">
        <f>HYPERLINK("https://camerareadycosmetics.com/products/jason-wu-beauty-tint-it-oil-it-plump-it", "https://camerareadycosmetics.com/products/jason-wu-beauty-tint-it-oil-it-plump-it")</f>
        <v/>
      </c>
      <c r="C1305" t="inlineStr">
        <is>
          <t>Tint It Oil It Plump It</t>
        </is>
      </c>
      <c r="D1305" t="inlineStr">
        <is>
          <t>Dragonranee Plumping Lip Oil, Hydrating Gloss Tinted Moisturizing Balm, Nourishing Glow, Care Lasting Non-sticky Big Brush Head Glitter Shine Primer Tint (Hello-lip oil#1)</t>
        </is>
      </c>
      <c r="E1305" s="2">
        <f>HYPERLINK("https://www.amazon.com/Dragonranee-Hydrating-Moisturizing-Nourishing-Non-sticky/dp/B0C4SPML76/ref=sr_1_6?keywords=Tint+It+Oil+It+Plump+It&amp;qid=1695565760&amp;sr=8-6", "https://www.amazon.com/Dragonranee-Hydrating-Moisturizing-Nourishing-Non-sticky/dp/B0C4SPML76/ref=sr_1_6?keywords=Tint+It+Oil+It+Plump+It&amp;qid=1695565760&amp;sr=8-6")</f>
        <v/>
      </c>
      <c r="F1305" t="inlineStr">
        <is>
          <t>B0C4SPML76</t>
        </is>
      </c>
      <c r="G1305">
        <f>_xlfn.IMAGE("https://camerareadycosmetics.com/cdn/shop/files/TIOIPI_03_swatch_2800x2800_1000x_d9746980-04bb-49ed-b03b-587451356675_50x.jpg?v=1687204633")</f>
        <v/>
      </c>
      <c r="H1305">
        <f>_xlfn.IMAGE("https://m.media-amazon.com/images/I/61E95SX2IhL._AC_UL320_.jpg")</f>
        <v/>
      </c>
      <c r="K1305" t="inlineStr">
        <is>
          <t>12.0</t>
        </is>
      </c>
      <c r="L1305" t="n">
        <v>5.99</v>
      </c>
      <c r="M1305" s="1" t="inlineStr">
        <is>
          <t>-50.08%</t>
        </is>
      </c>
      <c r="N1305" t="n">
        <v>5</v>
      </c>
      <c r="O1305" t="n">
        <v>4</v>
      </c>
      <c r="Q1305" t="inlineStr">
        <is>
          <t>InStock</t>
        </is>
      </c>
      <c r="R1305" t="inlineStr">
        <is>
          <t>undefined</t>
        </is>
      </c>
      <c r="S1305" t="inlineStr">
        <is>
          <t>7569352065209</t>
        </is>
      </c>
    </row>
    <row r="1306" ht="75" customHeight="1">
      <c r="A1306" s="2">
        <f>HYPERLINK("https://camerareadycosmetics.com/products/jillian-dempsey-cheek-tint", "https://camerareadycosmetics.com/products/jillian-dempsey-cheek-tint")</f>
        <v/>
      </c>
      <c r="B1306" s="2">
        <f>HYPERLINK("https://camerareadycosmetics.com/products/jillian-dempsey-cheek-tint", "https://camerareadycosmetics.com/products/jillian-dempsey-cheek-tint")</f>
        <v/>
      </c>
      <c r="C1306" t="inlineStr">
        <is>
          <t>Cheek Tint</t>
        </is>
      </c>
      <c r="D1306" t="inlineStr">
        <is>
          <t>Benefit Benetint Lip &amp; Cheek Stain Travel Size 0.13oz/4ml</t>
        </is>
      </c>
      <c r="E1306" s="2">
        <f>HYPERLINK("https://www.amazon.com/Benefit-Benetint-Cheek-Travel-0-13oz/dp/B006BL1S58/ref=sr_1_5?keywords=Cheek+Tint&amp;qid=1695565735&amp;sr=8-5", "https://www.amazon.com/Benefit-Benetint-Cheek-Travel-0-13oz/dp/B006BL1S58/ref=sr_1_5?keywords=Cheek+Tint&amp;qid=1695565735&amp;sr=8-5")</f>
        <v/>
      </c>
      <c r="F1306" t="inlineStr">
        <is>
          <t>B006BL1S58</t>
        </is>
      </c>
      <c r="G1306">
        <f>_xlfn.IMAGE("https://camerareadycosmetics.com/cdn/shop/products/Jillian-Dempsey-Cheek-Tint_50x.jpg?v=1619282755")</f>
        <v/>
      </c>
      <c r="H1306">
        <f>_xlfn.IMAGE("https://m.media-amazon.com/images/I/61T4afDF6hL._AC_UL320_.jpg")</f>
        <v/>
      </c>
      <c r="K1306" t="inlineStr">
        <is>
          <t>28.0</t>
        </is>
      </c>
      <c r="L1306" t="n">
        <v>23.99</v>
      </c>
      <c r="M1306" s="1" t="inlineStr">
        <is>
          <t>-14.32%</t>
        </is>
      </c>
      <c r="N1306" t="n">
        <v>4.3</v>
      </c>
      <c r="O1306" t="n">
        <v>1220</v>
      </c>
      <c r="Q1306" t="inlineStr">
        <is>
          <t>InStock</t>
        </is>
      </c>
      <c r="R1306" t="inlineStr">
        <is>
          <t>undefined</t>
        </is>
      </c>
      <c r="S1306" t="inlineStr">
        <is>
          <t>6667228938425</t>
        </is>
      </c>
    </row>
    <row r="1307" ht="75" customHeight="1">
      <c r="A1307" s="2">
        <f>HYPERLINK("https://camerareadycosmetics.com/products/jillian-dempsey-cheek-tint", "https://camerareadycosmetics.com/products/jillian-dempsey-cheek-tint")</f>
        <v/>
      </c>
      <c r="B1307" s="2">
        <f>HYPERLINK("https://camerareadycosmetics.com/products/jillian-dempsey-cheek-tint", "https://camerareadycosmetics.com/products/jillian-dempsey-cheek-tint")</f>
        <v/>
      </c>
      <c r="C1307" t="inlineStr">
        <is>
          <t>Cheek Tint</t>
        </is>
      </c>
      <c r="D1307" t="inlineStr">
        <is>
          <t>NYX PROFESSIONAL MAKEUP Sweet Cheeks Soft Cheek Tint, Cream Blush - Coralicious</t>
        </is>
      </c>
      <c r="E1307" s="2">
        <f>HYPERLINK("https://www.amazon.com/Sweet-Cheeks-Soft-Cheek-Tint/dp/B09H3XWFRT/ref=sr_1_6?keywords=Cheek+Tint&amp;qid=1695565735&amp;sr=8-6", "https://www.amazon.com/Sweet-Cheeks-Soft-Cheek-Tint/dp/B09H3XWFRT/ref=sr_1_6?keywords=Cheek+Tint&amp;qid=1695565735&amp;sr=8-6")</f>
        <v/>
      </c>
      <c r="F1307" t="inlineStr">
        <is>
          <t>B09H3XWFRT</t>
        </is>
      </c>
      <c r="G1307">
        <f>_xlfn.IMAGE("https://camerareadycosmetics.com/cdn/shop/products/Jillian-Dempsey-Cheek-Tint_50x.jpg?v=1619282755")</f>
        <v/>
      </c>
      <c r="H1307">
        <f>_xlfn.IMAGE("https://m.media-amazon.com/images/I/6120N+n5ApL._AC_UL320_.jpg")</f>
        <v/>
      </c>
      <c r="K1307" t="inlineStr">
        <is>
          <t>28.0</t>
        </is>
      </c>
      <c r="L1307" t="n">
        <v>8.15</v>
      </c>
      <c r="M1307" s="1" t="inlineStr">
        <is>
          <t>-70.89%</t>
        </is>
      </c>
      <c r="N1307" t="n">
        <v>4.5</v>
      </c>
      <c r="O1307" t="n">
        <v>914</v>
      </c>
      <c r="Q1307" t="inlineStr">
        <is>
          <t>InStock</t>
        </is>
      </c>
      <c r="R1307" t="inlineStr">
        <is>
          <t>undefined</t>
        </is>
      </c>
      <c r="S1307" t="inlineStr">
        <is>
          <t>6667228938425</t>
        </is>
      </c>
    </row>
    <row r="1308" ht="75" customHeight="1">
      <c r="A1308" s="2">
        <f>HYPERLINK("https://camerareadycosmetics.com/products/jillian-dempsey-cheek-tint", "https://camerareadycosmetics.com/products/jillian-dempsey-cheek-tint")</f>
        <v/>
      </c>
      <c r="B1308" s="2">
        <f>HYPERLINK("https://camerareadycosmetics.com/products/jillian-dempsey-cheek-tint", "https://camerareadycosmetics.com/products/jillian-dempsey-cheek-tint")</f>
        <v/>
      </c>
      <c r="C1308" t="inlineStr">
        <is>
          <t>Cheek Tint</t>
        </is>
      </c>
      <c r="D1308" t="inlineStr">
        <is>
          <t>6 Colors Lip Tint Stain Set,Korean Velvet Water Lip Tint Mini Liquid Lipstick,Natural Multi-use Lip and Cheek Tint, Long lasting Non-Stick Cup Waterproof, High Pigment, Vivid Color, Lip Tint Makeup</t>
        </is>
      </c>
      <c r="E1308" s="2">
        <f>HYPERLINK("https://www.amazon.com/Lipstick-Natural-Multi-use-Non-Stick-Waterproof/dp/B0C6LZS9D5/ref=sr_1_10?keywords=Cheek+Tint&amp;qid=1695565735&amp;sr=8-10", "https://www.amazon.com/Lipstick-Natural-Multi-use-Non-Stick-Waterproof/dp/B0C6LZS9D5/ref=sr_1_10?keywords=Cheek+Tint&amp;qid=1695565735&amp;sr=8-10")</f>
        <v/>
      </c>
      <c r="F1308" t="inlineStr">
        <is>
          <t>B0C6LZS9D5</t>
        </is>
      </c>
      <c r="G1308">
        <f>_xlfn.IMAGE("https://camerareadycosmetics.com/cdn/shop/products/Jillian-Dempsey-Cheek-Tint_50x.jpg?v=1619282755")</f>
        <v/>
      </c>
      <c r="H1308">
        <f>_xlfn.IMAGE("https://m.media-amazon.com/images/I/611fehNqyfL._AC_UL320_.jpg")</f>
        <v/>
      </c>
      <c r="K1308" t="inlineStr">
        <is>
          <t>28.0</t>
        </is>
      </c>
      <c r="L1308" t="n">
        <v>7.99</v>
      </c>
      <c r="M1308" s="1" t="inlineStr">
        <is>
          <t>-71.46%</t>
        </is>
      </c>
      <c r="N1308" t="n">
        <v>3.8</v>
      </c>
      <c r="O1308" t="n">
        <v>105</v>
      </c>
      <c r="Q1308" t="inlineStr">
        <is>
          <t>InStock</t>
        </is>
      </c>
      <c r="R1308" t="inlineStr">
        <is>
          <t>undefined</t>
        </is>
      </c>
      <c r="S1308" t="inlineStr">
        <is>
          <t>6667228938425</t>
        </is>
      </c>
    </row>
    <row r="1309" ht="75" customHeight="1">
      <c r="A1309" s="2">
        <f>HYPERLINK("https://camerareadycosmetics.com/products/jillian-dempsey-cheek-tint", "https://camerareadycosmetics.com/products/jillian-dempsey-cheek-tint")</f>
        <v/>
      </c>
      <c r="B1309" s="2">
        <f>HYPERLINK("https://camerareadycosmetics.com/products/jillian-dempsey-cheek-tint", "https://camerareadycosmetics.com/products/jillian-dempsey-cheek-tint")</f>
        <v/>
      </c>
      <c r="C1309" t="inlineStr">
        <is>
          <t>Cheek Tint</t>
        </is>
      </c>
      <c r="D1309" t="inlineStr">
        <is>
          <t>NYX PROFESSIONAL MAKEUP Sweet Cheeks Soft Cheek Tint, Cream Blush - Coralicious</t>
        </is>
      </c>
      <c r="E1309" s="2">
        <f>HYPERLINK("https://www.amazon.com/Sweet-Cheeks-Soft-Cheek-Tint/dp/B09H3XWFRT/ref=sr_1_6?keywords=Cheek+Tint&amp;qid=1695565735&amp;sr=8-6", "https://www.amazon.com/Sweet-Cheeks-Soft-Cheek-Tint/dp/B09H3XWFRT/ref=sr_1_6?keywords=Cheek+Tint&amp;qid=1695565735&amp;sr=8-6")</f>
        <v/>
      </c>
      <c r="F1309" t="inlineStr">
        <is>
          <t>B09H3XWFRT</t>
        </is>
      </c>
      <c r="G1309">
        <f>_xlfn.IMAGE("https://camerareadycosmetics.com/cdn/shop/products/Jillian-Dempsey-Cheek-Tint_50x.jpg?v=1619282755")</f>
        <v/>
      </c>
      <c r="H1309">
        <f>_xlfn.IMAGE("https://m.media-amazon.com/images/I/6120N+n5ApL._AC_UL320_.jpg")</f>
        <v/>
      </c>
      <c r="K1309" t="inlineStr">
        <is>
          <t>28.0</t>
        </is>
      </c>
      <c r="L1309" t="n">
        <v>8.15</v>
      </c>
      <c r="M1309" s="1" t="inlineStr">
        <is>
          <t>-70.89%</t>
        </is>
      </c>
      <c r="N1309" t="n">
        <v>4.5</v>
      </c>
      <c r="O1309" t="n">
        <v>914</v>
      </c>
      <c r="Q1309" t="inlineStr">
        <is>
          <t>InStock</t>
        </is>
      </c>
      <c r="R1309" t="inlineStr">
        <is>
          <t>undefined</t>
        </is>
      </c>
      <c r="S1309" t="inlineStr">
        <is>
          <t>6667228938425</t>
        </is>
      </c>
    </row>
    <row r="1310" ht="75" customHeight="1">
      <c r="A1310" s="2">
        <f>HYPERLINK("https://camerareadycosmetics.com/products/jillian-dempsey-cheek-tint", "https://camerareadycosmetics.com/products/jillian-dempsey-cheek-tint")</f>
        <v/>
      </c>
      <c r="B1310" s="2">
        <f>HYPERLINK("https://camerareadycosmetics.com/products/jillian-dempsey-cheek-tint", "https://camerareadycosmetics.com/products/jillian-dempsey-cheek-tint")</f>
        <v/>
      </c>
      <c r="C1310" t="inlineStr">
        <is>
          <t>Cheek Tint</t>
        </is>
      </c>
      <c r="D1310" t="inlineStr">
        <is>
          <t>6 Colors Lip Tint Stain Set,Korean Velvet Water Lip Tint Mini Liquid Lipstick,Natural Multi-use Lip and Cheek Tint, Long lasting Non-Stick Cup Waterproof, High Pigment, Vivid Color, Lip Tint Makeup</t>
        </is>
      </c>
      <c r="E1310" s="2">
        <f>HYPERLINK("https://www.amazon.com/Lipstick-Natural-Multi-use-Non-Stick-Waterproof/dp/B0C6LZS9D5/ref=sr_1_10?keywords=Cheek+Tint&amp;qid=1695565735&amp;sr=8-10", "https://www.amazon.com/Lipstick-Natural-Multi-use-Non-Stick-Waterproof/dp/B0C6LZS9D5/ref=sr_1_10?keywords=Cheek+Tint&amp;qid=1695565735&amp;sr=8-10")</f>
        <v/>
      </c>
      <c r="F1310" t="inlineStr">
        <is>
          <t>B0C6LZS9D5</t>
        </is>
      </c>
      <c r="G1310">
        <f>_xlfn.IMAGE("https://camerareadycosmetics.com/cdn/shop/products/Jillian-Dempsey-Cheek-Tint_50x.jpg?v=1619282755")</f>
        <v/>
      </c>
      <c r="H1310">
        <f>_xlfn.IMAGE("https://m.media-amazon.com/images/I/611fehNqyfL._AC_UL320_.jpg")</f>
        <v/>
      </c>
      <c r="K1310" t="inlineStr">
        <is>
          <t>28.0</t>
        </is>
      </c>
      <c r="L1310" t="n">
        <v>7.99</v>
      </c>
      <c r="M1310" s="1" t="inlineStr">
        <is>
          <t>-71.46%</t>
        </is>
      </c>
      <c r="N1310" t="n">
        <v>3.8</v>
      </c>
      <c r="O1310" t="n">
        <v>105</v>
      </c>
      <c r="Q1310" t="inlineStr">
        <is>
          <t>InStock</t>
        </is>
      </c>
      <c r="R1310" t="inlineStr">
        <is>
          <t>undefined</t>
        </is>
      </c>
      <c r="S1310" t="inlineStr">
        <is>
          <t>6667228938425</t>
        </is>
      </c>
    </row>
    <row r="1311" ht="75" customHeight="1">
      <c r="A1311" s="2">
        <f>HYPERLINK("https://camerareadycosmetics.com/products/jillian-dempsey-khol-eyeliner", "https://camerareadycosmetics.com/products/jillian-dempsey-khol-eyeliner")</f>
        <v/>
      </c>
      <c r="B1311" s="2">
        <f>HYPERLINK("https://camerareadycosmetics.com/products/jillian-dempsey-khol-eyeliner", "https://camerareadycosmetics.com/products/jillian-dempsey-khol-eyeliner")</f>
        <v/>
      </c>
      <c r="C1311" t="inlineStr">
        <is>
          <t>Khol Eyeliner</t>
        </is>
      </c>
      <c r="D1311" t="inlineStr">
        <is>
          <t>Kiko Milano Lasting Precision Automatic Eyeliner And Khol 20 | Automatic Eye Pencil For The Waterline And Lash Line</t>
        </is>
      </c>
      <c r="E1311" s="2">
        <f>HYPERLINK("https://www.amazon.com/KIKO-MILANO-Precision-Automatic-waterline/dp/B0859QWB3Z/ref=sr_1_3?keywords=Khol+Eyeliner&amp;qid=1695565674&amp;sr=8-3", "https://www.amazon.com/KIKO-MILANO-Precision-Automatic-waterline/dp/B0859QWB3Z/ref=sr_1_3?keywords=Khol+Eyeliner&amp;qid=1695565674&amp;sr=8-3")</f>
        <v/>
      </c>
      <c r="F1311" t="inlineStr">
        <is>
          <t>B0859QWB3Z</t>
        </is>
      </c>
      <c r="G1311">
        <f>_xlfn.IMAGE("https://camerareadycosmetics.com/cdn/shop/products/jillian-dempsey-eyeliners_hires_BROWN_50x.jpg?v=1619282765")</f>
        <v/>
      </c>
      <c r="H1311">
        <f>_xlfn.IMAGE("https://m.media-amazon.com/images/I/51ziTc9rNBS._AC_UL320_.jpg")</f>
        <v/>
      </c>
      <c r="K1311" t="inlineStr">
        <is>
          <t>20.0</t>
        </is>
      </c>
      <c r="L1311" t="n">
        <v>12.49</v>
      </c>
      <c r="M1311" s="1" t="inlineStr">
        <is>
          <t>-37.55%</t>
        </is>
      </c>
      <c r="N1311" t="n">
        <v>4.2</v>
      </c>
      <c r="O1311" t="n">
        <v>2404</v>
      </c>
      <c r="Q1311" t="inlineStr">
        <is>
          <t>InStock</t>
        </is>
      </c>
      <c r="R1311" t="inlineStr">
        <is>
          <t>undefined</t>
        </is>
      </c>
      <c r="S1311" t="inlineStr">
        <is>
          <t>6669316653241</t>
        </is>
      </c>
    </row>
    <row r="1312" ht="75" customHeight="1">
      <c r="A1312" s="2">
        <f>HYPERLINK("https://camerareadycosmetics.com/products/jillian-dempsey-lid-tint-satin-eye-shadow", "https://camerareadycosmetics.com/products/jillian-dempsey-lid-tint-satin-eye-shadow")</f>
        <v/>
      </c>
      <c r="B1312" s="2">
        <f>HYPERLINK("https://camerareadycosmetics.com/products/jillian-dempsey-lid-tint-satin-eye-shadow", "https://camerareadycosmetics.com/products/jillian-dempsey-lid-tint-satin-eye-shadow")</f>
        <v/>
      </c>
      <c r="C1312" t="inlineStr">
        <is>
          <t>Lid Tint Satin Eye Shadow</t>
        </is>
      </c>
      <c r="D1312" t="inlineStr">
        <is>
          <t>Jillian Dempsey Lid Tint: Satin Cream Eyeshadow I Easy Application for a Natural Shimmer or a Layered Matte Finish I Dew</t>
        </is>
      </c>
      <c r="E1312" s="2">
        <f>HYPERLINK("https://www.amazon.com/Jillian-Dempsey-Dew-Tint-Shadow/dp/B072XQQBKR/ref=sr_1_1?keywords=Lid+Tint+Satin+Eye+Shadow&amp;qid=1695565646&amp;sr=8-1", "https://www.amazon.com/Jillian-Dempsey-Dew-Tint-Shadow/dp/B072XQQBKR/ref=sr_1_1?keywords=Lid+Tint+Satin+Eye+Shadow&amp;qid=1695565646&amp;sr=8-1")</f>
        <v/>
      </c>
      <c r="F1312" t="inlineStr">
        <is>
          <t>B072XQQBKR</t>
        </is>
      </c>
      <c r="G1312">
        <f>_xlfn.IMAGE("https://camerareadycosmetics.com/cdn/shop/products/jillina-demspey-LidTint_ruby_50x.jpg?v=1627678950")</f>
        <v/>
      </c>
      <c r="H1312">
        <f>_xlfn.IMAGE("https://m.media-amazon.com/images/I/61nn++Awq7L._AC_UL320_.jpg")</f>
        <v/>
      </c>
      <c r="K1312" t="inlineStr">
        <is>
          <t>28.0</t>
        </is>
      </c>
      <c r="L1312" t="n">
        <v>28</v>
      </c>
      <c r="M1312" s="1" t="inlineStr">
        <is>
          <t>0.00%</t>
        </is>
      </c>
      <c r="N1312" t="n">
        <v>3.5</v>
      </c>
      <c r="O1312" t="n">
        <v>365</v>
      </c>
      <c r="Q1312" t="inlineStr">
        <is>
          <t>InStock</t>
        </is>
      </c>
      <c r="R1312" t="inlineStr">
        <is>
          <t>undefined</t>
        </is>
      </c>
      <c r="S1312" t="inlineStr">
        <is>
          <t>6669250003129</t>
        </is>
      </c>
    </row>
    <row r="1313" ht="75" customHeight="1">
      <c r="A1313" s="2">
        <f>HYPERLINK("https://camerareadycosmetics.com/products/jillian-dempsey-lid-tint-satin-eye-shadow", "https://camerareadycosmetics.com/products/jillian-dempsey-lid-tint-satin-eye-shadow")</f>
        <v/>
      </c>
      <c r="B1313" s="2">
        <f>HYPERLINK("https://camerareadycosmetics.com/products/jillian-dempsey-lid-tint-satin-eye-shadow", "https://camerareadycosmetics.com/products/jillian-dempsey-lid-tint-satin-eye-shadow")</f>
        <v/>
      </c>
      <c r="C1313" t="inlineStr">
        <is>
          <t>Lid Tint Satin Eye Shadow</t>
        </is>
      </c>
      <c r="D1313" t="inlineStr">
        <is>
          <t>Honest Beauty Eye Catcher Lid Tint | Lightweight Liquid Eyeshadow | Vegan + Cruelty Free | Joy Ride, .12 fl oz</t>
        </is>
      </c>
      <c r="E1313" s="2">
        <f>HYPERLINK("https://www.amazon.com/Catcher-Eyeshadow-Lasting-Ophthalmologist-Cruelty/dp/B0B1TK6BXY/ref=sr_1_4?keywords=Lid+Tint+Satin+Eye+Shadow&amp;qid=1695565646&amp;rdc=1&amp;sr=8-4", "https://www.amazon.com/Catcher-Eyeshadow-Lasting-Ophthalmologist-Cruelty/dp/B0B1TK6BXY/ref=sr_1_4?keywords=Lid+Tint+Satin+Eye+Shadow&amp;qid=1695565646&amp;rdc=1&amp;sr=8-4")</f>
        <v/>
      </c>
      <c r="F1313" t="inlineStr">
        <is>
          <t>B0B1TK6BXY</t>
        </is>
      </c>
      <c r="G1313">
        <f>_xlfn.IMAGE("https://camerareadycosmetics.com/cdn/shop/products/jillina-demspey-LidTint_ruby_50x.jpg?v=1627678950")</f>
        <v/>
      </c>
      <c r="H1313">
        <f>_xlfn.IMAGE("https://m.media-amazon.com/images/I/51IoN7xcjRL._AC_UL320_.jpg")</f>
        <v/>
      </c>
      <c r="K1313" t="inlineStr">
        <is>
          <t>28.0</t>
        </is>
      </c>
      <c r="L1313" t="n">
        <v>14</v>
      </c>
      <c r="M1313" s="1" t="inlineStr">
        <is>
          <t>-50.00%</t>
        </is>
      </c>
      <c r="N1313" t="n">
        <v>4.1</v>
      </c>
      <c r="O1313" t="n">
        <v>95</v>
      </c>
      <c r="Q1313" t="inlineStr">
        <is>
          <t>InStock</t>
        </is>
      </c>
      <c r="R1313" t="inlineStr">
        <is>
          <t>undefined</t>
        </is>
      </c>
      <c r="S1313" t="inlineStr">
        <is>
          <t>6669250003129</t>
        </is>
      </c>
    </row>
    <row r="1314" ht="75" customHeight="1">
      <c r="A1314" s="2">
        <f>HYPERLINK("https://camerareadycosmetics.com/products/jillian-dempsey-lid-tint-satin-eye-shadow", "https://camerareadycosmetics.com/products/jillian-dempsey-lid-tint-satin-eye-shadow")</f>
        <v/>
      </c>
      <c r="B1314" s="2">
        <f>HYPERLINK("https://camerareadycosmetics.com/products/jillian-dempsey-lid-tint-satin-eye-shadow", "https://camerareadycosmetics.com/products/jillian-dempsey-lid-tint-satin-eye-shadow")</f>
        <v/>
      </c>
      <c r="C1314" t="inlineStr">
        <is>
          <t>Lid Tint Satin Eye Shadow</t>
        </is>
      </c>
      <c r="D1314" t="inlineStr">
        <is>
          <t>Honest Beauty Eye Catcher Lid Tint | Lightweight Liquid Eyeshadow | Vegan + Cruelty Free | Joy Ride, .12 fl oz</t>
        </is>
      </c>
      <c r="E1314" s="2">
        <f>HYPERLINK("https://www.amazon.com/Catcher-Eyeshadow-Lasting-Ophthalmologist-Cruelty/dp/B0B1TK6BXY/ref=sr_1_4?keywords=Lid+Tint+Satin+Eye+Shadow&amp;qid=1695565646&amp;rdc=1&amp;sr=8-4", "https://www.amazon.com/Catcher-Eyeshadow-Lasting-Ophthalmologist-Cruelty/dp/B0B1TK6BXY/ref=sr_1_4?keywords=Lid+Tint+Satin+Eye+Shadow&amp;qid=1695565646&amp;rdc=1&amp;sr=8-4")</f>
        <v/>
      </c>
      <c r="F1314" t="inlineStr">
        <is>
          <t>B0B1TK6BXY</t>
        </is>
      </c>
      <c r="G1314">
        <f>_xlfn.IMAGE("https://camerareadycosmetics.com/cdn/shop/products/jillina-demspey-LidTint_ruby_50x.jpg?v=1627678950")</f>
        <v/>
      </c>
      <c r="H1314">
        <f>_xlfn.IMAGE("https://m.media-amazon.com/images/I/51IoN7xcjRL._AC_UL320_.jpg")</f>
        <v/>
      </c>
      <c r="K1314" t="inlineStr">
        <is>
          <t>28.0</t>
        </is>
      </c>
      <c r="L1314" t="n">
        <v>14</v>
      </c>
      <c r="M1314" s="1" t="inlineStr">
        <is>
          <t>-50.00%</t>
        </is>
      </c>
      <c r="N1314" t="n">
        <v>4.1</v>
      </c>
      <c r="O1314" t="n">
        <v>95</v>
      </c>
      <c r="Q1314" t="inlineStr">
        <is>
          <t>InStock</t>
        </is>
      </c>
      <c r="R1314" t="inlineStr">
        <is>
          <t>undefined</t>
        </is>
      </c>
      <c r="S1314" t="inlineStr">
        <is>
          <t>6669250003129</t>
        </is>
      </c>
    </row>
    <row r="1315" ht="75" customHeight="1">
      <c r="A1315" s="2">
        <f>HYPERLINK("https://camerareadycosmetics.com/products/jillian-dempsey-spot-stick-concealer", "https://camerareadycosmetics.com/products/jillian-dempsey-spot-stick-concealer")</f>
        <v/>
      </c>
      <c r="B1315" s="2">
        <f>HYPERLINK("https://camerareadycosmetics.com/products/jillian-dempsey-spot-stick-concealer", "https://camerareadycosmetics.com/products/jillian-dempsey-spot-stick-concealer")</f>
        <v/>
      </c>
      <c r="C1315" t="inlineStr">
        <is>
          <t>Spot Stick Concealer</t>
        </is>
      </c>
      <c r="D1315" t="inlineStr">
        <is>
          <t>August+Monroe 3-in-1 Blemish Camouflage Pen - Help Conceal+Heal Breakouts - Pimple Spot Treatment, Concealer Stick, Face Primer, with - Salicylic Acid Cream, Vegan, 20+Shades (3 to 6 month supply)</t>
        </is>
      </c>
      <c r="E1315" s="2">
        <f>HYPERLINK("https://www.amazon.com/August-Monroe-Blemish-Camouflage-Pen/dp/B08GRWWRQM/ref=sr_1_8?keywords=Spot+Stick+Concealer&amp;qid=1695565779&amp;sr=8-8", "https://www.amazon.com/August-Monroe-Blemish-Camouflage-Pen/dp/B08GRWWRQM/ref=sr_1_8?keywords=Spot+Stick+Concealer&amp;qid=1695565779&amp;sr=8-8")</f>
        <v/>
      </c>
      <c r="F1315" t="inlineStr">
        <is>
          <t>B08GRWWRQM</t>
        </is>
      </c>
      <c r="G1315">
        <f>_xlfn.IMAGE("https://camerareadycosmetics.com/cdn/shop/products/3ARMSWATCHcopy2_50x.jpg?v=1688676969")</f>
        <v/>
      </c>
      <c r="H1315">
        <f>_xlfn.IMAGE("https://m.media-amazon.com/images/I/61J7+Nu3mrL._AC_UL320_.jpg")</f>
        <v/>
      </c>
      <c r="K1315" t="inlineStr">
        <is>
          <t>32.0</t>
        </is>
      </c>
      <c r="L1315" t="n">
        <v>38</v>
      </c>
      <c r="M1315" s="1" t="inlineStr">
        <is>
          <t>18.75%</t>
        </is>
      </c>
      <c r="N1315" t="n">
        <v>3.2</v>
      </c>
      <c r="O1315" t="n">
        <v>428</v>
      </c>
      <c r="Q1315" t="inlineStr">
        <is>
          <t>InStock</t>
        </is>
      </c>
      <c r="R1315" t="inlineStr">
        <is>
          <t>undefined</t>
        </is>
      </c>
      <c r="S1315" t="inlineStr">
        <is>
          <t>7294065148089</t>
        </is>
      </c>
    </row>
    <row r="1316" ht="75" customHeight="1">
      <c r="A1316" s="2">
        <f>HYPERLINK("https://camerareadycosmetics.com/products/jillian-dempsey-spot-stick-concealer", "https://camerareadycosmetics.com/products/jillian-dempsey-spot-stick-concealer")</f>
        <v/>
      </c>
      <c r="B1316" s="2">
        <f>HYPERLINK("https://camerareadycosmetics.com/products/jillian-dempsey-spot-stick-concealer", "https://camerareadycosmetics.com/products/jillian-dempsey-spot-stick-concealer")</f>
        <v/>
      </c>
      <c r="C1316" t="inlineStr">
        <is>
          <t>Spot Stick Concealer</t>
        </is>
      </c>
      <c r="D1316" t="inlineStr">
        <is>
          <t>Jillian Dempsey Spot Stick Concealer | Easy Blending Matte Concealer for Blemishes &amp; Uneven Skin Tones | Shade No. 04: The Neutralizer, Light Orange for Covering Bluish Tones</t>
        </is>
      </c>
      <c r="E1316" s="2">
        <f>HYPERLINK("https://www.amazon.com/Jillian-Dempsey-Stick-Coverage-Concealer/dp/B09WFKN7B3/ref=sr_1_1?keywords=Spot+Stick+Concealer&amp;qid=1695565779&amp;sr=8-1", "https://www.amazon.com/Jillian-Dempsey-Stick-Coverage-Concealer/dp/B09WFKN7B3/ref=sr_1_1?keywords=Spot+Stick+Concealer&amp;qid=1695565779&amp;sr=8-1")</f>
        <v/>
      </c>
      <c r="F1316" t="inlineStr">
        <is>
          <t>B09WFKN7B3</t>
        </is>
      </c>
      <c r="G1316">
        <f>_xlfn.IMAGE("https://camerareadycosmetics.com/cdn/shop/products/3ARMSWATCHcopy2_50x.jpg?v=1688676969")</f>
        <v/>
      </c>
      <c r="H1316">
        <f>_xlfn.IMAGE("https://m.media-amazon.com/images/I/51RzFLw4LfL._AC_UL320_.jpg")</f>
        <v/>
      </c>
      <c r="K1316" t="inlineStr">
        <is>
          <t>32.0</t>
        </is>
      </c>
      <c r="L1316" t="n">
        <v>32</v>
      </c>
      <c r="M1316" s="1" t="inlineStr">
        <is>
          <t>0.00%</t>
        </is>
      </c>
      <c r="N1316" t="n">
        <v>4.1</v>
      </c>
      <c r="O1316" t="n">
        <v>80</v>
      </c>
      <c r="Q1316" t="inlineStr">
        <is>
          <t>InStock</t>
        </is>
      </c>
      <c r="R1316" t="inlineStr">
        <is>
          <t>undefined</t>
        </is>
      </c>
      <c r="S1316" t="inlineStr">
        <is>
          <t>7294065148089</t>
        </is>
      </c>
    </row>
    <row r="1317" ht="75" customHeight="1">
      <c r="A1317" s="2">
        <f>HYPERLINK("https://camerareadycosmetics.com/products/jillian-dempsey-spot-stick-concealer", "https://camerareadycosmetics.com/products/jillian-dempsey-spot-stick-concealer")</f>
        <v/>
      </c>
      <c r="B1317" s="2">
        <f>HYPERLINK("https://camerareadycosmetics.com/products/jillian-dempsey-spot-stick-concealer", "https://camerareadycosmetics.com/products/jillian-dempsey-spot-stick-concealer")</f>
        <v/>
      </c>
      <c r="C1317" t="inlineStr">
        <is>
          <t>Spot Stick Concealer</t>
        </is>
      </c>
      <c r="D1317" t="inlineStr">
        <is>
          <t>hims Blur Stick Concealer for Men- Erase Acne, Dark spots, Razor Burn- Nourishing, Easy to Use- Vegan, Cruelty-free, No Parabens - Deep 551, 0.24 oz</t>
        </is>
      </c>
      <c r="E1317" s="2">
        <f>HYPERLINK("https://www.amazon.com/Stick-Concealer-Nourishing-Cruelty-free-Parabens/dp/B09QNLJTXR/ref=sr_1_9?keywords=Spot+Stick+Concealer&amp;qid=1695565779&amp;sr=8-9", "https://www.amazon.com/Stick-Concealer-Nourishing-Cruelty-free-Parabens/dp/B09QNLJTXR/ref=sr_1_9?keywords=Spot+Stick+Concealer&amp;qid=1695565779&amp;sr=8-9")</f>
        <v/>
      </c>
      <c r="F1317" t="inlineStr">
        <is>
          <t>B09QNLJTXR</t>
        </is>
      </c>
      <c r="G1317">
        <f>_xlfn.IMAGE("https://camerareadycosmetics.com/cdn/shop/products/3ARMSWATCHcopy2_50x.jpg?v=1688676969")</f>
        <v/>
      </c>
      <c r="H1317">
        <f>_xlfn.IMAGE("https://m.media-amazon.com/images/I/51KFHzUO2HL._AC_UL320_.jpg")</f>
        <v/>
      </c>
      <c r="K1317" t="inlineStr">
        <is>
          <t>32.0</t>
        </is>
      </c>
      <c r="L1317" t="n">
        <v>14.99</v>
      </c>
      <c r="M1317" s="1" t="inlineStr">
        <is>
          <t>-53.16%</t>
        </is>
      </c>
      <c r="N1317" t="n">
        <v>3.9</v>
      </c>
      <c r="O1317" t="n">
        <v>250</v>
      </c>
      <c r="Q1317" t="inlineStr">
        <is>
          <t>InStock</t>
        </is>
      </c>
      <c r="R1317" t="inlineStr">
        <is>
          <t>undefined</t>
        </is>
      </c>
      <c r="S1317" t="inlineStr">
        <is>
          <t>7294065148089</t>
        </is>
      </c>
    </row>
    <row r="1318" ht="75" customHeight="1">
      <c r="A1318" s="2">
        <f>HYPERLINK("https://camerareadycosmetics.com/products/jillian-dempsey-spot-stick-concealer", "https://camerareadycosmetics.com/products/jillian-dempsey-spot-stick-concealer")</f>
        <v/>
      </c>
      <c r="B1318" s="2">
        <f>HYPERLINK("https://camerareadycosmetics.com/products/jillian-dempsey-spot-stick-concealer", "https://camerareadycosmetics.com/products/jillian-dempsey-spot-stick-concealer")</f>
        <v/>
      </c>
      <c r="C1318" t="inlineStr">
        <is>
          <t>Spot Stick Concealer</t>
        </is>
      </c>
      <c r="D1318" t="inlineStr">
        <is>
          <t>THESAEM Cover Perfection Concealer Pencil with Sharpner (Contour Beige) – Non Comedogenic spot Eraser - Face Shades Contouring Stick - Conceal Blemishes, Aging Spots, Acne and Freckles, 1.4g</t>
        </is>
      </c>
      <c r="E1318" s="2">
        <f>HYPERLINK("https://www.amazon.com/THESAEM-Perfection-Concealer-Sharpner-Contour/dp/B0CBM4C11V/ref=sr_1_6?keywords=Spot+Stick+Concealer&amp;qid=1695565779&amp;sr=8-6", "https://www.amazon.com/THESAEM-Perfection-Concealer-Sharpner-Contour/dp/B0CBM4C11V/ref=sr_1_6?keywords=Spot+Stick+Concealer&amp;qid=1695565779&amp;sr=8-6")</f>
        <v/>
      </c>
      <c r="F1318" t="inlineStr">
        <is>
          <t>B0CBM4C11V</t>
        </is>
      </c>
      <c r="G1318">
        <f>_xlfn.IMAGE("https://camerareadycosmetics.com/cdn/shop/products/3ARMSWATCHcopy2_50x.jpg?v=1688676969")</f>
        <v/>
      </c>
      <c r="H1318">
        <f>_xlfn.IMAGE("https://m.media-amazon.com/images/I/51p1kBl-a3L._AC_UL320_.jpg")</f>
        <v/>
      </c>
      <c r="K1318" t="inlineStr">
        <is>
          <t>32.0</t>
        </is>
      </c>
      <c r="L1318" t="n">
        <v>9</v>
      </c>
      <c r="M1318" s="1" t="inlineStr">
        <is>
          <t>-71.88%</t>
        </is>
      </c>
      <c r="N1318" t="n">
        <v>4.2</v>
      </c>
      <c r="O1318" t="n">
        <v>122</v>
      </c>
      <c r="Q1318" t="inlineStr">
        <is>
          <t>InStock</t>
        </is>
      </c>
      <c r="R1318" t="inlineStr">
        <is>
          <t>undefined</t>
        </is>
      </c>
      <c r="S1318" t="inlineStr">
        <is>
          <t>7294065148089</t>
        </is>
      </c>
    </row>
    <row r="1319" ht="75" customHeight="1">
      <c r="A1319" s="2">
        <f>HYPERLINK("https://camerareadycosmetics.com/products/jillian-dempsey-spot-stick-concealer", "https://camerareadycosmetics.com/products/jillian-dempsey-spot-stick-concealer")</f>
        <v/>
      </c>
      <c r="B1319" s="2">
        <f>HYPERLINK("https://camerareadycosmetics.com/products/jillian-dempsey-spot-stick-concealer", "https://camerareadycosmetics.com/products/jillian-dempsey-spot-stick-concealer")</f>
        <v/>
      </c>
      <c r="C1319" t="inlineStr">
        <is>
          <t>Spot Stick Concealer</t>
        </is>
      </c>
      <c r="D1319" t="inlineStr">
        <is>
          <t>3 PCS Wonder Concealer Pencil, Contour Concealer Stick Highlighter Set, Waterproof Full Coverage Foundation Concealer for Eye Dark Circles Spot, Scar, Tattoos (B02 &amp; B03 &amp; B04)</t>
        </is>
      </c>
      <c r="E1319" s="2">
        <f>HYPERLINK("https://www.amazon.com/Concealer-Highlighter-Waterproof-Coverage-Foundation/dp/B083QXHGBY/ref=sr_1_10?keywords=Spot+Stick+Concealer&amp;qid=1695565779&amp;sr=8-10", "https://www.amazon.com/Concealer-Highlighter-Waterproof-Coverage-Foundation/dp/B083QXHGBY/ref=sr_1_10?keywords=Spot+Stick+Concealer&amp;qid=1695565779&amp;sr=8-10")</f>
        <v/>
      </c>
      <c r="F1319" t="inlineStr">
        <is>
          <t>B083QXHGBY</t>
        </is>
      </c>
      <c r="G1319">
        <f>_xlfn.IMAGE("https://camerareadycosmetics.com/cdn/shop/products/3ARMSWATCHcopy2_50x.jpg?v=1688676969")</f>
        <v/>
      </c>
      <c r="H1319">
        <f>_xlfn.IMAGE("https://m.media-amazon.com/images/I/61BUB7sPcbL._AC_UL320_.jpg")</f>
        <v/>
      </c>
      <c r="K1319" t="inlineStr">
        <is>
          <t>32.0</t>
        </is>
      </c>
      <c r="L1319" t="n">
        <v>6.98</v>
      </c>
      <c r="M1319" s="1" t="inlineStr">
        <is>
          <t>-78.19%</t>
        </is>
      </c>
      <c r="N1319" t="n">
        <v>3.7</v>
      </c>
      <c r="O1319" t="n">
        <v>1115</v>
      </c>
      <c r="Q1319" t="inlineStr">
        <is>
          <t>InStock</t>
        </is>
      </c>
      <c r="R1319" t="inlineStr">
        <is>
          <t>undefined</t>
        </is>
      </c>
      <c r="S1319" t="inlineStr">
        <is>
          <t>7294065148089</t>
        </is>
      </c>
    </row>
    <row r="1320" ht="75" customHeight="1">
      <c r="A1320" s="2">
        <f>HYPERLINK("https://camerareadycosmetics.com/products/jillian-dempsey-spot-stick-concealer", "https://camerareadycosmetics.com/products/jillian-dempsey-spot-stick-concealer")</f>
        <v/>
      </c>
      <c r="B1320" s="2">
        <f>HYPERLINK("https://camerareadycosmetics.com/products/jillian-dempsey-spot-stick-concealer", "https://camerareadycosmetics.com/products/jillian-dempsey-spot-stick-concealer")</f>
        <v/>
      </c>
      <c r="C1320" t="inlineStr">
        <is>
          <t>Spot Stick Concealer</t>
        </is>
      </c>
      <c r="D1320" t="inlineStr">
        <is>
          <t>hims Blur Stick Concealer for Men- Erase Acne, Dark spots, Razor Burn- Nourishing, Easy to Use- Vegan, Cruelty-free, No Parabens - Deep 551, 0.24 oz</t>
        </is>
      </c>
      <c r="E1320" s="2">
        <f>HYPERLINK("https://www.amazon.com/Stick-Concealer-Nourishing-Cruelty-free-Parabens/dp/B09QNLJTXR/ref=sr_1_9?keywords=Spot+Stick+Concealer&amp;qid=1695565779&amp;sr=8-9", "https://www.amazon.com/Stick-Concealer-Nourishing-Cruelty-free-Parabens/dp/B09QNLJTXR/ref=sr_1_9?keywords=Spot+Stick+Concealer&amp;qid=1695565779&amp;sr=8-9")</f>
        <v/>
      </c>
      <c r="F1320" t="inlineStr">
        <is>
          <t>B09QNLJTXR</t>
        </is>
      </c>
      <c r="G1320">
        <f>_xlfn.IMAGE("https://camerareadycosmetics.com/cdn/shop/products/3ARMSWATCHcopy2_50x.jpg?v=1688676969")</f>
        <v/>
      </c>
      <c r="H1320">
        <f>_xlfn.IMAGE("https://m.media-amazon.com/images/I/51KFHzUO2HL._AC_UL320_.jpg")</f>
        <v/>
      </c>
      <c r="K1320" t="inlineStr">
        <is>
          <t>32.0</t>
        </is>
      </c>
      <c r="L1320" t="n">
        <v>14.99</v>
      </c>
      <c r="M1320" s="1" t="inlineStr">
        <is>
          <t>-53.16%</t>
        </is>
      </c>
      <c r="N1320" t="n">
        <v>3.9</v>
      </c>
      <c r="O1320" t="n">
        <v>250</v>
      </c>
      <c r="Q1320" t="inlineStr">
        <is>
          <t>InStock</t>
        </is>
      </c>
      <c r="R1320" t="inlineStr">
        <is>
          <t>undefined</t>
        </is>
      </c>
      <c r="S1320" t="inlineStr">
        <is>
          <t>7294065148089</t>
        </is>
      </c>
    </row>
    <row r="1321" ht="75" customHeight="1">
      <c r="A1321" s="2">
        <f>HYPERLINK("https://camerareadycosmetics.com/products/jillian-dempsey-spot-stick-concealer", "https://camerareadycosmetics.com/products/jillian-dempsey-spot-stick-concealer")</f>
        <v/>
      </c>
      <c r="B1321" s="2">
        <f>HYPERLINK("https://camerareadycosmetics.com/products/jillian-dempsey-spot-stick-concealer", "https://camerareadycosmetics.com/products/jillian-dempsey-spot-stick-concealer")</f>
        <v/>
      </c>
      <c r="C1321" t="inlineStr">
        <is>
          <t>Spot Stick Concealer</t>
        </is>
      </c>
      <c r="D1321" t="inlineStr">
        <is>
          <t>THESAEM Cover Perfection Concealer Pencil with Sharpner (Contour Beige) – Non Comedogenic spot Eraser - Face Shades Contouring Stick - Conceal Blemishes, Aging Spots, Acne and Freckles, 1.4g</t>
        </is>
      </c>
      <c r="E1321" s="2">
        <f>HYPERLINK("https://www.amazon.com/THESAEM-Perfection-Concealer-Sharpner-Contour/dp/B0CBM4C11V/ref=sr_1_6?keywords=Spot+Stick+Concealer&amp;qid=1695565779&amp;sr=8-6", "https://www.amazon.com/THESAEM-Perfection-Concealer-Sharpner-Contour/dp/B0CBM4C11V/ref=sr_1_6?keywords=Spot+Stick+Concealer&amp;qid=1695565779&amp;sr=8-6")</f>
        <v/>
      </c>
      <c r="F1321" t="inlineStr">
        <is>
          <t>B0CBM4C11V</t>
        </is>
      </c>
      <c r="G1321">
        <f>_xlfn.IMAGE("https://camerareadycosmetics.com/cdn/shop/products/3ARMSWATCHcopy2_50x.jpg?v=1688676969")</f>
        <v/>
      </c>
      <c r="H1321">
        <f>_xlfn.IMAGE("https://m.media-amazon.com/images/I/51p1kBl-a3L._AC_UL320_.jpg")</f>
        <v/>
      </c>
      <c r="K1321" t="inlineStr">
        <is>
          <t>32.0</t>
        </is>
      </c>
      <c r="L1321" t="n">
        <v>9</v>
      </c>
      <c r="M1321" s="1" t="inlineStr">
        <is>
          <t>-71.88%</t>
        </is>
      </c>
      <c r="N1321" t="n">
        <v>4.2</v>
      </c>
      <c r="O1321" t="n">
        <v>122</v>
      </c>
      <c r="Q1321" t="inlineStr">
        <is>
          <t>InStock</t>
        </is>
      </c>
      <c r="R1321" t="inlineStr">
        <is>
          <t>undefined</t>
        </is>
      </c>
      <c r="S1321" t="inlineStr">
        <is>
          <t>7294065148089</t>
        </is>
      </c>
    </row>
    <row r="1322" ht="75" customHeight="1">
      <c r="A1322" s="2">
        <f>HYPERLINK("https://camerareadycosmetics.com/products/jillian-dempsey-spot-stick-concealer", "https://camerareadycosmetics.com/products/jillian-dempsey-spot-stick-concealer")</f>
        <v/>
      </c>
      <c r="B1322" s="2">
        <f>HYPERLINK("https://camerareadycosmetics.com/products/jillian-dempsey-spot-stick-concealer", "https://camerareadycosmetics.com/products/jillian-dempsey-spot-stick-concealer")</f>
        <v/>
      </c>
      <c r="C1322" t="inlineStr">
        <is>
          <t>Spot Stick Concealer</t>
        </is>
      </c>
      <c r="D1322" t="inlineStr">
        <is>
          <t>3 PCS Wonder Concealer Pencil, Contour Concealer Stick Highlighter Set, Waterproof Full Coverage Foundation Concealer for Eye Dark Circles Spot, Scar, Tattoos (B02 &amp; B03 &amp; B04)</t>
        </is>
      </c>
      <c r="E1322" s="2">
        <f>HYPERLINK("https://www.amazon.com/Concealer-Highlighter-Waterproof-Coverage-Foundation/dp/B083QXHGBY/ref=sr_1_10?keywords=Spot+Stick+Concealer&amp;qid=1695565779&amp;sr=8-10", "https://www.amazon.com/Concealer-Highlighter-Waterproof-Coverage-Foundation/dp/B083QXHGBY/ref=sr_1_10?keywords=Spot+Stick+Concealer&amp;qid=1695565779&amp;sr=8-10")</f>
        <v/>
      </c>
      <c r="F1322" t="inlineStr">
        <is>
          <t>B083QXHGBY</t>
        </is>
      </c>
      <c r="G1322">
        <f>_xlfn.IMAGE("https://camerareadycosmetics.com/cdn/shop/products/3ARMSWATCHcopy2_50x.jpg?v=1688676969")</f>
        <v/>
      </c>
      <c r="H1322">
        <f>_xlfn.IMAGE("https://m.media-amazon.com/images/I/61BUB7sPcbL._AC_UL320_.jpg")</f>
        <v/>
      </c>
      <c r="K1322" t="inlineStr">
        <is>
          <t>32.0</t>
        </is>
      </c>
      <c r="L1322" t="n">
        <v>6.98</v>
      </c>
      <c r="M1322" s="1" t="inlineStr">
        <is>
          <t>-78.19%</t>
        </is>
      </c>
      <c r="N1322" t="n">
        <v>3.7</v>
      </c>
      <c r="O1322" t="n">
        <v>1115</v>
      </c>
      <c r="Q1322" t="inlineStr">
        <is>
          <t>InStock</t>
        </is>
      </c>
      <c r="R1322" t="inlineStr">
        <is>
          <t>undefined</t>
        </is>
      </c>
      <c r="S1322" t="inlineStr">
        <is>
          <t>7294065148089</t>
        </is>
      </c>
    </row>
    <row r="1323" ht="75" customHeight="1">
      <c r="A1323" s="2">
        <f>HYPERLINK("https://camerareadycosmetics.com/products/joe-blasco-blush-cream", "https://camerareadycosmetics.com/products/joe-blasco-blush-cream")</f>
        <v/>
      </c>
      <c r="B1323" s="2">
        <f>HYPERLINK("https://camerareadycosmetics.com/products/joe-blasco-blush-cream", "https://camerareadycosmetics.com/products/joe-blasco-blush-cream")</f>
        <v/>
      </c>
      <c r="C1323" t="inlineStr">
        <is>
          <t>Blush Cream</t>
        </is>
      </c>
      <c r="D1323" t="inlineStr">
        <is>
          <t>Milani Cheek Kiss Cream Blush- Cream to Gel Blush for Cheek and Lip Tint</t>
        </is>
      </c>
      <c r="E1323" s="2">
        <f>HYPERLINK("https://www.amazon.com/Milani-Cheek-Cream-Blush-Blush/dp/B08SZ3FL29/ref=sr_1_5?keywords=Blush+Cream&amp;qid=1695565592&amp;sr=8-5", "https://www.amazon.com/Milani-Cheek-Cream-Blush-Blush/dp/B08SZ3FL29/ref=sr_1_5?keywords=Blush+Cream&amp;qid=1695565592&amp;sr=8-5")</f>
        <v/>
      </c>
      <c r="F1323" t="inlineStr">
        <is>
          <t>B08SZ3FL29</t>
        </is>
      </c>
      <c r="G1323">
        <f>_xlfn.IMAGE("https://camerareadycosmetics.com/cdn/shop/products/128001001__28749.1433981175.600.600_50x.jpeg?v=1689624937")</f>
        <v/>
      </c>
      <c r="H1323">
        <f>_xlfn.IMAGE("https://m.media-amazon.com/images/I/61ejxr4kuoL._AC_UL320_.jpg")</f>
        <v/>
      </c>
      <c r="K1323" t="inlineStr">
        <is>
          <t>21.5</t>
        </is>
      </c>
      <c r="L1323" t="n">
        <v>9.970000000000001</v>
      </c>
      <c r="M1323" s="1" t="inlineStr">
        <is>
          <t>-53.63%</t>
        </is>
      </c>
      <c r="N1323" t="n">
        <v>4.4</v>
      </c>
      <c r="O1323" t="n">
        <v>2470</v>
      </c>
      <c r="Q1323" t="inlineStr">
        <is>
          <t>OutOfStock</t>
        </is>
      </c>
      <c r="R1323" t="inlineStr">
        <is>
          <t>undefined</t>
        </is>
      </c>
      <c r="S1323" t="inlineStr">
        <is>
          <t>7034423367</t>
        </is>
      </c>
    </row>
    <row r="1324" ht="75" customHeight="1">
      <c r="A1324" s="2">
        <f>HYPERLINK("https://camerareadycosmetics.com/products/joe-blasco-blush-cream", "https://camerareadycosmetics.com/products/joe-blasco-blush-cream")</f>
        <v/>
      </c>
      <c r="B1324" s="2">
        <f>HYPERLINK("https://camerareadycosmetics.com/products/joe-blasco-blush-cream", "https://camerareadycosmetics.com/products/joe-blasco-blush-cream")</f>
        <v/>
      </c>
      <c r="C1324" t="inlineStr">
        <is>
          <t>Blush Cream</t>
        </is>
      </c>
      <c r="D1324" t="inlineStr">
        <is>
          <t>NYX PROFESSIONAL MAKEUP Sweet Cheeks Soft Cheek Tint, Cream Blush - Baby Doll</t>
        </is>
      </c>
      <c r="E1324" s="2">
        <f>HYPERLINK("https://www.amazon.com/NYX-PROFESSIONAL-MAKEUP-Sweet-Cheeks/dp/B0948QSF81/ref=sr_1_3?keywords=Blush+Cream&amp;qid=1695565592&amp;sr=8-3", "https://www.amazon.com/NYX-PROFESSIONAL-MAKEUP-Sweet-Cheeks/dp/B0948QSF81/ref=sr_1_3?keywords=Blush+Cream&amp;qid=1695565592&amp;sr=8-3")</f>
        <v/>
      </c>
      <c r="F1324" t="inlineStr">
        <is>
          <t>B0948QSF81</t>
        </is>
      </c>
      <c r="G1324">
        <f>_xlfn.IMAGE("https://camerareadycosmetics.com/cdn/shop/products/128001001__28749.1433981175.600.600_50x.jpeg?v=1689624937")</f>
        <v/>
      </c>
      <c r="H1324">
        <f>_xlfn.IMAGE("https://m.media-amazon.com/images/I/61ZLy63EoVL._AC_UL320_.jpg")</f>
        <v/>
      </c>
      <c r="K1324" t="inlineStr">
        <is>
          <t>21.5</t>
        </is>
      </c>
      <c r="L1324" t="n">
        <v>8.99</v>
      </c>
      <c r="M1324" s="1" t="inlineStr">
        <is>
          <t>-58.19%</t>
        </is>
      </c>
      <c r="N1324" t="n">
        <v>4.5</v>
      </c>
      <c r="O1324" t="n">
        <v>914</v>
      </c>
      <c r="Q1324" t="inlineStr">
        <is>
          <t>OutOfStock</t>
        </is>
      </c>
      <c r="R1324" t="inlineStr">
        <is>
          <t>undefined</t>
        </is>
      </c>
      <c r="S1324" t="inlineStr">
        <is>
          <t>7034423367</t>
        </is>
      </c>
    </row>
    <row r="1325" ht="75" customHeight="1">
      <c r="A1325" s="2">
        <f>HYPERLINK("https://camerareadycosmetics.com/products/joe-blasco-blush-cream", "https://camerareadycosmetics.com/products/joe-blasco-blush-cream")</f>
        <v/>
      </c>
      <c r="B1325" s="2">
        <f>HYPERLINK("https://camerareadycosmetics.com/products/joe-blasco-blush-cream", "https://camerareadycosmetics.com/products/joe-blasco-blush-cream")</f>
        <v/>
      </c>
      <c r="C1325" t="inlineStr">
        <is>
          <t>Blush Cream</t>
        </is>
      </c>
      <c r="D1325" t="inlineStr">
        <is>
          <t>Cream Blush Stick, Monochromatic Blush Beauty Wand for Cheek and Lip Tint with Long Lasting Hydrating Formula, Multi-use Blush Makeup Stick for Blends Perfectly onto Skin, 0.6 oz (1# Shy Pink)</t>
        </is>
      </c>
      <c r="E1325" s="2">
        <f>HYPERLINK("https://www.amazon.com/Monochromatic-Lasting-Hydrating-Multi-use-Perfectly/dp/B0C69HL35W/ref=sr_1_8?keywords=Blush+Cream&amp;qid=1695565592&amp;sr=8-8", "https://www.amazon.com/Monochromatic-Lasting-Hydrating-Multi-use-Perfectly/dp/B0C69HL35W/ref=sr_1_8?keywords=Blush+Cream&amp;qid=1695565592&amp;sr=8-8")</f>
        <v/>
      </c>
      <c r="F1325" t="inlineStr">
        <is>
          <t>B0C69HL35W</t>
        </is>
      </c>
      <c r="G1325">
        <f>_xlfn.IMAGE("https://camerareadycosmetics.com/cdn/shop/products/128001001__28749.1433981175.600.600_50x.jpeg?v=1689624937")</f>
        <v/>
      </c>
      <c r="H1325">
        <f>_xlfn.IMAGE("https://m.media-amazon.com/images/I/61n34araZEL._AC_UL320_.jpg")</f>
        <v/>
      </c>
      <c r="K1325" t="inlineStr">
        <is>
          <t>21.5</t>
        </is>
      </c>
      <c r="L1325" t="n">
        <v>8.99</v>
      </c>
      <c r="M1325" s="1" t="inlineStr">
        <is>
          <t>-58.19%</t>
        </is>
      </c>
      <c r="N1325" t="n">
        <v>4.2</v>
      </c>
      <c r="O1325" t="n">
        <v>69</v>
      </c>
      <c r="Q1325" t="inlineStr">
        <is>
          <t>OutOfStock</t>
        </is>
      </c>
      <c r="R1325" t="inlineStr">
        <is>
          <t>undefined</t>
        </is>
      </c>
      <c r="S1325" t="inlineStr">
        <is>
          <t>7034423367</t>
        </is>
      </c>
    </row>
    <row r="1326" ht="75" customHeight="1">
      <c r="A1326" s="2">
        <f>HYPERLINK("https://camerareadycosmetics.com/products/joe-blasco-blush-cream", "https://camerareadycosmetics.com/products/joe-blasco-blush-cream")</f>
        <v/>
      </c>
      <c r="B1326" s="2">
        <f>HYPERLINK("https://camerareadycosmetics.com/products/joe-blasco-blush-cream", "https://camerareadycosmetics.com/products/joe-blasco-blush-cream")</f>
        <v/>
      </c>
      <c r="C1326" t="inlineStr">
        <is>
          <t>Blush Cream</t>
        </is>
      </c>
      <c r="D1326" t="inlineStr">
        <is>
          <t>e.l.f. Luminous Putty Blush, Putty-to-Powder, Buildable Blush With A Subtle Shimmer Finish, Highly Pigmented &amp; Creamy, Vegan &amp; Cruelty-Free, Bermuda</t>
        </is>
      </c>
      <c r="E1326" s="2">
        <f>HYPERLINK("https://www.amazon.com/l-f-Luminous-Buildable-Pigmented-Cruelty-Free/dp/B0B5MFQZM9/ref=sr_1_2?keywords=Blush+Cream&amp;qid=1695565592&amp;sr=8-2", "https://www.amazon.com/l-f-Luminous-Buildable-Pigmented-Cruelty-Free/dp/B0B5MFQZM9/ref=sr_1_2?keywords=Blush+Cream&amp;qid=1695565592&amp;sr=8-2")</f>
        <v/>
      </c>
      <c r="F1326" t="inlineStr">
        <is>
          <t>B0B5MFQZM9</t>
        </is>
      </c>
      <c r="G1326">
        <f>_xlfn.IMAGE("https://camerareadycosmetics.com/cdn/shop/products/128001001__28749.1433981175.600.600_50x.jpeg?v=1689624937")</f>
        <v/>
      </c>
      <c r="H1326">
        <f>_xlfn.IMAGE("https://m.media-amazon.com/images/I/71z+dXmKpEL._AC_UL320_.jpg")</f>
        <v/>
      </c>
      <c r="K1326" t="inlineStr">
        <is>
          <t>21.5</t>
        </is>
      </c>
      <c r="L1326" t="n">
        <v>6.96</v>
      </c>
      <c r="M1326" s="1" t="inlineStr">
        <is>
          <t>-67.63%</t>
        </is>
      </c>
      <c r="N1326" t="n">
        <v>4.4</v>
      </c>
      <c r="O1326" t="n">
        <v>6572</v>
      </c>
      <c r="Q1326" t="inlineStr">
        <is>
          <t>OutOfStock</t>
        </is>
      </c>
      <c r="R1326" t="inlineStr">
        <is>
          <t>undefined</t>
        </is>
      </c>
      <c r="S1326" t="inlineStr">
        <is>
          <t>7034423367</t>
        </is>
      </c>
    </row>
    <row r="1327" ht="75" customHeight="1">
      <c r="A1327" s="2">
        <f>HYPERLINK("https://camerareadycosmetics.com/products/joe-blasco-blush-cream", "https://camerareadycosmetics.com/products/joe-blasco-blush-cream")</f>
        <v/>
      </c>
      <c r="B1327" s="2">
        <f>HYPERLINK("https://camerareadycosmetics.com/products/joe-blasco-blush-cream", "https://camerareadycosmetics.com/products/joe-blasco-blush-cream")</f>
        <v/>
      </c>
      <c r="C1327" t="inlineStr">
        <is>
          <t>Blush Cream</t>
        </is>
      </c>
      <c r="D1327" t="inlineStr">
        <is>
          <t>Maybelline New York Cheek Heat Gel-Cream Blush Makeup, Lightweight, Breathable Feel, Sheer Flush Of Color, Natural-Looking, Dewy Finish, Oil-Free, Nude Burn, 1 Count</t>
        </is>
      </c>
      <c r="E1327" s="2">
        <f>HYPERLINK("https://www.amazon.com/Maybelline-Gel-Cream-lightweight-Breathable-Natural-Looking/dp/B07WLQ39ZF/ref=sr_1_6?keywords=Blush+Cream&amp;qid=1695565592&amp;sr=8-6", "https://www.amazon.com/Maybelline-Gel-Cream-lightweight-Breathable-Natural-Looking/dp/B07WLQ39ZF/ref=sr_1_6?keywords=Blush+Cream&amp;qid=1695565592&amp;sr=8-6")</f>
        <v/>
      </c>
      <c r="F1327" t="inlineStr">
        <is>
          <t>B07WLQ39ZF</t>
        </is>
      </c>
      <c r="G1327">
        <f>_xlfn.IMAGE("https://camerareadycosmetics.com/cdn/shop/products/128001001__28749.1433981175.600.600_50x.jpeg?v=1689624937")</f>
        <v/>
      </c>
      <c r="H1327">
        <f>_xlfn.IMAGE("https://m.media-amazon.com/images/I/614DZWALHnS._AC_UL320_.jpg")</f>
        <v/>
      </c>
      <c r="K1327" t="inlineStr">
        <is>
          <t>21.5</t>
        </is>
      </c>
      <c r="L1327" t="n">
        <v>5.98</v>
      </c>
      <c r="M1327" s="1" t="inlineStr">
        <is>
          <t>-72.19%</t>
        </is>
      </c>
      <c r="N1327" t="n">
        <v>4</v>
      </c>
      <c r="O1327" t="n">
        <v>14558</v>
      </c>
      <c r="Q1327" t="inlineStr">
        <is>
          <t>OutOfStock</t>
        </is>
      </c>
      <c r="R1327" t="inlineStr">
        <is>
          <t>undefined</t>
        </is>
      </c>
      <c r="S1327" t="inlineStr">
        <is>
          <t>7034423367</t>
        </is>
      </c>
    </row>
    <row r="1328" ht="75" customHeight="1">
      <c r="A1328" s="2">
        <f>HYPERLINK("https://camerareadycosmetics.com/products/joe-blasco-blush-cream", "https://camerareadycosmetics.com/products/joe-blasco-blush-cream")</f>
        <v/>
      </c>
      <c r="B1328" s="2">
        <f>HYPERLINK("https://camerareadycosmetics.com/products/joe-blasco-blush-cream", "https://camerareadycosmetics.com/products/joe-blasco-blush-cream")</f>
        <v/>
      </c>
      <c r="C1328" t="inlineStr">
        <is>
          <t>Blush Cream</t>
        </is>
      </c>
      <c r="D1328" t="inlineStr">
        <is>
          <t>FOCALLURE Cream Blush Makeup,Buildable Blush Stick for Cheeks,Matte and Dewy Finish,Long Wearing,Easy Application,Lightweight Multi Stick,ROSE FLUSH</t>
        </is>
      </c>
      <c r="E1328" s="2">
        <f>HYPERLINK("https://www.amazon.com/FOCALLURE-Buildable-Wearing-Application-Lightweight/dp/B0BD71V1KP/ref=sr_1_10?keywords=Blush+Cream&amp;qid=1695565592&amp;sr=8-10", "https://www.amazon.com/FOCALLURE-Buildable-Wearing-Application-Lightweight/dp/B0BD71V1KP/ref=sr_1_10?keywords=Blush+Cream&amp;qid=1695565592&amp;sr=8-10")</f>
        <v/>
      </c>
      <c r="F1328" t="inlineStr">
        <is>
          <t>B0BD71V1KP</t>
        </is>
      </c>
      <c r="G1328">
        <f>_xlfn.IMAGE("https://camerareadycosmetics.com/cdn/shop/products/128001001__28749.1433981175.600.600_50x.jpeg?v=1689624937")</f>
        <v/>
      </c>
      <c r="H1328">
        <f>_xlfn.IMAGE("https://m.media-amazon.com/images/I/715-AyZ9qjL._AC_UL320_.jpg")</f>
        <v/>
      </c>
      <c r="K1328" t="inlineStr">
        <is>
          <t>21.5</t>
        </is>
      </c>
      <c r="L1328" t="n">
        <v>5.95</v>
      </c>
      <c r="M1328" s="1" t="inlineStr">
        <is>
          <t>-72.33%</t>
        </is>
      </c>
      <c r="N1328" t="n">
        <v>4.3</v>
      </c>
      <c r="O1328" t="n">
        <v>1193</v>
      </c>
      <c r="Q1328" t="inlineStr">
        <is>
          <t>OutOfStock</t>
        </is>
      </c>
      <c r="R1328" t="inlineStr">
        <is>
          <t>undefined</t>
        </is>
      </c>
      <c r="S1328" t="inlineStr">
        <is>
          <t>7034423367</t>
        </is>
      </c>
    </row>
    <row r="1329" ht="75" customHeight="1">
      <c r="A1329" s="2">
        <f>HYPERLINK("https://camerareadycosmetics.com/products/joe-blasco-blush-cream", "https://camerareadycosmetics.com/products/joe-blasco-blush-cream")</f>
        <v/>
      </c>
      <c r="B1329" s="2">
        <f>HYPERLINK("https://camerareadycosmetics.com/products/joe-blasco-blush-cream", "https://camerareadycosmetics.com/products/joe-blasco-blush-cream")</f>
        <v/>
      </c>
      <c r="C1329" t="inlineStr">
        <is>
          <t>Blush Cream</t>
        </is>
      </c>
      <c r="D1329" t="inlineStr">
        <is>
          <t>Liquid Blush, Soft Cream Blush Makeup, Weightless, Long-Lasting, Moisturizing, Natural-Looking, Skin Tint Blush Makeup, (2#)</t>
        </is>
      </c>
      <c r="E1329" s="2">
        <f>HYPERLINK("https://www.amazon.com/Danvisit-Weightless-Long-Lasting-Moisturizing-Natural-Looking/dp/B0C49FW1GM/ref=sr_1_7?keywords=Blush+Cream&amp;qid=1695565592&amp;sr=8-7", "https://www.amazon.com/Danvisit-Weightless-Long-Lasting-Moisturizing-Natural-Looking/dp/B0C49FW1GM/ref=sr_1_7?keywords=Blush+Cream&amp;qid=1695565592&amp;sr=8-7")</f>
        <v/>
      </c>
      <c r="F1329" t="inlineStr">
        <is>
          <t>B0C49FW1GM</t>
        </is>
      </c>
      <c r="G1329">
        <f>_xlfn.IMAGE("https://camerareadycosmetics.com/cdn/shop/products/128001001__28749.1433981175.600.600_50x.jpeg?v=1689624937")</f>
        <v/>
      </c>
      <c r="H1329">
        <f>_xlfn.IMAGE("https://m.media-amazon.com/images/I/61iELzEl0uL._AC_UL320_.jpg")</f>
        <v/>
      </c>
      <c r="K1329" t="inlineStr">
        <is>
          <t>21.5</t>
        </is>
      </c>
      <c r="L1329" t="n">
        <v>4.99</v>
      </c>
      <c r="M1329" s="1" t="inlineStr">
        <is>
          <t>-76.79%</t>
        </is>
      </c>
      <c r="N1329" t="n">
        <v>4.8</v>
      </c>
      <c r="O1329" t="n">
        <v>212</v>
      </c>
      <c r="Q1329" t="inlineStr">
        <is>
          <t>OutOfStock</t>
        </is>
      </c>
      <c r="R1329" t="inlineStr">
        <is>
          <t>undefined</t>
        </is>
      </c>
      <c r="S1329" t="inlineStr">
        <is>
          <t>7034423367</t>
        </is>
      </c>
    </row>
    <row r="1330" ht="75" customHeight="1">
      <c r="A1330" s="2">
        <f>HYPERLINK("https://camerareadycosmetics.com/products/joe-blasco-blush-cream", "https://camerareadycosmetics.com/products/joe-blasco-blush-cream")</f>
        <v/>
      </c>
      <c r="B1330" s="2">
        <f>HYPERLINK("https://camerareadycosmetics.com/products/joe-blasco-blush-cream", "https://camerareadycosmetics.com/products/joe-blasco-blush-cream")</f>
        <v/>
      </c>
      <c r="C1330" t="inlineStr">
        <is>
          <t>Blush Cream</t>
        </is>
      </c>
      <c r="D1330" t="inlineStr">
        <is>
          <t>Milani Cheek Kiss Cream Blush- Cream to Gel Blush for Cheek and Lip Tint</t>
        </is>
      </c>
      <c r="E1330" s="2">
        <f>HYPERLINK("https://www.amazon.com/Milani-Cheek-Cream-Blush-Blush/dp/B08SZ3FL29/ref=sr_1_5?keywords=Blush+Cream&amp;qid=1695565592&amp;sr=8-5", "https://www.amazon.com/Milani-Cheek-Cream-Blush-Blush/dp/B08SZ3FL29/ref=sr_1_5?keywords=Blush+Cream&amp;qid=1695565592&amp;sr=8-5")</f>
        <v/>
      </c>
      <c r="F1330" t="inlineStr">
        <is>
          <t>B08SZ3FL29</t>
        </is>
      </c>
      <c r="G1330">
        <f>_xlfn.IMAGE("https://camerareadycosmetics.com/cdn/shop/products/128001001__28749.1433981175.600.600_50x.jpeg?v=1689624937")</f>
        <v/>
      </c>
      <c r="H1330">
        <f>_xlfn.IMAGE("https://m.media-amazon.com/images/I/61ejxr4kuoL._AC_UL320_.jpg")</f>
        <v/>
      </c>
      <c r="K1330" t="inlineStr">
        <is>
          <t>21.5</t>
        </is>
      </c>
      <c r="L1330" t="n">
        <v>9.970000000000001</v>
      </c>
      <c r="M1330" s="1" t="inlineStr">
        <is>
          <t>-53.63%</t>
        </is>
      </c>
      <c r="N1330" t="n">
        <v>4.4</v>
      </c>
      <c r="O1330" t="n">
        <v>2470</v>
      </c>
      <c r="Q1330" t="inlineStr">
        <is>
          <t>OutOfStock</t>
        </is>
      </c>
      <c r="R1330" t="inlineStr">
        <is>
          <t>undefined</t>
        </is>
      </c>
      <c r="S1330" t="inlineStr">
        <is>
          <t>7034423367</t>
        </is>
      </c>
    </row>
    <row r="1331" ht="75" customHeight="1">
      <c r="A1331" s="2">
        <f>HYPERLINK("https://camerareadycosmetics.com/products/joe-blasco-blush-cream", "https://camerareadycosmetics.com/products/joe-blasco-blush-cream")</f>
        <v/>
      </c>
      <c r="B1331" s="2">
        <f>HYPERLINK("https://camerareadycosmetics.com/products/joe-blasco-blush-cream", "https://camerareadycosmetics.com/products/joe-blasco-blush-cream")</f>
        <v/>
      </c>
      <c r="C1331" t="inlineStr">
        <is>
          <t>Blush Cream</t>
        </is>
      </c>
      <c r="D1331" t="inlineStr">
        <is>
          <t>NYX PROFESSIONAL MAKEUP Sweet Cheeks Soft Cheek Tint, Cream Blush - Baby Doll</t>
        </is>
      </c>
      <c r="E1331" s="2">
        <f>HYPERLINK("https://www.amazon.com/NYX-PROFESSIONAL-MAKEUP-Sweet-Cheeks/dp/B0948QSF81/ref=sr_1_3?keywords=Blush+Cream&amp;qid=1695565592&amp;sr=8-3", "https://www.amazon.com/NYX-PROFESSIONAL-MAKEUP-Sweet-Cheeks/dp/B0948QSF81/ref=sr_1_3?keywords=Blush+Cream&amp;qid=1695565592&amp;sr=8-3")</f>
        <v/>
      </c>
      <c r="F1331" t="inlineStr">
        <is>
          <t>B0948QSF81</t>
        </is>
      </c>
      <c r="G1331">
        <f>_xlfn.IMAGE("https://camerareadycosmetics.com/cdn/shop/products/128001001__28749.1433981175.600.600_50x.jpeg?v=1689624937")</f>
        <v/>
      </c>
      <c r="H1331">
        <f>_xlfn.IMAGE("https://m.media-amazon.com/images/I/61ZLy63EoVL._AC_UL320_.jpg")</f>
        <v/>
      </c>
      <c r="K1331" t="inlineStr">
        <is>
          <t>21.5</t>
        </is>
      </c>
      <c r="L1331" t="n">
        <v>8.99</v>
      </c>
      <c r="M1331" s="1" t="inlineStr">
        <is>
          <t>-58.19%</t>
        </is>
      </c>
      <c r="N1331" t="n">
        <v>4.5</v>
      </c>
      <c r="O1331" t="n">
        <v>914</v>
      </c>
      <c r="Q1331" t="inlineStr">
        <is>
          <t>OutOfStock</t>
        </is>
      </c>
      <c r="R1331" t="inlineStr">
        <is>
          <t>undefined</t>
        </is>
      </c>
      <c r="S1331" t="inlineStr">
        <is>
          <t>7034423367</t>
        </is>
      </c>
    </row>
    <row r="1332" ht="75" customHeight="1">
      <c r="A1332" s="2">
        <f>HYPERLINK("https://camerareadycosmetics.com/products/joe-blasco-blush-cream", "https://camerareadycosmetics.com/products/joe-blasco-blush-cream")</f>
        <v/>
      </c>
      <c r="B1332" s="2">
        <f>HYPERLINK("https://camerareadycosmetics.com/products/joe-blasco-blush-cream", "https://camerareadycosmetics.com/products/joe-blasco-blush-cream")</f>
        <v/>
      </c>
      <c r="C1332" t="inlineStr">
        <is>
          <t>Blush Cream</t>
        </is>
      </c>
      <c r="D1332" t="inlineStr">
        <is>
          <t>Cream Blush Stick, Monochromatic Blush Beauty Wand for Cheek and Lip Tint with Long Lasting Hydrating Formula, Multi-use Blush Makeup Stick for Blends Perfectly onto Skin, 0.6 oz (1# Shy Pink)</t>
        </is>
      </c>
      <c r="E1332" s="2">
        <f>HYPERLINK("https://www.amazon.com/Monochromatic-Lasting-Hydrating-Multi-use-Perfectly/dp/B0C69HL35W/ref=sr_1_8?keywords=Blush+Cream&amp;qid=1695565592&amp;sr=8-8", "https://www.amazon.com/Monochromatic-Lasting-Hydrating-Multi-use-Perfectly/dp/B0C69HL35W/ref=sr_1_8?keywords=Blush+Cream&amp;qid=1695565592&amp;sr=8-8")</f>
        <v/>
      </c>
      <c r="F1332" t="inlineStr">
        <is>
          <t>B0C69HL35W</t>
        </is>
      </c>
      <c r="G1332">
        <f>_xlfn.IMAGE("https://camerareadycosmetics.com/cdn/shop/products/128001001__28749.1433981175.600.600_50x.jpeg?v=1689624937")</f>
        <v/>
      </c>
      <c r="H1332">
        <f>_xlfn.IMAGE("https://m.media-amazon.com/images/I/61n34araZEL._AC_UL320_.jpg")</f>
        <v/>
      </c>
      <c r="K1332" t="inlineStr">
        <is>
          <t>21.5</t>
        </is>
      </c>
      <c r="L1332" t="n">
        <v>8.99</v>
      </c>
      <c r="M1332" s="1" t="inlineStr">
        <is>
          <t>-58.19%</t>
        </is>
      </c>
      <c r="N1332" t="n">
        <v>4.2</v>
      </c>
      <c r="O1332" t="n">
        <v>69</v>
      </c>
      <c r="Q1332" t="inlineStr">
        <is>
          <t>OutOfStock</t>
        </is>
      </c>
      <c r="R1332" t="inlineStr">
        <is>
          <t>undefined</t>
        </is>
      </c>
      <c r="S1332" t="inlineStr">
        <is>
          <t>7034423367</t>
        </is>
      </c>
    </row>
    <row r="1333" ht="75" customHeight="1">
      <c r="A1333" s="2">
        <f>HYPERLINK("https://camerareadycosmetics.com/products/joe-blasco-blush-cream", "https://camerareadycosmetics.com/products/joe-blasco-blush-cream")</f>
        <v/>
      </c>
      <c r="B1333" s="2">
        <f>HYPERLINK("https://camerareadycosmetics.com/products/joe-blasco-blush-cream", "https://camerareadycosmetics.com/products/joe-blasco-blush-cream")</f>
        <v/>
      </c>
      <c r="C1333" t="inlineStr">
        <is>
          <t>Blush Cream</t>
        </is>
      </c>
      <c r="D1333" t="inlineStr">
        <is>
          <t>e.l.f. Luminous Putty Blush, Putty-to-Powder, Buildable Blush With A Subtle Shimmer Finish, Highly Pigmented &amp; Creamy, Vegan &amp; Cruelty-Free, Bermuda</t>
        </is>
      </c>
      <c r="E1333" s="2">
        <f>HYPERLINK("https://www.amazon.com/l-f-Luminous-Buildable-Pigmented-Cruelty-Free/dp/B0B5MFQZM9/ref=sr_1_2?keywords=Blush+Cream&amp;qid=1695565592&amp;sr=8-2", "https://www.amazon.com/l-f-Luminous-Buildable-Pigmented-Cruelty-Free/dp/B0B5MFQZM9/ref=sr_1_2?keywords=Blush+Cream&amp;qid=1695565592&amp;sr=8-2")</f>
        <v/>
      </c>
      <c r="F1333" t="inlineStr">
        <is>
          <t>B0B5MFQZM9</t>
        </is>
      </c>
      <c r="G1333">
        <f>_xlfn.IMAGE("https://camerareadycosmetics.com/cdn/shop/products/128001001__28749.1433981175.600.600_50x.jpeg?v=1689624937")</f>
        <v/>
      </c>
      <c r="H1333">
        <f>_xlfn.IMAGE("https://m.media-amazon.com/images/I/71z+dXmKpEL._AC_UL320_.jpg")</f>
        <v/>
      </c>
      <c r="K1333" t="inlineStr">
        <is>
          <t>21.5</t>
        </is>
      </c>
      <c r="L1333" t="n">
        <v>6.96</v>
      </c>
      <c r="M1333" s="1" t="inlineStr">
        <is>
          <t>-67.63%</t>
        </is>
      </c>
      <c r="N1333" t="n">
        <v>4.4</v>
      </c>
      <c r="O1333" t="n">
        <v>6572</v>
      </c>
      <c r="Q1333" t="inlineStr">
        <is>
          <t>OutOfStock</t>
        </is>
      </c>
      <c r="R1333" t="inlineStr">
        <is>
          <t>undefined</t>
        </is>
      </c>
      <c r="S1333" t="inlineStr">
        <is>
          <t>7034423367</t>
        </is>
      </c>
    </row>
    <row r="1334" ht="75" customHeight="1">
      <c r="A1334" s="2">
        <f>HYPERLINK("https://camerareadycosmetics.com/products/joe-blasco-blush-cream", "https://camerareadycosmetics.com/products/joe-blasco-blush-cream")</f>
        <v/>
      </c>
      <c r="B1334" s="2">
        <f>HYPERLINK("https://camerareadycosmetics.com/products/joe-blasco-blush-cream", "https://camerareadycosmetics.com/products/joe-blasco-blush-cream")</f>
        <v/>
      </c>
      <c r="C1334" t="inlineStr">
        <is>
          <t>Blush Cream</t>
        </is>
      </c>
      <c r="D1334" t="inlineStr">
        <is>
          <t>Maybelline New York Cheek Heat Gel-Cream Blush Makeup, Lightweight, Breathable Feel, Sheer Flush Of Color, Natural-Looking, Dewy Finish, Oil-Free, Nude Burn, 1 Count</t>
        </is>
      </c>
      <c r="E1334" s="2">
        <f>HYPERLINK("https://www.amazon.com/Maybelline-Gel-Cream-lightweight-Breathable-Natural-Looking/dp/B07WLQ39ZF/ref=sr_1_6?keywords=Blush+Cream&amp;qid=1695565592&amp;sr=8-6", "https://www.amazon.com/Maybelline-Gel-Cream-lightweight-Breathable-Natural-Looking/dp/B07WLQ39ZF/ref=sr_1_6?keywords=Blush+Cream&amp;qid=1695565592&amp;sr=8-6")</f>
        <v/>
      </c>
      <c r="F1334" t="inlineStr">
        <is>
          <t>B07WLQ39ZF</t>
        </is>
      </c>
      <c r="G1334">
        <f>_xlfn.IMAGE("https://camerareadycosmetics.com/cdn/shop/products/128001001__28749.1433981175.600.600_50x.jpeg?v=1689624937")</f>
        <v/>
      </c>
      <c r="H1334">
        <f>_xlfn.IMAGE("https://m.media-amazon.com/images/I/614DZWALHnS._AC_UL320_.jpg")</f>
        <v/>
      </c>
      <c r="K1334" t="inlineStr">
        <is>
          <t>21.5</t>
        </is>
      </c>
      <c r="L1334" t="n">
        <v>5.98</v>
      </c>
      <c r="M1334" s="1" t="inlineStr">
        <is>
          <t>-72.19%</t>
        </is>
      </c>
      <c r="N1334" t="n">
        <v>4</v>
      </c>
      <c r="O1334" t="n">
        <v>14558</v>
      </c>
      <c r="Q1334" t="inlineStr">
        <is>
          <t>OutOfStock</t>
        </is>
      </c>
      <c r="R1334" t="inlineStr">
        <is>
          <t>undefined</t>
        </is>
      </c>
      <c r="S1334" t="inlineStr">
        <is>
          <t>7034423367</t>
        </is>
      </c>
    </row>
    <row r="1335" ht="75" customHeight="1">
      <c r="A1335" s="2">
        <f>HYPERLINK("https://camerareadycosmetics.com/products/joe-blasco-blush-cream", "https://camerareadycosmetics.com/products/joe-blasco-blush-cream")</f>
        <v/>
      </c>
      <c r="B1335" s="2">
        <f>HYPERLINK("https://camerareadycosmetics.com/products/joe-blasco-blush-cream", "https://camerareadycosmetics.com/products/joe-blasco-blush-cream")</f>
        <v/>
      </c>
      <c r="C1335" t="inlineStr">
        <is>
          <t>Blush Cream</t>
        </is>
      </c>
      <c r="D1335" t="inlineStr">
        <is>
          <t>FOCALLURE Cream Blush Makeup,Buildable Blush Stick for Cheeks,Matte and Dewy Finish,Long Wearing,Easy Application,Lightweight Multi Stick,ROSE FLUSH</t>
        </is>
      </c>
      <c r="E1335" s="2">
        <f>HYPERLINK("https://www.amazon.com/FOCALLURE-Buildable-Wearing-Application-Lightweight/dp/B0BD71V1KP/ref=sr_1_10?keywords=Blush+Cream&amp;qid=1695565592&amp;sr=8-10", "https://www.amazon.com/FOCALLURE-Buildable-Wearing-Application-Lightweight/dp/B0BD71V1KP/ref=sr_1_10?keywords=Blush+Cream&amp;qid=1695565592&amp;sr=8-10")</f>
        <v/>
      </c>
      <c r="F1335" t="inlineStr">
        <is>
          <t>B0BD71V1KP</t>
        </is>
      </c>
      <c r="G1335">
        <f>_xlfn.IMAGE("https://camerareadycosmetics.com/cdn/shop/products/128001001__28749.1433981175.600.600_50x.jpeg?v=1689624937")</f>
        <v/>
      </c>
      <c r="H1335">
        <f>_xlfn.IMAGE("https://m.media-amazon.com/images/I/715-AyZ9qjL._AC_UL320_.jpg")</f>
        <v/>
      </c>
      <c r="K1335" t="inlineStr">
        <is>
          <t>21.5</t>
        </is>
      </c>
      <c r="L1335" t="n">
        <v>5.95</v>
      </c>
      <c r="M1335" s="1" t="inlineStr">
        <is>
          <t>-72.33%</t>
        </is>
      </c>
      <c r="N1335" t="n">
        <v>4.3</v>
      </c>
      <c r="O1335" t="n">
        <v>1193</v>
      </c>
      <c r="Q1335" t="inlineStr">
        <is>
          <t>OutOfStock</t>
        </is>
      </c>
      <c r="R1335" t="inlineStr">
        <is>
          <t>undefined</t>
        </is>
      </c>
      <c r="S1335" t="inlineStr">
        <is>
          <t>7034423367</t>
        </is>
      </c>
    </row>
    <row r="1336" ht="75" customHeight="1">
      <c r="A1336" s="2">
        <f>HYPERLINK("https://camerareadycosmetics.com/products/joe-blasco-blush-cream", "https://camerareadycosmetics.com/products/joe-blasco-blush-cream")</f>
        <v/>
      </c>
      <c r="B1336" s="2">
        <f>HYPERLINK("https://camerareadycosmetics.com/products/joe-blasco-blush-cream", "https://camerareadycosmetics.com/products/joe-blasco-blush-cream")</f>
        <v/>
      </c>
      <c r="C1336" t="inlineStr">
        <is>
          <t>Blush Cream</t>
        </is>
      </c>
      <c r="D1336" t="inlineStr">
        <is>
          <t>Liquid Blush, Soft Cream Blush Makeup, Weightless, Long-Lasting, Moisturizing, Natural-Looking, Skin Tint Blush Makeup, (2#)</t>
        </is>
      </c>
      <c r="E1336" s="2">
        <f>HYPERLINK("https://www.amazon.com/Danvisit-Weightless-Long-Lasting-Moisturizing-Natural-Looking/dp/B0C49FW1GM/ref=sr_1_7?keywords=Blush+Cream&amp;qid=1695565592&amp;sr=8-7", "https://www.amazon.com/Danvisit-Weightless-Long-Lasting-Moisturizing-Natural-Looking/dp/B0C49FW1GM/ref=sr_1_7?keywords=Blush+Cream&amp;qid=1695565592&amp;sr=8-7")</f>
        <v/>
      </c>
      <c r="F1336" t="inlineStr">
        <is>
          <t>B0C49FW1GM</t>
        </is>
      </c>
      <c r="G1336">
        <f>_xlfn.IMAGE("https://camerareadycosmetics.com/cdn/shop/products/128001001__28749.1433981175.600.600_50x.jpeg?v=1689624937")</f>
        <v/>
      </c>
      <c r="H1336">
        <f>_xlfn.IMAGE("https://m.media-amazon.com/images/I/61iELzEl0uL._AC_UL320_.jpg")</f>
        <v/>
      </c>
      <c r="K1336" t="inlineStr">
        <is>
          <t>21.5</t>
        </is>
      </c>
      <c r="L1336" t="n">
        <v>4.99</v>
      </c>
      <c r="M1336" s="1" t="inlineStr">
        <is>
          <t>-76.79%</t>
        </is>
      </c>
      <c r="N1336" t="n">
        <v>4.8</v>
      </c>
      <c r="O1336" t="n">
        <v>212</v>
      </c>
      <c r="Q1336" t="inlineStr">
        <is>
          <t>OutOfStock</t>
        </is>
      </c>
      <c r="R1336" t="inlineStr">
        <is>
          <t>undefined</t>
        </is>
      </c>
      <c r="S1336" t="inlineStr">
        <is>
          <t>7034423367</t>
        </is>
      </c>
    </row>
    <row r="1337" ht="75" customHeight="1">
      <c r="A1337" s="2">
        <f>HYPERLINK("https://camerareadycosmetics.com/products/joe-blasco-eye-shadow", "https://camerareadycosmetics.com/products/joe-blasco-eye-shadow")</f>
        <v/>
      </c>
      <c r="B1337" s="2">
        <f>HYPERLINK("https://camerareadycosmetics.com/products/joe-blasco-eye-shadow", "https://camerareadycosmetics.com/products/joe-blasco-eye-shadow")</f>
        <v/>
      </c>
      <c r="C1337" t="inlineStr">
        <is>
          <t>Eye Shadow</t>
        </is>
      </c>
      <c r="D1337" t="inlineStr">
        <is>
          <t>Highly Pigmented Eye Makeup Palette, Matte Shimmer Metallic Eyeshadow Pallet Long Lasting Blendable Natural Colors Make Up Eye Shadows Cosmetics Gift Kit</t>
        </is>
      </c>
      <c r="E1337" s="2">
        <f>HYPERLINK("https://www.amazon.com/CHANGEABLE-Eyeshadow-Highlight-Waterproof-Makeup/dp/B07MQJRK7N/ref=sr_1_8?keywords=Eye+Shadow&amp;qid=1695565563&amp;sr=8-8", "https://www.amazon.com/CHANGEABLE-Eyeshadow-Highlight-Waterproof-Makeup/dp/B07MQJRK7N/ref=sr_1_8?keywords=Eye+Shadow&amp;qid=1695565563&amp;sr=8-8")</f>
        <v/>
      </c>
      <c r="F1337" t="inlineStr">
        <is>
          <t>B07MQJRK7N</t>
        </is>
      </c>
      <c r="G1337">
        <f>_xlfn.IMAGE("https://camerareadycosmetics.com/cdn/shop/products/8098_zoom_1404230689_50x.jpg?v=1519348223")</f>
        <v/>
      </c>
      <c r="H1337">
        <f>_xlfn.IMAGE("https://m.media-amazon.com/images/I/61dh9Y6h75L._AC_UL320_.jpg")</f>
        <v/>
      </c>
      <c r="K1337" t="inlineStr">
        <is>
          <t>8.0</t>
        </is>
      </c>
      <c r="L1337" t="n">
        <v>9.99</v>
      </c>
      <c r="M1337" s="1" t="inlineStr">
        <is>
          <t>24.88%</t>
        </is>
      </c>
      <c r="N1337" t="n">
        <v>4.5</v>
      </c>
      <c r="O1337" t="n">
        <v>22838</v>
      </c>
      <c r="Q1337" t="inlineStr">
        <is>
          <t>InStock</t>
        </is>
      </c>
      <c r="R1337" t="inlineStr">
        <is>
          <t>20.0</t>
        </is>
      </c>
      <c r="S1337" t="inlineStr">
        <is>
          <t>7034892807</t>
        </is>
      </c>
    </row>
    <row r="1338" ht="75" customHeight="1">
      <c r="A1338" s="2">
        <f>HYPERLINK("https://camerareadycosmetics.com/products/joe-blasco-eye-shadow", "https://camerareadycosmetics.com/products/joe-blasco-eye-shadow")</f>
        <v/>
      </c>
      <c r="B1338" s="2">
        <f>HYPERLINK("https://camerareadycosmetics.com/products/joe-blasco-eye-shadow", "https://camerareadycosmetics.com/products/joe-blasco-eye-shadow")</f>
        <v/>
      </c>
      <c r="C1338" t="inlineStr">
        <is>
          <t>Eye Shadow</t>
        </is>
      </c>
      <c r="D1338" t="inlineStr">
        <is>
          <t>BestLand 2 Pack 12 Colors Makeup Nude Colors Eyeshadow Palette Natural Nude Matte Shimmer Glitter Pigment Eye Shadow Pallete Set Waterproof Smokey Professional Beauty Makeup Kit (2 PCS)</t>
        </is>
      </c>
      <c r="E1338" s="2">
        <f>HYPERLINK("https://www.amazon.com/Eyeshadow-Waterproof-Professional-Cosmetic-BESTLAND/dp/B073ZBGLJF/ref=sr_1_6?keywords=Eye+Shadow&amp;qid=1695565563&amp;sr=8-6", "https://www.amazon.com/Eyeshadow-Waterproof-Professional-Cosmetic-BESTLAND/dp/B073ZBGLJF/ref=sr_1_6?keywords=Eye+Shadow&amp;qid=1695565563&amp;sr=8-6")</f>
        <v/>
      </c>
      <c r="F1338" t="inlineStr">
        <is>
          <t>B073ZBGLJF</t>
        </is>
      </c>
      <c r="G1338">
        <f>_xlfn.IMAGE("https://camerareadycosmetics.com/cdn/shop/products/8098_zoom_1404230689_50x.jpg?v=1519348223")</f>
        <v/>
      </c>
      <c r="H1338">
        <f>_xlfn.IMAGE("https://m.media-amazon.com/images/I/61dVjYX+ooL._AC_UL320_.jpg")</f>
        <v/>
      </c>
      <c r="K1338" t="inlineStr">
        <is>
          <t>8.0</t>
        </is>
      </c>
      <c r="L1338" t="n">
        <v>9.99</v>
      </c>
      <c r="M1338" s="1" t="inlineStr">
        <is>
          <t>24.88%</t>
        </is>
      </c>
      <c r="N1338" t="n">
        <v>4.2</v>
      </c>
      <c r="O1338" t="n">
        <v>12577</v>
      </c>
      <c r="Q1338" t="inlineStr">
        <is>
          <t>InStock</t>
        </is>
      </c>
      <c r="R1338" t="inlineStr">
        <is>
          <t>20.0</t>
        </is>
      </c>
      <c r="S1338" t="inlineStr">
        <is>
          <t>7034892807</t>
        </is>
      </c>
    </row>
    <row r="1339" ht="75" customHeight="1">
      <c r="A1339" s="2">
        <f>HYPERLINK("https://camerareadycosmetics.com/products/joe-blasco-eye-shadow", "https://camerareadycosmetics.com/products/joe-blasco-eye-shadow")</f>
        <v/>
      </c>
      <c r="B1339" s="2">
        <f>HYPERLINK("https://camerareadycosmetics.com/products/joe-blasco-eye-shadow", "https://camerareadycosmetics.com/products/joe-blasco-eye-shadow")</f>
        <v/>
      </c>
      <c r="C1339" t="inlineStr">
        <is>
          <t>Eye Shadow</t>
        </is>
      </c>
      <c r="D1339" t="inlineStr">
        <is>
          <t>FOCALLURE 2 Pcs Cream Eyeshadow Stick,Shimmer Eyeshadow Pencil Crayon,High Pigmented Eye Shadow Pen,Waterproof Long Lasting Eye Highlighter Stick,Straight-up Classy</t>
        </is>
      </c>
      <c r="E1339" s="2">
        <f>HYPERLINK("https://www.amazon.com/FOCALLURE-Eyeshadow-Waterproof-Highlighter-Straight-up/dp/B09F6DPPYS/ref=sr_1_4?keywords=Eye+Shadow&amp;qid=1695565563&amp;sr=8-4", "https://www.amazon.com/FOCALLURE-Eyeshadow-Waterproof-Highlighter-Straight-up/dp/B09F6DPPYS/ref=sr_1_4?keywords=Eye+Shadow&amp;qid=1695565563&amp;sr=8-4")</f>
        <v/>
      </c>
      <c r="F1339" t="inlineStr">
        <is>
          <t>B09F6DPPYS</t>
        </is>
      </c>
      <c r="G1339">
        <f>_xlfn.IMAGE("https://camerareadycosmetics.com/cdn/shop/products/8098_zoom_1404230689_50x.jpg?v=1519348223")</f>
        <v/>
      </c>
      <c r="H1339">
        <f>_xlfn.IMAGE("https://m.media-amazon.com/images/I/81RJk5QBjgL._AC_UL320_.jpg")</f>
        <v/>
      </c>
      <c r="K1339" t="inlineStr">
        <is>
          <t>8.0</t>
        </is>
      </c>
      <c r="L1339" t="n">
        <v>7.99</v>
      </c>
      <c r="M1339" s="1" t="inlineStr">
        <is>
          <t>-0.12%</t>
        </is>
      </c>
      <c r="N1339" t="n">
        <v>4</v>
      </c>
      <c r="O1339" t="n">
        <v>5633</v>
      </c>
      <c r="Q1339" t="inlineStr">
        <is>
          <t>InStock</t>
        </is>
      </c>
      <c r="R1339" t="inlineStr">
        <is>
          <t>20.0</t>
        </is>
      </c>
      <c r="S1339" t="inlineStr">
        <is>
          <t>7034892807</t>
        </is>
      </c>
    </row>
    <row r="1340" ht="75" customHeight="1">
      <c r="A1340" s="2">
        <f>HYPERLINK("https://camerareadycosmetics.com/products/joe-blasco-eye-shadow", "https://camerareadycosmetics.com/products/joe-blasco-eye-shadow")</f>
        <v/>
      </c>
      <c r="B1340" s="2">
        <f>HYPERLINK("https://camerareadycosmetics.com/products/joe-blasco-eye-shadow", "https://camerareadycosmetics.com/products/joe-blasco-eye-shadow")</f>
        <v/>
      </c>
      <c r="C1340" t="inlineStr">
        <is>
          <t>Eye Shadow</t>
        </is>
      </c>
      <c r="D1340" t="inlineStr">
        <is>
          <t>Maybelline New York The Blushed Nudes Eyeshadow Palette Makeup, 12 Pigmented Matte &amp; Shimmer Shades, Blendable Powder, 1 Count</t>
        </is>
      </c>
      <c r="E1340" s="2">
        <f>HYPERLINK("https://www.amazon.com/Maybelline-New-York-Blushed-Nudes/dp/B00UKP1M2K/ref=sr_1_10?keywords=Eye+Shadow&amp;qid=1695565563&amp;sr=8-10", "https://www.amazon.com/Maybelline-New-York-Blushed-Nudes/dp/B00UKP1M2K/ref=sr_1_10?keywords=Eye+Shadow&amp;qid=1695565563&amp;sr=8-10")</f>
        <v/>
      </c>
      <c r="F1340" t="inlineStr">
        <is>
          <t>B00UKP1M2K</t>
        </is>
      </c>
      <c r="G1340">
        <f>_xlfn.IMAGE("https://camerareadycosmetics.com/cdn/shop/products/8098_zoom_1404230689_50x.jpg?v=1519348223")</f>
        <v/>
      </c>
      <c r="H1340">
        <f>_xlfn.IMAGE("https://m.media-amazon.com/images/I/819FqiMlAnL._AC_UL320_.jpg")</f>
        <v/>
      </c>
      <c r="K1340" t="inlineStr">
        <is>
          <t>8.0</t>
        </is>
      </c>
      <c r="L1340" t="n">
        <v>7.41</v>
      </c>
      <c r="M1340" s="1" t="inlineStr">
        <is>
          <t>-7.37%</t>
        </is>
      </c>
      <c r="N1340" t="n">
        <v>4.4</v>
      </c>
      <c r="O1340" t="n">
        <v>27366</v>
      </c>
      <c r="Q1340" t="inlineStr">
        <is>
          <t>InStock</t>
        </is>
      </c>
      <c r="R1340" t="inlineStr">
        <is>
          <t>20.0</t>
        </is>
      </c>
      <c r="S1340" t="inlineStr">
        <is>
          <t>7034892807</t>
        </is>
      </c>
    </row>
    <row r="1341" ht="75" customHeight="1">
      <c r="A1341" s="2">
        <f>HYPERLINK("https://camerareadycosmetics.com/products/joe-blasco-eye-shadow", "https://camerareadycosmetics.com/products/joe-blasco-eye-shadow")</f>
        <v/>
      </c>
      <c r="B1341" s="2">
        <f>HYPERLINK("https://camerareadycosmetics.com/products/joe-blasco-eye-shadow", "https://camerareadycosmetics.com/products/joe-blasco-eye-shadow")</f>
        <v/>
      </c>
      <c r="C1341" t="inlineStr">
        <is>
          <t>Eye Shadow</t>
        </is>
      </c>
      <c r="D1341" t="inlineStr">
        <is>
          <t>L.A. Girl Beauty Brick Eyeshadow, Nudes, 0.42 Ounce, Powder</t>
        </is>
      </c>
      <c r="E1341" s="2">
        <f>HYPERLINK("https://www.amazon.com/L-Girl-Beauty-Eyeshadow/dp/B00PGQYEUK/ref=sr_1_1?keywords=Eye+Shadow&amp;qid=1695565563&amp;sr=8-1", "https://www.amazon.com/L-Girl-Beauty-Eyeshadow/dp/B00PGQYEUK/ref=sr_1_1?keywords=Eye+Shadow&amp;qid=1695565563&amp;sr=8-1")</f>
        <v/>
      </c>
      <c r="F1341" t="inlineStr">
        <is>
          <t>B00PGQYEUK</t>
        </is>
      </c>
      <c r="G1341">
        <f>_xlfn.IMAGE("https://camerareadycosmetics.com/cdn/shop/products/8098_zoom_1404230689_50x.jpg?v=1519348223")</f>
        <v/>
      </c>
      <c r="H1341">
        <f>_xlfn.IMAGE("https://m.media-amazon.com/images/I/710Rr3-wxlL._AC_UL320_.jpg")</f>
        <v/>
      </c>
      <c r="K1341" t="inlineStr">
        <is>
          <t>8.0</t>
        </is>
      </c>
      <c r="L1341" t="n">
        <v>5.59</v>
      </c>
      <c r="M1341" s="1" t="inlineStr">
        <is>
          <t>-30.12%</t>
        </is>
      </c>
      <c r="N1341" t="n">
        <v>4.5</v>
      </c>
      <c r="O1341" t="n">
        <v>24468</v>
      </c>
      <c r="Q1341" t="inlineStr">
        <is>
          <t>InStock</t>
        </is>
      </c>
      <c r="R1341" t="inlineStr">
        <is>
          <t>20.0</t>
        </is>
      </c>
      <c r="S1341" t="inlineStr">
        <is>
          <t>7034892807</t>
        </is>
      </c>
    </row>
    <row r="1342" ht="75" customHeight="1">
      <c r="A1342" s="2">
        <f>HYPERLINK("https://camerareadycosmetics.com/products/joe-blasco-eye-shadow", "https://camerareadycosmetics.com/products/joe-blasco-eye-shadow")</f>
        <v/>
      </c>
      <c r="B1342" s="2">
        <f>HYPERLINK("https://camerareadycosmetics.com/products/joe-blasco-eye-shadow", "https://camerareadycosmetics.com/products/joe-blasco-eye-shadow")</f>
        <v/>
      </c>
      <c r="C1342" t="inlineStr">
        <is>
          <t>Eye Shadow</t>
        </is>
      </c>
      <c r="D1342" t="inlineStr">
        <is>
          <t>Revlon Eyeshadow Paette, PhotoReady Eye Makeup, Creamy Pigmented in Blendable Matte &amp; Shimmer Finishes 523 Rustic, 0.01 Oz</t>
        </is>
      </c>
      <c r="E1342" s="2">
        <f>HYPERLINK("https://www.amazon.com/Revlon-PhotoReady-Contour-Rustic-Count/dp/B0105Z1J9U/ref=sr_1_3?keywords=Eye+Shadow&amp;qid=1695565563&amp;sr=8-3", "https://www.amazon.com/Revlon-PhotoReady-Contour-Rustic-Count/dp/B0105Z1J9U/ref=sr_1_3?keywords=Eye+Shadow&amp;qid=1695565563&amp;sr=8-3")</f>
        <v/>
      </c>
      <c r="F1342" t="inlineStr">
        <is>
          <t>B0105Z1J9U</t>
        </is>
      </c>
      <c r="G1342">
        <f>_xlfn.IMAGE("https://camerareadycosmetics.com/cdn/shop/products/8098_zoom_1404230689_50x.jpg?v=1519348223")</f>
        <v/>
      </c>
      <c r="H1342">
        <f>_xlfn.IMAGE("https://m.media-amazon.com/images/I/81tZW-YJRDS._AC_UL320_.jpg")</f>
        <v/>
      </c>
      <c r="K1342" t="inlineStr">
        <is>
          <t>8.0</t>
        </is>
      </c>
      <c r="L1342" t="n">
        <v>5.49</v>
      </c>
      <c r="M1342" s="1" t="inlineStr">
        <is>
          <t>-31.37%</t>
        </is>
      </c>
      <c r="N1342" t="n">
        <v>4.5</v>
      </c>
      <c r="O1342" t="n">
        <v>5469</v>
      </c>
      <c r="Q1342" t="inlineStr">
        <is>
          <t>InStock</t>
        </is>
      </c>
      <c r="R1342" t="inlineStr">
        <is>
          <t>20.0</t>
        </is>
      </c>
      <c r="S1342" t="inlineStr">
        <is>
          <t>7034892807</t>
        </is>
      </c>
    </row>
    <row r="1343" ht="75" customHeight="1">
      <c r="A1343" s="2">
        <f>HYPERLINK("https://camerareadycosmetics.com/products/joe-blasco-eye-shadow", "https://camerareadycosmetics.com/products/joe-blasco-eye-shadow")</f>
        <v/>
      </c>
      <c r="B1343" s="2">
        <f>HYPERLINK("https://camerareadycosmetics.com/products/joe-blasco-eye-shadow", "https://camerareadycosmetics.com/products/joe-blasco-eye-shadow")</f>
        <v/>
      </c>
      <c r="C1343" t="inlineStr">
        <is>
          <t>Eye Shadow</t>
        </is>
      </c>
      <c r="D1343" t="inlineStr">
        <is>
          <t>COVERGIRL Eye Enhancers Eyeshadow 4 Kit, Country Woods, 4 Colors</t>
        </is>
      </c>
      <c r="E1343" s="2">
        <f>HYPERLINK("https://www.amazon.com/COVERGIRL-Enhancers-Shadow-Country-packaging/dp/B000RT98CK/ref=sr_1_2?keywords=Eye+Shadow&amp;qid=1695565563&amp;sr=8-2", "https://www.amazon.com/COVERGIRL-Enhancers-Shadow-Country-packaging/dp/B000RT98CK/ref=sr_1_2?keywords=Eye+Shadow&amp;qid=1695565563&amp;sr=8-2")</f>
        <v/>
      </c>
      <c r="F1343" t="inlineStr">
        <is>
          <t>B000RT98CK</t>
        </is>
      </c>
      <c r="G1343">
        <f>_xlfn.IMAGE("https://camerareadycosmetics.com/cdn/shop/products/8098_zoom_1404230689_50x.jpg?v=1519348223")</f>
        <v/>
      </c>
      <c r="H1343">
        <f>_xlfn.IMAGE("https://m.media-amazon.com/images/I/61BFd79Q5aL._AC_UL320_.jpg")</f>
        <v/>
      </c>
      <c r="K1343" t="inlineStr">
        <is>
          <t>8.0</t>
        </is>
      </c>
      <c r="L1343" t="n">
        <v>4.97</v>
      </c>
      <c r="M1343" s="1" t="inlineStr">
        <is>
          <t>-37.88%</t>
        </is>
      </c>
      <c r="N1343" t="n">
        <v>4.5</v>
      </c>
      <c r="O1343" t="n">
        <v>12994</v>
      </c>
      <c r="Q1343" t="inlineStr">
        <is>
          <t>InStock</t>
        </is>
      </c>
      <c r="R1343" t="inlineStr">
        <is>
          <t>20.0</t>
        </is>
      </c>
      <c r="S1343" t="inlineStr">
        <is>
          <t>7034892807</t>
        </is>
      </c>
    </row>
    <row r="1344" ht="75" customHeight="1">
      <c r="A1344" s="2">
        <f>HYPERLINK("https://camerareadycosmetics.com/products/joe-blasco-eye-shadow", "https://camerareadycosmetics.com/products/joe-blasco-eye-shadow")</f>
        <v/>
      </c>
      <c r="B1344" s="2">
        <f>HYPERLINK("https://camerareadycosmetics.com/products/joe-blasco-eye-shadow", "https://camerareadycosmetics.com/products/joe-blasco-eye-shadow")</f>
        <v/>
      </c>
      <c r="C1344" t="inlineStr">
        <is>
          <t>Eye Shadow</t>
        </is>
      </c>
      <c r="D1344" t="inlineStr">
        <is>
          <t>COVERGIRL COVERGIRL Trunaked Quad Eyeshadow Palette, Night Mayhem, Midsummer Night Mayhem, 0.06 Ounce</t>
        </is>
      </c>
      <c r="E1344" s="2">
        <f>HYPERLINK("https://www.amazon.com/Covergirl-truNAKED-Eyeshadow-Palette-Midsummer/dp/B088P4Z46P/ref=sr_1_7?keywords=Eye+Shadow&amp;qid=1695565563&amp;sr=8-7", "https://www.amazon.com/Covergirl-truNAKED-Eyeshadow-Palette-Midsummer/dp/B088P4Z46P/ref=sr_1_7?keywords=Eye+Shadow&amp;qid=1695565563&amp;sr=8-7")</f>
        <v/>
      </c>
      <c r="F1344" t="inlineStr">
        <is>
          <t>B088P4Z46P</t>
        </is>
      </c>
      <c r="G1344">
        <f>_xlfn.IMAGE("https://camerareadycosmetics.com/cdn/shop/products/8098_zoom_1404230689_50x.jpg?v=1519348223")</f>
        <v/>
      </c>
      <c r="H1344">
        <f>_xlfn.IMAGE("https://m.media-amazon.com/images/I/81-z19Yq1lL._AC_UL320_.jpg")</f>
        <v/>
      </c>
      <c r="K1344" t="inlineStr">
        <is>
          <t>8.0</t>
        </is>
      </c>
      <c r="L1344" t="n">
        <v>3.99</v>
      </c>
      <c r="M1344" s="1" t="inlineStr">
        <is>
          <t>-50.12%</t>
        </is>
      </c>
      <c r="N1344" t="n">
        <v>4.4</v>
      </c>
      <c r="O1344" t="n">
        <v>2648</v>
      </c>
      <c r="Q1344" t="inlineStr">
        <is>
          <t>InStock</t>
        </is>
      </c>
      <c r="R1344" t="inlineStr">
        <is>
          <t>20.0</t>
        </is>
      </c>
      <c r="S1344" t="inlineStr">
        <is>
          <t>7034892807</t>
        </is>
      </c>
    </row>
    <row r="1345" ht="75" customHeight="1">
      <c r="A1345" s="2">
        <f>HYPERLINK("https://camerareadycosmetics.com/products/joe-blasco-eye-shadow", "https://camerareadycosmetics.com/products/joe-blasco-eye-shadow")</f>
        <v/>
      </c>
      <c r="B1345" s="2">
        <f>HYPERLINK("https://camerareadycosmetics.com/products/joe-blasco-eye-shadow", "https://camerareadycosmetics.com/products/joe-blasco-eye-shadow")</f>
        <v/>
      </c>
      <c r="C1345" t="inlineStr">
        <is>
          <t>Eye Shadow</t>
        </is>
      </c>
      <c r="D1345" t="inlineStr">
        <is>
          <t>L.A. COLORS 5 Color Matte Eyeshadow, Blue Denim, 0.25 oz Powder</t>
        </is>
      </c>
      <c r="E1345" s="2">
        <f>HYPERLINK("https://www.amazon.com/L-Colors-Color-Eyeshadow/dp/B01DX1OC9W/ref=sr_1_5?keywords=Eye+Shadow&amp;qid=1695565563&amp;sr=8-5", "https://www.amazon.com/L-Colors-Color-Eyeshadow/dp/B01DX1OC9W/ref=sr_1_5?keywords=Eye+Shadow&amp;qid=1695565563&amp;sr=8-5")</f>
        <v/>
      </c>
      <c r="F1345" t="inlineStr">
        <is>
          <t>B01DX1OC9W</t>
        </is>
      </c>
      <c r="G1345">
        <f>_xlfn.IMAGE("https://camerareadycosmetics.com/cdn/shop/products/8098_zoom_1404230689_50x.jpg?v=1519348223")</f>
        <v/>
      </c>
      <c r="H1345">
        <f>_xlfn.IMAGE("https://m.media-amazon.com/images/I/61mWS3JEvsL._AC_UL320_.jpg")</f>
        <v/>
      </c>
      <c r="K1345" t="inlineStr">
        <is>
          <t>8.0</t>
        </is>
      </c>
      <c r="L1345" t="n">
        <v>3</v>
      </c>
      <c r="M1345" s="1" t="inlineStr">
        <is>
          <t>-62.50%</t>
        </is>
      </c>
      <c r="N1345" t="n">
        <v>4.3</v>
      </c>
      <c r="O1345" t="n">
        <v>10752</v>
      </c>
      <c r="Q1345" t="inlineStr">
        <is>
          <t>InStock</t>
        </is>
      </c>
      <c r="R1345" t="inlineStr">
        <is>
          <t>20.0</t>
        </is>
      </c>
      <c r="S1345" t="inlineStr">
        <is>
          <t>7034892807</t>
        </is>
      </c>
    </row>
    <row r="1346" ht="75" customHeight="1">
      <c r="A1346" s="2">
        <f>HYPERLINK("https://camerareadycosmetics.com/products/joe-blasco-eye-shadow", "https://camerareadycosmetics.com/products/joe-blasco-eye-shadow")</f>
        <v/>
      </c>
      <c r="B1346" s="2">
        <f>HYPERLINK("https://camerareadycosmetics.com/products/joe-blasco-eye-shadow", "https://camerareadycosmetics.com/products/joe-blasco-eye-shadow")</f>
        <v/>
      </c>
      <c r="C1346" t="inlineStr">
        <is>
          <t>Eye Shadow</t>
        </is>
      </c>
      <c r="D1346" t="inlineStr">
        <is>
          <t>COVERGIRL COVERGIRL Trunaked Quad Eyeshadow Palette, Night Mayhem, Midsummer Night Mayhem, 0.06 Ounce</t>
        </is>
      </c>
      <c r="E1346" s="2">
        <f>HYPERLINK("https://www.amazon.com/Covergirl-truNAKED-Eyeshadow-Palette-Midsummer/dp/B088P4Z46P/ref=sr_1_7?keywords=Eye+Shadow&amp;qid=1695565563&amp;sr=8-7", "https://www.amazon.com/Covergirl-truNAKED-Eyeshadow-Palette-Midsummer/dp/B088P4Z46P/ref=sr_1_7?keywords=Eye+Shadow&amp;qid=1695565563&amp;sr=8-7")</f>
        <v/>
      </c>
      <c r="F1346" t="inlineStr">
        <is>
          <t>B088P4Z46P</t>
        </is>
      </c>
      <c r="G1346">
        <f>_xlfn.IMAGE("https://camerareadycosmetics.com/cdn/shop/products/8098_zoom_1404230689_50x.jpg?v=1519348223")</f>
        <v/>
      </c>
      <c r="H1346">
        <f>_xlfn.IMAGE("https://m.media-amazon.com/images/I/81-z19Yq1lL._AC_UL320_.jpg")</f>
        <v/>
      </c>
      <c r="K1346" t="inlineStr">
        <is>
          <t>8.0</t>
        </is>
      </c>
      <c r="L1346" t="n">
        <v>3.99</v>
      </c>
      <c r="M1346" s="1" t="inlineStr">
        <is>
          <t>-50.12%</t>
        </is>
      </c>
      <c r="N1346" t="n">
        <v>4.4</v>
      </c>
      <c r="O1346" t="n">
        <v>2648</v>
      </c>
      <c r="Q1346" t="inlineStr">
        <is>
          <t>InStock</t>
        </is>
      </c>
      <c r="R1346" t="inlineStr">
        <is>
          <t>20.0</t>
        </is>
      </c>
      <c r="S1346" t="inlineStr">
        <is>
          <t>7034892807</t>
        </is>
      </c>
    </row>
    <row r="1347" ht="75" customHeight="1">
      <c r="A1347" s="2">
        <f>HYPERLINK("https://camerareadycosmetics.com/products/joe-blasco-eye-shadow", "https://camerareadycosmetics.com/products/joe-blasco-eye-shadow")</f>
        <v/>
      </c>
      <c r="B1347" s="2">
        <f>HYPERLINK("https://camerareadycosmetics.com/products/joe-blasco-eye-shadow", "https://camerareadycosmetics.com/products/joe-blasco-eye-shadow")</f>
        <v/>
      </c>
      <c r="C1347" t="inlineStr">
        <is>
          <t>Eye Shadow</t>
        </is>
      </c>
      <c r="D1347" t="inlineStr">
        <is>
          <t>L.A. COLORS 5 Color Matte Eyeshadow, Blue Denim, 0.25 oz Powder</t>
        </is>
      </c>
      <c r="E1347" s="2">
        <f>HYPERLINK("https://www.amazon.com/L-Colors-Color-Eyeshadow/dp/B01DX1OC9W/ref=sr_1_5?keywords=Eye+Shadow&amp;qid=1695565563&amp;sr=8-5", "https://www.amazon.com/L-Colors-Color-Eyeshadow/dp/B01DX1OC9W/ref=sr_1_5?keywords=Eye+Shadow&amp;qid=1695565563&amp;sr=8-5")</f>
        <v/>
      </c>
      <c r="F1347" t="inlineStr">
        <is>
          <t>B01DX1OC9W</t>
        </is>
      </c>
      <c r="G1347">
        <f>_xlfn.IMAGE("https://camerareadycosmetics.com/cdn/shop/products/8098_zoom_1404230689_50x.jpg?v=1519348223")</f>
        <v/>
      </c>
      <c r="H1347">
        <f>_xlfn.IMAGE("https://m.media-amazon.com/images/I/61mWS3JEvsL._AC_UL320_.jpg")</f>
        <v/>
      </c>
      <c r="K1347" t="inlineStr">
        <is>
          <t>8.0</t>
        </is>
      </c>
      <c r="L1347" t="n">
        <v>3</v>
      </c>
      <c r="M1347" s="1" t="inlineStr">
        <is>
          <t>-62.50%</t>
        </is>
      </c>
      <c r="N1347" t="n">
        <v>4.3</v>
      </c>
      <c r="O1347" t="n">
        <v>10752</v>
      </c>
      <c r="Q1347" t="inlineStr">
        <is>
          <t>InStock</t>
        </is>
      </c>
      <c r="R1347" t="inlineStr">
        <is>
          <t>20.0</t>
        </is>
      </c>
      <c r="S1347" t="inlineStr">
        <is>
          <t>7034892807</t>
        </is>
      </c>
    </row>
    <row r="1348" ht="75" customHeight="1">
      <c r="A1348" s="2">
        <f>HYPERLINK("https://camerareadycosmetics.com/products/joe-blasco-perfect-pressed-powder", "https://camerareadycosmetics.com/products/joe-blasco-perfect-pressed-powder")</f>
        <v/>
      </c>
      <c r="B1348" s="2">
        <f>HYPERLINK("https://camerareadycosmetics.com/products/joe-blasco-perfect-pressed-powder", "https://camerareadycosmetics.com/products/joe-blasco-perfect-pressed-powder")</f>
        <v/>
      </c>
      <c r="C1348" t="inlineStr">
        <is>
          <t>Perfect Pressed Powder</t>
        </is>
      </c>
      <c r="D1348" t="inlineStr">
        <is>
          <t>bareMinerals Barepro 16HR Skin-Perfecting Powder Foundation, Matte Pressed Powder Foundation Full Coverage with Plant-Based Squalene, Oil Control, Vegan</t>
        </is>
      </c>
      <c r="E1348" s="2">
        <f>HYPERLINK("https://www.amazon.com/Bareminerals-Barepro-Skin-Perfecting-Powder-Foundation/dp/B0B2VGF5GS/ref=sr_1_8?keywords=Perfect+Pressed+Powder&amp;qid=1695565577&amp;sr=8-8", "https://www.amazon.com/Bareminerals-Barepro-Skin-Perfecting-Powder-Foundation/dp/B0B2VGF5GS/ref=sr_1_8?keywords=Perfect+Pressed+Powder&amp;qid=1695565577&amp;sr=8-8")</f>
        <v/>
      </c>
      <c r="F1348" t="inlineStr">
        <is>
          <t>B0B2VGF5GS</t>
        </is>
      </c>
      <c r="G1348">
        <f>_xlfn.IMAGE("https://camerareadycosmetics.com/cdn/shop/products/Joe_Blasco_Presses_Powder__00964.1403025838.600.600_50x.jpeg?v=1689625058")</f>
        <v/>
      </c>
      <c r="H1348">
        <f>_xlfn.IMAGE("https://m.media-amazon.com/images/I/51iGLCB77oL._AC_UL320_.jpg")</f>
        <v/>
      </c>
      <c r="K1348" t="inlineStr">
        <is>
          <t>29.5</t>
        </is>
      </c>
      <c r="L1348" t="n">
        <v>38</v>
      </c>
      <c r="M1348" s="1" t="inlineStr">
        <is>
          <t>28.81%</t>
        </is>
      </c>
      <c r="N1348" t="n">
        <v>4.6</v>
      </c>
      <c r="O1348" t="n">
        <v>6198</v>
      </c>
      <c r="Q1348" t="inlineStr">
        <is>
          <t>InStock</t>
        </is>
      </c>
      <c r="R1348" t="inlineStr">
        <is>
          <t>undefined</t>
        </is>
      </c>
      <c r="S1348" t="inlineStr">
        <is>
          <t>7034483463</t>
        </is>
      </c>
    </row>
    <row r="1349" ht="75" customHeight="1">
      <c r="A1349" s="2">
        <f>HYPERLINK("https://camerareadycosmetics.com/products/joe-blasco-perfect-pressed-powder", "https://camerareadycosmetics.com/products/joe-blasco-perfect-pressed-powder")</f>
        <v/>
      </c>
      <c r="B1349" s="2">
        <f>HYPERLINK("https://camerareadycosmetics.com/products/joe-blasco-perfect-pressed-powder", "https://camerareadycosmetics.com/products/joe-blasco-perfect-pressed-powder")</f>
        <v/>
      </c>
      <c r="C1349" t="inlineStr">
        <is>
          <t>Perfect Pressed Powder</t>
        </is>
      </c>
      <c r="D1349" t="inlineStr">
        <is>
          <t>Farmasi Make Up Face Perfecting Pressed Powder, 14 g./0.49 oz. (01-Cool Light - 1302475)</t>
        </is>
      </c>
      <c r="E1349" s="2">
        <f>HYPERLINK("https://www.amazon.com/Farmasi-Perfecting-Pressed-Powder-Light/dp/B07QS5KHGL/ref=sr_1_9?keywords=Perfect+Pressed+Powder&amp;qid=1695565577&amp;sr=8-9", "https://www.amazon.com/Farmasi-Perfecting-Pressed-Powder-Light/dp/B07QS5KHGL/ref=sr_1_9?keywords=Perfect+Pressed+Powder&amp;qid=1695565577&amp;sr=8-9")</f>
        <v/>
      </c>
      <c r="F1349" t="inlineStr">
        <is>
          <t>B07QS5KHGL</t>
        </is>
      </c>
      <c r="G1349">
        <f>_xlfn.IMAGE("https://camerareadycosmetics.com/cdn/shop/products/Joe_Blasco_Presses_Powder__00964.1403025838.600.600_50x.jpeg?v=1689625058")</f>
        <v/>
      </c>
      <c r="H1349">
        <f>_xlfn.IMAGE("https://m.media-amazon.com/images/I/51dFiIL12FL._AC_UL320_.jpg")</f>
        <v/>
      </c>
      <c r="K1349" t="inlineStr">
        <is>
          <t>29.5</t>
        </is>
      </c>
      <c r="L1349" t="n">
        <v>26.5</v>
      </c>
      <c r="M1349" s="1" t="inlineStr">
        <is>
          <t>-10.17%</t>
        </is>
      </c>
      <c r="N1349" t="n">
        <v>4.3</v>
      </c>
      <c r="O1349" t="n">
        <v>28</v>
      </c>
      <c r="Q1349" t="inlineStr">
        <is>
          <t>InStock</t>
        </is>
      </c>
      <c r="R1349" t="inlineStr">
        <is>
          <t>undefined</t>
        </is>
      </c>
      <c r="S1349" t="inlineStr">
        <is>
          <t>7034483463</t>
        </is>
      </c>
    </row>
    <row r="1350" ht="75" customHeight="1">
      <c r="A1350" s="2">
        <f>HYPERLINK("https://camerareadycosmetics.com/products/joe-blasco-perfect-pressed-powder", "https://camerareadycosmetics.com/products/joe-blasco-perfect-pressed-powder")</f>
        <v/>
      </c>
      <c r="B1350" s="2">
        <f>HYPERLINK("https://camerareadycosmetics.com/products/joe-blasco-perfect-pressed-powder", "https://camerareadycosmetics.com/products/joe-blasco-perfect-pressed-powder")</f>
        <v/>
      </c>
      <c r="C1350" t="inlineStr">
        <is>
          <t>Perfect Pressed Powder</t>
        </is>
      </c>
      <c r="D1350" t="inlineStr">
        <is>
          <t>Estee Lauder Perfecting Pressed Powder Refill With Puff 01 Translucent Small Size 0.1 Ounce / 3.08 Gram</t>
        </is>
      </c>
      <c r="E1350" s="2">
        <f>HYPERLINK("https://www.amazon.com/Lauder-Perfecting-Pressed-Powder-Translucent/dp/B071W6VVRF/ref=sr_1_6?keywords=Perfect+Pressed+Powder&amp;qid=1695565577&amp;sr=8-6", "https://www.amazon.com/Lauder-Perfecting-Pressed-Powder-Translucent/dp/B071W6VVRF/ref=sr_1_6?keywords=Perfect+Pressed+Powder&amp;qid=1695565577&amp;sr=8-6")</f>
        <v/>
      </c>
      <c r="F1350" t="inlineStr">
        <is>
          <t>B071W6VVRF</t>
        </is>
      </c>
      <c r="G1350">
        <f>_xlfn.IMAGE("https://camerareadycosmetics.com/cdn/shop/products/Joe_Blasco_Presses_Powder__00964.1403025838.600.600_50x.jpeg?v=1689625058")</f>
        <v/>
      </c>
      <c r="H1350">
        <f>_xlfn.IMAGE("https://m.media-amazon.com/images/I/81vzq8tp-FL._AC_UL320_.jpg")</f>
        <v/>
      </c>
      <c r="K1350" t="inlineStr">
        <is>
          <t>29.5</t>
        </is>
      </c>
      <c r="L1350" t="n">
        <v>24.99</v>
      </c>
      <c r="M1350" s="1" t="inlineStr">
        <is>
          <t>-15.29%</t>
        </is>
      </c>
      <c r="N1350" t="n">
        <v>3.5</v>
      </c>
      <c r="O1350" t="n">
        <v>49</v>
      </c>
      <c r="Q1350" t="inlineStr">
        <is>
          <t>InStock</t>
        </is>
      </c>
      <c r="R1350" t="inlineStr">
        <is>
          <t>undefined</t>
        </is>
      </c>
      <c r="S1350" t="inlineStr">
        <is>
          <t>7034483463</t>
        </is>
      </c>
    </row>
    <row r="1351" ht="75" customHeight="1">
      <c r="A1351" s="2">
        <f>HYPERLINK("https://camerareadycosmetics.com/products/joe-blasco-perfect-pressed-powder", "https://camerareadycosmetics.com/products/joe-blasco-perfect-pressed-powder")</f>
        <v/>
      </c>
      <c r="B1351" s="2">
        <f>HYPERLINK("https://camerareadycosmetics.com/products/joe-blasco-perfect-pressed-powder", "https://camerareadycosmetics.com/products/joe-blasco-perfect-pressed-powder")</f>
        <v/>
      </c>
      <c r="C1351" t="inlineStr">
        <is>
          <t>Perfect Pressed Powder</t>
        </is>
      </c>
      <c r="D1351" t="inlineStr">
        <is>
          <t>THESAEM Saemmul Perfect Pore Pact - Sebum Control Makeup Pressed Powder Pact, Pore Minimization, Plant-Based Setting Finishing Powder to Absorb Sweat and Prevent Clumps, with Mirror and Puff 12g</t>
        </is>
      </c>
      <c r="E1351" s="2">
        <f>HYPERLINK("https://www.amazon.com/THESAEM-Saemmul-Perfect-Pore-Pact/dp/B097M8MNZR/ref=sr_1_4?keywords=Perfect+Pressed+Powder&amp;qid=1695565577&amp;sr=8-4", "https://www.amazon.com/THESAEM-Saemmul-Perfect-Pore-Pact/dp/B097M8MNZR/ref=sr_1_4?keywords=Perfect+Pressed+Powder&amp;qid=1695565577&amp;sr=8-4")</f>
        <v/>
      </c>
      <c r="F1351" t="inlineStr">
        <is>
          <t>B097M8MNZR</t>
        </is>
      </c>
      <c r="G1351">
        <f>_xlfn.IMAGE("https://camerareadycosmetics.com/cdn/shop/products/Joe_Blasco_Presses_Powder__00964.1403025838.600.600_50x.jpeg?v=1689625058")</f>
        <v/>
      </c>
      <c r="H1351">
        <f>_xlfn.IMAGE("https://m.media-amazon.com/images/I/615ZAjTnteS._AC_UL320_.jpg")</f>
        <v/>
      </c>
      <c r="K1351" t="inlineStr">
        <is>
          <t>29.5</t>
        </is>
      </c>
      <c r="L1351" t="n">
        <v>9.99</v>
      </c>
      <c r="M1351" s="1" t="inlineStr">
        <is>
          <t>-66.14%</t>
        </is>
      </c>
      <c r="N1351" t="n">
        <v>4.3</v>
      </c>
      <c r="O1351" t="n">
        <v>67</v>
      </c>
      <c r="Q1351" t="inlineStr">
        <is>
          <t>InStock</t>
        </is>
      </c>
      <c r="R1351" t="inlineStr">
        <is>
          <t>undefined</t>
        </is>
      </c>
      <c r="S1351" t="inlineStr">
        <is>
          <t>7034483463</t>
        </is>
      </c>
    </row>
    <row r="1352" ht="75" customHeight="1">
      <c r="A1352" s="2">
        <f>HYPERLINK("https://camerareadycosmetics.com/products/joe-blasco-perfect-pressed-powder", "https://camerareadycosmetics.com/products/joe-blasco-perfect-pressed-powder")</f>
        <v/>
      </c>
      <c r="B1352" s="2">
        <f>HYPERLINK("https://camerareadycosmetics.com/products/joe-blasco-perfect-pressed-powder", "https://camerareadycosmetics.com/products/joe-blasco-perfect-pressed-powder")</f>
        <v/>
      </c>
      <c r="C1352" t="inlineStr">
        <is>
          <t>Perfect Pressed Powder</t>
        </is>
      </c>
      <c r="D1352" t="inlineStr">
        <is>
          <t>THESAEM Saemmul Perfect Pore Pink Pact - Makeup Finishing Pressed Powder for Sebum Control and Pore Minimization, Soothes Sensitive Skin with Calamine, Setting Powder, Clumps Free 12g</t>
        </is>
      </c>
      <c r="E1352" s="2">
        <f>HYPERLINK("https://www.amazon.com/SAEM-Saemmul-Perfect-Pore-Pink/dp/B097M8DW5B/ref=sr_1_2?keywords=Perfect+Pressed+Powder&amp;qid=1695565577&amp;sr=8-2", "https://www.amazon.com/SAEM-Saemmul-Perfect-Pore-Pink/dp/B097M8DW5B/ref=sr_1_2?keywords=Perfect+Pressed+Powder&amp;qid=1695565577&amp;sr=8-2")</f>
        <v/>
      </c>
      <c r="F1352" t="inlineStr">
        <is>
          <t>B097M8DW5B</t>
        </is>
      </c>
      <c r="G1352">
        <f>_xlfn.IMAGE("https://camerareadycosmetics.com/cdn/shop/products/Joe_Blasco_Presses_Powder__00964.1403025838.600.600_50x.jpeg?v=1689625058")</f>
        <v/>
      </c>
      <c r="H1352">
        <f>_xlfn.IMAGE("https://m.media-amazon.com/images/I/51kbFHnaoaL._AC_UL320_.jpg")</f>
        <v/>
      </c>
      <c r="K1352" t="inlineStr">
        <is>
          <t>29.5</t>
        </is>
      </c>
      <c r="L1352" t="n">
        <v>9.99</v>
      </c>
      <c r="M1352" s="1" t="inlineStr">
        <is>
          <t>-66.14%</t>
        </is>
      </c>
      <c r="N1352" t="n">
        <v>4.3</v>
      </c>
      <c r="O1352" t="n">
        <v>243</v>
      </c>
      <c r="Q1352" t="inlineStr">
        <is>
          <t>InStock</t>
        </is>
      </c>
      <c r="R1352" t="inlineStr">
        <is>
          <t>undefined</t>
        </is>
      </c>
      <c r="S1352" t="inlineStr">
        <is>
          <t>7034483463</t>
        </is>
      </c>
    </row>
    <row r="1353" ht="75" customHeight="1">
      <c r="A1353" s="2">
        <f>HYPERLINK("https://camerareadycosmetics.com/products/joe-blasco-perfect-pressed-powder", "https://camerareadycosmetics.com/products/joe-blasco-perfect-pressed-powder")</f>
        <v/>
      </c>
      <c r="B1353" s="2">
        <f>HYPERLINK("https://camerareadycosmetics.com/products/joe-blasco-perfect-pressed-powder", "https://camerareadycosmetics.com/products/joe-blasco-perfect-pressed-powder")</f>
        <v/>
      </c>
      <c r="C1353" t="inlineStr">
        <is>
          <t>Perfect Pressed Powder</t>
        </is>
      </c>
      <c r="D1353" t="inlineStr">
        <is>
          <t>THESAEM Saemmul Perfect Pore Pact - Sebum Control Makeup Pressed Powder Pact, Pore Minimization, Plant-Based Setting Finishing Powder to Absorb Sweat and Prevent Clumps, with Mirror and Puff 12g</t>
        </is>
      </c>
      <c r="E1353" s="2">
        <f>HYPERLINK("https://www.amazon.com/THESAEM-Saemmul-Perfect-Pore-Pact/dp/B097M8MNZR/ref=sr_1_4?keywords=Perfect+Pressed+Powder&amp;qid=1695565577&amp;sr=8-4", "https://www.amazon.com/THESAEM-Saemmul-Perfect-Pore-Pact/dp/B097M8MNZR/ref=sr_1_4?keywords=Perfect+Pressed+Powder&amp;qid=1695565577&amp;sr=8-4")</f>
        <v/>
      </c>
      <c r="F1353" t="inlineStr">
        <is>
          <t>B097M8MNZR</t>
        </is>
      </c>
      <c r="G1353">
        <f>_xlfn.IMAGE("https://camerareadycosmetics.com/cdn/shop/products/Joe_Blasco_Presses_Powder__00964.1403025838.600.600_50x.jpeg?v=1689625058")</f>
        <v/>
      </c>
      <c r="H1353">
        <f>_xlfn.IMAGE("https://m.media-amazon.com/images/I/615ZAjTnteS._AC_UL320_.jpg")</f>
        <v/>
      </c>
      <c r="K1353" t="inlineStr">
        <is>
          <t>29.5</t>
        </is>
      </c>
      <c r="L1353" t="n">
        <v>9.99</v>
      </c>
      <c r="M1353" s="1" t="inlineStr">
        <is>
          <t>-66.14%</t>
        </is>
      </c>
      <c r="N1353" t="n">
        <v>4.3</v>
      </c>
      <c r="O1353" t="n">
        <v>67</v>
      </c>
      <c r="Q1353" t="inlineStr">
        <is>
          <t>InStock</t>
        </is>
      </c>
      <c r="R1353" t="inlineStr">
        <is>
          <t>undefined</t>
        </is>
      </c>
      <c r="S1353" t="inlineStr">
        <is>
          <t>7034483463</t>
        </is>
      </c>
    </row>
    <row r="1354" ht="75" customHeight="1">
      <c r="A1354" s="2">
        <f>HYPERLINK("https://camerareadycosmetics.com/products/joe-blasco-perfect-pressed-powder", "https://camerareadycosmetics.com/products/joe-blasco-perfect-pressed-powder")</f>
        <v/>
      </c>
      <c r="B1354" s="2">
        <f>HYPERLINK("https://camerareadycosmetics.com/products/joe-blasco-perfect-pressed-powder", "https://camerareadycosmetics.com/products/joe-blasco-perfect-pressed-powder")</f>
        <v/>
      </c>
      <c r="C1354" t="inlineStr">
        <is>
          <t>Perfect Pressed Powder</t>
        </is>
      </c>
      <c r="D1354" t="inlineStr">
        <is>
          <t>THESAEM Saemmul Perfect Pore Pink Pact - Makeup Finishing Pressed Powder for Sebum Control and Pore Minimization, Soothes Sensitive Skin with Calamine, Setting Powder, Clumps Free 12g</t>
        </is>
      </c>
      <c r="E1354" s="2">
        <f>HYPERLINK("https://www.amazon.com/SAEM-Saemmul-Perfect-Pore-Pink/dp/B097M8DW5B/ref=sr_1_2?keywords=Perfect+Pressed+Powder&amp;qid=1695565577&amp;sr=8-2", "https://www.amazon.com/SAEM-Saemmul-Perfect-Pore-Pink/dp/B097M8DW5B/ref=sr_1_2?keywords=Perfect+Pressed+Powder&amp;qid=1695565577&amp;sr=8-2")</f>
        <v/>
      </c>
      <c r="F1354" t="inlineStr">
        <is>
          <t>B097M8DW5B</t>
        </is>
      </c>
      <c r="G1354">
        <f>_xlfn.IMAGE("https://camerareadycosmetics.com/cdn/shop/products/Joe_Blasco_Presses_Powder__00964.1403025838.600.600_50x.jpeg?v=1689625058")</f>
        <v/>
      </c>
      <c r="H1354">
        <f>_xlfn.IMAGE("https://m.media-amazon.com/images/I/51kbFHnaoaL._AC_UL320_.jpg")</f>
        <v/>
      </c>
      <c r="K1354" t="inlineStr">
        <is>
          <t>29.5</t>
        </is>
      </c>
      <c r="L1354" t="n">
        <v>9.99</v>
      </c>
      <c r="M1354" s="1" t="inlineStr">
        <is>
          <t>-66.14%</t>
        </is>
      </c>
      <c r="N1354" t="n">
        <v>4.3</v>
      </c>
      <c r="O1354" t="n">
        <v>243</v>
      </c>
      <c r="Q1354" t="inlineStr">
        <is>
          <t>InStock</t>
        </is>
      </c>
      <c r="R1354" t="inlineStr">
        <is>
          <t>undefined</t>
        </is>
      </c>
      <c r="S1354" t="inlineStr">
        <is>
          <t>7034483463</t>
        </is>
      </c>
    </row>
    <row r="1355" ht="75" customHeight="1">
      <c r="A1355" s="2">
        <f>HYPERLINK("https://camerareadycosmetics.com/products/joe-blasco-powder-blush", "https://camerareadycosmetics.com/products/joe-blasco-powder-blush")</f>
        <v/>
      </c>
      <c r="B1355" s="2">
        <f>HYPERLINK("https://camerareadycosmetics.com/products/joe-blasco-powder-blush", "https://camerareadycosmetics.com/products/joe-blasco-powder-blush")</f>
        <v/>
      </c>
      <c r="C1355" t="inlineStr">
        <is>
          <t>Powder Blush</t>
        </is>
      </c>
      <c r="D1355" t="inlineStr">
        <is>
          <t>Blush-n-Glow Kit (3 PC): LAURA GELLER NEW YORK Baked Balance-N-Glow Illuminating CC Powder Foundation Tan, Retractable Kabuki Brush, Baked Blush-N-Brighten Pink Grapefruit</t>
        </is>
      </c>
      <c r="E1355" s="2" t="n"/>
      <c r="F1355" t="inlineStr">
        <is>
          <t>B0BXMJC39Z</t>
        </is>
      </c>
      <c r="G1355">
        <f>_xlfn.IMAGE("https://camerareadycosmetics.com/cdn/shop/products/3980_zoom_1407779094_50x.jpg?v=1519348552")</f>
        <v/>
      </c>
      <c r="H1355">
        <f>_xlfn.IMAGE("https://m.media-amazon.com/images/I/81RzS0ps2VL._AC_UL320_.jpg")</f>
        <v/>
      </c>
      <c r="K1355" t="inlineStr">
        <is>
          <t>21.5</t>
        </is>
      </c>
      <c r="L1355" t="n">
        <v>70</v>
      </c>
      <c r="M1355" s="1" t="inlineStr">
        <is>
          <t>225.58%</t>
        </is>
      </c>
      <c r="N1355" t="n">
        <v>3.7</v>
      </c>
      <c r="O1355" t="n">
        <v>21</v>
      </c>
      <c r="Q1355" t="inlineStr">
        <is>
          <t>OutOfStock</t>
        </is>
      </c>
      <c r="R1355" t="inlineStr">
        <is>
          <t>undefined</t>
        </is>
      </c>
      <c r="S1355" t="inlineStr">
        <is>
          <t>7034416071</t>
        </is>
      </c>
    </row>
    <row r="1356" ht="75" customHeight="1">
      <c r="A1356" s="2">
        <f>HYPERLINK("https://camerareadycosmetics.com/products/joe-blasco-powder-blush", "https://camerareadycosmetics.com/products/joe-blasco-powder-blush")</f>
        <v/>
      </c>
      <c r="B1356" s="2">
        <f>HYPERLINK("https://camerareadycosmetics.com/products/joe-blasco-powder-blush", "https://camerareadycosmetics.com/products/joe-blasco-powder-blush")</f>
        <v/>
      </c>
      <c r="C1356" t="inlineStr">
        <is>
          <t>Powder Blush</t>
        </is>
      </c>
      <c r="D1356" t="inlineStr">
        <is>
          <t>STUDIOMAKEUP Soft Blend Cheek Blush Makeup (Apricot) – Beauty Blush Powder for Face – Perfect Powder Blush for Glass Skin Glow – Easily Blendable Soft Blush Pink - Suitable for All Skin Types</t>
        </is>
      </c>
      <c r="E1356" s="2" t="n"/>
      <c r="F1356" t="inlineStr">
        <is>
          <t>B08TXR3NC6</t>
        </is>
      </c>
      <c r="G1356">
        <f>_xlfn.IMAGE("https://camerareadycosmetics.com/cdn/shop/products/3980_zoom_1407779094_50x.jpg?v=1519348552")</f>
        <v/>
      </c>
      <c r="H1356">
        <f>_xlfn.IMAGE("https://m.media-amazon.com/images/I/71VmFrtoU5L._AC_UL320_.jpg")</f>
        <v/>
      </c>
      <c r="K1356" t="inlineStr">
        <is>
          <t>21.5</t>
        </is>
      </c>
      <c r="L1356" t="n">
        <v>17</v>
      </c>
      <c r="M1356" s="1" t="inlineStr">
        <is>
          <t>-20.93%</t>
        </is>
      </c>
      <c r="N1356" t="n">
        <v>4</v>
      </c>
      <c r="O1356" t="n">
        <v>75</v>
      </c>
      <c r="Q1356" t="inlineStr">
        <is>
          <t>OutOfStock</t>
        </is>
      </c>
      <c r="R1356" t="inlineStr">
        <is>
          <t>undefined</t>
        </is>
      </c>
      <c r="S1356" t="inlineStr">
        <is>
          <t>7034416071</t>
        </is>
      </c>
    </row>
    <row r="1357" ht="75" customHeight="1">
      <c r="A1357" s="2">
        <f>HYPERLINK("https://camerareadycosmetics.com/products/joe-blasco-powder-blush", "https://camerareadycosmetics.com/products/joe-blasco-powder-blush")</f>
        <v/>
      </c>
      <c r="B1357" s="2">
        <f>HYPERLINK("https://camerareadycosmetics.com/products/joe-blasco-powder-blush", "https://camerareadycosmetics.com/products/joe-blasco-powder-blush")</f>
        <v/>
      </c>
      <c r="C1357" t="inlineStr">
        <is>
          <t>Powder Blush</t>
        </is>
      </c>
      <c r="D1357" t="inlineStr">
        <is>
          <t>Physicians Formula Powder Palette Multi-Colored Blush Powder Blushing Rose, Dermatologist Tested</t>
        </is>
      </c>
      <c r="E1357" s="2" t="n"/>
      <c r="F1357" t="inlineStr">
        <is>
          <t>B000W97M82</t>
        </is>
      </c>
      <c r="G1357">
        <f>_xlfn.IMAGE("https://camerareadycosmetics.com/cdn/shop/products/3980_zoom_1407779094_50x.jpg?v=1519348552")</f>
        <v/>
      </c>
      <c r="H1357">
        <f>_xlfn.IMAGE("https://m.media-amazon.com/images/I/81rU4mK3fnL._AC_UL320_.jpg")</f>
        <v/>
      </c>
      <c r="K1357" t="inlineStr">
        <is>
          <t>21.5</t>
        </is>
      </c>
      <c r="L1357" t="n">
        <v>11.05</v>
      </c>
      <c r="M1357" s="1" t="inlineStr">
        <is>
          <t>-48.60%</t>
        </is>
      </c>
      <c r="N1357" t="n">
        <v>4.5</v>
      </c>
      <c r="O1357" t="n">
        <v>7972</v>
      </c>
      <c r="Q1357" t="inlineStr">
        <is>
          <t>OutOfStock</t>
        </is>
      </c>
      <c r="R1357" t="inlineStr">
        <is>
          <t>undefined</t>
        </is>
      </c>
      <c r="S1357" t="inlineStr">
        <is>
          <t>7034416071</t>
        </is>
      </c>
    </row>
    <row r="1358" ht="75" customHeight="1">
      <c r="A1358" s="2">
        <f>HYPERLINK("https://camerareadycosmetics.com/products/joe-blasco-powder-blush", "https://camerareadycosmetics.com/products/joe-blasco-powder-blush")</f>
        <v/>
      </c>
      <c r="B1358" s="2">
        <f>HYPERLINK("https://camerareadycosmetics.com/products/joe-blasco-powder-blush", "https://camerareadycosmetics.com/products/joe-blasco-powder-blush")</f>
        <v/>
      </c>
      <c r="C1358" t="inlineStr">
        <is>
          <t>Powder Blush</t>
        </is>
      </c>
      <c r="D1358" t="inlineStr">
        <is>
          <t>e.l.f. Cosmetics Powder Blush Palette, Four Blush Shades for Beautiful, Long-Lasting Pigment, Light</t>
        </is>
      </c>
      <c r="E1358" s="2">
        <f>HYPERLINK("https://www.amazon.com/l-f-Cosmetics-Palette-Beautiful-Long-Lasting/dp/B00J56D0G6/ref=sr_1_9?keywords=Powder+Blush&amp;qid=1695565549&amp;sr=8-9", "https://www.amazon.com/l-f-Cosmetics-Palette-Beautiful-Long-Lasting/dp/B00J56D0G6/ref=sr_1_9?keywords=Powder+Blush&amp;qid=1695565549&amp;sr=8-9")</f>
        <v/>
      </c>
      <c r="F1358" t="inlineStr">
        <is>
          <t>B00J56D0G6</t>
        </is>
      </c>
      <c r="G1358">
        <f>_xlfn.IMAGE("https://camerareadycosmetics.com/cdn/shop/products/3980_zoom_1407779094_50x.jpg?v=1519348552")</f>
        <v/>
      </c>
      <c r="H1358">
        <f>_xlfn.IMAGE("https://m.media-amazon.com/images/I/819zF9qbHEL._AC_UL320_.jpg")</f>
        <v/>
      </c>
      <c r="K1358" t="inlineStr">
        <is>
          <t>21.5</t>
        </is>
      </c>
      <c r="L1358" t="n">
        <v>9</v>
      </c>
      <c r="M1358" s="1" t="inlineStr">
        <is>
          <t>-58.14%</t>
        </is>
      </c>
      <c r="N1358" t="n">
        <v>4.4</v>
      </c>
      <c r="O1358" t="n">
        <v>3864</v>
      </c>
      <c r="Q1358" t="inlineStr">
        <is>
          <t>OutOfStock</t>
        </is>
      </c>
      <c r="R1358" t="inlineStr">
        <is>
          <t>undefined</t>
        </is>
      </c>
      <c r="S1358" t="inlineStr">
        <is>
          <t>7034416071</t>
        </is>
      </c>
    </row>
    <row r="1359" ht="75" customHeight="1">
      <c r="A1359" s="2">
        <f>HYPERLINK("https://camerareadycosmetics.com/products/joe-blasco-powder-blush", "https://camerareadycosmetics.com/products/joe-blasco-powder-blush")</f>
        <v/>
      </c>
      <c r="B1359" s="2">
        <f>HYPERLINK("https://camerareadycosmetics.com/products/joe-blasco-powder-blush", "https://camerareadycosmetics.com/products/joe-blasco-powder-blush")</f>
        <v/>
      </c>
      <c r="C1359" t="inlineStr">
        <is>
          <t>Powder Blush</t>
        </is>
      </c>
      <c r="D1359" t="inlineStr">
        <is>
          <t>Milani Rose Powder Blush - Wild Rose (0.6 Ounce) Cruelty-Free Blush - Shape, Contour &amp; Highlight Face with Matte or Shimmery Color</t>
        </is>
      </c>
      <c r="E1359" s="2">
        <f>HYPERLINK("https://www.amazon.com/Milani-Rose-Powder-Blush-Cruelty-Free/dp/B089N368SR/ref=sr_1_6?keywords=Powder+Blush&amp;qid=1695565549&amp;sr=8-6", "https://www.amazon.com/Milani-Rose-Powder-Blush-Cruelty-Free/dp/B089N368SR/ref=sr_1_6?keywords=Powder+Blush&amp;qid=1695565549&amp;sr=8-6")</f>
        <v/>
      </c>
      <c r="F1359" t="inlineStr">
        <is>
          <t>B089N368SR</t>
        </is>
      </c>
      <c r="G1359">
        <f>_xlfn.IMAGE("https://camerareadycosmetics.com/cdn/shop/products/3980_zoom_1407779094_50x.jpg?v=1519348552")</f>
        <v/>
      </c>
      <c r="H1359">
        <f>_xlfn.IMAGE("https://m.media-amazon.com/images/I/71gPLXysasL._AC_UL320_.jpg")</f>
        <v/>
      </c>
      <c r="K1359" t="inlineStr">
        <is>
          <t>21.5</t>
        </is>
      </c>
      <c r="L1359" t="n">
        <v>8.970000000000001</v>
      </c>
      <c r="M1359" s="1" t="inlineStr">
        <is>
          <t>-58.28%</t>
        </is>
      </c>
      <c r="N1359" t="n">
        <v>4.5</v>
      </c>
      <c r="O1359" t="n">
        <v>36221</v>
      </c>
      <c r="Q1359" t="inlineStr">
        <is>
          <t>OutOfStock</t>
        </is>
      </c>
      <c r="R1359" t="inlineStr">
        <is>
          <t>undefined</t>
        </is>
      </c>
      <c r="S1359" t="inlineStr">
        <is>
          <t>7034416071</t>
        </is>
      </c>
    </row>
    <row r="1360" ht="75" customHeight="1">
      <c r="A1360" s="2">
        <f>HYPERLINK("https://camerareadycosmetics.com/products/joe-blasco-powder-blush", "https://camerareadycosmetics.com/products/joe-blasco-powder-blush")</f>
        <v/>
      </c>
      <c r="B1360" s="2">
        <f>HYPERLINK("https://camerareadycosmetics.com/products/joe-blasco-powder-blush", "https://camerareadycosmetics.com/products/joe-blasco-powder-blush")</f>
        <v/>
      </c>
      <c r="C1360" t="inlineStr">
        <is>
          <t>Powder Blush</t>
        </is>
      </c>
      <c r="D1360" t="inlineStr">
        <is>
          <t>Maybelline Fit Me Powder Blush, Lightweight, Smooth, Blendable, Long-lasting All-Day Face Enhancing Makeup Color, Mauve, 1 Count</t>
        </is>
      </c>
      <c r="E1360" s="2">
        <f>HYPERLINK("https://www.amazon.com/Maybelline-Lightweight-Blendable-Long-lasting-Enhancing/dp/B06XDNPXD1/ref=sr_1_5?keywords=Powder+Blush&amp;qid=1695565549&amp;sr=8-5", "https://www.amazon.com/Maybelline-Lightweight-Blendable-Long-lasting-Enhancing/dp/B06XDNPXD1/ref=sr_1_5?keywords=Powder+Blush&amp;qid=1695565549&amp;sr=8-5")</f>
        <v/>
      </c>
      <c r="F1360" t="inlineStr">
        <is>
          <t>B06XDNPXD1</t>
        </is>
      </c>
      <c r="G1360">
        <f>_xlfn.IMAGE("https://camerareadycosmetics.com/cdn/shop/products/3980_zoom_1407779094_50x.jpg?v=1519348552")</f>
        <v/>
      </c>
      <c r="H1360">
        <f>_xlfn.IMAGE("https://m.media-amazon.com/images/I/71H0a5w1P4S._AC_UL320_.jpg")</f>
        <v/>
      </c>
      <c r="K1360" t="inlineStr">
        <is>
          <t>21.5</t>
        </is>
      </c>
      <c r="L1360" t="n">
        <v>4.62</v>
      </c>
      <c r="M1360" s="1" t="inlineStr">
        <is>
          <t>-78.51%</t>
        </is>
      </c>
      <c r="N1360" t="n">
        <v>4.4</v>
      </c>
      <c r="O1360" t="n">
        <v>27858</v>
      </c>
      <c r="Q1360" t="inlineStr">
        <is>
          <t>OutOfStock</t>
        </is>
      </c>
      <c r="R1360" t="inlineStr">
        <is>
          <t>undefined</t>
        </is>
      </c>
      <c r="S1360" t="inlineStr">
        <is>
          <t>7034416071</t>
        </is>
      </c>
    </row>
    <row r="1361" ht="75" customHeight="1">
      <c r="A1361" s="2">
        <f>HYPERLINK("https://camerareadycosmetics.com/products/joe-blasco-powder-blush", "https://camerareadycosmetics.com/products/joe-blasco-powder-blush")</f>
        <v/>
      </c>
      <c r="B1361" s="2">
        <f>HYPERLINK("https://camerareadycosmetics.com/products/joe-blasco-powder-blush", "https://camerareadycosmetics.com/products/joe-blasco-powder-blush")</f>
        <v/>
      </c>
      <c r="C1361" t="inlineStr">
        <is>
          <t>Powder Blush</t>
        </is>
      </c>
      <c r="D1361" t="inlineStr">
        <is>
          <t>Wet n Wild Color Icon Blush Powder Makeup, Pinch Me Pink | Matte Natural Glow | Moisturizing Jojoba Oil</t>
        </is>
      </c>
      <c r="E1361" s="2">
        <f>HYPERLINK("https://www.amazon.com/wild-Color-Powder-Blush-Pinch/dp/B082YPNTZ4/ref=sr_1_7?keywords=Powder+Blush&amp;qid=1695565549&amp;sr=8-7", "https://www.amazon.com/wild-Color-Powder-Blush-Pinch/dp/B082YPNTZ4/ref=sr_1_7?keywords=Powder+Blush&amp;qid=1695565549&amp;sr=8-7")</f>
        <v/>
      </c>
      <c r="F1361" t="inlineStr">
        <is>
          <t>B082YPNTZ4</t>
        </is>
      </c>
      <c r="G1361">
        <f>_xlfn.IMAGE("https://camerareadycosmetics.com/cdn/shop/products/3980_zoom_1407779094_50x.jpg?v=1519348552")</f>
        <v/>
      </c>
      <c r="H1361">
        <f>_xlfn.IMAGE("https://m.media-amazon.com/images/I/81LILpus+PL._AC_UL320_.jpg")</f>
        <v/>
      </c>
      <c r="K1361" t="inlineStr">
        <is>
          <t>21.5</t>
        </is>
      </c>
      <c r="L1361" t="n">
        <v>3.28</v>
      </c>
      <c r="M1361" s="1" t="inlineStr">
        <is>
          <t>-84.74%</t>
        </is>
      </c>
      <c r="N1361" t="n">
        <v>4.3</v>
      </c>
      <c r="O1361" t="n">
        <v>12670</v>
      </c>
      <c r="Q1361" t="inlineStr">
        <is>
          <t>OutOfStock</t>
        </is>
      </c>
      <c r="R1361" t="inlineStr">
        <is>
          <t>undefined</t>
        </is>
      </c>
      <c r="S1361" t="inlineStr">
        <is>
          <t>7034416071</t>
        </is>
      </c>
    </row>
    <row r="1362" ht="75" customHeight="1">
      <c r="A1362" s="2">
        <f>HYPERLINK("https://camerareadycosmetics.com/products/joe-blasco-powder-blush", "https://camerareadycosmetics.com/products/joe-blasco-powder-blush")</f>
        <v/>
      </c>
      <c r="B1362" s="2">
        <f>HYPERLINK("https://camerareadycosmetics.com/products/joe-blasco-powder-blush", "https://camerareadycosmetics.com/products/joe-blasco-powder-blush")</f>
        <v/>
      </c>
      <c r="C1362" t="inlineStr">
        <is>
          <t>Powder Blush</t>
        </is>
      </c>
      <c r="D1362" t="inlineStr">
        <is>
          <t>Physicians Formula Powder Palette Multi-Colored Blush Powder Blushing Rose, Dermatologist Tested</t>
        </is>
      </c>
      <c r="E1362" s="2" t="n"/>
      <c r="F1362" t="inlineStr">
        <is>
          <t>B000W97M82</t>
        </is>
      </c>
      <c r="G1362">
        <f>_xlfn.IMAGE("https://camerareadycosmetics.com/cdn/shop/products/3980_zoom_1407779094_50x.jpg?v=1519348552")</f>
        <v/>
      </c>
      <c r="H1362">
        <f>_xlfn.IMAGE("https://m.media-amazon.com/images/I/81rU4mK3fnL._AC_UL320_.jpg")</f>
        <v/>
      </c>
      <c r="K1362" t="inlineStr">
        <is>
          <t>21.5</t>
        </is>
      </c>
      <c r="L1362" t="n">
        <v>11.05</v>
      </c>
      <c r="M1362" s="1" t="inlineStr">
        <is>
          <t>-48.60%</t>
        </is>
      </c>
      <c r="N1362" t="n">
        <v>4.5</v>
      </c>
      <c r="O1362" t="n">
        <v>7972</v>
      </c>
      <c r="Q1362" t="inlineStr">
        <is>
          <t>OutOfStock</t>
        </is>
      </c>
      <c r="R1362" t="inlineStr">
        <is>
          <t>undefined</t>
        </is>
      </c>
      <c r="S1362" t="inlineStr">
        <is>
          <t>7034416071</t>
        </is>
      </c>
    </row>
    <row r="1363" ht="75" customHeight="1">
      <c r="A1363" s="2">
        <f>HYPERLINK("https://camerareadycosmetics.com/products/joe-blasco-powder-blush", "https://camerareadycosmetics.com/products/joe-blasco-powder-blush")</f>
        <v/>
      </c>
      <c r="B1363" s="2">
        <f>HYPERLINK("https://camerareadycosmetics.com/products/joe-blasco-powder-blush", "https://camerareadycosmetics.com/products/joe-blasco-powder-blush")</f>
        <v/>
      </c>
      <c r="C1363" t="inlineStr">
        <is>
          <t>Powder Blush</t>
        </is>
      </c>
      <c r="D1363" t="inlineStr">
        <is>
          <t>e.l.f. Cosmetics Powder Blush Palette, Four Blush Shades for Beautiful, Long-Lasting Pigment, Light</t>
        </is>
      </c>
      <c r="E1363" s="2">
        <f>HYPERLINK("https://www.amazon.com/l-f-Cosmetics-Palette-Beautiful-Long-Lasting/dp/B00J56D0G6/ref=sr_1_9?keywords=Powder+Blush&amp;qid=1695565549&amp;sr=8-9", "https://www.amazon.com/l-f-Cosmetics-Palette-Beautiful-Long-Lasting/dp/B00J56D0G6/ref=sr_1_9?keywords=Powder+Blush&amp;qid=1695565549&amp;sr=8-9")</f>
        <v/>
      </c>
      <c r="F1363" t="inlineStr">
        <is>
          <t>B00J56D0G6</t>
        </is>
      </c>
      <c r="G1363">
        <f>_xlfn.IMAGE("https://camerareadycosmetics.com/cdn/shop/products/3980_zoom_1407779094_50x.jpg?v=1519348552")</f>
        <v/>
      </c>
      <c r="H1363">
        <f>_xlfn.IMAGE("https://m.media-amazon.com/images/I/819zF9qbHEL._AC_UL320_.jpg")</f>
        <v/>
      </c>
      <c r="K1363" t="inlineStr">
        <is>
          <t>21.5</t>
        </is>
      </c>
      <c r="L1363" t="n">
        <v>9</v>
      </c>
      <c r="M1363" s="1" t="inlineStr">
        <is>
          <t>-58.14%</t>
        </is>
      </c>
      <c r="N1363" t="n">
        <v>4.4</v>
      </c>
      <c r="O1363" t="n">
        <v>3864</v>
      </c>
      <c r="Q1363" t="inlineStr">
        <is>
          <t>OutOfStock</t>
        </is>
      </c>
      <c r="R1363" t="inlineStr">
        <is>
          <t>undefined</t>
        </is>
      </c>
      <c r="S1363" t="inlineStr">
        <is>
          <t>7034416071</t>
        </is>
      </c>
    </row>
    <row r="1364" ht="75" customHeight="1">
      <c r="A1364" s="2">
        <f>HYPERLINK("https://camerareadycosmetics.com/products/joe-blasco-powder-blush", "https://camerareadycosmetics.com/products/joe-blasco-powder-blush")</f>
        <v/>
      </c>
      <c r="B1364" s="2">
        <f>HYPERLINK("https://camerareadycosmetics.com/products/joe-blasco-powder-blush", "https://camerareadycosmetics.com/products/joe-blasco-powder-blush")</f>
        <v/>
      </c>
      <c r="C1364" t="inlineStr">
        <is>
          <t>Powder Blush</t>
        </is>
      </c>
      <c r="D1364" t="inlineStr">
        <is>
          <t>Milani Rose Powder Blush - Wild Rose (0.6 Ounce) Cruelty-Free Blush - Shape, Contour &amp; Highlight Face with Matte or Shimmery Color</t>
        </is>
      </c>
      <c r="E1364" s="2">
        <f>HYPERLINK("https://www.amazon.com/Milani-Rose-Powder-Blush-Cruelty-Free/dp/B089N368SR/ref=sr_1_6?keywords=Powder+Blush&amp;qid=1695565549&amp;sr=8-6", "https://www.amazon.com/Milani-Rose-Powder-Blush-Cruelty-Free/dp/B089N368SR/ref=sr_1_6?keywords=Powder+Blush&amp;qid=1695565549&amp;sr=8-6")</f>
        <v/>
      </c>
      <c r="F1364" t="inlineStr">
        <is>
          <t>B089N368SR</t>
        </is>
      </c>
      <c r="G1364">
        <f>_xlfn.IMAGE("https://camerareadycosmetics.com/cdn/shop/products/3980_zoom_1407779094_50x.jpg?v=1519348552")</f>
        <v/>
      </c>
      <c r="H1364">
        <f>_xlfn.IMAGE("https://m.media-amazon.com/images/I/71gPLXysasL._AC_UL320_.jpg")</f>
        <v/>
      </c>
      <c r="K1364" t="inlineStr">
        <is>
          <t>21.5</t>
        </is>
      </c>
      <c r="L1364" t="n">
        <v>8.970000000000001</v>
      </c>
      <c r="M1364" s="1" t="inlineStr">
        <is>
          <t>-58.28%</t>
        </is>
      </c>
      <c r="N1364" t="n">
        <v>4.5</v>
      </c>
      <c r="O1364" t="n">
        <v>36221</v>
      </c>
      <c r="Q1364" t="inlineStr">
        <is>
          <t>OutOfStock</t>
        </is>
      </c>
      <c r="R1364" t="inlineStr">
        <is>
          <t>undefined</t>
        </is>
      </c>
      <c r="S1364" t="inlineStr">
        <is>
          <t>7034416071</t>
        </is>
      </c>
    </row>
    <row r="1365" ht="75" customHeight="1">
      <c r="A1365" s="2">
        <f>HYPERLINK("https://camerareadycosmetics.com/products/joe-blasco-powder-blush", "https://camerareadycosmetics.com/products/joe-blasco-powder-blush")</f>
        <v/>
      </c>
      <c r="B1365" s="2">
        <f>HYPERLINK("https://camerareadycosmetics.com/products/joe-blasco-powder-blush", "https://camerareadycosmetics.com/products/joe-blasco-powder-blush")</f>
        <v/>
      </c>
      <c r="C1365" t="inlineStr">
        <is>
          <t>Powder Blush</t>
        </is>
      </c>
      <c r="D1365" t="inlineStr">
        <is>
          <t>Maybelline Fit Me Powder Blush, Lightweight, Smooth, Blendable, Long-lasting All-Day Face Enhancing Makeup Color, Mauve, 1 Count</t>
        </is>
      </c>
      <c r="E1365" s="2">
        <f>HYPERLINK("https://www.amazon.com/Maybelline-Lightweight-Blendable-Long-lasting-Enhancing/dp/B06XDNPXD1/ref=sr_1_5?keywords=Powder+Blush&amp;qid=1695565549&amp;sr=8-5", "https://www.amazon.com/Maybelline-Lightweight-Blendable-Long-lasting-Enhancing/dp/B06XDNPXD1/ref=sr_1_5?keywords=Powder+Blush&amp;qid=1695565549&amp;sr=8-5")</f>
        <v/>
      </c>
      <c r="F1365" t="inlineStr">
        <is>
          <t>B06XDNPXD1</t>
        </is>
      </c>
      <c r="G1365">
        <f>_xlfn.IMAGE("https://camerareadycosmetics.com/cdn/shop/products/3980_zoom_1407779094_50x.jpg?v=1519348552")</f>
        <v/>
      </c>
      <c r="H1365">
        <f>_xlfn.IMAGE("https://m.media-amazon.com/images/I/71H0a5w1P4S._AC_UL320_.jpg")</f>
        <v/>
      </c>
      <c r="K1365" t="inlineStr">
        <is>
          <t>21.5</t>
        </is>
      </c>
      <c r="L1365" t="n">
        <v>4.62</v>
      </c>
      <c r="M1365" s="1" t="inlineStr">
        <is>
          <t>-78.51%</t>
        </is>
      </c>
      <c r="N1365" t="n">
        <v>4.4</v>
      </c>
      <c r="O1365" t="n">
        <v>27858</v>
      </c>
      <c r="Q1365" t="inlineStr">
        <is>
          <t>OutOfStock</t>
        </is>
      </c>
      <c r="R1365" t="inlineStr">
        <is>
          <t>undefined</t>
        </is>
      </c>
      <c r="S1365" t="inlineStr">
        <is>
          <t>7034416071</t>
        </is>
      </c>
    </row>
    <row r="1366" ht="75" customHeight="1">
      <c r="A1366" s="2">
        <f>HYPERLINK("https://camerareadycosmetics.com/products/joe-blasco-powder-blush", "https://camerareadycosmetics.com/products/joe-blasco-powder-blush")</f>
        <v/>
      </c>
      <c r="B1366" s="2">
        <f>HYPERLINK("https://camerareadycosmetics.com/products/joe-blasco-powder-blush", "https://camerareadycosmetics.com/products/joe-blasco-powder-blush")</f>
        <v/>
      </c>
      <c r="C1366" t="inlineStr">
        <is>
          <t>Powder Blush</t>
        </is>
      </c>
      <c r="D1366" t="inlineStr">
        <is>
          <t>Wet n Wild Color Icon Blush Powder Makeup, Pinch Me Pink | Matte Natural Glow | Moisturizing Jojoba Oil</t>
        </is>
      </c>
      <c r="E1366" s="2">
        <f>HYPERLINK("https://www.amazon.com/wild-Color-Powder-Blush-Pinch/dp/B082YPNTZ4/ref=sr_1_7?keywords=Powder+Blush&amp;qid=1695565549&amp;sr=8-7", "https://www.amazon.com/wild-Color-Powder-Blush-Pinch/dp/B082YPNTZ4/ref=sr_1_7?keywords=Powder+Blush&amp;qid=1695565549&amp;sr=8-7")</f>
        <v/>
      </c>
      <c r="F1366" t="inlineStr">
        <is>
          <t>B082YPNTZ4</t>
        </is>
      </c>
      <c r="G1366">
        <f>_xlfn.IMAGE("https://camerareadycosmetics.com/cdn/shop/products/3980_zoom_1407779094_50x.jpg?v=1519348552")</f>
        <v/>
      </c>
      <c r="H1366">
        <f>_xlfn.IMAGE("https://m.media-amazon.com/images/I/81LILpus+PL._AC_UL320_.jpg")</f>
        <v/>
      </c>
      <c r="K1366" t="inlineStr">
        <is>
          <t>21.5</t>
        </is>
      </c>
      <c r="L1366" t="n">
        <v>3.28</v>
      </c>
      <c r="M1366" s="1" t="inlineStr">
        <is>
          <t>-84.74%</t>
        </is>
      </c>
      <c r="N1366" t="n">
        <v>4.3</v>
      </c>
      <c r="O1366" t="n">
        <v>12670</v>
      </c>
      <c r="Q1366" t="inlineStr">
        <is>
          <t>OutOfStock</t>
        </is>
      </c>
      <c r="R1366" t="inlineStr">
        <is>
          <t>undefined</t>
        </is>
      </c>
      <c r="S1366" t="inlineStr">
        <is>
          <t>7034416071</t>
        </is>
      </c>
    </row>
    <row r="1367" ht="75" customHeight="1">
      <c r="A1367" s="2">
        <f>HYPERLINK("https://camerareadycosmetics.com/products/joe-blasco-ultrabase-foundation", "https://camerareadycosmetics.com/products/joe-blasco-ultrabase-foundation")</f>
        <v/>
      </c>
      <c r="B1367" s="2">
        <f>HYPERLINK("https://camerareadycosmetics.com/products/joe-blasco-ultrabase-foundation", "https://camerareadycosmetics.com/products/joe-blasco-ultrabase-foundation")</f>
        <v/>
      </c>
      <c r="C1367" t="inlineStr">
        <is>
          <t>Ultrabase Foundation</t>
        </is>
      </c>
      <c r="D1367" t="inlineStr">
        <is>
          <t>Ultrabase Foundation, Golden Tan 1</t>
        </is>
      </c>
      <c r="E1367" s="2">
        <f>HYPERLINK("https://www.amazon.com/Joe-Blasco-Ultrabase-Foundation-Golden/dp/B000N2JJ2K/ref=sr_1_2?keywords=Ultrabase+Foundation&amp;qid=1695565412&amp;sr=8-2", "https://www.amazon.com/Joe-Blasco-Ultrabase-Foundation-Golden/dp/B000N2JJ2K/ref=sr_1_2?keywords=Ultrabase+Foundation&amp;qid=1695565412&amp;sr=8-2")</f>
        <v/>
      </c>
      <c r="F1367" t="inlineStr">
        <is>
          <t>B000N2JJ2K</t>
        </is>
      </c>
      <c r="G1367">
        <f>_xlfn.IMAGE("https://camerareadycosmetics.com/cdn/shop/products/image_34__57352.1425346373.600.600_50x.jpeg?v=1689625123")</f>
        <v/>
      </c>
      <c r="H1367">
        <f>_xlfn.IMAGE("https://m.media-amazon.com/images/I/21r2fc8nkYL._AC_UL320_.jpg")</f>
        <v/>
      </c>
      <c r="K1367" t="inlineStr">
        <is>
          <t>30.0</t>
        </is>
      </c>
      <c r="L1367" t="n">
        <v>38.95</v>
      </c>
      <c r="M1367" s="1" t="inlineStr">
        <is>
          <t>29.83%</t>
        </is>
      </c>
      <c r="N1367" t="n">
        <v>4.3</v>
      </c>
      <c r="O1367" t="n">
        <v>3</v>
      </c>
      <c r="Q1367" t="inlineStr">
        <is>
          <t>InStock</t>
        </is>
      </c>
      <c r="R1367" t="inlineStr">
        <is>
          <t>undefined</t>
        </is>
      </c>
      <c r="S1367" t="inlineStr">
        <is>
          <t>7034486983</t>
        </is>
      </c>
    </row>
    <row r="1368" ht="75" customHeight="1">
      <c r="A1368" s="2">
        <f>HYPERLINK("https://camerareadycosmetics.com/products/joe-blasco-ultrabase-foundation", "https://camerareadycosmetics.com/products/joe-blasco-ultrabase-foundation")</f>
        <v/>
      </c>
      <c r="B1368" s="2">
        <f>HYPERLINK("https://camerareadycosmetics.com/products/joe-blasco-ultrabase-foundation", "https://camerareadycosmetics.com/products/joe-blasco-ultrabase-foundation")</f>
        <v/>
      </c>
      <c r="C1368" t="inlineStr">
        <is>
          <t>Ultrabase Foundation</t>
        </is>
      </c>
      <c r="D1368" t="inlineStr">
        <is>
          <t>Ultrabase Foundation, Natural Beige 3</t>
        </is>
      </c>
      <c r="E1368" s="2">
        <f>HYPERLINK("https://www.amazon.com/Joe-Blasco-Ultrabase-Foundation-Natural/dp/B001PBKP44/ref=sr_1_1?keywords=Ultrabase+Foundation&amp;qid=1695565412&amp;sr=8-1", "https://www.amazon.com/Joe-Blasco-Ultrabase-Foundation-Natural/dp/B001PBKP44/ref=sr_1_1?keywords=Ultrabase+Foundation&amp;qid=1695565412&amp;sr=8-1")</f>
        <v/>
      </c>
      <c r="F1368" t="inlineStr">
        <is>
          <t>B001PBKP44</t>
        </is>
      </c>
      <c r="G1368">
        <f>_xlfn.IMAGE("https://camerareadycosmetics.com/cdn/shop/products/image_34__57352.1425346373.600.600_50x.jpeg?v=1689625123")</f>
        <v/>
      </c>
      <c r="H1368">
        <f>_xlfn.IMAGE("https://m.media-amazon.com/images/I/21Swmk0N2dL._AC_UL320_.jpg")</f>
        <v/>
      </c>
      <c r="K1368" t="inlineStr">
        <is>
          <t>30.0</t>
        </is>
      </c>
      <c r="L1368" t="n">
        <v>24.17</v>
      </c>
      <c r="M1368" s="1" t="inlineStr">
        <is>
          <t>-19.43%</t>
        </is>
      </c>
      <c r="N1368" t="n">
        <v>4</v>
      </c>
      <c r="O1368" t="n">
        <v>17</v>
      </c>
      <c r="Q1368" t="inlineStr">
        <is>
          <t>InStock</t>
        </is>
      </c>
      <c r="R1368" t="inlineStr">
        <is>
          <t>undefined</t>
        </is>
      </c>
      <c r="S1368" t="inlineStr">
        <is>
          <t>7034486983</t>
        </is>
      </c>
    </row>
    <row r="1369" ht="75" customHeight="1">
      <c r="A1369" s="2">
        <f>HYPERLINK("https://camerareadycosmetics.com/products/joe-blasco-ultra-fine-setting-powder", "https://camerareadycosmetics.com/products/joe-blasco-ultra-fine-setting-powder")</f>
        <v/>
      </c>
      <c r="B1369" s="2">
        <f>HYPERLINK("https://camerareadycosmetics.com/products/joe-blasco-ultra-fine-setting-powder", "https://camerareadycosmetics.com/products/joe-blasco-ultra-fine-setting-powder")</f>
        <v/>
      </c>
      <c r="C1369" t="inlineStr">
        <is>
          <t>Ultra Fine Setting Powder</t>
        </is>
      </c>
      <c r="D1369" t="inlineStr">
        <is>
          <t>Jolie Micro-Fine Ultra Smooth Loose Setting Powder 21g - (Transparent)</t>
        </is>
      </c>
      <c r="E1369" s="2">
        <f>HYPERLINK("https://www.amazon.com/Jolie-Micro-Fine-Smooth-Setting-Powder/dp/B017BWQTG8/ref=sr_1_2?keywords=Ultra+Fine+Setting+Powder&amp;qid=1695565529&amp;sr=8-2", "https://www.amazon.com/Jolie-Micro-Fine-Smooth-Setting-Powder/dp/B017BWQTG8/ref=sr_1_2?keywords=Ultra+Fine+Setting+Powder&amp;qid=1695565529&amp;sr=8-2")</f>
        <v/>
      </c>
      <c r="F1369" t="inlineStr">
        <is>
          <t>B017BWQTG8</t>
        </is>
      </c>
      <c r="G1369">
        <f>_xlfn.IMAGE("https://camerareadycosmetics.com/cdn/shop/products/8033_zoom_1438224418_50x.jpg?v=1689625275")</f>
        <v/>
      </c>
      <c r="H1369">
        <f>_xlfn.IMAGE("https://m.media-amazon.com/images/I/31RFR3ZdaeL._AC_UL320_.jpg")</f>
        <v/>
      </c>
      <c r="K1369" t="inlineStr">
        <is>
          <t>29.0</t>
        </is>
      </c>
      <c r="L1369" t="n">
        <v>24.99</v>
      </c>
      <c r="M1369" s="1" t="inlineStr">
        <is>
          <t>-13.83%</t>
        </is>
      </c>
      <c r="N1369" t="n">
        <v>4</v>
      </c>
      <c r="O1369" t="n">
        <v>11</v>
      </c>
      <c r="Q1369" t="inlineStr">
        <is>
          <t>InStock</t>
        </is>
      </c>
      <c r="R1369" t="inlineStr">
        <is>
          <t>undefined</t>
        </is>
      </c>
      <c r="S1369" t="inlineStr">
        <is>
          <t>7034501191</t>
        </is>
      </c>
    </row>
    <row r="1370" ht="75" customHeight="1">
      <c r="A1370" s="2">
        <f>HYPERLINK("https://camerareadycosmetics.com/products/joe-blasco-ultra-fine-setting-powder", "https://camerareadycosmetics.com/products/joe-blasco-ultra-fine-setting-powder")</f>
        <v/>
      </c>
      <c r="B1370" s="2">
        <f>HYPERLINK("https://camerareadycosmetics.com/products/joe-blasco-ultra-fine-setting-powder", "https://camerareadycosmetics.com/products/joe-blasco-ultra-fine-setting-powder")</f>
        <v/>
      </c>
      <c r="C1370" t="inlineStr">
        <is>
          <t>Ultra Fine Setting Powder</t>
        </is>
      </c>
      <c r="D1370" t="inlineStr">
        <is>
          <t>Joe Blasco - Loose Powder Ultra Fine Setting Powder No Color - Loose Powder Ultra Fine Setting Powd</t>
        </is>
      </c>
      <c r="E1370" s="2">
        <f>HYPERLINK("https://www.amazon.com/Joe-Blasco-Loose-Powder-Setting/dp/B001PBMAHE/ref=sr_1_4?keywords=Ultra+Fine+Setting+Powder&amp;qid=1695565529&amp;sr=8-4", "https://www.amazon.com/Joe-Blasco-Loose-Powder-Setting/dp/B001PBMAHE/ref=sr_1_4?keywords=Ultra+Fine+Setting+Powder&amp;qid=1695565529&amp;sr=8-4")</f>
        <v/>
      </c>
      <c r="F1370" t="inlineStr">
        <is>
          <t>B001PBMAHE</t>
        </is>
      </c>
      <c r="G1370">
        <f>_xlfn.IMAGE("https://camerareadycosmetics.com/cdn/shop/products/8033_zoom_1438224418_50x.jpg?v=1689625275")</f>
        <v/>
      </c>
      <c r="H1370">
        <f>_xlfn.IMAGE("https://m.media-amazon.com/images/I/01ECJC39b-L._AC_UL320_.jpg")</f>
        <v/>
      </c>
      <c r="K1370" t="inlineStr">
        <is>
          <t>29.0</t>
        </is>
      </c>
      <c r="L1370" t="n">
        <v>23.14</v>
      </c>
      <c r="M1370" s="1" t="inlineStr">
        <is>
          <t>-20.21%</t>
        </is>
      </c>
      <c r="N1370" t="n">
        <v>5</v>
      </c>
      <c r="O1370" t="n">
        <v>2</v>
      </c>
      <c r="Q1370" t="inlineStr">
        <is>
          <t>InStock</t>
        </is>
      </c>
      <c r="R1370" t="inlineStr">
        <is>
          <t>undefined</t>
        </is>
      </c>
      <c r="S1370" t="inlineStr">
        <is>
          <t>7034501191</t>
        </is>
      </c>
    </row>
    <row r="1371" ht="75" customHeight="1">
      <c r="A1371" s="2">
        <f>HYPERLINK("https://camerareadycosmetics.com/products/joe-blasco-ultra-fine-setting-powder", "https://camerareadycosmetics.com/products/joe-blasco-ultra-fine-setting-powder")</f>
        <v/>
      </c>
      <c r="B1371" s="2">
        <f>HYPERLINK("https://camerareadycosmetics.com/products/joe-blasco-ultra-fine-setting-powder", "https://camerareadycosmetics.com/products/joe-blasco-ultra-fine-setting-powder")</f>
        <v/>
      </c>
      <c r="C1371" t="inlineStr">
        <is>
          <t>Ultra Fine Setting Powder</t>
        </is>
      </c>
      <c r="D1371" t="inlineStr">
        <is>
          <t>FREEORR Loose Face Powder, Oil Control Minimizes Pores and Fine Lines, Loose Baking Face Setting Powder Makeup, Oil Control Soft Focus Effect Make Up Setting Powder, Matte Ultra Flawless Finish,8g (02 Pink Complexion)</t>
        </is>
      </c>
      <c r="E1371" s="2">
        <f>HYPERLINK("https://www.amazon.com/FREEORR-Control-Minimizes-Flawless-Complexion/dp/B0BG7KX7B6/ref=sr_1_3?keywords=Ultra+Fine+Setting+Powder&amp;qid=1695565529&amp;sr=8-3", "https://www.amazon.com/FREEORR-Control-Minimizes-Flawless-Complexion/dp/B0BG7KX7B6/ref=sr_1_3?keywords=Ultra+Fine+Setting+Powder&amp;qid=1695565529&amp;sr=8-3")</f>
        <v/>
      </c>
      <c r="F1371" t="inlineStr">
        <is>
          <t>B0BG7KX7B6</t>
        </is>
      </c>
      <c r="G1371">
        <f>_xlfn.IMAGE("https://camerareadycosmetics.com/cdn/shop/products/8033_zoom_1438224418_50x.jpg?v=1689625275")</f>
        <v/>
      </c>
      <c r="H1371">
        <f>_xlfn.IMAGE("https://m.media-amazon.com/images/I/71TM5plrLEL._AC_UL320_.jpg")</f>
        <v/>
      </c>
      <c r="K1371" t="inlineStr">
        <is>
          <t>29.0</t>
        </is>
      </c>
      <c r="L1371" t="n">
        <v>7.99</v>
      </c>
      <c r="M1371" s="1" t="inlineStr">
        <is>
          <t>-72.45%</t>
        </is>
      </c>
      <c r="N1371" t="n">
        <v>4</v>
      </c>
      <c r="O1371" t="n">
        <v>174</v>
      </c>
      <c r="Q1371" t="inlineStr">
        <is>
          <t>InStock</t>
        </is>
      </c>
      <c r="R1371" t="inlineStr">
        <is>
          <t>undefined</t>
        </is>
      </c>
      <c r="S1371" t="inlineStr">
        <is>
          <t>7034501191</t>
        </is>
      </c>
    </row>
    <row r="1372" ht="75" customHeight="1">
      <c r="A1372" s="2">
        <f>HYPERLINK("https://camerareadycosmetics.com/products/joe-blasco-ultra-fine-setting-powder", "https://camerareadycosmetics.com/products/joe-blasco-ultra-fine-setting-powder")</f>
        <v/>
      </c>
      <c r="B1372" s="2">
        <f>HYPERLINK("https://camerareadycosmetics.com/products/joe-blasco-ultra-fine-setting-powder", "https://camerareadycosmetics.com/products/joe-blasco-ultra-fine-setting-powder")</f>
        <v/>
      </c>
      <c r="C1372" t="inlineStr">
        <is>
          <t>Ultra Fine Setting Powder</t>
        </is>
      </c>
      <c r="D1372" t="inlineStr">
        <is>
          <t>FREEORR Loose Face Powder, Oil Control Minimizes Pores and Fine Lines, Loose Baking Face Setting Powder Makeup, Oil Control Soft Focus Effect Make Up Setting Powder, Matte Ultra Flawless Finish,8g (02 Pink Complexion)</t>
        </is>
      </c>
      <c r="E1372" s="2">
        <f>HYPERLINK("https://www.amazon.com/FREEORR-Control-Minimizes-Flawless-Complexion/dp/B0BG7KX7B6/ref=sr_1_3?keywords=Ultra+Fine+Setting+Powder&amp;qid=1695565529&amp;sr=8-3", "https://www.amazon.com/FREEORR-Control-Minimizes-Flawless-Complexion/dp/B0BG7KX7B6/ref=sr_1_3?keywords=Ultra+Fine+Setting+Powder&amp;qid=1695565529&amp;sr=8-3")</f>
        <v/>
      </c>
      <c r="F1372" t="inlineStr">
        <is>
          <t>B0BG7KX7B6</t>
        </is>
      </c>
      <c r="G1372">
        <f>_xlfn.IMAGE("https://camerareadycosmetics.com/cdn/shop/products/8033_zoom_1438224418_50x.jpg?v=1689625275")</f>
        <v/>
      </c>
      <c r="H1372">
        <f>_xlfn.IMAGE("https://m.media-amazon.com/images/I/71TM5plrLEL._AC_UL320_.jpg")</f>
        <v/>
      </c>
      <c r="K1372" t="inlineStr">
        <is>
          <t>29.0</t>
        </is>
      </c>
      <c r="L1372" t="n">
        <v>7.99</v>
      </c>
      <c r="M1372" s="1" t="inlineStr">
        <is>
          <t>-72.45%</t>
        </is>
      </c>
      <c r="N1372" t="n">
        <v>4</v>
      </c>
      <c r="O1372" t="n">
        <v>174</v>
      </c>
      <c r="Q1372" t="inlineStr">
        <is>
          <t>InStock</t>
        </is>
      </c>
      <c r="R1372" t="inlineStr">
        <is>
          <t>undefined</t>
        </is>
      </c>
      <c r="S1372" t="inlineStr">
        <is>
          <t>7034501191</t>
        </is>
      </c>
    </row>
    <row r="1373" ht="75" customHeight="1">
      <c r="A1373" s="2">
        <f>HYPERLINK("https://camerareadycosmetics.com/products/jouer-bloom-bronze-glow-bronzer-highlighter-duo", "https://camerareadycosmetics.com/products/jouer-bloom-bronze-glow-bronzer-highlighter-duo")</f>
        <v/>
      </c>
      <c r="B1373" s="2">
        <f>HYPERLINK("https://camerareadycosmetics.com/products/jouer-bloom-bronze-glow-bronzer-highlighter-duo", "https://camerareadycosmetics.com/products/jouer-bloom-bronze-glow-bronzer-highlighter-duo")</f>
        <v/>
      </c>
      <c r="C1373" t="inlineStr">
        <is>
          <t>Bloom, Bronze &amp; Glow Bronzer + Highlighter Duo</t>
        </is>
      </c>
      <c r="D1373" t="inlineStr">
        <is>
          <t>Jouer Bloom, Bronze &amp; Glow Bronzer + Highlighter Stick - Cream Contour Makeup Stick - Hydrating Rose Hip Oil and Squalane Formula, Sunrise</t>
        </is>
      </c>
      <c r="E1373" s="2">
        <f>HYPERLINK("https://www.amazon.com/Jouer-Bloom-Highlighter-Hydrating-Cosmetics-Paraben/dp/B09J6SJ2MQ/ref=sr_1_3?keywords=Bloom%2C+Bronze+%26+Glow+Bronzer+%2B+Highlighter+Duo&amp;qid=1695565753&amp;sr=8-3", "https://www.amazon.com/Jouer-Bloom-Highlighter-Hydrating-Cosmetics-Paraben/dp/B09J6SJ2MQ/ref=sr_1_3?keywords=Bloom%2C+Bronze+%26+Glow+Bronzer+%2B+Highlighter+Duo&amp;qid=1695565753&amp;sr=8-3")</f>
        <v/>
      </c>
      <c r="F1373" t="inlineStr">
        <is>
          <t>B09J6SJ2MQ</t>
        </is>
      </c>
      <c r="G1373">
        <f>_xlfn.IMAGE("https://camerareadycosmetics.com/cdn/shop/products/BloomBronzeandGlow_Sunrise_2_1000x_30639f41-4563-44e4-8be1-92020126ad5f_50x.jpg?v=1634921978")</f>
        <v/>
      </c>
      <c r="H1373">
        <f>_xlfn.IMAGE("https://m.media-amazon.com/images/I/91thPdT0UGL._AC_UL320_.jpg")</f>
        <v/>
      </c>
      <c r="K1373" t="inlineStr">
        <is>
          <t>32.0</t>
        </is>
      </c>
      <c r="L1373" t="n">
        <v>32</v>
      </c>
      <c r="M1373" s="1" t="inlineStr">
        <is>
          <t>0.00%</t>
        </is>
      </c>
      <c r="N1373" t="n">
        <v>4.2</v>
      </c>
      <c r="O1373" t="n">
        <v>124</v>
      </c>
      <c r="Q1373" t="inlineStr">
        <is>
          <t>InStock</t>
        </is>
      </c>
      <c r="R1373" t="inlineStr">
        <is>
          <t>undefined</t>
        </is>
      </c>
      <c r="S1373" t="inlineStr">
        <is>
          <t>7054416609465</t>
        </is>
      </c>
    </row>
    <row r="1374" ht="75" customHeight="1">
      <c r="A1374" s="2">
        <f>HYPERLINK("https://camerareadycosmetics.com/products/jouer-bloom-bronze-glow-bronzer-highlighter-duo", "https://camerareadycosmetics.com/products/jouer-bloom-bronze-glow-bronzer-highlighter-duo")</f>
        <v/>
      </c>
      <c r="B1374" s="2">
        <f>HYPERLINK("https://camerareadycosmetics.com/products/jouer-bloom-bronze-glow-bronzer-highlighter-duo", "https://camerareadycosmetics.com/products/jouer-bloom-bronze-glow-bronzer-highlighter-duo")</f>
        <v/>
      </c>
      <c r="C1374" t="inlineStr">
        <is>
          <t>Bloom, Bronze &amp; Glow Bronzer + Highlighter Duo</t>
        </is>
      </c>
      <c r="D1374" t="inlineStr">
        <is>
          <t>W7 Hollywood Bronze &amp; Glow - Pressed Powder Duo Shimmer Bronzer &amp; Highlighter - Contouring &amp; Highlighting Vegan Makeup</t>
        </is>
      </c>
      <c r="E1374" s="2">
        <f>HYPERLINK("https://www.amazon.com/W7-Hollywood-Bronze-Bronzer-Highlighter/dp/B00V4DGT1Q/ref=sr_1_4?keywords=Bloom%2C+Bronze+%26+Glow+Bronzer+%2B+Highlighter+Duo&amp;qid=1695565753&amp;sr=8-4", "https://www.amazon.com/W7-Hollywood-Bronze-Bronzer-Highlighter/dp/B00V4DGT1Q/ref=sr_1_4?keywords=Bloom%2C+Bronze+%26+Glow+Bronzer+%2B+Highlighter+Duo&amp;qid=1695565753&amp;sr=8-4")</f>
        <v/>
      </c>
      <c r="F1374" t="inlineStr">
        <is>
          <t>B00V4DGT1Q</t>
        </is>
      </c>
      <c r="G1374">
        <f>_xlfn.IMAGE("https://camerareadycosmetics.com/cdn/shop/products/BloomBronzeandGlow_Sunrise_2_1000x_30639f41-4563-44e4-8be1-92020126ad5f_50x.jpg?v=1634921978")</f>
        <v/>
      </c>
      <c r="H1374">
        <f>_xlfn.IMAGE("https://m.media-amazon.com/images/I/71DK+lq-vkL._AC_UL320_.jpg")</f>
        <v/>
      </c>
      <c r="K1374" t="inlineStr">
        <is>
          <t>32.0</t>
        </is>
      </c>
      <c r="L1374" t="n">
        <v>6.95</v>
      </c>
      <c r="M1374" s="1" t="inlineStr">
        <is>
          <t>-78.28%</t>
        </is>
      </c>
      <c r="N1374" t="n">
        <v>4.1</v>
      </c>
      <c r="O1374" t="n">
        <v>2416</v>
      </c>
      <c r="Q1374" t="inlineStr">
        <is>
          <t>InStock</t>
        </is>
      </c>
      <c r="R1374" t="inlineStr">
        <is>
          <t>undefined</t>
        </is>
      </c>
      <c r="S1374" t="inlineStr">
        <is>
          <t>7054416609465</t>
        </is>
      </c>
    </row>
    <row r="1375" ht="75" customHeight="1">
      <c r="A1375" s="2">
        <f>HYPERLINK("https://camerareadycosmetics.com/products/jouer-bloom-bronze-glow-bronzer-highlighter-duo", "https://camerareadycosmetics.com/products/jouer-bloom-bronze-glow-bronzer-highlighter-duo")</f>
        <v/>
      </c>
      <c r="B1375" s="2">
        <f>HYPERLINK("https://camerareadycosmetics.com/products/jouer-bloom-bronze-glow-bronzer-highlighter-duo", "https://camerareadycosmetics.com/products/jouer-bloom-bronze-glow-bronzer-highlighter-duo")</f>
        <v/>
      </c>
      <c r="C1375" t="inlineStr">
        <is>
          <t>Bloom, Bronze &amp; Glow Bronzer + Highlighter Duo</t>
        </is>
      </c>
      <c r="D1375" t="inlineStr">
        <is>
          <t>W7 Hollywood Bronze &amp; Glow - Pressed Powder Duo Shimmer Bronzer &amp; Highlighter - Contouring &amp; Highlighting Vegan Makeup</t>
        </is>
      </c>
      <c r="E1375" s="2">
        <f>HYPERLINK("https://www.amazon.com/W7-Hollywood-Bronze-Bronzer-Highlighter/dp/B00V4DGT1Q/ref=sr_1_4?keywords=Bloom%2C+Bronze+%26+Glow+Bronzer+%2B+Highlighter+Duo&amp;qid=1695565753&amp;sr=8-4", "https://www.amazon.com/W7-Hollywood-Bronze-Bronzer-Highlighter/dp/B00V4DGT1Q/ref=sr_1_4?keywords=Bloom%2C+Bronze+%26+Glow+Bronzer+%2B+Highlighter+Duo&amp;qid=1695565753&amp;sr=8-4")</f>
        <v/>
      </c>
      <c r="F1375" t="inlineStr">
        <is>
          <t>B00V4DGT1Q</t>
        </is>
      </c>
      <c r="G1375">
        <f>_xlfn.IMAGE("https://camerareadycosmetics.com/cdn/shop/products/BloomBronzeandGlow_Sunrise_2_1000x_30639f41-4563-44e4-8be1-92020126ad5f_50x.jpg?v=1634921978")</f>
        <v/>
      </c>
      <c r="H1375">
        <f>_xlfn.IMAGE("https://m.media-amazon.com/images/I/71DK+lq-vkL._AC_UL320_.jpg")</f>
        <v/>
      </c>
      <c r="K1375" t="inlineStr">
        <is>
          <t>32.0</t>
        </is>
      </c>
      <c r="L1375" t="n">
        <v>6.95</v>
      </c>
      <c r="M1375" s="1" t="inlineStr">
        <is>
          <t>-78.28%</t>
        </is>
      </c>
      <c r="N1375" t="n">
        <v>4.1</v>
      </c>
      <c r="O1375" t="n">
        <v>2416</v>
      </c>
      <c r="Q1375" t="inlineStr">
        <is>
          <t>InStock</t>
        </is>
      </c>
      <c r="R1375" t="inlineStr">
        <is>
          <t>undefined</t>
        </is>
      </c>
      <c r="S1375" t="inlineStr">
        <is>
          <t>7054416609465</t>
        </is>
      </c>
    </row>
    <row r="1376" ht="75" customHeight="1">
      <c r="A1376" s="2">
        <f>HYPERLINK("https://camerareadycosmetics.com/products/jouer-blush-bloom-cheek-lip-duo", "https://camerareadycosmetics.com/products/jouer-blush-bloom-cheek-lip-duo")</f>
        <v/>
      </c>
      <c r="B1376" s="2">
        <f>HYPERLINK("https://camerareadycosmetics.com/products/jouer-blush-bloom-cheek-lip-duo", "https://camerareadycosmetics.com/products/jouer-blush-bloom-cheek-lip-duo")</f>
        <v/>
      </c>
      <c r="C1376" t="inlineStr">
        <is>
          <t>Blush &amp; Bloom Cheek + Lip Duo</t>
        </is>
      </c>
      <c r="D1376" t="inlineStr">
        <is>
          <t>Jouer Blush &amp; Bloom Cheek + Lip Duo - Hydrating Cream Blush Stick for Cheek and Lip Tint - Moisturizing Rose Hip and Squalane Oil Formula, Inspire</t>
        </is>
      </c>
      <c r="E1376" s="2">
        <f>HYPERLINK("https://www.amazon.com/Jouer-Blush-Hydrating-Formula-Cosmetics-Friendly/dp/B09BG816LC/ref=sr_1_1?keywords=Blush+%26+Bloom+Cheek+%2B+Lip+Duo&amp;qid=1695565782&amp;sr=8-1", "https://www.amazon.com/Jouer-Blush-Hydrating-Formula-Cosmetics-Friendly/dp/B09BG816LC/ref=sr_1_1?keywords=Blush+%26+Bloom+Cheek+%2B+Lip+Duo&amp;qid=1695565782&amp;sr=8-1")</f>
        <v/>
      </c>
      <c r="F1376" t="inlineStr">
        <is>
          <t>B09BG816LC</t>
        </is>
      </c>
      <c r="G1376">
        <f>_xlfn.IMAGE("https://camerareadycosmetics.com/cdn/shop/products/Blush_BloomLipCheekDuo_InspireArmSwatchPDP_1024x1024.progressive_6c85e936-d87a-41d9-9e4f-bc787eabe6ec_50x.jpg?v=1636043401")</f>
        <v/>
      </c>
      <c r="H1376">
        <f>_xlfn.IMAGE("https://m.media-amazon.com/images/I/81rhT6oxe0L._AC_UL320_.jpg")</f>
        <v/>
      </c>
      <c r="K1376" t="inlineStr">
        <is>
          <t>32.0</t>
        </is>
      </c>
      <c r="L1376" t="n">
        <v>32</v>
      </c>
      <c r="M1376" s="1" t="inlineStr">
        <is>
          <t>0.00%</t>
        </is>
      </c>
      <c r="N1376" t="n">
        <v>4.3</v>
      </c>
      <c r="O1376" t="n">
        <v>155</v>
      </c>
      <c r="Q1376" t="inlineStr">
        <is>
          <t>InStock</t>
        </is>
      </c>
      <c r="R1376" t="inlineStr">
        <is>
          <t>32.0</t>
        </is>
      </c>
      <c r="S1376" t="inlineStr">
        <is>
          <t>7060837597369</t>
        </is>
      </c>
    </row>
    <row r="1377" ht="75" customHeight="1">
      <c r="A1377" s="2">
        <f>HYPERLINK("https://camerareadycosmetics.com/products/jouer-blush-bloom-cheek-lip-duo", "https://camerareadycosmetics.com/products/jouer-blush-bloom-cheek-lip-duo")</f>
        <v/>
      </c>
      <c r="B1377" s="2">
        <f>HYPERLINK("https://camerareadycosmetics.com/products/jouer-blush-bloom-cheek-lip-duo", "https://camerareadycosmetics.com/products/jouer-blush-bloom-cheek-lip-duo")</f>
        <v/>
      </c>
      <c r="C1377" t="inlineStr">
        <is>
          <t>Blush &amp; Bloom Cheek + Lip Duo</t>
        </is>
      </c>
      <c r="D1377" t="inlineStr">
        <is>
          <t>Jouer Holiday Blush &amp; Bloom Cheek + Lip Set – Promise Me, Be Loud &amp; Peony –, Hydrating Cream Formula, Lip &amp; Blush Stick, Paraben Free, Gluten &amp; Cruelty Free, Vegan Friendly, 0.21 Ounce (Pack of 1)</t>
        </is>
      </c>
      <c r="E1377" s="2">
        <f>HYPERLINK("https://www.amazon.com/Jouer-Holiday-Blush-Bloom-Cheek/dp/B0BJBX38XZ/ref=sr_1_4?keywords=Blush+%26+Bloom+Cheek+%2B+Lip+Duo&amp;qid=1695565782&amp;sr=8-4", "https://www.amazon.com/Jouer-Holiday-Blush-Bloom-Cheek/dp/B0BJBX38XZ/ref=sr_1_4?keywords=Blush+%26+Bloom+Cheek+%2B+Lip+Duo&amp;qid=1695565782&amp;sr=8-4")</f>
        <v/>
      </c>
      <c r="F1377" t="inlineStr">
        <is>
          <t>B0BJBX38XZ</t>
        </is>
      </c>
      <c r="G1377">
        <f>_xlfn.IMAGE("https://camerareadycosmetics.com/cdn/shop/products/Blush_BloomLipCheekDuo_InspireArmSwatchPDP_1024x1024.progressive_6c85e936-d87a-41d9-9e4f-bc787eabe6ec_50x.jpg?v=1636043401")</f>
        <v/>
      </c>
      <c r="H1377">
        <f>_xlfn.IMAGE("https://m.media-amazon.com/images/I/61pqSidZe3L._AC_UL320_.jpg")</f>
        <v/>
      </c>
      <c r="K1377" t="inlineStr">
        <is>
          <t>32.0</t>
        </is>
      </c>
      <c r="L1377" t="n">
        <v>28.11</v>
      </c>
      <c r="M1377" s="1" t="inlineStr">
        <is>
          <t>-12.16%</t>
        </is>
      </c>
      <c r="N1377" t="n">
        <v>5</v>
      </c>
      <c r="O1377" t="n">
        <v>4</v>
      </c>
      <c r="Q1377" t="inlineStr">
        <is>
          <t>InStock</t>
        </is>
      </c>
      <c r="R1377" t="inlineStr">
        <is>
          <t>32.0</t>
        </is>
      </c>
      <c r="S1377" t="inlineStr">
        <is>
          <t>7060837597369</t>
        </is>
      </c>
    </row>
    <row r="1378" ht="75" customHeight="1">
      <c r="A1378" s="2">
        <f>HYPERLINK("https://camerareadycosmetics.com/products/jouer-blush-bloom-cheek-lip-set", "https://camerareadycosmetics.com/products/jouer-blush-bloom-cheek-lip-set")</f>
        <v/>
      </c>
      <c r="B1378" s="2">
        <f>HYPERLINK("https://camerareadycosmetics.com/products/jouer-blush-bloom-cheek-lip-set", "https://camerareadycosmetics.com/products/jouer-blush-bloom-cheek-lip-set")</f>
        <v/>
      </c>
      <c r="C1378" t="inlineStr">
        <is>
          <t>Blush &amp; Bloom Cheek + Lip Set</t>
        </is>
      </c>
      <c r="D1378" t="inlineStr">
        <is>
          <t>Jouer Blush &amp; Bloom Cheek + Lip Duo - Hydrating Cream Blush Stick for Cheek and Lip Tint - Moisturizing Rose Hip and Squalane Oil Formula, Inspire</t>
        </is>
      </c>
      <c r="E1378" s="2">
        <f>HYPERLINK("https://www.amazon.com/Jouer-Blush-Hydrating-Formula-Cosmetics-Friendly/dp/B09BG816LC/ref=sr_1_2?keywords=Blush+%26+Bloom+Cheek+%2B+Lip+Set&amp;qid=1695565825&amp;sr=8-2", "https://www.amazon.com/Jouer-Blush-Hydrating-Formula-Cosmetics-Friendly/dp/B09BG816LC/ref=sr_1_2?keywords=Blush+%26+Bloom+Cheek+%2B+Lip+Set&amp;qid=1695565825&amp;sr=8-2")</f>
        <v/>
      </c>
      <c r="F1378" t="inlineStr">
        <is>
          <t>B09BG816LC</t>
        </is>
      </c>
      <c r="G1378">
        <f>_xlfn.IMAGE("https://camerareadycosmetics.com/cdn/shop/products/818502015787_01_50x.jpg?v=1666123459")</f>
        <v/>
      </c>
      <c r="H1378">
        <f>_xlfn.IMAGE("https://m.media-amazon.com/images/I/81rhT6oxe0L._AC_UL320_.jpg")</f>
        <v/>
      </c>
      <c r="K1378" t="inlineStr">
        <is>
          <t>34.0</t>
        </is>
      </c>
      <c r="L1378" t="n">
        <v>32</v>
      </c>
      <c r="M1378" s="1" t="inlineStr">
        <is>
          <t>-5.88%</t>
        </is>
      </c>
      <c r="N1378" t="n">
        <v>4.3</v>
      </c>
      <c r="O1378" t="n">
        <v>155</v>
      </c>
      <c r="Q1378" t="inlineStr">
        <is>
          <t>InStock</t>
        </is>
      </c>
      <c r="R1378" t="inlineStr">
        <is>
          <t>undefined</t>
        </is>
      </c>
      <c r="S1378" t="inlineStr">
        <is>
          <t>7526037127353</t>
        </is>
      </c>
    </row>
    <row r="1379" ht="75" customHeight="1">
      <c r="A1379" s="2">
        <f>HYPERLINK("https://camerareadycosmetics.com/products/jouer-blush-bloom-cheek-lip-set", "https://camerareadycosmetics.com/products/jouer-blush-bloom-cheek-lip-set")</f>
        <v/>
      </c>
      <c r="B1379" s="2">
        <f>HYPERLINK("https://camerareadycosmetics.com/products/jouer-blush-bloom-cheek-lip-set", "https://camerareadycosmetics.com/products/jouer-blush-bloom-cheek-lip-set")</f>
        <v/>
      </c>
      <c r="C1379" t="inlineStr">
        <is>
          <t>Blush &amp; Bloom Cheek + Lip Set</t>
        </is>
      </c>
      <c r="D1379" t="inlineStr">
        <is>
          <t>Jouer Holiday Blush &amp; Bloom Cheek + Lip Set – Promise Me, Be Loud &amp; Peony –, Hydrating Cream Formula, Lip &amp; Blush Stick, Paraben Free, Gluten &amp; Cruelty Free, Vegan Friendly, 0.21 Ounce (Pack of 1)</t>
        </is>
      </c>
      <c r="E1379" s="2">
        <f>HYPERLINK("https://www.amazon.com/Jouer-Holiday-Blush-Bloom-Cheek/dp/B0BJBX38XZ/ref=sr_1_1?keywords=Blush+%26+Bloom+Cheek+%2B+Lip+Set&amp;qid=1695565825&amp;sr=8-1", "https://www.amazon.com/Jouer-Holiday-Blush-Bloom-Cheek/dp/B0BJBX38XZ/ref=sr_1_1?keywords=Blush+%26+Bloom+Cheek+%2B+Lip+Set&amp;qid=1695565825&amp;sr=8-1")</f>
        <v/>
      </c>
      <c r="F1379" t="inlineStr">
        <is>
          <t>B0BJBX38XZ</t>
        </is>
      </c>
      <c r="G1379">
        <f>_xlfn.IMAGE("https://camerareadycosmetics.com/cdn/shop/products/818502015787_01_50x.jpg?v=1666123459")</f>
        <v/>
      </c>
      <c r="H1379">
        <f>_xlfn.IMAGE("https://m.media-amazon.com/images/I/61pqSidZe3L._AC_UL320_.jpg")</f>
        <v/>
      </c>
      <c r="K1379" t="inlineStr">
        <is>
          <t>34.0</t>
        </is>
      </c>
      <c r="L1379" t="n">
        <v>28.11</v>
      </c>
      <c r="M1379" s="1" t="inlineStr">
        <is>
          <t>-17.32%</t>
        </is>
      </c>
      <c r="N1379" t="n">
        <v>5</v>
      </c>
      <c r="O1379" t="n">
        <v>4</v>
      </c>
      <c r="Q1379" t="inlineStr">
        <is>
          <t>InStock</t>
        </is>
      </c>
      <c r="R1379" t="inlineStr">
        <is>
          <t>undefined</t>
        </is>
      </c>
      <c r="S1379" t="inlineStr">
        <is>
          <t>7526037127353</t>
        </is>
      </c>
    </row>
    <row r="1380" ht="75" customHeight="1">
      <c r="A1380" s="2">
        <f>HYPERLINK("https://camerareadycosmetics.com/products/jouer-blush-bouquet", "https://camerareadycosmetics.com/products/jouer-blush-bouquet")</f>
        <v/>
      </c>
      <c r="B1380" s="2">
        <f>HYPERLINK("https://camerareadycosmetics.com/products/jouer-blush-bouquet", "https://camerareadycosmetics.com/products/jouer-blush-bouquet")</f>
        <v/>
      </c>
      <c r="C1380" t="inlineStr">
        <is>
          <t>Blush Bouquet</t>
        </is>
      </c>
      <c r="D1380" t="inlineStr">
        <is>
          <t>Ling's Moment 15 Inch Blush Artificial Flowers Bridal Bouquet, Wedding Bouquets for Bride, for Wedding Ceremony and Anniversary</t>
        </is>
      </c>
      <c r="E1380" s="2">
        <f>HYPERLINK("https://www.amazon.com/Lings-Moment-Artificial-Bouquets-Anniversary/dp/B0B9Y2XB1F/ref=sr_1_5?keywords=Blush+Bouquet&amp;qid=1695565666&amp;sr=8-5", "https://www.amazon.com/Lings-Moment-Artificial-Bouquets-Anniversary/dp/B0B9Y2XB1F/ref=sr_1_5?keywords=Blush+Bouquet&amp;qid=1695565666&amp;sr=8-5")</f>
        <v/>
      </c>
      <c r="F1380" t="inlineStr">
        <is>
          <t>B0B9Y2XB1F</t>
        </is>
      </c>
      <c r="G1380">
        <f>_xlfn.IMAGE("https://camerareadycosmetics.com/cdn/shop/products/BLD-Passion_1_1024x1024.progressive_a90d5c8d-4fd0-437c-9762-72cac028425c_50x.jpg?v=1635363414")</f>
        <v/>
      </c>
      <c r="H1380">
        <f>_xlfn.IMAGE("https://m.media-amazon.com/images/I/7188YbNaq-L._AC_UL320_.jpg")</f>
        <v/>
      </c>
      <c r="K1380" t="inlineStr">
        <is>
          <t>33.0</t>
        </is>
      </c>
      <c r="L1380" t="n">
        <v>129.99</v>
      </c>
      <c r="M1380" s="1" t="inlineStr">
        <is>
          <t>293.91%</t>
        </is>
      </c>
      <c r="N1380" t="n">
        <v>4.6</v>
      </c>
      <c r="O1380" t="n">
        <v>588</v>
      </c>
      <c r="Q1380" t="inlineStr">
        <is>
          <t>InStock</t>
        </is>
      </c>
      <c r="R1380" t="inlineStr">
        <is>
          <t>undefined</t>
        </is>
      </c>
      <c r="S1380" t="inlineStr">
        <is>
          <t>7060760232121</t>
        </is>
      </c>
    </row>
    <row r="1381" ht="75" customHeight="1">
      <c r="A1381" s="2">
        <f>HYPERLINK("https://camerareadycosmetics.com/products/jouer-blush-bouquet", "https://camerareadycosmetics.com/products/jouer-blush-bouquet")</f>
        <v/>
      </c>
      <c r="B1381" s="2">
        <f>HYPERLINK("https://camerareadycosmetics.com/products/jouer-blush-bouquet", "https://camerareadycosmetics.com/products/jouer-blush-bouquet")</f>
        <v/>
      </c>
      <c r="C1381" t="inlineStr">
        <is>
          <t>Blush Bouquet</t>
        </is>
      </c>
      <c r="D1381" t="inlineStr">
        <is>
          <t>Ling's Moment Garden Blush 7 Inch Artificial Flowers Wedding Bouquet for Bridesmaids,Set of 4, Bouquets for Bride,Wedding Arch Flowers,Bridal Shower,Centerpiece</t>
        </is>
      </c>
      <c r="E1381" s="2">
        <f>HYPERLINK("https://www.amazon.com/Lings-Moment-Artificial-Bridesmaids-Centerpiece/dp/B0B9Y5NH66/ref=sr_1_2?keywords=Blush+Bouquet&amp;qid=1695565666&amp;sr=8-2", "https://www.amazon.com/Lings-Moment-Artificial-Bridesmaids-Centerpiece/dp/B0B9Y5NH66/ref=sr_1_2?keywords=Blush+Bouquet&amp;qid=1695565666&amp;sr=8-2")</f>
        <v/>
      </c>
      <c r="F1381" t="inlineStr">
        <is>
          <t>B0B9Y5NH66</t>
        </is>
      </c>
      <c r="G1381">
        <f>_xlfn.IMAGE("https://camerareadycosmetics.com/cdn/shop/products/BLD-Passion_1_1024x1024.progressive_a90d5c8d-4fd0-437c-9762-72cac028425c_50x.jpg?v=1635363414")</f>
        <v/>
      </c>
      <c r="H1381">
        <f>_xlfn.IMAGE("https://m.media-amazon.com/images/I/718uXi8bOVL._AC_UL320_.jpg")</f>
        <v/>
      </c>
      <c r="K1381" t="inlineStr">
        <is>
          <t>33.0</t>
        </is>
      </c>
      <c r="L1381" t="n">
        <v>116.99</v>
      </c>
      <c r="M1381" s="1" t="inlineStr">
        <is>
          <t>254.52%</t>
        </is>
      </c>
      <c r="N1381" t="n">
        <v>4.8</v>
      </c>
      <c r="O1381" t="n">
        <v>1380</v>
      </c>
      <c r="Q1381" t="inlineStr">
        <is>
          <t>InStock</t>
        </is>
      </c>
      <c r="R1381" t="inlineStr">
        <is>
          <t>undefined</t>
        </is>
      </c>
      <c r="S1381" t="inlineStr">
        <is>
          <t>7060760232121</t>
        </is>
      </c>
    </row>
    <row r="1382" ht="75" customHeight="1">
      <c r="A1382" s="2">
        <f>HYPERLINK("https://camerareadycosmetics.com/products/jouer-blush-bouquet", "https://camerareadycosmetics.com/products/jouer-blush-bouquet")</f>
        <v/>
      </c>
      <c r="B1382" s="2">
        <f>HYPERLINK("https://camerareadycosmetics.com/products/jouer-blush-bouquet", "https://camerareadycosmetics.com/products/jouer-blush-bouquet")</f>
        <v/>
      </c>
      <c r="C1382" t="inlineStr">
        <is>
          <t>Blush Bouquet</t>
        </is>
      </c>
      <c r="D1382" t="inlineStr">
        <is>
          <t>CEWOR Bridal Bouquets for Wedding, White and Blush Pink Artificial Roses Burgundy Flowers for Wedding Centerpieces Decoration</t>
        </is>
      </c>
      <c r="E1382" s="2">
        <f>HYPERLINK("https://www.amazon.com/CEWOR-Wedding-Bouquets-Artificial-Centerpieces/dp/B0BQDNY3FD/ref=sr_1_4?keywords=Blush+Bouquet&amp;qid=1695565666&amp;sr=8-4", "https://www.amazon.com/CEWOR-Wedding-Bouquets-Artificial-Centerpieces/dp/B0BQDNY3FD/ref=sr_1_4?keywords=Blush+Bouquet&amp;qid=1695565666&amp;sr=8-4")</f>
        <v/>
      </c>
      <c r="F1382" t="inlineStr">
        <is>
          <t>B0BQDNY3FD</t>
        </is>
      </c>
      <c r="G1382">
        <f>_xlfn.IMAGE("https://camerareadycosmetics.com/cdn/shop/products/BLD-Passion_1_1024x1024.progressive_a90d5c8d-4fd0-437c-9762-72cac028425c_50x.jpg?v=1635363414")</f>
        <v/>
      </c>
      <c r="H1382">
        <f>_xlfn.IMAGE("https://m.media-amazon.com/images/I/81c1ClBT1TL._AC_UL320_.jpg")</f>
        <v/>
      </c>
      <c r="K1382" t="inlineStr">
        <is>
          <t>33.0</t>
        </is>
      </c>
      <c r="L1382" t="n">
        <v>20.99</v>
      </c>
      <c r="M1382" s="1" t="inlineStr">
        <is>
          <t>-36.39%</t>
        </is>
      </c>
      <c r="N1382" t="n">
        <v>4.6</v>
      </c>
      <c r="O1382" t="n">
        <v>562</v>
      </c>
      <c r="Q1382" t="inlineStr">
        <is>
          <t>InStock</t>
        </is>
      </c>
      <c r="R1382" t="inlineStr">
        <is>
          <t>undefined</t>
        </is>
      </c>
      <c r="S1382" t="inlineStr">
        <is>
          <t>7060760232121</t>
        </is>
      </c>
    </row>
    <row r="1383" ht="75" customHeight="1">
      <c r="A1383" s="2">
        <f>HYPERLINK("https://camerareadycosmetics.com/products/jouer-blush-bouquet", "https://camerareadycosmetics.com/products/jouer-blush-bouquet")</f>
        <v/>
      </c>
      <c r="B1383" s="2">
        <f>HYPERLINK("https://camerareadycosmetics.com/products/jouer-blush-bouquet", "https://camerareadycosmetics.com/products/jouer-blush-bouquet")</f>
        <v/>
      </c>
      <c r="C1383" t="inlineStr">
        <is>
          <t>Blush Bouquet</t>
        </is>
      </c>
      <c r="D1383" t="inlineStr">
        <is>
          <t>InnoGear Artificial Roses, 50 Pcs Blush Fake Roses with Stems Faux Artificial Flowers for Decoration DIY Wedding Bouquets Centerpieces Bridal Shower Party Flower Arrangements Christmas</t>
        </is>
      </c>
      <c r="E1383" s="2">
        <f>HYPERLINK("https://www.amazon.com/InnoGear-Artificial-Bouquets-Centerpieces-Decorations/dp/B0814N16L3/ref=sr_1_8?keywords=Blush+Bouquet&amp;qid=1695565666&amp;sr=8-8", "https://www.amazon.com/InnoGear-Artificial-Bouquets-Centerpieces-Decorations/dp/B0814N16L3/ref=sr_1_8?keywords=Blush+Bouquet&amp;qid=1695565666&amp;sr=8-8")</f>
        <v/>
      </c>
      <c r="F1383" t="inlineStr">
        <is>
          <t>B0814N16L3</t>
        </is>
      </c>
      <c r="G1383">
        <f>_xlfn.IMAGE("https://camerareadycosmetics.com/cdn/shop/products/BLD-Passion_1_1024x1024.progressive_a90d5c8d-4fd0-437c-9762-72cac028425c_50x.jpg?v=1635363414")</f>
        <v/>
      </c>
      <c r="H1383">
        <f>_xlfn.IMAGE("https://m.media-amazon.com/images/I/81X1jz+e6LL._AC_UL320_.jpg")</f>
        <v/>
      </c>
      <c r="K1383" t="inlineStr">
        <is>
          <t>33.0</t>
        </is>
      </c>
      <c r="L1383" t="n">
        <v>19.99</v>
      </c>
      <c r="M1383" s="1" t="inlineStr">
        <is>
          <t>-39.42%</t>
        </is>
      </c>
      <c r="N1383" t="n">
        <v>4.7</v>
      </c>
      <c r="O1383" t="n">
        <v>6964</v>
      </c>
      <c r="Q1383" t="inlineStr">
        <is>
          <t>InStock</t>
        </is>
      </c>
      <c r="R1383" t="inlineStr">
        <is>
          <t>undefined</t>
        </is>
      </c>
      <c r="S1383" t="inlineStr">
        <is>
          <t>7060760232121</t>
        </is>
      </c>
    </row>
    <row r="1384" ht="75" customHeight="1">
      <c r="A1384" s="2">
        <f>HYPERLINK("https://camerareadycosmetics.com/products/jouer-blush-bouquet", "https://camerareadycosmetics.com/products/jouer-blush-bouquet")</f>
        <v/>
      </c>
      <c r="B1384" s="2">
        <f>HYPERLINK("https://camerareadycosmetics.com/products/jouer-blush-bouquet", "https://camerareadycosmetics.com/products/jouer-blush-bouquet")</f>
        <v/>
      </c>
      <c r="C1384" t="inlineStr">
        <is>
          <t>Blush Bouquet</t>
        </is>
      </c>
      <c r="D1384" t="inlineStr">
        <is>
          <t>COCOBOO Artificial Blush Flowers, Pink Flowers Combo Silk Mix Fake Flowers for DIY Wedding Bouquets Centerpieces Arrangements Party Baby Shower Home Decorations(Gentle Blush)</t>
        </is>
      </c>
      <c r="E1384" s="2">
        <f>HYPERLINK("https://www.amazon.com/COCOBOO-Artificial-Centerpieces-Arrangements-Decorations/dp/B09NFCK3L2/ref=sr_1_1?keywords=Blush+Bouquet&amp;qid=1695565666&amp;sr=8-1", "https://www.amazon.com/COCOBOO-Artificial-Centerpieces-Arrangements-Decorations/dp/B09NFCK3L2/ref=sr_1_1?keywords=Blush+Bouquet&amp;qid=1695565666&amp;sr=8-1")</f>
        <v/>
      </c>
      <c r="F1384" t="inlineStr">
        <is>
          <t>B09NFCK3L2</t>
        </is>
      </c>
      <c r="G1384">
        <f>_xlfn.IMAGE("https://camerareadycosmetics.com/cdn/shop/products/BLD-Passion_1_1024x1024.progressive_a90d5c8d-4fd0-437c-9762-72cac028425c_50x.jpg?v=1635363414")</f>
        <v/>
      </c>
      <c r="H1384">
        <f>_xlfn.IMAGE("https://m.media-amazon.com/images/I/71gXk2nntjL._AC_UL320_.jpg")</f>
        <v/>
      </c>
      <c r="K1384" t="inlineStr">
        <is>
          <t>33.0</t>
        </is>
      </c>
      <c r="L1384" t="n">
        <v>19.99</v>
      </c>
      <c r="M1384" s="1" t="inlineStr">
        <is>
          <t>-39.42%</t>
        </is>
      </c>
      <c r="N1384" t="n">
        <v>4.7</v>
      </c>
      <c r="O1384" t="n">
        <v>646</v>
      </c>
      <c r="Q1384" t="inlineStr">
        <is>
          <t>InStock</t>
        </is>
      </c>
      <c r="R1384" t="inlineStr">
        <is>
          <t>undefined</t>
        </is>
      </c>
      <c r="S1384" t="inlineStr">
        <is>
          <t>7060760232121</t>
        </is>
      </c>
    </row>
    <row r="1385" ht="75" customHeight="1">
      <c r="A1385" s="2">
        <f>HYPERLINK("https://camerareadycosmetics.com/products/jouer-blush-bouquet", "https://camerareadycosmetics.com/products/jouer-blush-bouquet")</f>
        <v/>
      </c>
      <c r="B1385" s="2">
        <f>HYPERLINK("https://camerareadycosmetics.com/products/jouer-blush-bouquet", "https://camerareadycosmetics.com/products/jouer-blush-bouquet")</f>
        <v/>
      </c>
      <c r="C1385" t="inlineStr">
        <is>
          <t>Blush Bouquet</t>
        </is>
      </c>
      <c r="D1385" t="inlineStr">
        <is>
          <t>AmyHomie Blush Champagne Artificial Flowers Combo Silk Mix Peony Rose Hydrangea Fake Flowers w/Stem for DIY Wedding Bouquets Centerpieces Arrangements Table Party Bridal Baby Shower Home Decorations</t>
        </is>
      </c>
      <c r="E1385" s="2">
        <f>HYPERLINK("https://www.amazon.com/AmyHomie-Artificial-Centerpieces-Arrangements-Decorations/dp/B0BYD2RNLZ/ref=sr_1_10?keywords=Blush+Bouquet&amp;qid=1695565666&amp;sr=8-10", "https://www.amazon.com/AmyHomie-Artificial-Centerpieces-Arrangements-Decorations/dp/B0BYD2RNLZ/ref=sr_1_10?keywords=Blush+Bouquet&amp;qid=1695565666&amp;sr=8-10")</f>
        <v/>
      </c>
      <c r="F1385" t="inlineStr">
        <is>
          <t>B0BYD2RNLZ</t>
        </is>
      </c>
      <c r="G1385">
        <f>_xlfn.IMAGE("https://camerareadycosmetics.com/cdn/shop/products/BLD-Passion_1_1024x1024.progressive_a90d5c8d-4fd0-437c-9762-72cac028425c_50x.jpg?v=1635363414")</f>
        <v/>
      </c>
      <c r="H1385">
        <f>_xlfn.IMAGE("https://m.media-amazon.com/images/I/71b6ezslYSL._AC_UL320_.jpg")</f>
        <v/>
      </c>
      <c r="K1385" t="inlineStr">
        <is>
          <t>33.0</t>
        </is>
      </c>
      <c r="L1385" t="n">
        <v>19.79</v>
      </c>
      <c r="M1385" s="1" t="inlineStr">
        <is>
          <t>-40.03%</t>
        </is>
      </c>
      <c r="N1385" t="n">
        <v>4.6</v>
      </c>
      <c r="O1385" t="n">
        <v>267</v>
      </c>
      <c r="Q1385" t="inlineStr">
        <is>
          <t>InStock</t>
        </is>
      </c>
      <c r="R1385" t="inlineStr">
        <is>
          <t>undefined</t>
        </is>
      </c>
      <c r="S1385" t="inlineStr">
        <is>
          <t>7060760232121</t>
        </is>
      </c>
    </row>
    <row r="1386" ht="75" customHeight="1">
      <c r="A1386" s="2">
        <f>HYPERLINK("https://camerareadycosmetics.com/products/jouer-blush-bouquet", "https://camerareadycosmetics.com/products/jouer-blush-bouquet")</f>
        <v/>
      </c>
      <c r="B1386" s="2">
        <f>HYPERLINK("https://camerareadycosmetics.com/products/jouer-blush-bouquet", "https://camerareadycosmetics.com/products/jouer-blush-bouquet")</f>
        <v/>
      </c>
      <c r="C1386" t="inlineStr">
        <is>
          <t>Blush Bouquet</t>
        </is>
      </c>
      <c r="D1386" t="inlineStr">
        <is>
          <t>Artificial Flowers, Silk Artificial Rose Flowers Real Looking Blush Flower Home Decorations for Bridal Wedding Bouquet, Birthday Flowers Bunch Hotel Party Garden Floral Decor (Graceful Pink)</t>
        </is>
      </c>
      <c r="E1386" s="2">
        <f>HYPERLINK("https://www.amazon.com/Amzali-Artificial-Decorations-Birthday-Graceful/dp/B092Q73YWG/ref=sr_1_6?keywords=Blush+Bouquet&amp;qid=1695565666&amp;sr=8-6", "https://www.amazon.com/Amzali-Artificial-Decorations-Birthday-Graceful/dp/B092Q73YWG/ref=sr_1_6?keywords=Blush+Bouquet&amp;qid=1695565666&amp;sr=8-6")</f>
        <v/>
      </c>
      <c r="F1386" t="inlineStr">
        <is>
          <t>B092Q73YWG</t>
        </is>
      </c>
      <c r="G1386">
        <f>_xlfn.IMAGE("https://camerareadycosmetics.com/cdn/shop/products/BLD-Passion_1_1024x1024.progressive_a90d5c8d-4fd0-437c-9762-72cac028425c_50x.jpg?v=1635363414")</f>
        <v/>
      </c>
      <c r="H1386">
        <f>_xlfn.IMAGE("https://m.media-amazon.com/images/I/61pJoVd-5eS._AC_UL320_.jpg")</f>
        <v/>
      </c>
      <c r="K1386" t="inlineStr">
        <is>
          <t>33.0</t>
        </is>
      </c>
      <c r="L1386" t="n">
        <v>14.99</v>
      </c>
      <c r="M1386" s="1" t="inlineStr">
        <is>
          <t>-54.58%</t>
        </is>
      </c>
      <c r="N1386" t="n">
        <v>4.3</v>
      </c>
      <c r="O1386" t="n">
        <v>1303</v>
      </c>
      <c r="Q1386" t="inlineStr">
        <is>
          <t>InStock</t>
        </is>
      </c>
      <c r="R1386" t="inlineStr">
        <is>
          <t>undefined</t>
        </is>
      </c>
      <c r="S1386" t="inlineStr">
        <is>
          <t>7060760232121</t>
        </is>
      </c>
    </row>
    <row r="1387" ht="75" customHeight="1">
      <c r="A1387" s="2">
        <f>HYPERLINK("https://camerareadycosmetics.com/products/jouer-blush-bouquet", "https://camerareadycosmetics.com/products/jouer-blush-bouquet")</f>
        <v/>
      </c>
      <c r="B1387" s="2">
        <f>HYPERLINK("https://camerareadycosmetics.com/products/jouer-blush-bouquet", "https://camerareadycosmetics.com/products/jouer-blush-bouquet")</f>
        <v/>
      </c>
      <c r="C1387" t="inlineStr">
        <is>
          <t>Blush Bouquet</t>
        </is>
      </c>
      <c r="D1387" t="inlineStr">
        <is>
          <t>Tribe Glare Artificial Flower Silk Peony Bouquets Hygrangea Carnations Flower Arrangement Centerpiece for Table Wedding Dining Room Home Decorations Set of 2, Blush Pink</t>
        </is>
      </c>
      <c r="E1387" s="2">
        <f>HYPERLINK("https://www.amazon.com/Artificial-Carnations-Arrangement-Centerpiece-Decorations/dp/B08BJM23H4/ref=sr_1_3?keywords=Blush+Bouquet&amp;qid=1695565666&amp;sr=8-3", "https://www.amazon.com/Artificial-Carnations-Arrangement-Centerpiece-Decorations/dp/B08BJM23H4/ref=sr_1_3?keywords=Blush+Bouquet&amp;qid=1695565666&amp;sr=8-3")</f>
        <v/>
      </c>
      <c r="F1387" t="inlineStr">
        <is>
          <t>B08BJM23H4</t>
        </is>
      </c>
      <c r="G1387">
        <f>_xlfn.IMAGE("https://camerareadycosmetics.com/cdn/shop/products/BLD-Passion_1_1024x1024.progressive_a90d5c8d-4fd0-437c-9762-72cac028425c_50x.jpg?v=1635363414")</f>
        <v/>
      </c>
      <c r="H1387">
        <f>_xlfn.IMAGE("https://m.media-amazon.com/images/I/71eSUc0nBCL._AC_UL320_.jpg")</f>
        <v/>
      </c>
      <c r="K1387" t="inlineStr">
        <is>
          <t>33.0</t>
        </is>
      </c>
      <c r="L1387" t="n">
        <v>10.96</v>
      </c>
      <c r="M1387" s="1" t="inlineStr">
        <is>
          <t>-66.79%</t>
        </is>
      </c>
      <c r="N1387" t="n">
        <v>4.1</v>
      </c>
      <c r="O1387" t="n">
        <v>402</v>
      </c>
      <c r="Q1387" t="inlineStr">
        <is>
          <t>InStock</t>
        </is>
      </c>
      <c r="R1387" t="inlineStr">
        <is>
          <t>undefined</t>
        </is>
      </c>
      <c r="S1387" t="inlineStr">
        <is>
          <t>7060760232121</t>
        </is>
      </c>
    </row>
    <row r="1388" ht="75" customHeight="1">
      <c r="A1388" s="2">
        <f>HYPERLINK("https://camerareadycosmetics.com/products/jouer-blush-bouquet", "https://camerareadycosmetics.com/products/jouer-blush-bouquet")</f>
        <v/>
      </c>
      <c r="B1388" s="2">
        <f>HYPERLINK("https://camerareadycosmetics.com/products/jouer-blush-bouquet", "https://camerareadycosmetics.com/products/jouer-blush-bouquet")</f>
        <v/>
      </c>
      <c r="C1388" t="inlineStr">
        <is>
          <t>Blush Bouquet</t>
        </is>
      </c>
      <c r="D1388" t="inlineStr">
        <is>
          <t>Artificial Flowers, Silk Artificial Rose Flowers Real Looking Blush Flower Home Decorations for Bridal Wedding Bouquet, Birthday Flowers Bunch Hotel Party Garden Floral Decor (Graceful Pink)</t>
        </is>
      </c>
      <c r="E1388" s="2">
        <f>HYPERLINK("https://www.amazon.com/Amzali-Artificial-Decorations-Birthday-Graceful/dp/B092Q73YWG/ref=sr_1_6?keywords=Blush+Bouquet&amp;qid=1695565666&amp;sr=8-6", "https://www.amazon.com/Amzali-Artificial-Decorations-Birthday-Graceful/dp/B092Q73YWG/ref=sr_1_6?keywords=Blush+Bouquet&amp;qid=1695565666&amp;sr=8-6")</f>
        <v/>
      </c>
      <c r="F1388" t="inlineStr">
        <is>
          <t>B092Q73YWG</t>
        </is>
      </c>
      <c r="G1388">
        <f>_xlfn.IMAGE("https://camerareadycosmetics.com/cdn/shop/products/BLD-Passion_1_1024x1024.progressive_a90d5c8d-4fd0-437c-9762-72cac028425c_50x.jpg?v=1635363414")</f>
        <v/>
      </c>
      <c r="H1388">
        <f>_xlfn.IMAGE("https://m.media-amazon.com/images/I/61pJoVd-5eS._AC_UL320_.jpg")</f>
        <v/>
      </c>
      <c r="K1388" t="inlineStr">
        <is>
          <t>33.0</t>
        </is>
      </c>
      <c r="L1388" t="n">
        <v>14.99</v>
      </c>
      <c r="M1388" s="1" t="inlineStr">
        <is>
          <t>-54.58%</t>
        </is>
      </c>
      <c r="N1388" t="n">
        <v>4.3</v>
      </c>
      <c r="O1388" t="n">
        <v>1303</v>
      </c>
      <c r="Q1388" t="inlineStr">
        <is>
          <t>InStock</t>
        </is>
      </c>
      <c r="R1388" t="inlineStr">
        <is>
          <t>undefined</t>
        </is>
      </c>
      <c r="S1388" t="inlineStr">
        <is>
          <t>7060760232121</t>
        </is>
      </c>
    </row>
    <row r="1389" ht="75" customHeight="1">
      <c r="A1389" s="2">
        <f>HYPERLINK("https://camerareadycosmetics.com/products/jouer-blush-bouquet", "https://camerareadycosmetics.com/products/jouer-blush-bouquet")</f>
        <v/>
      </c>
      <c r="B1389" s="2">
        <f>HYPERLINK("https://camerareadycosmetics.com/products/jouer-blush-bouquet", "https://camerareadycosmetics.com/products/jouer-blush-bouquet")</f>
        <v/>
      </c>
      <c r="C1389" t="inlineStr">
        <is>
          <t>Blush Bouquet</t>
        </is>
      </c>
      <c r="D1389" t="inlineStr">
        <is>
          <t>Tribe Glare Artificial Flower Silk Peony Bouquets Hygrangea Carnations Flower Arrangement Centerpiece for Table Wedding Dining Room Home Decorations Set of 2, Blush Pink</t>
        </is>
      </c>
      <c r="E1389" s="2">
        <f>HYPERLINK("https://www.amazon.com/Artificial-Carnations-Arrangement-Centerpiece-Decorations/dp/B08BJM23H4/ref=sr_1_3?keywords=Blush+Bouquet&amp;qid=1695565666&amp;sr=8-3", "https://www.amazon.com/Artificial-Carnations-Arrangement-Centerpiece-Decorations/dp/B08BJM23H4/ref=sr_1_3?keywords=Blush+Bouquet&amp;qid=1695565666&amp;sr=8-3")</f>
        <v/>
      </c>
      <c r="F1389" t="inlineStr">
        <is>
          <t>B08BJM23H4</t>
        </is>
      </c>
      <c r="G1389">
        <f>_xlfn.IMAGE("https://camerareadycosmetics.com/cdn/shop/products/BLD-Passion_1_1024x1024.progressive_a90d5c8d-4fd0-437c-9762-72cac028425c_50x.jpg?v=1635363414")</f>
        <v/>
      </c>
      <c r="H1389">
        <f>_xlfn.IMAGE("https://m.media-amazon.com/images/I/71eSUc0nBCL._AC_UL320_.jpg")</f>
        <v/>
      </c>
      <c r="K1389" t="inlineStr">
        <is>
          <t>33.0</t>
        </is>
      </c>
      <c r="L1389" t="n">
        <v>10.96</v>
      </c>
      <c r="M1389" s="1" t="inlineStr">
        <is>
          <t>-66.79%</t>
        </is>
      </c>
      <c r="N1389" t="n">
        <v>4.1</v>
      </c>
      <c r="O1389" t="n">
        <v>402</v>
      </c>
      <c r="Q1389" t="inlineStr">
        <is>
          <t>InStock</t>
        </is>
      </c>
      <c r="R1389" t="inlineStr">
        <is>
          <t>undefined</t>
        </is>
      </c>
      <c r="S1389" t="inlineStr">
        <is>
          <t>7060760232121</t>
        </is>
      </c>
    </row>
    <row r="1390" ht="75" customHeight="1">
      <c r="A1390" s="2">
        <f>HYPERLINK("https://camerareadycosmetics.com/products/jouer-creme-eyeshadow-crayon", "https://camerareadycosmetics.com/products/jouer-creme-eyeshadow-crayon")</f>
        <v/>
      </c>
      <c r="B1390" s="2">
        <f>HYPERLINK("https://camerareadycosmetics.com/products/jouer-creme-eyeshadow-crayon", "https://camerareadycosmetics.com/products/jouer-creme-eyeshadow-crayon")</f>
        <v/>
      </c>
      <c r="C1390" t="inlineStr">
        <is>
          <t>Crème Eyeshadow Crayon</t>
        </is>
      </c>
      <c r="D1390" t="inlineStr">
        <is>
          <t>Jouer Crème Eyeshadow Trio - Shimmer Cream Eyeshadow Eyeliner Crayon, Dermatologist Tested, Waterproof and Crease Resistant Glitter Eyeshadow</t>
        </is>
      </c>
      <c r="E1390" s="2">
        <f>HYPERLINK("https://www.amazon.com/Jouer-Holiday-Cr%C3%A8me-Eyeshadow-Built/dp/B0BJBZH8JD/ref=sr_1_3?keywords=Cr%C3%A8me+Eyeshadow+Crayon&amp;qid=1695565778&amp;sr=8-3", "https://www.amazon.com/Jouer-Holiday-Cr%C3%A8me-Eyeshadow-Built/dp/B0BJBZH8JD/ref=sr_1_3?keywords=Cr%C3%A8me+Eyeshadow+Crayon&amp;qid=1695565778&amp;sr=8-3")</f>
        <v/>
      </c>
      <c r="F1390" t="inlineStr">
        <is>
          <t>B0BJBZH8JD</t>
        </is>
      </c>
      <c r="G1390">
        <f>_xlfn.IMAGE("https://camerareadycosmetics.com/cdn/shop/products/Cream_Eyeshadow_Crayon-New-Regency_1024x1024.progressive_25b726ac-7e60-4f84-aa96-f9f7e43bfd2a_50x.jpg?v=1635375723")</f>
        <v/>
      </c>
      <c r="H1390">
        <f>_xlfn.IMAGE("https://m.media-amazon.com/images/I/713hVBMHDqL._AC_UL320_.jpg")</f>
        <v/>
      </c>
      <c r="K1390" t="inlineStr">
        <is>
          <t>23.0</t>
        </is>
      </c>
      <c r="L1390" t="n">
        <v>46</v>
      </c>
      <c r="M1390" s="1" t="inlineStr">
        <is>
          <t>100.00%</t>
        </is>
      </c>
      <c r="N1390" t="n">
        <v>4.6</v>
      </c>
      <c r="O1390" t="n">
        <v>29</v>
      </c>
      <c r="Q1390" t="inlineStr">
        <is>
          <t>InStock</t>
        </is>
      </c>
      <c r="R1390" t="inlineStr">
        <is>
          <t>undefined</t>
        </is>
      </c>
      <c r="S1390" t="inlineStr">
        <is>
          <t>7060961231033</t>
        </is>
      </c>
    </row>
    <row r="1391" ht="75" customHeight="1">
      <c r="A1391" s="2">
        <f>HYPERLINK("https://camerareadycosmetics.com/products/jouer-creme-eyeshadow-crayon", "https://camerareadycosmetics.com/products/jouer-creme-eyeshadow-crayon")</f>
        <v/>
      </c>
      <c r="B1391" s="2">
        <f>HYPERLINK("https://camerareadycosmetics.com/products/jouer-creme-eyeshadow-crayon", "https://camerareadycosmetics.com/products/jouer-creme-eyeshadow-crayon")</f>
        <v/>
      </c>
      <c r="C1391" t="inlineStr">
        <is>
          <t>Crème Eyeshadow Crayon</t>
        </is>
      </c>
      <c r="D1391" t="inlineStr">
        <is>
          <t>Jouer Crème Eyeshadow Crayon | Men &amp; Women | Built-In Sharpener | Dermatologist Tested | Waterproof, Fast Drying &amp; Crease Resistant Formula</t>
        </is>
      </c>
      <c r="E1391" s="2">
        <f>HYPERLINK("https://www.amazon.com/Jouer-Cr%C3%A8me-Eyeshadow-Sharpener-Dermatologist-Waterproof/dp/B09BG8JH39/ref=sr_1_2?keywords=Cr%C3%A8me+Eyeshadow+Crayon&amp;qid=1695565778&amp;sr=8-2", "https://www.amazon.com/Jouer-Cr%C3%A8me-Eyeshadow-Sharpener-Dermatologist-Waterproof/dp/B09BG8JH39/ref=sr_1_2?keywords=Cr%C3%A8me+Eyeshadow+Crayon&amp;qid=1695565778&amp;sr=8-2")</f>
        <v/>
      </c>
      <c r="F1391" t="inlineStr">
        <is>
          <t>B09BG8JH39</t>
        </is>
      </c>
      <c r="G1391">
        <f>_xlfn.IMAGE("https://camerareadycosmetics.com/cdn/shop/products/Cream_Eyeshadow_Crayon-New-Regency_1024x1024.progressive_25b726ac-7e60-4f84-aa96-f9f7e43bfd2a_50x.jpg?v=1635375723")</f>
        <v/>
      </c>
      <c r="H1391">
        <f>_xlfn.IMAGE("https://m.media-amazon.com/images/I/91uVTaQeCaL._AC_UL320_.jpg")</f>
        <v/>
      </c>
      <c r="K1391" t="inlineStr">
        <is>
          <t>23.0</t>
        </is>
      </c>
      <c r="L1391" t="n">
        <v>19.81</v>
      </c>
      <c r="M1391" s="1" t="inlineStr">
        <is>
          <t>-13.87%</t>
        </is>
      </c>
      <c r="N1391" t="n">
        <v>4.4</v>
      </c>
      <c r="O1391" t="n">
        <v>81</v>
      </c>
      <c r="Q1391" t="inlineStr">
        <is>
          <t>InStock</t>
        </is>
      </c>
      <c r="R1391" t="inlineStr">
        <is>
          <t>undefined</t>
        </is>
      </c>
      <c r="S1391" t="inlineStr">
        <is>
          <t>7060961231033</t>
        </is>
      </c>
    </row>
    <row r="1392" ht="75" customHeight="1">
      <c r="A1392" s="2">
        <f>HYPERLINK("https://camerareadycosmetics.com/products/jouer-creme-eyeshadow-crayon", "https://camerareadycosmetics.com/products/jouer-creme-eyeshadow-crayon")</f>
        <v/>
      </c>
      <c r="B1392" s="2">
        <f>HYPERLINK("https://camerareadycosmetics.com/products/jouer-creme-eyeshadow-crayon", "https://camerareadycosmetics.com/products/jouer-creme-eyeshadow-crayon")</f>
        <v/>
      </c>
      <c r="C1392" t="inlineStr">
        <is>
          <t>Crème Eyeshadow Crayon</t>
        </is>
      </c>
      <c r="D1392" t="inlineStr">
        <is>
          <t>Ruby Kisses Eye Shadow Stick – Crème Eyeshadow Makeup Multi-Stick, Long-Lasting Pearl Shimmer Crayon, Metallic Glitter Eyeliner, Highlighter Eyeshadow Pencil, Sharpener Included (Titanium Glam)</t>
        </is>
      </c>
      <c r="E1392" s="2">
        <f>HYPERLINK("https://www.amazon.com/Ruby-Kisses-Eye-Shadow-Stick/dp/B0C1T789Y7/ref=sr_1_8?keywords=Cr%C3%A8me+Eyeshadow+Crayon&amp;qid=1695565778&amp;sr=8-8", "https://www.amazon.com/Ruby-Kisses-Eye-Shadow-Stick/dp/B0C1T789Y7/ref=sr_1_8?keywords=Cr%C3%A8me+Eyeshadow+Crayon&amp;qid=1695565778&amp;sr=8-8")</f>
        <v/>
      </c>
      <c r="F1392" t="inlineStr">
        <is>
          <t>B0C1T789Y7</t>
        </is>
      </c>
      <c r="G1392">
        <f>_xlfn.IMAGE("https://camerareadycosmetics.com/cdn/shop/products/Cream_Eyeshadow_Crayon-New-Regency_1024x1024.progressive_25b726ac-7e60-4f84-aa96-f9f7e43bfd2a_50x.jpg?v=1635375723")</f>
        <v/>
      </c>
      <c r="H1392">
        <f>_xlfn.IMAGE("https://m.media-amazon.com/images/I/71DkquxUCqL._AC_UL320_.jpg")</f>
        <v/>
      </c>
      <c r="K1392" t="inlineStr">
        <is>
          <t>23.0</t>
        </is>
      </c>
      <c r="L1392" t="n">
        <v>4.99</v>
      </c>
      <c r="M1392" s="1" t="inlineStr">
        <is>
          <t>-78.30%</t>
        </is>
      </c>
      <c r="N1392" t="n">
        <v>4.3</v>
      </c>
      <c r="O1392" t="n">
        <v>24</v>
      </c>
      <c r="Q1392" t="inlineStr">
        <is>
          <t>InStock</t>
        </is>
      </c>
      <c r="R1392" t="inlineStr">
        <is>
          <t>undefined</t>
        </is>
      </c>
      <c r="S1392" t="inlineStr">
        <is>
          <t>7060961231033</t>
        </is>
      </c>
    </row>
    <row r="1393" ht="75" customHeight="1">
      <c r="A1393" s="2">
        <f>HYPERLINK("https://camerareadycosmetics.com/products/jouer-creme-eyeshadow-crayon", "https://camerareadycosmetics.com/products/jouer-creme-eyeshadow-crayon")</f>
        <v/>
      </c>
      <c r="B1393" s="2">
        <f>HYPERLINK("https://camerareadycosmetics.com/products/jouer-creme-eyeshadow-crayon", "https://camerareadycosmetics.com/products/jouer-creme-eyeshadow-crayon")</f>
        <v/>
      </c>
      <c r="C1393" t="inlineStr">
        <is>
          <t>Crème Eyeshadow Crayon</t>
        </is>
      </c>
      <c r="D1393" t="inlineStr">
        <is>
          <t>Ruby Kisses Eye Shadow Stick – Crème Eyeshadow Makeup Multi-Stick, Long-Lasting Pearl Shimmer Crayon, Metallic Glitter Eyeliner, Highlighter Eyeshadow Pencil, Sharpener Included (Titanium Glam)</t>
        </is>
      </c>
      <c r="E1393" s="2">
        <f>HYPERLINK("https://www.amazon.com/Ruby-Kisses-Eye-Shadow-Stick/dp/B0C1T789Y7/ref=sr_1_8?keywords=Cr%C3%A8me+Eyeshadow+Crayon&amp;qid=1695565778&amp;sr=8-8", "https://www.amazon.com/Ruby-Kisses-Eye-Shadow-Stick/dp/B0C1T789Y7/ref=sr_1_8?keywords=Cr%C3%A8me+Eyeshadow+Crayon&amp;qid=1695565778&amp;sr=8-8")</f>
        <v/>
      </c>
      <c r="F1393" t="inlineStr">
        <is>
          <t>B0C1T789Y7</t>
        </is>
      </c>
      <c r="G1393">
        <f>_xlfn.IMAGE("https://camerareadycosmetics.com/cdn/shop/products/Cream_Eyeshadow_Crayon-New-Regency_1024x1024.progressive_25b726ac-7e60-4f84-aa96-f9f7e43bfd2a_50x.jpg?v=1635375723")</f>
        <v/>
      </c>
      <c r="H1393">
        <f>_xlfn.IMAGE("https://m.media-amazon.com/images/I/71DkquxUCqL._AC_UL320_.jpg")</f>
        <v/>
      </c>
      <c r="K1393" t="inlineStr">
        <is>
          <t>23.0</t>
        </is>
      </c>
      <c r="L1393" t="n">
        <v>4.99</v>
      </c>
      <c r="M1393" s="1" t="inlineStr">
        <is>
          <t>-78.30%</t>
        </is>
      </c>
      <c r="N1393" t="n">
        <v>4.3</v>
      </c>
      <c r="O1393" t="n">
        <v>24</v>
      </c>
      <c r="Q1393" t="inlineStr">
        <is>
          <t>InStock</t>
        </is>
      </c>
      <c r="R1393" t="inlineStr">
        <is>
          <t>undefined</t>
        </is>
      </c>
      <c r="S1393" t="inlineStr">
        <is>
          <t>7060961231033</t>
        </is>
      </c>
    </row>
    <row r="1394" ht="75" customHeight="1">
      <c r="A1394" s="2">
        <f>HYPERLINK("https://camerareadycosmetics.com/products/jouer-deluxe-mini-blush-bouquet-dual-blush-palette", "https://camerareadycosmetics.com/products/jouer-deluxe-mini-blush-bouquet-dual-blush-palette")</f>
        <v/>
      </c>
      <c r="B1394" s="2">
        <f>HYPERLINK("https://camerareadycosmetics.com/products/jouer-deluxe-mini-blush-bouquet-dual-blush-palette", "https://camerareadycosmetics.com/products/jouer-deluxe-mini-blush-bouquet-dual-blush-palette")</f>
        <v/>
      </c>
      <c r="C1394" t="inlineStr">
        <is>
          <t>Deluxe Mini Blush Bouquet Dual Blush Palette - Rose Gold</t>
        </is>
      </c>
      <c r="D1394" t="inlineStr">
        <is>
          <t>Jouer Blush Bouquet Duo Deluxe Mini 2 Shade Blush Palette High Pigment Powder Natural Flush Beauty Cosmetics Vitamin E Talc-Free Paraben, Gluten &amp; Cruelty Free</t>
        </is>
      </c>
      <c r="E1394" s="2">
        <f>HYPERLINK("https://www.amazon.com/Jouer-Bouquet-Palette-Cosmetics-Talc-Free/dp/B0BFC43PG5/ref=sr_1_1?keywords=Deluxe+Mini+Blush+Bouquet+Dual+Blush+Palette+-+Rose+Gold&amp;qid=1695565751&amp;sr=8-1", "https://www.amazon.com/Jouer-Bouquet-Palette-Cosmetics-Talc-Free/dp/B0BFC43PG5/ref=sr_1_1?keywords=Deluxe+Mini+Blush+Bouquet+Dual+Blush+Palette+-+Rose+Gold&amp;qid=1695565751&amp;sr=8-1")</f>
        <v/>
      </c>
      <c r="F1394" t="inlineStr">
        <is>
          <t>B0BFC43PG5</t>
        </is>
      </c>
      <c r="G1394">
        <f>_xlfn.IMAGE("https://camerareadycosmetics.com/cdn/shop/products/Rose_Gold_Blush_Mini_Swatch2_Updated_9OCT19_by_JH_1024x1024.progressive_2ae76b91-c874-4aeb-aa46-ae554d171cec_50x.jpg?v=1688675534")</f>
        <v/>
      </c>
      <c r="H1394">
        <f>_xlfn.IMAGE("https://m.media-amazon.com/images/I/71-439ahArL._AC_UL320_.jpg")</f>
        <v/>
      </c>
      <c r="K1394" t="inlineStr">
        <is>
          <t>19.0</t>
        </is>
      </c>
      <c r="L1394" t="n">
        <v>19</v>
      </c>
      <c r="M1394" s="1" t="inlineStr">
        <is>
          <t>0.00%</t>
        </is>
      </c>
      <c r="N1394" t="n">
        <v>4.4</v>
      </c>
      <c r="O1394" t="n">
        <v>95</v>
      </c>
      <c r="Q1394" t="inlineStr">
        <is>
          <t>OutOfStock</t>
        </is>
      </c>
      <c r="R1394" t="inlineStr">
        <is>
          <t>undefined</t>
        </is>
      </c>
      <c r="S1394" t="inlineStr">
        <is>
          <t>7060802896057</t>
        </is>
      </c>
    </row>
    <row r="1395" ht="75" customHeight="1">
      <c r="A1395" s="2">
        <f>HYPERLINK("https://camerareadycosmetics.com/products/jouer-essential-high-coverage-concealer-pen", "https://camerareadycosmetics.com/products/jouer-essential-high-coverage-concealer-pen")</f>
        <v/>
      </c>
      <c r="B1395" s="2">
        <f>HYPERLINK("https://camerareadycosmetics.com/products/jouer-essential-high-coverage-concealer-pen", "https://camerareadycosmetics.com/products/jouer-essential-high-coverage-concealer-pen")</f>
        <v/>
      </c>
      <c r="C1395" t="inlineStr">
        <is>
          <t>Essential High Coverage Concealer Pen</t>
        </is>
      </c>
      <c r="D1395" t="inlineStr">
        <is>
          <t>Jouer Essential High Coverage Liquid Concealer - Brightening Concealer - Color Corrector for Under Eye Dark Circles, Spot Coverage, and Eye Primer - Soft Matte Finish, Custard</t>
        </is>
      </c>
      <c r="E1395" s="2">
        <f>HYPERLINK("https://www.amazon.com/Essential-Coverage-Liquid-Concealer-Custard/dp/B07JR8MCPT/ref=sr_1_2?keywords=Essential+High+Coverage+Concealer+Pen&amp;qid=1695565690&amp;sr=8-2", "https://www.amazon.com/Essential-Coverage-Liquid-Concealer-Custard/dp/B07JR8MCPT/ref=sr_1_2?keywords=Essential+High+Coverage+Concealer+Pen&amp;qid=1695565690&amp;sr=8-2")</f>
        <v/>
      </c>
      <c r="F1395" t="inlineStr">
        <is>
          <t>B07JR8MCPT</t>
        </is>
      </c>
      <c r="G1395">
        <f>_xlfn.IMAGE("https://camerareadycosmetics.com/cdn/shop/products/LCP-23-Snow-main_1024x1024.progressive_37210d2c-d128-47ce-9e69-507e832395cd_50x.jpg?v=1634938768")</f>
        <v/>
      </c>
      <c r="H1395">
        <f>_xlfn.IMAGE("https://m.media-amazon.com/images/I/51iiZZUVY2L._AC_UL320_.jpg")</f>
        <v/>
      </c>
      <c r="K1395" t="inlineStr">
        <is>
          <t>24.0</t>
        </is>
      </c>
      <c r="L1395" t="n">
        <v>25</v>
      </c>
      <c r="M1395" s="1" t="inlineStr">
        <is>
          <t>4.17%</t>
        </is>
      </c>
      <c r="N1395" t="n">
        <v>4.3</v>
      </c>
      <c r="O1395" t="n">
        <v>213</v>
      </c>
      <c r="Q1395" t="inlineStr">
        <is>
          <t>InStock</t>
        </is>
      </c>
      <c r="R1395" t="inlineStr">
        <is>
          <t>24.0</t>
        </is>
      </c>
      <c r="S1395" t="inlineStr">
        <is>
          <t>7054481457337</t>
        </is>
      </c>
    </row>
    <row r="1396" ht="75" customHeight="1">
      <c r="A1396" s="2">
        <f>HYPERLINK("https://camerareadycosmetics.com/products/jouer-essential-high-coverage-concealer-pen", "https://camerareadycosmetics.com/products/jouer-essential-high-coverage-concealer-pen")</f>
        <v/>
      </c>
      <c r="B1396" s="2">
        <f>HYPERLINK("https://camerareadycosmetics.com/products/jouer-essential-high-coverage-concealer-pen", "https://camerareadycosmetics.com/products/jouer-essential-high-coverage-concealer-pen")</f>
        <v/>
      </c>
      <c r="C1396" t="inlineStr">
        <is>
          <t>Essential High Coverage Concealer Pen</t>
        </is>
      </c>
      <c r="D1396" t="inlineStr">
        <is>
          <t>Jouer Essential High Coverage Concealer Pen - Under Eye Concealer for Dark Circles - Brightening Makeup for Eye Circles - Color Corrector for Spot Coverage and Eye Primer with Hyaluronic Acid and Vitamin E</t>
        </is>
      </c>
      <c r="E1396" s="2">
        <f>HYPERLINK("https://www.amazon.com/Jouer-Essential-Coverage-Concealer-Healthy-Ingredients/dp/B09G54XWC8/ref=sr_1_1?keywords=Essential+High+Coverage+Concealer+Pen&amp;qid=1695565690&amp;sr=8-1", "https://www.amazon.com/Jouer-Essential-Coverage-Concealer-Healthy-Ingredients/dp/B09G54XWC8/ref=sr_1_1?keywords=Essential+High+Coverage+Concealer+Pen&amp;qid=1695565690&amp;sr=8-1")</f>
        <v/>
      </c>
      <c r="F1396" t="inlineStr">
        <is>
          <t>B09G54XWC8</t>
        </is>
      </c>
      <c r="G1396">
        <f>_xlfn.IMAGE("https://camerareadycosmetics.com/cdn/shop/products/LCP-23-Snow-main_1024x1024.progressive_37210d2c-d128-47ce-9e69-507e832395cd_50x.jpg?v=1634938768")</f>
        <v/>
      </c>
      <c r="H1396">
        <f>_xlfn.IMAGE("https://m.media-amazon.com/images/I/61zIaSW1ksL._AC_UL320_.jpg")</f>
        <v/>
      </c>
      <c r="K1396" t="inlineStr">
        <is>
          <t>24.0</t>
        </is>
      </c>
      <c r="L1396" t="n">
        <v>24</v>
      </c>
      <c r="M1396" s="1" t="inlineStr">
        <is>
          <t>0.00%</t>
        </is>
      </c>
      <c r="N1396" t="n">
        <v>4</v>
      </c>
      <c r="O1396" t="n">
        <v>366</v>
      </c>
      <c r="Q1396" t="inlineStr">
        <is>
          <t>InStock</t>
        </is>
      </c>
      <c r="R1396" t="inlineStr">
        <is>
          <t>24.0</t>
        </is>
      </c>
      <c r="S1396" t="inlineStr">
        <is>
          <t>7054481457337</t>
        </is>
      </c>
    </row>
    <row r="1397" ht="75" customHeight="1">
      <c r="A1397" s="2">
        <f>HYPERLINK("https://camerareadycosmetics.com/products/jouer-essential-high-coverage-creme-foundation", "https://camerareadycosmetics.com/products/jouer-essential-high-coverage-creme-foundation")</f>
        <v/>
      </c>
      <c r="B1397" s="2">
        <f>HYPERLINK("https://camerareadycosmetics.com/products/jouer-essential-high-coverage-creme-foundation", "https://camerareadycosmetics.com/products/jouer-essential-high-coverage-creme-foundation")</f>
        <v/>
      </c>
      <c r="C1397" t="inlineStr">
        <is>
          <t>Essential High Coverage Crème Foundation</t>
        </is>
      </c>
      <c r="D1397" t="inlineStr">
        <is>
          <t>Jouer Essential High Coverage Crème Foundation - Available in 50 Shades for All Skin Tones - Healthy Ingredients - Paraben, Gluten &amp; Cruelty Free - Vegan Friendly</t>
        </is>
      </c>
      <c r="E1397" s="2">
        <f>HYPERLINK("https://www.amazon.com/Jouer-Essential-Coverage-Foundation-Caramel/dp/B0764DZ7JH/ref=sr_1_1?keywords=Essential+High+Coverage+Cr%C3%A8me+Foundation&amp;qid=1695565676&amp;sr=8-1", "https://www.amazon.com/Jouer-Essential-Coverage-Foundation-Caramel/dp/B0764DZ7JH/ref=sr_1_1?keywords=Essential+High+Coverage+Cr%C3%A8me+Foundation&amp;qid=1695565676&amp;sr=8-1")</f>
        <v/>
      </c>
      <c r="F1397" t="inlineStr">
        <is>
          <t>B0764DZ7JH</t>
        </is>
      </c>
      <c r="G1397">
        <f>_xlfn.IMAGE("https://camerareadycosmetics.com/cdn/shop/products/Foundation_Product_Swatch_Warm_Ivory_1024x1024.progressive_0680f0e4-f8d1-4a7c-b283-1ab652fbb6fc_50x.jpg?v=1635202854")</f>
        <v/>
      </c>
      <c r="H1397">
        <f>_xlfn.IMAGE("https://m.media-amazon.com/images/I/51TME7stPqL._AC_UL320_.jpg")</f>
        <v/>
      </c>
      <c r="K1397" t="inlineStr">
        <is>
          <t>38.0</t>
        </is>
      </c>
      <c r="L1397" t="n">
        <v>27</v>
      </c>
      <c r="M1397" s="1" t="inlineStr">
        <is>
          <t>-28.95%</t>
        </is>
      </c>
      <c r="N1397" t="n">
        <v>4</v>
      </c>
      <c r="O1397" t="n">
        <v>107</v>
      </c>
      <c r="Q1397" t="inlineStr">
        <is>
          <t>InStock</t>
        </is>
      </c>
      <c r="R1397" t="inlineStr">
        <is>
          <t>undefined</t>
        </is>
      </c>
      <c r="S1397" t="inlineStr">
        <is>
          <t>7058117722297</t>
        </is>
      </c>
    </row>
    <row r="1398" ht="75" customHeight="1">
      <c r="A1398" s="2">
        <f>HYPERLINK("https://camerareadycosmetics.com/products/jouer-essential-high-coverage-liquid-concealer", "https://camerareadycosmetics.com/products/jouer-essential-high-coverage-liquid-concealer")</f>
        <v/>
      </c>
      <c r="B1398" s="2">
        <f>HYPERLINK("https://camerareadycosmetics.com/products/jouer-essential-high-coverage-liquid-concealer", "https://camerareadycosmetics.com/products/jouer-essential-high-coverage-liquid-concealer")</f>
        <v/>
      </c>
      <c r="C1398" t="inlineStr">
        <is>
          <t>Essential High Coverage Liquid Concealer</t>
        </is>
      </c>
      <c r="D1398" t="inlineStr">
        <is>
          <t>Jouer Essential High Coverage Liquid Concealer - Brightening Concealer - Color Corrector for Under Eye Dark Circles, Spot Coverage, and Eye Primer - Soft Matte Finish, Custard</t>
        </is>
      </c>
      <c r="E1398" s="2">
        <f>HYPERLINK("https://www.amazon.com/Essential-Coverage-Liquid-Concealer-Custard/dp/B07JR8MCPT/ref=sr_1_1?keywords=Essential+High+Coverage+Liquid+Concealer&amp;qid=1695565488&amp;sr=8-1", "https://www.amazon.com/Essential-Coverage-Liquid-Concealer-Custard/dp/B07JR8MCPT/ref=sr_1_1?keywords=Essential+High+Coverage+Liquid+Concealer&amp;qid=1695565488&amp;sr=8-1")</f>
        <v/>
      </c>
      <c r="F1398" t="inlineStr">
        <is>
          <t>B07JR8MCPT</t>
        </is>
      </c>
      <c r="G1398">
        <f>_xlfn.IMAGE("https://camerareadycosmetics.com/cdn/shop/products/4_Chiffon_Liquid_Concealer_2048x2048_1024x1024.progressive_7bb630fa-9f21-4466-8b72-a073803e5e2a_50x.jpg?v=1635184715")</f>
        <v/>
      </c>
      <c r="H1398">
        <f>_xlfn.IMAGE("https://m.media-amazon.com/images/I/51iiZZUVY2L._AC_UL320_.jpg")</f>
        <v/>
      </c>
      <c r="K1398" t="inlineStr">
        <is>
          <t>25.0</t>
        </is>
      </c>
      <c r="L1398" t="n">
        <v>25</v>
      </c>
      <c r="M1398" s="1" t="inlineStr">
        <is>
          <t>0.00%</t>
        </is>
      </c>
      <c r="N1398" t="n">
        <v>4.3</v>
      </c>
      <c r="O1398" t="n">
        <v>213</v>
      </c>
      <c r="Q1398" t="inlineStr">
        <is>
          <t>InStock</t>
        </is>
      </c>
      <c r="R1398" t="inlineStr">
        <is>
          <t>undefined</t>
        </is>
      </c>
      <c r="S1398" t="inlineStr">
        <is>
          <t>7058053005497</t>
        </is>
      </c>
    </row>
    <row r="1399" ht="75" customHeight="1">
      <c r="A1399" s="2">
        <f>HYPERLINK("https://camerareadycosmetics.com/products/jouer-essential-high-coverage-liquid-concealer", "https://camerareadycosmetics.com/products/jouer-essential-high-coverage-liquid-concealer")</f>
        <v/>
      </c>
      <c r="B1399" s="2">
        <f>HYPERLINK("https://camerareadycosmetics.com/products/jouer-essential-high-coverage-liquid-concealer", "https://camerareadycosmetics.com/products/jouer-essential-high-coverage-liquid-concealer")</f>
        <v/>
      </c>
      <c r="C1399" t="inlineStr">
        <is>
          <t>Essential High Coverage Liquid Concealer</t>
        </is>
      </c>
      <c r="D1399" t="inlineStr">
        <is>
          <t>Jouer Essential High Coverage Concealer Pen - Under Eye Concealer for Dark Circles - Brightening Makeup for Eye Circles - Color Corrector for Spot Coverage and Eye Primer with Hyaluronic Acid and Vitamin E</t>
        </is>
      </c>
      <c r="E1399" s="2">
        <f>HYPERLINK("https://www.amazon.com/Jouer-Essential-Coverage-Concealer-Healthy-Ingredients/dp/B09G4VZ2KR/ref=sr_1_5?keywords=Essential+High+Coverage+Liquid+Concealer&amp;qid=1695565488&amp;sr=8-5", "https://www.amazon.com/Jouer-Essential-Coverage-Concealer-Healthy-Ingredients/dp/B09G4VZ2KR/ref=sr_1_5?keywords=Essential+High+Coverage+Liquid+Concealer&amp;qid=1695565488&amp;sr=8-5")</f>
        <v/>
      </c>
      <c r="F1399" t="inlineStr">
        <is>
          <t>B09G4VZ2KR</t>
        </is>
      </c>
      <c r="G1399">
        <f>_xlfn.IMAGE("https://camerareadycosmetics.com/cdn/shop/products/4_Chiffon_Liquid_Concealer_2048x2048_1024x1024.progressive_7bb630fa-9f21-4466-8b72-a073803e5e2a_50x.jpg?v=1635184715")</f>
        <v/>
      </c>
      <c r="H1399">
        <f>_xlfn.IMAGE("https://m.media-amazon.com/images/I/71fUvoqb4HL._AC_UL320_.jpg")</f>
        <v/>
      </c>
      <c r="K1399" t="inlineStr">
        <is>
          <t>25.0</t>
        </is>
      </c>
      <c r="L1399" t="n">
        <v>16.25</v>
      </c>
      <c r="M1399" s="1" t="inlineStr">
        <is>
          <t>-35.00%</t>
        </is>
      </c>
      <c r="N1399" t="n">
        <v>4</v>
      </c>
      <c r="O1399" t="n">
        <v>366</v>
      </c>
      <c r="Q1399" t="inlineStr">
        <is>
          <t>InStock</t>
        </is>
      </c>
      <c r="R1399" t="inlineStr">
        <is>
          <t>undefined</t>
        </is>
      </c>
      <c r="S1399" t="inlineStr">
        <is>
          <t>7058053005497</t>
        </is>
      </c>
    </row>
    <row r="1400" ht="75" customHeight="1">
      <c r="A1400" s="2">
        <f>HYPERLINK("https://camerareadycosmetics.com/products/jouer-essential-high-coverage-liquid-concealer", "https://camerareadycosmetics.com/products/jouer-essential-high-coverage-liquid-concealer")</f>
        <v/>
      </c>
      <c r="B1400" s="2">
        <f>HYPERLINK("https://camerareadycosmetics.com/products/jouer-essential-high-coverage-liquid-concealer", "https://camerareadycosmetics.com/products/jouer-essential-high-coverage-liquid-concealer")</f>
        <v/>
      </c>
      <c r="C1400" t="inlineStr">
        <is>
          <t>Essential High Coverage Liquid Concealer</t>
        </is>
      </c>
      <c r="D1400" t="inlineStr">
        <is>
          <t>Catrice | Liquid Camouflage High Coverage Concealer | Ultra Long Lasting Concealer | Oil &amp; Paraben Free | Cruelty Free (300 | Yellow)</t>
        </is>
      </c>
      <c r="E1400" s="2">
        <f>HYPERLINK("https://www.amazon.com/Catrice-Camouflage-Coverage-Concealer-Lasting/dp/B0B5RL1LT3/ref=sr_1_4?keywords=Essential+High+Coverage+Liquid+Concealer&amp;qid=1695565488&amp;sr=8-4", "https://www.amazon.com/Catrice-Camouflage-Coverage-Concealer-Lasting/dp/B0B5RL1LT3/ref=sr_1_4?keywords=Essential+High+Coverage+Liquid+Concealer&amp;qid=1695565488&amp;sr=8-4")</f>
        <v/>
      </c>
      <c r="F1400" t="inlineStr">
        <is>
          <t>B0B5RL1LT3</t>
        </is>
      </c>
      <c r="G1400">
        <f>_xlfn.IMAGE("https://camerareadycosmetics.com/cdn/shop/products/4_Chiffon_Liquid_Concealer_2048x2048_1024x1024.progressive_7bb630fa-9f21-4466-8b72-a073803e5e2a_50x.jpg?v=1635184715")</f>
        <v/>
      </c>
      <c r="H1400">
        <f>_xlfn.IMAGE("https://m.media-amazon.com/images/I/61u33g3HcgL._AC_UL320_.jpg")</f>
        <v/>
      </c>
      <c r="K1400" t="inlineStr">
        <is>
          <t>25.0</t>
        </is>
      </c>
      <c r="L1400" t="n">
        <v>6</v>
      </c>
      <c r="M1400" s="1" t="inlineStr">
        <is>
          <t>-76.00%</t>
        </is>
      </c>
      <c r="N1400" t="n">
        <v>4.3</v>
      </c>
      <c r="O1400" t="n">
        <v>4769</v>
      </c>
      <c r="Q1400" t="inlineStr">
        <is>
          <t>InStock</t>
        </is>
      </c>
      <c r="R1400" t="inlineStr">
        <is>
          <t>undefined</t>
        </is>
      </c>
      <c r="S1400" t="inlineStr">
        <is>
          <t>7058053005497</t>
        </is>
      </c>
    </row>
    <row r="1401" ht="75" customHeight="1">
      <c r="A1401" s="2">
        <f>HYPERLINK("https://camerareadycosmetics.com/products/jouer-essential-high-coverage-liquid-concealer", "https://camerareadycosmetics.com/products/jouer-essential-high-coverage-liquid-concealer")</f>
        <v/>
      </c>
      <c r="B1401" s="2">
        <f>HYPERLINK("https://camerareadycosmetics.com/products/jouer-essential-high-coverage-liquid-concealer", "https://camerareadycosmetics.com/products/jouer-essential-high-coverage-liquid-concealer")</f>
        <v/>
      </c>
      <c r="C1401" t="inlineStr">
        <is>
          <t>Essential High Coverage Liquid Concealer</t>
        </is>
      </c>
      <c r="D1401" t="inlineStr">
        <is>
          <t>Catrice | Liquid Camouflage High Coverage Concealer | Ultra Long Lasting Concealer | Oil &amp; Paraben Free | Cruelty Free (300 | Yellow)</t>
        </is>
      </c>
      <c r="E1401" s="2">
        <f>HYPERLINK("https://www.amazon.com/Catrice-Camouflage-Coverage-Concealer-Lasting/dp/B0B5RL1LT3/ref=sr_1_4?keywords=Essential+High+Coverage+Liquid+Concealer&amp;qid=1695565488&amp;sr=8-4", "https://www.amazon.com/Catrice-Camouflage-Coverage-Concealer-Lasting/dp/B0B5RL1LT3/ref=sr_1_4?keywords=Essential+High+Coverage+Liquid+Concealer&amp;qid=1695565488&amp;sr=8-4")</f>
        <v/>
      </c>
      <c r="F1401" t="inlineStr">
        <is>
          <t>B0B5RL1LT3</t>
        </is>
      </c>
      <c r="G1401">
        <f>_xlfn.IMAGE("https://camerareadycosmetics.com/cdn/shop/products/4_Chiffon_Liquid_Concealer_2048x2048_1024x1024.progressive_7bb630fa-9f21-4466-8b72-a073803e5e2a_50x.jpg?v=1635184715")</f>
        <v/>
      </c>
      <c r="H1401">
        <f>_xlfn.IMAGE("https://m.media-amazon.com/images/I/61u33g3HcgL._AC_UL320_.jpg")</f>
        <v/>
      </c>
      <c r="K1401" t="inlineStr">
        <is>
          <t>25.0</t>
        </is>
      </c>
      <c r="L1401" t="n">
        <v>6</v>
      </c>
      <c r="M1401" s="1" t="inlineStr">
        <is>
          <t>-76.00%</t>
        </is>
      </c>
      <c r="N1401" t="n">
        <v>4.3</v>
      </c>
      <c r="O1401" t="n">
        <v>4769</v>
      </c>
      <c r="Q1401" t="inlineStr">
        <is>
          <t>InStock</t>
        </is>
      </c>
      <c r="R1401" t="inlineStr">
        <is>
          <t>undefined</t>
        </is>
      </c>
      <c r="S1401" t="inlineStr">
        <is>
          <t>7058053005497</t>
        </is>
      </c>
    </row>
    <row r="1402" ht="75" customHeight="1">
      <c r="A1402" s="2">
        <f>HYPERLINK("https://camerareadycosmetics.com/products/jouer-essential-hydrating-lip-oil", "https://camerareadycosmetics.com/products/jouer-essential-hydrating-lip-oil")</f>
        <v/>
      </c>
      <c r="B1402" s="2">
        <f>HYPERLINK("https://camerareadycosmetics.com/products/jouer-essential-hydrating-lip-oil", "https://camerareadycosmetics.com/products/jouer-essential-hydrating-lip-oil")</f>
        <v/>
      </c>
      <c r="C1402" t="inlineStr">
        <is>
          <t>Essential Hydrating Lip Oil</t>
        </is>
      </c>
      <c r="D1402" t="inlineStr">
        <is>
          <t>Jouer Essential Tinted Hydrating Lip Oil Gloss – Moisturizing Dry Lip Treatment Serum - Fragrance Free Tinted Lip Oil - Jojoba Seed Oil and Apricot Oil Formula</t>
        </is>
      </c>
      <c r="E1402" s="2">
        <f>HYPERLINK("https://www.amazon.com/Jouer-Essential-Tinted-Hydrating-Gloss/dp/B0C4Q5M5MC/ref=sr_1_5?keywords=Essential+Hydrating+Lip+Oil&amp;qid=1695565729&amp;sr=8-5", "https://www.amazon.com/Jouer-Essential-Tinted-Hydrating-Gloss/dp/B0C4Q5M5MC/ref=sr_1_5?keywords=Essential+Hydrating+Lip+Oil&amp;qid=1695565729&amp;sr=8-5")</f>
        <v/>
      </c>
      <c r="F1402" t="inlineStr">
        <is>
          <t>B0C4Q5M5MC</t>
        </is>
      </c>
      <c r="G1402">
        <f>_xlfn.IMAGE("https://camerareadycosmetics.com/cdn/shop/products/OIL-EHLO-1_1_1024x1024.progressive_63dbb997-036c-4ca5-9aa7-2777f2de4287_50x.jpg?v=1635289567")</f>
        <v/>
      </c>
      <c r="H1402">
        <f>_xlfn.IMAGE("https://m.media-amazon.com/images/I/71YGp8UJ9UL._AC_UL320_.jpg")</f>
        <v/>
      </c>
      <c r="K1402" t="inlineStr">
        <is>
          <t>20.0</t>
        </is>
      </c>
      <c r="L1402" t="n">
        <v>20</v>
      </c>
      <c r="M1402" s="1" t="inlineStr">
        <is>
          <t>0.00%</t>
        </is>
      </c>
      <c r="N1402" t="n">
        <v>4.6</v>
      </c>
      <c r="O1402" t="n">
        <v>34</v>
      </c>
      <c r="Q1402" t="inlineStr">
        <is>
          <t>InStock</t>
        </is>
      </c>
      <c r="R1402" t="inlineStr">
        <is>
          <t>undefined</t>
        </is>
      </c>
      <c r="S1402" t="inlineStr">
        <is>
          <t>7059704512697</t>
        </is>
      </c>
    </row>
    <row r="1403" ht="75" customHeight="1">
      <c r="A1403" s="2">
        <f>HYPERLINK("https://camerareadycosmetics.com/products/jouer-essential-hydrating-lip-oil", "https://camerareadycosmetics.com/products/jouer-essential-hydrating-lip-oil")</f>
        <v/>
      </c>
      <c r="B1403" s="2">
        <f>HYPERLINK("https://camerareadycosmetics.com/products/jouer-essential-hydrating-lip-oil", "https://camerareadycosmetics.com/products/jouer-essential-hydrating-lip-oil")</f>
        <v/>
      </c>
      <c r="C1403" t="inlineStr">
        <is>
          <t>Essential Hydrating Lip Oil</t>
        </is>
      </c>
      <c r="D1403" t="inlineStr">
        <is>
          <t>Jouer Essential Hydrating Lip Oil – Moisturizing Dry Lip Treatment Serum - Fragrance Free Clear Lip Oil - Jojoba Seed Oil and Apricot Oil Formula, Natural Shine</t>
        </is>
      </c>
      <c r="E1403" s="2">
        <f>HYPERLINK("https://www.amazon.com/Jouer-Essential-Hydrating-Lip-Oil-Plant-Derived/dp/B099NRCY8V/ref=sr_1_1?keywords=Essential+Hydrating+Lip+Oil&amp;qid=1695565729&amp;sr=8-1", "https://www.amazon.com/Jouer-Essential-Hydrating-Lip-Oil-Plant-Derived/dp/B099NRCY8V/ref=sr_1_1?keywords=Essential+Hydrating+Lip+Oil&amp;qid=1695565729&amp;sr=8-1")</f>
        <v/>
      </c>
      <c r="F1403" t="inlineStr">
        <is>
          <t>B099NRCY8V</t>
        </is>
      </c>
      <c r="G1403">
        <f>_xlfn.IMAGE("https://camerareadycosmetics.com/cdn/shop/products/OIL-EHLO-1_1_1024x1024.progressive_63dbb997-036c-4ca5-9aa7-2777f2de4287_50x.jpg?v=1635289567")</f>
        <v/>
      </c>
      <c r="H1403">
        <f>_xlfn.IMAGE("https://m.media-amazon.com/images/I/71RyQfrnxEL._AC_UL320_.jpg")</f>
        <v/>
      </c>
      <c r="K1403" t="inlineStr">
        <is>
          <t>20.0</t>
        </is>
      </c>
      <c r="L1403" t="n">
        <v>20</v>
      </c>
      <c r="M1403" s="1" t="inlineStr">
        <is>
          <t>0.00%</t>
        </is>
      </c>
      <c r="N1403" t="n">
        <v>4.2</v>
      </c>
      <c r="O1403" t="n">
        <v>76</v>
      </c>
      <c r="Q1403" t="inlineStr">
        <is>
          <t>InStock</t>
        </is>
      </c>
      <c r="R1403" t="inlineStr">
        <is>
          <t>undefined</t>
        </is>
      </c>
      <c r="S1403" t="inlineStr">
        <is>
          <t>7059704512697</t>
        </is>
      </c>
    </row>
    <row r="1404" ht="75" customHeight="1">
      <c r="A1404" s="2">
        <f>HYPERLINK("https://camerareadycosmetics.com/products/jouer-essential-hydrating-lip-oil", "https://camerareadycosmetics.com/products/jouer-essential-hydrating-lip-oil")</f>
        <v/>
      </c>
      <c r="B1404" s="2">
        <f>HYPERLINK("https://camerareadycosmetics.com/products/jouer-essential-hydrating-lip-oil", "https://camerareadycosmetics.com/products/jouer-essential-hydrating-lip-oil")</f>
        <v/>
      </c>
      <c r="C1404" t="inlineStr">
        <is>
          <t>Essential Hydrating Lip Oil</t>
        </is>
      </c>
      <c r="D1404" t="inlineStr">
        <is>
          <t>Expressions 12pc Lip Gloss Lip Oil Collection – Lip Gloss Tubes with Essential Oils, Moisturizing, Hydrating Lip Glosses, Lip Glow Oil, Hydrating Lip Balm</t>
        </is>
      </c>
      <c r="E1404" s="2">
        <f>HYPERLINK("https://www.amazon.com/Expressions-12pc-Lip-Gloss-Collection/dp/B0C63X5NYD/ref=sr_1_9?keywords=Essential+Hydrating+Lip+Oil&amp;qid=1695565729&amp;sr=8-9", "https://www.amazon.com/Expressions-12pc-Lip-Gloss-Collection/dp/B0C63X5NYD/ref=sr_1_9?keywords=Essential+Hydrating+Lip+Oil&amp;qid=1695565729&amp;sr=8-9")</f>
        <v/>
      </c>
      <c r="F1404" t="inlineStr">
        <is>
          <t>B0C63X5NYD</t>
        </is>
      </c>
      <c r="G1404">
        <f>_xlfn.IMAGE("https://camerareadycosmetics.com/cdn/shop/products/OIL-EHLO-1_1_1024x1024.progressive_63dbb997-036c-4ca5-9aa7-2777f2de4287_50x.jpg?v=1635289567")</f>
        <v/>
      </c>
      <c r="H1404">
        <f>_xlfn.IMAGE("https://m.media-amazon.com/images/I/81vnJdtVEML._AC_UL320_.jpg")</f>
        <v/>
      </c>
      <c r="K1404" t="inlineStr">
        <is>
          <t>20.0</t>
        </is>
      </c>
      <c r="L1404" t="n">
        <v>14.99</v>
      </c>
      <c r="M1404" s="1" t="inlineStr">
        <is>
          <t>-25.05%</t>
        </is>
      </c>
      <c r="N1404" t="n">
        <v>3.8</v>
      </c>
      <c r="O1404" t="n">
        <v>13</v>
      </c>
      <c r="Q1404" t="inlineStr">
        <is>
          <t>InStock</t>
        </is>
      </c>
      <c r="R1404" t="inlineStr">
        <is>
          <t>undefined</t>
        </is>
      </c>
      <c r="S1404" t="inlineStr">
        <is>
          <t>7059704512697</t>
        </is>
      </c>
    </row>
    <row r="1405" ht="75" customHeight="1">
      <c r="A1405" s="2">
        <f>HYPERLINK("https://camerareadycosmetics.com/products/jouer-essential-hydrating-lip-oil", "https://camerareadycosmetics.com/products/jouer-essential-hydrating-lip-oil")</f>
        <v/>
      </c>
      <c r="B1405" s="2">
        <f>HYPERLINK("https://camerareadycosmetics.com/products/jouer-essential-hydrating-lip-oil", "https://camerareadycosmetics.com/products/jouer-essential-hydrating-lip-oil")</f>
        <v/>
      </c>
      <c r="C1405" t="inlineStr">
        <is>
          <t>Essential Hydrating Lip Oil</t>
        </is>
      </c>
      <c r="D1405" t="inlineStr">
        <is>
          <t>COLORKEY Lip Gloss Mirror Series, Hydrating Lip Gloss with Essential oil, High Shine Glossy Lip Tint, Hydrated &amp; Fuller-looking Lips, Long-Lasting Liquid Lipstick (B743)</t>
        </is>
      </c>
      <c r="E1405" s="2">
        <f>HYPERLINK("https://www.amazon.com/COLORKEY-Hydrating-Essential-Fuller-looking-Long-Lasting/dp/B0B96Y5T8V/ref=sr_1_10?keywords=Essential+Hydrating+Lip+Oil&amp;qid=1695565729&amp;sr=8-10", "https://www.amazon.com/COLORKEY-Hydrating-Essential-Fuller-looking-Long-Lasting/dp/B0B96Y5T8V/ref=sr_1_10?keywords=Essential+Hydrating+Lip+Oil&amp;qid=1695565729&amp;sr=8-10")</f>
        <v/>
      </c>
      <c r="F1405" t="inlineStr">
        <is>
          <t>B0B96Y5T8V</t>
        </is>
      </c>
      <c r="G1405">
        <f>_xlfn.IMAGE("https://camerareadycosmetics.com/cdn/shop/products/OIL-EHLO-1_1_1024x1024.progressive_63dbb997-036c-4ca5-9aa7-2777f2de4287_50x.jpg?v=1635289567")</f>
        <v/>
      </c>
      <c r="H1405">
        <f>_xlfn.IMAGE("https://m.media-amazon.com/images/I/61yShFDjF1L._AC_UL320_.jpg")</f>
        <v/>
      </c>
      <c r="K1405" t="inlineStr">
        <is>
          <t>20.0</t>
        </is>
      </c>
      <c r="L1405" t="n">
        <v>12.99</v>
      </c>
      <c r="M1405" s="1" t="inlineStr">
        <is>
          <t>-35.05%</t>
        </is>
      </c>
      <c r="N1405" t="n">
        <v>4.1</v>
      </c>
      <c r="O1405" t="n">
        <v>779</v>
      </c>
      <c r="Q1405" t="inlineStr">
        <is>
          <t>InStock</t>
        </is>
      </c>
      <c r="R1405" t="inlineStr">
        <is>
          <t>undefined</t>
        </is>
      </c>
      <c r="S1405" t="inlineStr">
        <is>
          <t>7059704512697</t>
        </is>
      </c>
    </row>
    <row r="1406" ht="75" customHeight="1">
      <c r="A1406" s="2">
        <f>HYPERLINK("https://camerareadycosmetics.com/products/jouer-essential-hydrating-lip-oil", "https://camerareadycosmetics.com/products/jouer-essential-hydrating-lip-oil")</f>
        <v/>
      </c>
      <c r="B1406" s="2">
        <f>HYPERLINK("https://camerareadycosmetics.com/products/jouer-essential-hydrating-lip-oil", "https://camerareadycosmetics.com/products/jouer-essential-hydrating-lip-oil")</f>
        <v/>
      </c>
      <c r="C1406" t="inlineStr">
        <is>
          <t>Essential Hydrating Lip Oil</t>
        </is>
      </c>
      <c r="D1406" t="inlineStr">
        <is>
          <t>CARSLAN Hydrating Lip Gloss Serum, Moisturizing, Plunping, Shiny Lip Glow, Tinted Lip Care with Vitamin E, Crithmum Maritimum Essential oil, G106</t>
        </is>
      </c>
      <c r="E1406" s="2">
        <f>HYPERLINK("https://www.amazon.com/CARSLAN-Hydrating-Moisturizing-Maritimum-Essential/dp/B0BX2V5RHR/ref=sr_1_8?keywords=Essential+Hydrating+Lip+Oil&amp;qid=1695565729&amp;sr=8-8", "https://www.amazon.com/CARSLAN-Hydrating-Moisturizing-Maritimum-Essential/dp/B0BX2V5RHR/ref=sr_1_8?keywords=Essential+Hydrating+Lip+Oil&amp;qid=1695565729&amp;sr=8-8")</f>
        <v/>
      </c>
      <c r="F1406" t="inlineStr">
        <is>
          <t>B0BX2V5RHR</t>
        </is>
      </c>
      <c r="G1406">
        <f>_xlfn.IMAGE("https://camerareadycosmetics.com/cdn/shop/products/OIL-EHLO-1_1_1024x1024.progressive_63dbb997-036c-4ca5-9aa7-2777f2de4287_50x.jpg?v=1635289567")</f>
        <v/>
      </c>
      <c r="H1406">
        <f>_xlfn.IMAGE("https://m.media-amazon.com/images/I/51KcTDa2V1L._AC_UL320_.jpg")</f>
        <v/>
      </c>
      <c r="K1406" t="inlineStr">
        <is>
          <t>20.0</t>
        </is>
      </c>
      <c r="L1406" t="n">
        <v>9.99</v>
      </c>
      <c r="M1406" s="1" t="inlineStr">
        <is>
          <t>-50.05%</t>
        </is>
      </c>
      <c r="N1406" t="n">
        <v>4.6</v>
      </c>
      <c r="O1406" t="n">
        <v>38</v>
      </c>
      <c r="Q1406" t="inlineStr">
        <is>
          <t>InStock</t>
        </is>
      </c>
      <c r="R1406" t="inlineStr">
        <is>
          <t>undefined</t>
        </is>
      </c>
      <c r="S1406" t="inlineStr">
        <is>
          <t>7059704512697</t>
        </is>
      </c>
    </row>
    <row r="1407" ht="75" customHeight="1">
      <c r="A1407" s="2">
        <f>HYPERLINK("https://camerareadycosmetics.com/products/jouer-essential-hydrating-lip-oil", "https://camerareadycosmetics.com/products/jouer-essential-hydrating-lip-oil")</f>
        <v/>
      </c>
      <c r="B1407" s="2">
        <f>HYPERLINK("https://camerareadycosmetics.com/products/jouer-essential-hydrating-lip-oil", "https://camerareadycosmetics.com/products/jouer-essential-hydrating-lip-oil")</f>
        <v/>
      </c>
      <c r="C1407" t="inlineStr">
        <is>
          <t>Essential Hydrating Lip Oil</t>
        </is>
      </c>
      <c r="D1407" t="inlineStr">
        <is>
          <t>Lip Essential Oils Set with Vitamin E, Non-sticky Natural Roll On Gift for Women, Dry Lip Hydrating &amp; Moisturizing Care - Enriched With Jojoba, Grapeseed, Argan Oil</t>
        </is>
      </c>
      <c r="E1407" s="2">
        <f>HYPERLINK("https://www.amazon.com/Essential-Vitamin-Non-sticky-Hydrating-Moisturizing/dp/B0BX8KBM7V/ref=sr_1_2?keywords=Essential+Hydrating+Lip+Oil&amp;qid=1695565729&amp;sr=8-2", "https://www.amazon.com/Essential-Vitamin-Non-sticky-Hydrating-Moisturizing/dp/B0BX8KBM7V/ref=sr_1_2?keywords=Essential+Hydrating+Lip+Oil&amp;qid=1695565729&amp;sr=8-2")</f>
        <v/>
      </c>
      <c r="F1407" t="inlineStr">
        <is>
          <t>B0BX8KBM7V</t>
        </is>
      </c>
      <c r="G1407">
        <f>_xlfn.IMAGE("https://camerareadycosmetics.com/cdn/shop/products/OIL-EHLO-1_1_1024x1024.progressive_63dbb997-036c-4ca5-9aa7-2777f2de4287_50x.jpg?v=1635289567")</f>
        <v/>
      </c>
      <c r="H1407">
        <f>_xlfn.IMAGE("https://m.media-amazon.com/images/I/71YuF-ts8XL._AC_UL320_.jpg")</f>
        <v/>
      </c>
      <c r="K1407" t="inlineStr">
        <is>
          <t>20.0</t>
        </is>
      </c>
      <c r="L1407" t="n">
        <v>9.99</v>
      </c>
      <c r="M1407" s="1" t="inlineStr">
        <is>
          <t>-50.05%</t>
        </is>
      </c>
      <c r="N1407" t="n">
        <v>3.3</v>
      </c>
      <c r="O1407" t="n">
        <v>28</v>
      </c>
      <c r="Q1407" t="inlineStr">
        <is>
          <t>InStock</t>
        </is>
      </c>
      <c r="R1407" t="inlineStr">
        <is>
          <t>undefined</t>
        </is>
      </c>
      <c r="S1407" t="inlineStr">
        <is>
          <t>7059704512697</t>
        </is>
      </c>
    </row>
    <row r="1408" ht="75" customHeight="1">
      <c r="A1408" s="2">
        <f>HYPERLINK("https://camerareadycosmetics.com/products/jouer-essential-hydrating-lip-oil", "https://camerareadycosmetics.com/products/jouer-essential-hydrating-lip-oil")</f>
        <v/>
      </c>
      <c r="B1408" s="2">
        <f>HYPERLINK("https://camerareadycosmetics.com/products/jouer-essential-hydrating-lip-oil", "https://camerareadycosmetics.com/products/jouer-essential-hydrating-lip-oil")</f>
        <v/>
      </c>
      <c r="C1408" t="inlineStr">
        <is>
          <t>Essential Hydrating Lip Oil</t>
        </is>
      </c>
      <c r="D1408" t="inlineStr">
        <is>
          <t>Chapstick Total Hydration Essential Oils Lip Balm - Relax - 0.12oz (Pack of 2)</t>
        </is>
      </c>
      <c r="E1408" s="2">
        <f>HYPERLINK("https://www.amazon.com/Chapstick-Total-Hydration-Essential-Oils/dp/B07R6YG5QJ/ref=sr_1_6?keywords=Essential+Hydrating+Lip+Oil&amp;qid=1695565729&amp;sr=8-6", "https://www.amazon.com/Chapstick-Total-Hydration-Essential-Oils/dp/B07R6YG5QJ/ref=sr_1_6?keywords=Essential+Hydrating+Lip+Oil&amp;qid=1695565729&amp;sr=8-6")</f>
        <v/>
      </c>
      <c r="F1408" t="inlineStr">
        <is>
          <t>B07R6YG5QJ</t>
        </is>
      </c>
      <c r="G1408">
        <f>_xlfn.IMAGE("https://camerareadycosmetics.com/cdn/shop/products/OIL-EHLO-1_1_1024x1024.progressive_63dbb997-036c-4ca5-9aa7-2777f2de4287_50x.jpg?v=1635289567")</f>
        <v/>
      </c>
      <c r="H1408">
        <f>_xlfn.IMAGE("https://m.media-amazon.com/images/I/517rqWJmXeL._AC_UL320_.jpg")</f>
        <v/>
      </c>
      <c r="K1408" t="inlineStr">
        <is>
          <t>20.0</t>
        </is>
      </c>
      <c r="L1408" t="n">
        <v>8.640000000000001</v>
      </c>
      <c r="M1408" s="1" t="inlineStr">
        <is>
          <t>-56.80%</t>
        </is>
      </c>
      <c r="N1408" t="n">
        <v>4.4</v>
      </c>
      <c r="O1408" t="n">
        <v>20</v>
      </c>
      <c r="Q1408" t="inlineStr">
        <is>
          <t>InStock</t>
        </is>
      </c>
      <c r="R1408" t="inlineStr">
        <is>
          <t>undefined</t>
        </is>
      </c>
      <c r="S1408" t="inlineStr">
        <is>
          <t>7059704512697</t>
        </is>
      </c>
    </row>
    <row r="1409" ht="75" customHeight="1">
      <c r="A1409" s="2">
        <f>HYPERLINK("https://camerareadycosmetics.com/products/jouer-essential-hydrating-lip-oil", "https://camerareadycosmetics.com/products/jouer-essential-hydrating-lip-oil")</f>
        <v/>
      </c>
      <c r="B1409" s="2">
        <f>HYPERLINK("https://camerareadycosmetics.com/products/jouer-essential-hydrating-lip-oil", "https://camerareadycosmetics.com/products/jouer-essential-hydrating-lip-oil")</f>
        <v/>
      </c>
      <c r="C1409" t="inlineStr">
        <is>
          <t>Essential Hydrating Lip Oil</t>
        </is>
      </c>
      <c r="D1409" t="inlineStr">
        <is>
          <t>Young Living Lavender Lip Balm - 0.15 oz - Essential Oils , Soothes Dry Lips , Hydrates &amp; Softens , Natural Lip Care Hydrating Lip Treatment , Moisturizing Lip Balm</t>
        </is>
      </c>
      <c r="E1409" s="2">
        <f>HYPERLINK("https://www.amazon.com/Lavender-Lip-Balm-Living-Essential/dp/B001B67WJY/ref=sr_1_7?keywords=Essential+Hydrating+Lip+Oil&amp;qid=1695565729&amp;sr=8-7", "https://www.amazon.com/Lavender-Lip-Balm-Living-Essential/dp/B001B67WJY/ref=sr_1_7?keywords=Essential+Hydrating+Lip+Oil&amp;qid=1695565729&amp;sr=8-7")</f>
        <v/>
      </c>
      <c r="F1409" t="inlineStr">
        <is>
          <t>B001B67WJY</t>
        </is>
      </c>
      <c r="G1409">
        <f>_xlfn.IMAGE("https://camerareadycosmetics.com/cdn/shop/products/OIL-EHLO-1_1_1024x1024.progressive_63dbb997-036c-4ca5-9aa7-2777f2de4287_50x.jpg?v=1635289567")</f>
        <v/>
      </c>
      <c r="H1409">
        <f>_xlfn.IMAGE("https://m.media-amazon.com/images/I/51QhgJlK6lL._AC_UL320_.jpg")</f>
        <v/>
      </c>
      <c r="K1409" t="inlineStr">
        <is>
          <t>20.0</t>
        </is>
      </c>
      <c r="L1409" t="n">
        <v>7.99</v>
      </c>
      <c r="M1409" s="1" t="inlineStr">
        <is>
          <t>-60.05%</t>
        </is>
      </c>
      <c r="N1409" t="n">
        <v>4.6</v>
      </c>
      <c r="O1409" t="n">
        <v>233</v>
      </c>
      <c r="Q1409" t="inlineStr">
        <is>
          <t>InStock</t>
        </is>
      </c>
      <c r="R1409" t="inlineStr">
        <is>
          <t>undefined</t>
        </is>
      </c>
      <c r="S1409" t="inlineStr">
        <is>
          <t>7059704512697</t>
        </is>
      </c>
    </row>
    <row r="1410" ht="75" customHeight="1">
      <c r="A1410" s="2">
        <f>HYPERLINK("https://camerareadycosmetics.com/products/jouer-essential-hydrating-lip-oil", "https://camerareadycosmetics.com/products/jouer-essential-hydrating-lip-oil")</f>
        <v/>
      </c>
      <c r="B1410" s="2">
        <f>HYPERLINK("https://camerareadycosmetics.com/products/jouer-essential-hydrating-lip-oil", "https://camerareadycosmetics.com/products/jouer-essential-hydrating-lip-oil")</f>
        <v/>
      </c>
      <c r="C1410" t="inlineStr">
        <is>
          <t>Essential Hydrating Lip Oil</t>
        </is>
      </c>
      <c r="D1410" t="inlineStr">
        <is>
          <t>ChapStick Total Hydration Essential Oils Happy Orange And Lemon Lip Balm Tube, Lip Care - 0.12 Oz</t>
        </is>
      </c>
      <c r="E1410" s="2">
        <f>HYPERLINK("https://www.amazon.com/ChapStick-Total-Hydration-Essential-Orange/dp/B07QQCPV6T/ref=sr_1_4?keywords=Essential+Hydrating+Lip+Oil&amp;qid=1695565729&amp;rdc=1&amp;sr=8-4", "https://www.amazon.com/ChapStick-Total-Hydration-Essential-Orange/dp/B07QQCPV6T/ref=sr_1_4?keywords=Essential+Hydrating+Lip+Oil&amp;qid=1695565729&amp;rdc=1&amp;sr=8-4")</f>
        <v/>
      </c>
      <c r="F1410" t="inlineStr">
        <is>
          <t>B07QQCPV6T</t>
        </is>
      </c>
      <c r="G1410">
        <f>_xlfn.IMAGE("https://camerareadycosmetics.com/cdn/shop/products/OIL-EHLO-1_1_1024x1024.progressive_63dbb997-036c-4ca5-9aa7-2777f2de4287_50x.jpg?v=1635289567")</f>
        <v/>
      </c>
      <c r="H1410">
        <f>_xlfn.IMAGE("https://m.media-amazon.com/images/I/61JwxJow1+L._AC_UL320_.jpg")</f>
        <v/>
      </c>
      <c r="K1410" t="inlineStr">
        <is>
          <t>20.0</t>
        </is>
      </c>
      <c r="L1410" t="n">
        <v>4.99</v>
      </c>
      <c r="M1410" s="1" t="inlineStr">
        <is>
          <t>-75.05%</t>
        </is>
      </c>
      <c r="N1410" t="n">
        <v>4.7</v>
      </c>
      <c r="O1410" t="n">
        <v>1149</v>
      </c>
      <c r="Q1410" t="inlineStr">
        <is>
          <t>InStock</t>
        </is>
      </c>
      <c r="R1410" t="inlineStr">
        <is>
          <t>undefined</t>
        </is>
      </c>
      <c r="S1410" t="inlineStr">
        <is>
          <t>7059704512697</t>
        </is>
      </c>
    </row>
    <row r="1411" ht="75" customHeight="1">
      <c r="A1411" s="2">
        <f>HYPERLINK("https://camerareadycosmetics.com/products/jouer-essential-hydrating-lip-oil", "https://camerareadycosmetics.com/products/jouer-essential-hydrating-lip-oil")</f>
        <v/>
      </c>
      <c r="B1411" s="2">
        <f>HYPERLINK("https://camerareadycosmetics.com/products/jouer-essential-hydrating-lip-oil", "https://camerareadycosmetics.com/products/jouer-essential-hydrating-lip-oil")</f>
        <v/>
      </c>
      <c r="C1411" t="inlineStr">
        <is>
          <t>Essential Hydrating Lip Oil</t>
        </is>
      </c>
      <c r="D1411" t="inlineStr">
        <is>
          <t>ChapStick Total Hydration Essential Oils Peace Lip Balm, Rosemary + Peppermint Lip Balm Tube, Lip Care - 0.12 Oz</t>
        </is>
      </c>
      <c r="E1411" s="2">
        <f>HYPERLINK("https://www.amazon.com/ChapStick-Hydration-Essential-Rosemary-Peppermint/dp/B07QQCYNWJ/ref=sr_1_3?keywords=Essential+Hydrating+Lip+Oil&amp;qid=1695565729&amp;rdc=1&amp;sr=8-3", "https://www.amazon.com/ChapStick-Hydration-Essential-Rosemary-Peppermint/dp/B07QQCYNWJ/ref=sr_1_3?keywords=Essential+Hydrating+Lip+Oil&amp;qid=1695565729&amp;rdc=1&amp;sr=8-3")</f>
        <v/>
      </c>
      <c r="F1411" t="inlineStr">
        <is>
          <t>B07QQCYNWJ</t>
        </is>
      </c>
      <c r="G1411">
        <f>_xlfn.IMAGE("https://camerareadycosmetics.com/cdn/shop/products/OIL-EHLO-1_1_1024x1024.progressive_63dbb997-036c-4ca5-9aa7-2777f2de4287_50x.jpg?v=1635289567")</f>
        <v/>
      </c>
      <c r="H1411">
        <f>_xlfn.IMAGE("https://m.media-amazon.com/images/I/61HxkQ+5rvL._AC_UL320_.jpg")</f>
        <v/>
      </c>
      <c r="K1411" t="inlineStr">
        <is>
          <t>20.0</t>
        </is>
      </c>
      <c r="L1411" t="n">
        <v>3.66</v>
      </c>
      <c r="M1411" s="1" t="inlineStr">
        <is>
          <t>-81.70%</t>
        </is>
      </c>
      <c r="N1411" t="n">
        <v>4.7</v>
      </c>
      <c r="O1411" t="n">
        <v>506</v>
      </c>
      <c r="Q1411" t="inlineStr">
        <is>
          <t>InStock</t>
        </is>
      </c>
      <c r="R1411" t="inlineStr">
        <is>
          <t>undefined</t>
        </is>
      </c>
      <c r="S1411" t="inlineStr">
        <is>
          <t>7059704512697</t>
        </is>
      </c>
    </row>
    <row r="1412" ht="75" customHeight="1">
      <c r="A1412" s="2">
        <f>HYPERLINK("https://camerareadycosmetics.com/products/jouer-essential-hydrating-lip-oil", "https://camerareadycosmetics.com/products/jouer-essential-hydrating-lip-oil")</f>
        <v/>
      </c>
      <c r="B1412" s="2">
        <f>HYPERLINK("https://camerareadycosmetics.com/products/jouer-essential-hydrating-lip-oil", "https://camerareadycosmetics.com/products/jouer-essential-hydrating-lip-oil")</f>
        <v/>
      </c>
      <c r="C1412" t="inlineStr">
        <is>
          <t>Essential Hydrating Lip Oil</t>
        </is>
      </c>
      <c r="D1412" t="inlineStr">
        <is>
          <t>CARSLAN Hydrating Lip Gloss Serum, Moisturizing, Plunping, Shiny Lip Glow, Tinted Lip Care with Vitamin E, Crithmum Maritimum Essential oil, G106</t>
        </is>
      </c>
      <c r="E1412" s="2">
        <f>HYPERLINK("https://www.amazon.com/CARSLAN-Hydrating-Moisturizing-Maritimum-Essential/dp/B0BX2V5RHR/ref=sr_1_8?keywords=Essential+Hydrating+Lip+Oil&amp;qid=1695565729&amp;sr=8-8", "https://www.amazon.com/CARSLAN-Hydrating-Moisturizing-Maritimum-Essential/dp/B0BX2V5RHR/ref=sr_1_8?keywords=Essential+Hydrating+Lip+Oil&amp;qid=1695565729&amp;sr=8-8")</f>
        <v/>
      </c>
      <c r="F1412" t="inlineStr">
        <is>
          <t>B0BX2V5RHR</t>
        </is>
      </c>
      <c r="G1412">
        <f>_xlfn.IMAGE("https://camerareadycosmetics.com/cdn/shop/products/OIL-EHLO-1_1_1024x1024.progressive_63dbb997-036c-4ca5-9aa7-2777f2de4287_50x.jpg?v=1635289567")</f>
        <v/>
      </c>
      <c r="H1412">
        <f>_xlfn.IMAGE("https://m.media-amazon.com/images/I/51KcTDa2V1L._AC_UL320_.jpg")</f>
        <v/>
      </c>
      <c r="K1412" t="inlineStr">
        <is>
          <t>20.0</t>
        </is>
      </c>
      <c r="L1412" t="n">
        <v>9.99</v>
      </c>
      <c r="M1412" s="1" t="inlineStr">
        <is>
          <t>-50.05%</t>
        </is>
      </c>
      <c r="N1412" t="n">
        <v>4.6</v>
      </c>
      <c r="O1412" t="n">
        <v>38</v>
      </c>
      <c r="Q1412" t="inlineStr">
        <is>
          <t>InStock</t>
        </is>
      </c>
      <c r="R1412" t="inlineStr">
        <is>
          <t>undefined</t>
        </is>
      </c>
      <c r="S1412" t="inlineStr">
        <is>
          <t>7059704512697</t>
        </is>
      </c>
    </row>
    <row r="1413" ht="75" customHeight="1">
      <c r="A1413" s="2">
        <f>HYPERLINK("https://camerareadycosmetics.com/products/jouer-essential-hydrating-lip-oil", "https://camerareadycosmetics.com/products/jouer-essential-hydrating-lip-oil")</f>
        <v/>
      </c>
      <c r="B1413" s="2">
        <f>HYPERLINK("https://camerareadycosmetics.com/products/jouer-essential-hydrating-lip-oil", "https://camerareadycosmetics.com/products/jouer-essential-hydrating-lip-oil")</f>
        <v/>
      </c>
      <c r="C1413" t="inlineStr">
        <is>
          <t>Essential Hydrating Lip Oil</t>
        </is>
      </c>
      <c r="D1413" t="inlineStr">
        <is>
          <t>Lip Essential Oils Set with Vitamin E, Non-sticky Natural Roll On Gift for Women, Dry Lip Hydrating &amp; Moisturizing Care - Enriched With Jojoba, Grapeseed, Argan Oil</t>
        </is>
      </c>
      <c r="E1413" s="2">
        <f>HYPERLINK("https://www.amazon.com/Essential-Vitamin-Non-sticky-Hydrating-Moisturizing/dp/B0BX8KBM7V/ref=sr_1_2?keywords=Essential+Hydrating+Lip+Oil&amp;qid=1695565729&amp;sr=8-2", "https://www.amazon.com/Essential-Vitamin-Non-sticky-Hydrating-Moisturizing/dp/B0BX8KBM7V/ref=sr_1_2?keywords=Essential+Hydrating+Lip+Oil&amp;qid=1695565729&amp;sr=8-2")</f>
        <v/>
      </c>
      <c r="F1413" t="inlineStr">
        <is>
          <t>B0BX8KBM7V</t>
        </is>
      </c>
      <c r="G1413">
        <f>_xlfn.IMAGE("https://camerareadycosmetics.com/cdn/shop/products/OIL-EHLO-1_1_1024x1024.progressive_63dbb997-036c-4ca5-9aa7-2777f2de4287_50x.jpg?v=1635289567")</f>
        <v/>
      </c>
      <c r="H1413">
        <f>_xlfn.IMAGE("https://m.media-amazon.com/images/I/71YuF-ts8XL._AC_UL320_.jpg")</f>
        <v/>
      </c>
      <c r="K1413" t="inlineStr">
        <is>
          <t>20.0</t>
        </is>
      </c>
      <c r="L1413" t="n">
        <v>9.99</v>
      </c>
      <c r="M1413" s="1" t="inlineStr">
        <is>
          <t>-50.05%</t>
        </is>
      </c>
      <c r="N1413" t="n">
        <v>3.3</v>
      </c>
      <c r="O1413" t="n">
        <v>28</v>
      </c>
      <c r="Q1413" t="inlineStr">
        <is>
          <t>InStock</t>
        </is>
      </c>
      <c r="R1413" t="inlineStr">
        <is>
          <t>undefined</t>
        </is>
      </c>
      <c r="S1413" t="inlineStr">
        <is>
          <t>7059704512697</t>
        </is>
      </c>
    </row>
    <row r="1414" ht="75" customHeight="1">
      <c r="A1414" s="2">
        <f>HYPERLINK("https://camerareadycosmetics.com/products/jouer-essential-hydrating-lip-oil", "https://camerareadycosmetics.com/products/jouer-essential-hydrating-lip-oil")</f>
        <v/>
      </c>
      <c r="B1414" s="2">
        <f>HYPERLINK("https://camerareadycosmetics.com/products/jouer-essential-hydrating-lip-oil", "https://camerareadycosmetics.com/products/jouer-essential-hydrating-lip-oil")</f>
        <v/>
      </c>
      <c r="C1414" t="inlineStr">
        <is>
          <t>Essential Hydrating Lip Oil</t>
        </is>
      </c>
      <c r="D1414" t="inlineStr">
        <is>
          <t>Chapstick Total Hydration Essential Oils Lip Balm - Relax - 0.12oz (Pack of 2)</t>
        </is>
      </c>
      <c r="E1414" s="2">
        <f>HYPERLINK("https://www.amazon.com/Chapstick-Total-Hydration-Essential-Oils/dp/B07R6YG5QJ/ref=sr_1_6?keywords=Essential+Hydrating+Lip+Oil&amp;qid=1695565729&amp;sr=8-6", "https://www.amazon.com/Chapstick-Total-Hydration-Essential-Oils/dp/B07R6YG5QJ/ref=sr_1_6?keywords=Essential+Hydrating+Lip+Oil&amp;qid=1695565729&amp;sr=8-6")</f>
        <v/>
      </c>
      <c r="F1414" t="inlineStr">
        <is>
          <t>B07R6YG5QJ</t>
        </is>
      </c>
      <c r="G1414">
        <f>_xlfn.IMAGE("https://camerareadycosmetics.com/cdn/shop/products/OIL-EHLO-1_1_1024x1024.progressive_63dbb997-036c-4ca5-9aa7-2777f2de4287_50x.jpg?v=1635289567")</f>
        <v/>
      </c>
      <c r="H1414">
        <f>_xlfn.IMAGE("https://m.media-amazon.com/images/I/517rqWJmXeL._AC_UL320_.jpg")</f>
        <v/>
      </c>
      <c r="K1414" t="inlineStr">
        <is>
          <t>20.0</t>
        </is>
      </c>
      <c r="L1414" t="n">
        <v>8.640000000000001</v>
      </c>
      <c r="M1414" s="1" t="inlineStr">
        <is>
          <t>-56.80%</t>
        </is>
      </c>
      <c r="N1414" t="n">
        <v>4.4</v>
      </c>
      <c r="O1414" t="n">
        <v>20</v>
      </c>
      <c r="Q1414" t="inlineStr">
        <is>
          <t>InStock</t>
        </is>
      </c>
      <c r="R1414" t="inlineStr">
        <is>
          <t>undefined</t>
        </is>
      </c>
      <c r="S1414" t="inlineStr">
        <is>
          <t>7059704512697</t>
        </is>
      </c>
    </row>
    <row r="1415" ht="75" customHeight="1">
      <c r="A1415" s="2">
        <f>HYPERLINK("https://camerareadycosmetics.com/products/jouer-essential-hydrating-lip-oil", "https://camerareadycosmetics.com/products/jouer-essential-hydrating-lip-oil")</f>
        <v/>
      </c>
      <c r="B1415" s="2">
        <f>HYPERLINK("https://camerareadycosmetics.com/products/jouer-essential-hydrating-lip-oil", "https://camerareadycosmetics.com/products/jouer-essential-hydrating-lip-oil")</f>
        <v/>
      </c>
      <c r="C1415" t="inlineStr">
        <is>
          <t>Essential Hydrating Lip Oil</t>
        </is>
      </c>
      <c r="D1415" t="inlineStr">
        <is>
          <t>Young Living Lavender Lip Balm - 0.15 oz - Essential Oils , Soothes Dry Lips , Hydrates &amp; Softens , Natural Lip Care Hydrating Lip Treatment , Moisturizing Lip Balm</t>
        </is>
      </c>
      <c r="E1415" s="2">
        <f>HYPERLINK("https://www.amazon.com/Lavender-Lip-Balm-Living-Essential/dp/B001B67WJY/ref=sr_1_7?keywords=Essential+Hydrating+Lip+Oil&amp;qid=1695565729&amp;sr=8-7", "https://www.amazon.com/Lavender-Lip-Balm-Living-Essential/dp/B001B67WJY/ref=sr_1_7?keywords=Essential+Hydrating+Lip+Oil&amp;qid=1695565729&amp;sr=8-7")</f>
        <v/>
      </c>
      <c r="F1415" t="inlineStr">
        <is>
          <t>B001B67WJY</t>
        </is>
      </c>
      <c r="G1415">
        <f>_xlfn.IMAGE("https://camerareadycosmetics.com/cdn/shop/products/OIL-EHLO-1_1_1024x1024.progressive_63dbb997-036c-4ca5-9aa7-2777f2de4287_50x.jpg?v=1635289567")</f>
        <v/>
      </c>
      <c r="H1415">
        <f>_xlfn.IMAGE("https://m.media-amazon.com/images/I/51QhgJlK6lL._AC_UL320_.jpg")</f>
        <v/>
      </c>
      <c r="K1415" t="inlineStr">
        <is>
          <t>20.0</t>
        </is>
      </c>
      <c r="L1415" t="n">
        <v>7.99</v>
      </c>
      <c r="M1415" s="1" t="inlineStr">
        <is>
          <t>-60.05%</t>
        </is>
      </c>
      <c r="N1415" t="n">
        <v>4.6</v>
      </c>
      <c r="O1415" t="n">
        <v>233</v>
      </c>
      <c r="Q1415" t="inlineStr">
        <is>
          <t>InStock</t>
        </is>
      </c>
      <c r="R1415" t="inlineStr">
        <is>
          <t>undefined</t>
        </is>
      </c>
      <c r="S1415" t="inlineStr">
        <is>
          <t>7059704512697</t>
        </is>
      </c>
    </row>
    <row r="1416" ht="75" customHeight="1">
      <c r="A1416" s="2">
        <f>HYPERLINK("https://camerareadycosmetics.com/products/jouer-essential-hydrating-lip-oil", "https://camerareadycosmetics.com/products/jouer-essential-hydrating-lip-oil")</f>
        <v/>
      </c>
      <c r="B1416" s="2">
        <f>HYPERLINK("https://camerareadycosmetics.com/products/jouer-essential-hydrating-lip-oil", "https://camerareadycosmetics.com/products/jouer-essential-hydrating-lip-oil")</f>
        <v/>
      </c>
      <c r="C1416" t="inlineStr">
        <is>
          <t>Essential Hydrating Lip Oil</t>
        </is>
      </c>
      <c r="D1416" t="inlineStr">
        <is>
          <t>ChapStick Total Hydration Essential Oils Happy Orange And Lemon Lip Balm Tube, Lip Care - 0.12 Oz</t>
        </is>
      </c>
      <c r="E1416" s="2">
        <f>HYPERLINK("https://www.amazon.com/ChapStick-Total-Hydration-Essential-Orange/dp/B07QQCPV6T/ref=sr_1_4?keywords=Essential+Hydrating+Lip+Oil&amp;qid=1695565729&amp;rdc=1&amp;sr=8-4", "https://www.amazon.com/ChapStick-Total-Hydration-Essential-Orange/dp/B07QQCPV6T/ref=sr_1_4?keywords=Essential+Hydrating+Lip+Oil&amp;qid=1695565729&amp;rdc=1&amp;sr=8-4")</f>
        <v/>
      </c>
      <c r="F1416" t="inlineStr">
        <is>
          <t>B07QQCPV6T</t>
        </is>
      </c>
      <c r="G1416">
        <f>_xlfn.IMAGE("https://camerareadycosmetics.com/cdn/shop/products/OIL-EHLO-1_1_1024x1024.progressive_63dbb997-036c-4ca5-9aa7-2777f2de4287_50x.jpg?v=1635289567")</f>
        <v/>
      </c>
      <c r="H1416">
        <f>_xlfn.IMAGE("https://m.media-amazon.com/images/I/61JwxJow1+L._AC_UL320_.jpg")</f>
        <v/>
      </c>
      <c r="K1416" t="inlineStr">
        <is>
          <t>20.0</t>
        </is>
      </c>
      <c r="L1416" t="n">
        <v>4.99</v>
      </c>
      <c r="M1416" s="1" t="inlineStr">
        <is>
          <t>-75.05%</t>
        </is>
      </c>
      <c r="N1416" t="n">
        <v>4.7</v>
      </c>
      <c r="O1416" t="n">
        <v>1149</v>
      </c>
      <c r="Q1416" t="inlineStr">
        <is>
          <t>InStock</t>
        </is>
      </c>
      <c r="R1416" t="inlineStr">
        <is>
          <t>undefined</t>
        </is>
      </c>
      <c r="S1416" t="inlineStr">
        <is>
          <t>7059704512697</t>
        </is>
      </c>
    </row>
    <row r="1417" ht="75" customHeight="1">
      <c r="A1417" s="2">
        <f>HYPERLINK("https://camerareadycosmetics.com/products/jouer-essential-hydrating-lip-oil", "https://camerareadycosmetics.com/products/jouer-essential-hydrating-lip-oil")</f>
        <v/>
      </c>
      <c r="B1417" s="2">
        <f>HYPERLINK("https://camerareadycosmetics.com/products/jouer-essential-hydrating-lip-oil", "https://camerareadycosmetics.com/products/jouer-essential-hydrating-lip-oil")</f>
        <v/>
      </c>
      <c r="C1417" t="inlineStr">
        <is>
          <t>Essential Hydrating Lip Oil</t>
        </is>
      </c>
      <c r="D1417" t="inlineStr">
        <is>
          <t>ChapStick Total Hydration Essential Oils Peace Lip Balm, Rosemary + Peppermint Lip Balm Tube, Lip Care - 0.12 Oz</t>
        </is>
      </c>
      <c r="E1417" s="2">
        <f>HYPERLINK("https://www.amazon.com/ChapStick-Hydration-Essential-Rosemary-Peppermint/dp/B07QQCYNWJ/ref=sr_1_3?keywords=Essential+Hydrating+Lip+Oil&amp;qid=1695565729&amp;rdc=1&amp;sr=8-3", "https://www.amazon.com/ChapStick-Hydration-Essential-Rosemary-Peppermint/dp/B07QQCYNWJ/ref=sr_1_3?keywords=Essential+Hydrating+Lip+Oil&amp;qid=1695565729&amp;rdc=1&amp;sr=8-3")</f>
        <v/>
      </c>
      <c r="F1417" t="inlineStr">
        <is>
          <t>B07QQCYNWJ</t>
        </is>
      </c>
      <c r="G1417">
        <f>_xlfn.IMAGE("https://camerareadycosmetics.com/cdn/shop/products/OIL-EHLO-1_1_1024x1024.progressive_63dbb997-036c-4ca5-9aa7-2777f2de4287_50x.jpg?v=1635289567")</f>
        <v/>
      </c>
      <c r="H1417">
        <f>_xlfn.IMAGE("https://m.media-amazon.com/images/I/61HxkQ+5rvL._AC_UL320_.jpg")</f>
        <v/>
      </c>
      <c r="K1417" t="inlineStr">
        <is>
          <t>20.0</t>
        </is>
      </c>
      <c r="L1417" t="n">
        <v>3.66</v>
      </c>
      <c r="M1417" s="1" t="inlineStr">
        <is>
          <t>-81.70%</t>
        </is>
      </c>
      <c r="N1417" t="n">
        <v>4.7</v>
      </c>
      <c r="O1417" t="n">
        <v>506</v>
      </c>
      <c r="Q1417" t="inlineStr">
        <is>
          <t>InStock</t>
        </is>
      </c>
      <c r="R1417" t="inlineStr">
        <is>
          <t>undefined</t>
        </is>
      </c>
      <c r="S1417" t="inlineStr">
        <is>
          <t>7059704512697</t>
        </is>
      </c>
    </row>
    <row r="1418" ht="75" customHeight="1">
      <c r="A1418" s="2">
        <f>HYPERLINK("https://camerareadycosmetics.com/products/jouer-high-pigment-pearl-lip-gloss", "https://camerareadycosmetics.com/products/jouer-high-pigment-pearl-lip-gloss")</f>
        <v/>
      </c>
      <c r="B1418" s="2">
        <f>HYPERLINK("https://camerareadycosmetics.com/products/jouer-high-pigment-pearl-lip-gloss", "https://camerareadycosmetics.com/products/jouer-high-pigment-pearl-lip-gloss")</f>
        <v/>
      </c>
      <c r="C1418" t="inlineStr">
        <is>
          <t>High Pigment Pearl Lip Gloss</t>
        </is>
      </c>
      <c r="D1418" t="inlineStr">
        <is>
          <t>Moisturize Lip Gloss Base(10 Ounce) Clear Lip Gloss&amp; Lip Gloss Pigment Powder 5 Colors x10G and White Metallic Shimmer Pearl Glitter Natural Pigment for DIY Handmade Lip Balms Lip Gloss</t>
        </is>
      </c>
      <c r="E1418" s="2">
        <f>HYPERLINK("https://www.amazon.com/PARAMISS-Moisturize-Pigment-Metallic-Handmade/dp/B08W2Y31W4/ref=sr_1_10?keywords=High+Pigment+Pearl+Lip+Gloss&amp;qid=1695565787&amp;sr=8-10", "https://www.amazon.com/PARAMISS-Moisturize-Pigment-Metallic-Handmade/dp/B08W2Y31W4/ref=sr_1_10?keywords=High+Pigment+Pearl+Lip+Gloss&amp;qid=1695565787&amp;sr=8-10")</f>
        <v/>
      </c>
      <c r="F1418" t="inlineStr">
        <is>
          <t>B08W2Y31W4</t>
        </is>
      </c>
      <c r="G1418">
        <f>_xlfn.IMAGE("https://camerareadycosmetics.com/cdn/shop/products/jouer-lipgloss-hpplg-tulum-tulum-1_1024x1024.progressive_7f280513-4188-4161-be22-e1967aa5c383_50x.jpg?v=1666836749")</f>
        <v/>
      </c>
      <c r="H1418">
        <f>_xlfn.IMAGE("https://m.media-amazon.com/images/I/71D2eXLqJFL._AC_UL320_.jpg")</f>
        <v/>
      </c>
      <c r="K1418" t="inlineStr">
        <is>
          <t>19.0</t>
        </is>
      </c>
      <c r="L1418" t="n">
        <v>21.99</v>
      </c>
      <c r="M1418" s="1" t="inlineStr">
        <is>
          <t>15.74%</t>
        </is>
      </c>
      <c r="N1418" t="n">
        <v>5</v>
      </c>
      <c r="O1418" t="n">
        <v>1</v>
      </c>
      <c r="Q1418" t="inlineStr">
        <is>
          <t>InStock</t>
        </is>
      </c>
      <c r="R1418" t="inlineStr">
        <is>
          <t>undefined</t>
        </is>
      </c>
      <c r="S1418" t="inlineStr">
        <is>
          <t>7059706773689</t>
        </is>
      </c>
    </row>
    <row r="1419" ht="75" customHeight="1">
      <c r="A1419" s="2">
        <f>HYPERLINK("https://camerareadycosmetics.com/products/jouer-high-pigment-pearl-lip-gloss", "https://camerareadycosmetics.com/products/jouer-high-pigment-pearl-lip-gloss")</f>
        <v/>
      </c>
      <c r="B1419" s="2">
        <f>HYPERLINK("https://camerareadycosmetics.com/products/jouer-high-pigment-pearl-lip-gloss", "https://camerareadycosmetics.com/products/jouer-high-pigment-pearl-lip-gloss")</f>
        <v/>
      </c>
      <c r="C1419" t="inlineStr">
        <is>
          <t>High Pigment Pearl Lip Gloss</t>
        </is>
      </c>
      <c r="D1419" t="inlineStr">
        <is>
          <t>Jouer High Pigment Pearl Lip Gloss | Men &amp; Women | High-Gloss Shine &amp; Lacquer Finish | Non-Sticky | Healthy Ingredients | Paraben, Gluten &amp; Cruelty Free | Vegan Friendly</t>
        </is>
      </c>
      <c r="E1419" s="2">
        <f>HYPERLINK("https://www.amazon.com/Jouer-Pigment-Pearl-Gloss-Riviera/dp/B07994L96C/ref=sr_1_1?keywords=High+Pigment+Pearl+Lip+Gloss&amp;qid=1695565787&amp;sr=8-1", "https://www.amazon.com/Jouer-Pigment-Pearl-Gloss-Riviera/dp/B07994L96C/ref=sr_1_1?keywords=High+Pigment+Pearl+Lip+Gloss&amp;qid=1695565787&amp;sr=8-1")</f>
        <v/>
      </c>
      <c r="F1419" t="inlineStr">
        <is>
          <t>B07994L96C</t>
        </is>
      </c>
      <c r="G1419">
        <f>_xlfn.IMAGE("https://camerareadycosmetics.com/cdn/shop/products/jouer-lipgloss-hpplg-tulum-tulum-1_1024x1024.progressive_7f280513-4188-4161-be22-e1967aa5c383_50x.jpg?v=1666836749")</f>
        <v/>
      </c>
      <c r="H1419">
        <f>_xlfn.IMAGE("https://m.media-amazon.com/images/I/71tDBiovhfL._AC_UL320_.jpg")</f>
        <v/>
      </c>
      <c r="K1419" t="inlineStr">
        <is>
          <t>19.0</t>
        </is>
      </c>
      <c r="L1419" t="n">
        <v>20.67</v>
      </c>
      <c r="M1419" s="1" t="inlineStr">
        <is>
          <t>8.79%</t>
        </is>
      </c>
      <c r="N1419" t="n">
        <v>4.1</v>
      </c>
      <c r="O1419" t="n">
        <v>28</v>
      </c>
      <c r="Q1419" t="inlineStr">
        <is>
          <t>InStock</t>
        </is>
      </c>
      <c r="R1419" t="inlineStr">
        <is>
          <t>undefined</t>
        </is>
      </c>
      <c r="S1419" t="inlineStr">
        <is>
          <t>7059706773689</t>
        </is>
      </c>
    </row>
    <row r="1420" ht="75" customHeight="1">
      <c r="A1420" s="2">
        <f>HYPERLINK("https://camerareadycosmetics.com/products/jouer-high-pigment-pearl-lip-gloss", "https://camerareadycosmetics.com/products/jouer-high-pigment-pearl-lip-gloss")</f>
        <v/>
      </c>
      <c r="B1420" s="2">
        <f>HYPERLINK("https://camerareadycosmetics.com/products/jouer-high-pigment-pearl-lip-gloss", "https://camerareadycosmetics.com/products/jouer-high-pigment-pearl-lip-gloss")</f>
        <v/>
      </c>
      <c r="C1420" t="inlineStr">
        <is>
          <t>High Pigment Pearl Lip Gloss</t>
        </is>
      </c>
      <c r="D1420" t="inlineStr">
        <is>
          <t>Pearl Bronze Mica Powder for Epoxy Resin, Bronze Pigment Powder, Cosmetic Grade Mica for Lip Gloss, Soap and Body Butter, Epoxy Resin Pigment Powder, Pearl Mica Powder for Resin</t>
        </is>
      </c>
      <c r="E1420" s="2">
        <f>HYPERLINK("https://www.amazon.com/FIREDOTS-Bronze-Pigment-Powder-Making/dp/B08GRFMJGZ/ref=sr_1_3?keywords=High+Pigment+Pearl+Lip+Gloss&amp;qid=1695565787&amp;sr=8-3", "https://www.amazon.com/FIREDOTS-Bronze-Pigment-Powder-Making/dp/B08GRFMJGZ/ref=sr_1_3?keywords=High+Pigment+Pearl+Lip+Gloss&amp;qid=1695565787&amp;sr=8-3")</f>
        <v/>
      </c>
      <c r="F1420" t="inlineStr">
        <is>
          <t>B08GRFMJGZ</t>
        </is>
      </c>
      <c r="G1420">
        <f>_xlfn.IMAGE("https://camerareadycosmetics.com/cdn/shop/products/jouer-lipgloss-hpplg-tulum-tulum-1_1024x1024.progressive_7f280513-4188-4161-be22-e1967aa5c383_50x.jpg?v=1666836749")</f>
        <v/>
      </c>
      <c r="H1420">
        <f>_xlfn.IMAGE("https://m.media-amazon.com/images/I/7101Bmka6IL._AC_UL320_.jpg")</f>
        <v/>
      </c>
      <c r="K1420" t="inlineStr">
        <is>
          <t>19.0</t>
        </is>
      </c>
      <c r="L1420" t="n">
        <v>14.99</v>
      </c>
      <c r="M1420" s="1" t="inlineStr">
        <is>
          <t>-21.11%</t>
        </is>
      </c>
      <c r="N1420" t="n">
        <v>4.6</v>
      </c>
      <c r="O1420" t="n">
        <v>1507</v>
      </c>
      <c r="Q1420" t="inlineStr">
        <is>
          <t>InStock</t>
        </is>
      </c>
      <c r="R1420" t="inlineStr">
        <is>
          <t>undefined</t>
        </is>
      </c>
      <c r="S1420" t="inlineStr">
        <is>
          <t>7059706773689</t>
        </is>
      </c>
    </row>
    <row r="1421" ht="75" customHeight="1">
      <c r="A1421" s="2">
        <f>HYPERLINK("https://camerareadycosmetics.com/products/jouer-high-pigment-pearl-lip-gloss", "https://camerareadycosmetics.com/products/jouer-high-pigment-pearl-lip-gloss")</f>
        <v/>
      </c>
      <c r="B1421" s="2">
        <f>HYPERLINK("https://camerareadycosmetics.com/products/jouer-high-pigment-pearl-lip-gloss", "https://camerareadycosmetics.com/products/jouer-high-pigment-pearl-lip-gloss")</f>
        <v/>
      </c>
      <c r="C1421" t="inlineStr">
        <is>
          <t>High Pigment Pearl Lip Gloss</t>
        </is>
      </c>
      <c r="D1421" t="inlineStr">
        <is>
          <t>Jouer High Pigment Lip Gloss - Warm &amp; Cool Shades - Buildable, Full Coverage Color - Healthy Ingredients - Paraben, Gluten &amp; Cruelty Free - Vegan Friendly</t>
        </is>
      </c>
      <c r="E1421" s="2">
        <f>HYPERLINK("https://www.amazon.com/Jouer-High-Pigment-Gloss-Shibuya/dp/B073DQZXPW/ref=sr_1_2?keywords=High+Pigment+Pearl+Lip+Gloss&amp;qid=1695565787&amp;sr=8-2", "https://www.amazon.com/Jouer-High-Pigment-Gloss-Shibuya/dp/B073DQZXPW/ref=sr_1_2?keywords=High+Pigment+Pearl+Lip+Gloss&amp;qid=1695565787&amp;sr=8-2")</f>
        <v/>
      </c>
      <c r="F1421" t="inlineStr">
        <is>
          <t>B073DQZXPW</t>
        </is>
      </c>
      <c r="G1421">
        <f>_xlfn.IMAGE("https://camerareadycosmetics.com/cdn/shop/products/jouer-lipgloss-hpplg-tulum-tulum-1_1024x1024.progressive_7f280513-4188-4161-be22-e1967aa5c383_50x.jpg?v=1666836749")</f>
        <v/>
      </c>
      <c r="H1421">
        <f>_xlfn.IMAGE("https://m.media-amazon.com/images/I/61AnUPVaGkL._AC_UL320_.jpg")</f>
        <v/>
      </c>
      <c r="K1421" t="inlineStr">
        <is>
          <t>19.0</t>
        </is>
      </c>
      <c r="L1421" t="n">
        <v>10</v>
      </c>
      <c r="M1421" s="1" t="inlineStr">
        <is>
          <t>-47.37%</t>
        </is>
      </c>
      <c r="N1421" t="n">
        <v>4.2</v>
      </c>
      <c r="O1421" t="n">
        <v>51</v>
      </c>
      <c r="Q1421" t="inlineStr">
        <is>
          <t>InStock</t>
        </is>
      </c>
      <c r="R1421" t="inlineStr">
        <is>
          <t>undefined</t>
        </is>
      </c>
      <c r="S1421" t="inlineStr">
        <is>
          <t>7059706773689</t>
        </is>
      </c>
    </row>
    <row r="1422" ht="75" customHeight="1">
      <c r="A1422" s="2">
        <f>HYPERLINK("https://camerareadycosmetics.com/products/jouer-lip-enhancer", "https://camerareadycosmetics.com/products/jouer-lip-enhancer")</f>
        <v/>
      </c>
      <c r="B1422" s="2">
        <f>HYPERLINK("https://camerareadycosmetics.com/products/jouer-lip-enhancer", "https://camerareadycosmetics.com/products/jouer-lip-enhancer")</f>
        <v/>
      </c>
      <c r="C1422" t="inlineStr">
        <is>
          <t>Essential Lip Enhancer</t>
        </is>
      </c>
      <c r="D1422" t="inlineStr">
        <is>
          <t>Jouer Essential Lip Enhancer - Plumping Lip Gloss - Enhancing Lip Conditioner - Moisturize, Plump, &amp; Nourishing Lip Care - Jojoba Seed Oil and Maxi Lip Formula for Moisturizing and Fullness, Rose</t>
        </is>
      </c>
      <c r="E1422" s="2">
        <f>HYPERLINK("https://www.amazon.com/Jouer-Essential-Lip-Enhancer-0-33/dp/B0009HBOPE/ref=sr_1_1?keywords=Essential+Lip+Enhancer&amp;qid=1695565749&amp;sr=8-1", "https://www.amazon.com/Jouer-Essential-Lip-Enhancer-0-33/dp/B0009HBOPE/ref=sr_1_1?keywords=Essential+Lip+Enhancer&amp;qid=1695565749&amp;sr=8-1")</f>
        <v/>
      </c>
      <c r="F1422" t="inlineStr">
        <is>
          <t>B0009HBOPE</t>
        </is>
      </c>
      <c r="G1422">
        <f>_xlfn.IMAGE("https://camerareadycosmetics.com/cdn/shop/products/LE_1024x1024.progressive_f6986eaa-fdcc-48ce-8c0d-3a102980ac2a_50x.jpg?v=1660770310")</f>
        <v/>
      </c>
      <c r="H1422">
        <f>_xlfn.IMAGE("https://m.media-amazon.com/images/I/41jzEhYPAKL._AC_UL320_.jpg")</f>
        <v/>
      </c>
      <c r="K1422" t="inlineStr">
        <is>
          <t>17.0</t>
        </is>
      </c>
      <c r="L1422" t="n">
        <v>17</v>
      </c>
      <c r="M1422" s="1" t="inlineStr">
        <is>
          <t>0.00%</t>
        </is>
      </c>
      <c r="N1422" t="n">
        <v>4.5</v>
      </c>
      <c r="O1422" t="n">
        <v>488</v>
      </c>
      <c r="Q1422" t="inlineStr">
        <is>
          <t>InStock</t>
        </is>
      </c>
      <c r="R1422" t="inlineStr">
        <is>
          <t>undefined</t>
        </is>
      </c>
      <c r="S1422" t="inlineStr">
        <is>
          <t>7059700940985</t>
        </is>
      </c>
    </row>
    <row r="1423" ht="75" customHeight="1">
      <c r="A1423" s="2">
        <f>HYPERLINK("https://camerareadycosmetics.com/products/jouer-long-wear-creme-lip-liner", "https://camerareadycosmetics.com/products/jouer-long-wear-creme-lip-liner")</f>
        <v/>
      </c>
      <c r="B1423" s="2">
        <f>HYPERLINK("https://camerareadycosmetics.com/products/jouer-long-wear-creme-lip-liner", "https://camerareadycosmetics.com/products/jouer-long-wear-creme-lip-liner")</f>
        <v/>
      </c>
      <c r="C1423" t="inlineStr">
        <is>
          <t>Long-Wear Crème Lip Liner</t>
        </is>
      </c>
      <c r="D1423" t="inlineStr">
        <is>
          <t>Jolie Cosmetics Waterproof Gel Lip Liner - Super Smooth, Extra Long-Wear (Neapolitan)</t>
        </is>
      </c>
      <c r="E1423" s="2">
        <f>HYPERLINK("https://www.amazon.com/Jolie-Automatic-Lasting-Lipliner-Vitamin/dp/B00A70XASC/ref=sr_1_3?keywords=Long-Wear+Cr%C3%A8me+Lip+Liner&amp;qid=1695565689&amp;sr=8-3", "https://www.amazon.com/Jolie-Automatic-Lasting-Lipliner-Vitamin/dp/B00A70XASC/ref=sr_1_3?keywords=Long-Wear+Cr%C3%A8me+Lip+Liner&amp;qid=1695565689&amp;sr=8-3")</f>
        <v/>
      </c>
      <c r="F1423" t="inlineStr">
        <is>
          <t>B00A70XASC</t>
        </is>
      </c>
      <c r="G1423">
        <f>_xlfn.IMAGE("https://camerareadycosmetics.com/cdn/shop/products/CLL_Tawny_Rose_1_1024x1024.progressive_2ea8d0a0-96a0-470a-b843-87920299022f_50x.jpg?v=1635355427")</f>
        <v/>
      </c>
      <c r="H1423">
        <f>_xlfn.IMAGE("https://m.media-amazon.com/images/I/311TxEk8fXL._AC_UL320_.jpg")</f>
        <v/>
      </c>
      <c r="K1423" t="inlineStr">
        <is>
          <t>18.0</t>
        </is>
      </c>
      <c r="L1423" t="n">
        <v>19.99</v>
      </c>
      <c r="M1423" s="1" t="inlineStr">
        <is>
          <t>11.06%</t>
        </is>
      </c>
      <c r="N1423" t="n">
        <v>4.6</v>
      </c>
      <c r="O1423" t="n">
        <v>54</v>
      </c>
      <c r="Q1423" t="inlineStr">
        <is>
          <t>InStock</t>
        </is>
      </c>
      <c r="R1423" t="inlineStr">
        <is>
          <t>undefined</t>
        </is>
      </c>
      <c r="S1423" t="inlineStr">
        <is>
          <t>7060672938169</t>
        </is>
      </c>
    </row>
    <row r="1424" ht="75" customHeight="1">
      <c r="A1424" s="2">
        <f>HYPERLINK("https://camerareadycosmetics.com/products/jouer-long-wear-creme-lip-liner", "https://camerareadycosmetics.com/products/jouer-long-wear-creme-lip-liner")</f>
        <v/>
      </c>
      <c r="B1424" s="2">
        <f>HYPERLINK("https://camerareadycosmetics.com/products/jouer-long-wear-creme-lip-liner", "https://camerareadycosmetics.com/products/jouer-long-wear-creme-lip-liner")</f>
        <v/>
      </c>
      <c r="C1424" t="inlineStr">
        <is>
          <t>Long-Wear Crème Lip Liner</t>
        </is>
      </c>
      <c r="D1424" t="inlineStr">
        <is>
          <t>Jouer Long Wear Lip Liner - Metallic &amp; Matte Lip Pencil - Water Resistant - Fast-Drying Formula - Hydrating Formula made with Vitamin E, Bronze Shimmer</t>
        </is>
      </c>
      <c r="E1424" s="2">
        <f>HYPERLINK("https://www.amazon.com/Jouer-Long-Wear-Liners-Shimmer-Metallic/dp/B076YFNT18/ref=sr_1_2?keywords=Long-Wear+Cr%C3%A8me+Lip+Liner&amp;qid=1695565689&amp;sr=8-2", "https://www.amazon.com/Jouer-Long-Wear-Liners-Shimmer-Metallic/dp/B076YFNT18/ref=sr_1_2?keywords=Long-Wear+Cr%C3%A8me+Lip+Liner&amp;qid=1695565689&amp;sr=8-2")</f>
        <v/>
      </c>
      <c r="F1424" t="inlineStr">
        <is>
          <t>B076YFNT18</t>
        </is>
      </c>
      <c r="G1424">
        <f>_xlfn.IMAGE("https://camerareadycosmetics.com/cdn/shop/products/CLL_Tawny_Rose_1_1024x1024.progressive_2ea8d0a0-96a0-470a-b843-87920299022f_50x.jpg?v=1635355427")</f>
        <v/>
      </c>
      <c r="H1424">
        <f>_xlfn.IMAGE("https://m.media-amazon.com/images/I/51DO758KQFL._AC_UL320_.jpg")</f>
        <v/>
      </c>
      <c r="K1424" t="inlineStr">
        <is>
          <t>18.0</t>
        </is>
      </c>
      <c r="L1424" t="n">
        <v>18</v>
      </c>
      <c r="M1424" s="1" t="inlineStr">
        <is>
          <t>0.00%</t>
        </is>
      </c>
      <c r="N1424" t="n">
        <v>3.2</v>
      </c>
      <c r="O1424" t="n">
        <v>23</v>
      </c>
      <c r="Q1424" t="inlineStr">
        <is>
          <t>InStock</t>
        </is>
      </c>
      <c r="R1424" t="inlineStr">
        <is>
          <t>undefined</t>
        </is>
      </c>
      <c r="S1424" t="inlineStr">
        <is>
          <t>7060672938169</t>
        </is>
      </c>
    </row>
    <row r="1425" ht="75" customHeight="1">
      <c r="A1425" s="2">
        <f>HYPERLINK("https://camerareadycosmetics.com/products/jouer-long-wear-creme-lip-liner", "https://camerareadycosmetics.com/products/jouer-long-wear-creme-lip-liner")</f>
        <v/>
      </c>
      <c r="B1425" s="2">
        <f>HYPERLINK("https://camerareadycosmetics.com/products/jouer-long-wear-creme-lip-liner", "https://camerareadycosmetics.com/products/jouer-long-wear-creme-lip-liner")</f>
        <v/>
      </c>
      <c r="C1425" t="inlineStr">
        <is>
          <t>Long-Wear Crème Lip Liner</t>
        </is>
      </c>
      <c r="D1425" t="inlineStr">
        <is>
          <t>Jouer Long Wear Lip Liner - Metallic &amp; Matte Shades - Water Resistant - Fast-Drying Formula - Healthy Ingredients - Paraben, Gluten &amp; Cruelty Free, Bare Rose</t>
        </is>
      </c>
      <c r="E1425" s="2">
        <f>HYPERLINK("https://www.amazon.com/Jouer-Long-Wear-Lip-Liner/dp/B0BDSYWC3R/ref=sr_1_1?keywords=Long-Wear+Cr%C3%A8me+Lip+Liner&amp;qid=1695565689&amp;sr=8-1", "https://www.amazon.com/Jouer-Long-Wear-Lip-Liner/dp/B0BDSYWC3R/ref=sr_1_1?keywords=Long-Wear+Cr%C3%A8me+Lip+Liner&amp;qid=1695565689&amp;sr=8-1")</f>
        <v/>
      </c>
      <c r="F1425" t="inlineStr">
        <is>
          <t>B0BDSYWC3R</t>
        </is>
      </c>
      <c r="G1425">
        <f>_xlfn.IMAGE("https://camerareadycosmetics.com/cdn/shop/products/CLL_Tawny_Rose_1_1024x1024.progressive_2ea8d0a0-96a0-470a-b843-87920299022f_50x.jpg?v=1635355427")</f>
        <v/>
      </c>
      <c r="H1425">
        <f>_xlfn.IMAGE("https://m.media-amazon.com/images/I/61Z7O2y9w3L._AC_UL320_.jpg")</f>
        <v/>
      </c>
      <c r="K1425" t="inlineStr">
        <is>
          <t>18.0</t>
        </is>
      </c>
      <c r="L1425" t="n">
        <v>18</v>
      </c>
      <c r="M1425" s="1" t="inlineStr">
        <is>
          <t>0.00%</t>
        </is>
      </c>
      <c r="N1425" t="n">
        <v>4.1</v>
      </c>
      <c r="O1425" t="n">
        <v>36</v>
      </c>
      <c r="Q1425" t="inlineStr">
        <is>
          <t>InStock</t>
        </is>
      </c>
      <c r="R1425" t="inlineStr">
        <is>
          <t>undefined</t>
        </is>
      </c>
      <c r="S1425" t="inlineStr">
        <is>
          <t>7060672938169</t>
        </is>
      </c>
    </row>
    <row r="1426" ht="75" customHeight="1">
      <c r="A1426" s="2">
        <f>HYPERLINK("https://camerareadycosmetics.com/products/jouer-long-wear-creme-lip-liner", "https://camerareadycosmetics.com/products/jouer-long-wear-creme-lip-liner")</f>
        <v/>
      </c>
      <c r="B1426" s="2">
        <f>HYPERLINK("https://camerareadycosmetics.com/products/jouer-long-wear-creme-lip-liner", "https://camerareadycosmetics.com/products/jouer-long-wear-creme-lip-liner")</f>
        <v/>
      </c>
      <c r="C1426" t="inlineStr">
        <is>
          <t>Long-Wear Crème Lip Liner</t>
        </is>
      </c>
      <c r="D1426" t="inlineStr">
        <is>
          <t>Palladio Retractable Waterproof Lip Liner High Pigmented and Creamy Color Slim Twist Up Smudge Proof Formula with Long Lasting All Day Wear No Sharpener Required, Nearly Nude</t>
        </is>
      </c>
      <c r="E1426" s="2">
        <f>HYPERLINK("https://www.amazon.com/Palladio-Retractable-Liner-Pencil-Nearly/dp/B000GBN0G4/ref=sr_1_6?keywords=Long-Wear+Cr%C3%A8me+Lip+Liner&amp;qid=1695565689&amp;sr=8-6", "https://www.amazon.com/Palladio-Retractable-Liner-Pencil-Nearly/dp/B000GBN0G4/ref=sr_1_6?keywords=Long-Wear+Cr%C3%A8me+Lip+Liner&amp;qid=1695565689&amp;sr=8-6")</f>
        <v/>
      </c>
      <c r="F1426" t="inlineStr">
        <is>
          <t>B000GBN0G4</t>
        </is>
      </c>
      <c r="G1426">
        <f>_xlfn.IMAGE("https://camerareadycosmetics.com/cdn/shop/products/CLL_Tawny_Rose_1_1024x1024.progressive_2ea8d0a0-96a0-470a-b843-87920299022f_50x.jpg?v=1635355427")</f>
        <v/>
      </c>
      <c r="H1426">
        <f>_xlfn.IMAGE("https://m.media-amazon.com/images/I/41UgZgjP9EL._AC_UL320_.jpg")</f>
        <v/>
      </c>
      <c r="K1426" t="inlineStr">
        <is>
          <t>18.0</t>
        </is>
      </c>
      <c r="L1426" t="n">
        <v>7.99</v>
      </c>
      <c r="M1426" s="1" t="inlineStr">
        <is>
          <t>-55.61%</t>
        </is>
      </c>
      <c r="N1426" t="n">
        <v>4.3</v>
      </c>
      <c r="O1426" t="n">
        <v>4524</v>
      </c>
      <c r="Q1426" t="inlineStr">
        <is>
          <t>InStock</t>
        </is>
      </c>
      <c r="R1426" t="inlineStr">
        <is>
          <t>undefined</t>
        </is>
      </c>
      <c r="S1426" t="inlineStr">
        <is>
          <t>7060672938169</t>
        </is>
      </c>
    </row>
    <row r="1427" ht="75" customHeight="1">
      <c r="A1427" s="2">
        <f>HYPERLINK("https://camerareadycosmetics.com/products/jouer-long-wear-creme-lip-liner", "https://camerareadycosmetics.com/products/jouer-long-wear-creme-lip-liner")</f>
        <v/>
      </c>
      <c r="B1427" s="2">
        <f>HYPERLINK("https://camerareadycosmetics.com/products/jouer-long-wear-creme-lip-liner", "https://camerareadycosmetics.com/products/jouer-long-wear-creme-lip-liner")</f>
        <v/>
      </c>
      <c r="C1427" t="inlineStr">
        <is>
          <t>Long-Wear Crème Lip Liner</t>
        </is>
      </c>
      <c r="D1427" t="inlineStr">
        <is>
          <t>Revlon Lip Liner, Colorstay Face Makeup with Built-in-Sharpener, Longwear Rich Lip Colors, Smooth Application, 660 Mauve</t>
        </is>
      </c>
      <c r="E1427" s="2">
        <f>HYPERLINK("https://www.amazon.com/Revlon-ColorStay-Lip-Liner-Mauve/dp/B01LPROM8M/ref=sr_1_7?keywords=Long-Wear+Cr%C3%A8me+Lip+Liner&amp;qid=1695565689&amp;sr=8-7", "https://www.amazon.com/Revlon-ColorStay-Lip-Liner-Mauve/dp/B01LPROM8M/ref=sr_1_7?keywords=Long-Wear+Cr%C3%A8me+Lip+Liner&amp;qid=1695565689&amp;sr=8-7")</f>
        <v/>
      </c>
      <c r="F1427" t="inlineStr">
        <is>
          <t>B01LPROM8M</t>
        </is>
      </c>
      <c r="G1427">
        <f>_xlfn.IMAGE("https://camerareadycosmetics.com/cdn/shop/products/CLL_Tawny_Rose_1_1024x1024.progressive_2ea8d0a0-96a0-470a-b843-87920299022f_50x.jpg?v=1635355427")</f>
        <v/>
      </c>
      <c r="H1427">
        <f>_xlfn.IMAGE("https://m.media-amazon.com/images/I/61v63DTPwwL._AC_UL320_.jpg")</f>
        <v/>
      </c>
      <c r="K1427" t="inlineStr">
        <is>
          <t>18.0</t>
        </is>
      </c>
      <c r="L1427" t="n">
        <v>7.99</v>
      </c>
      <c r="M1427" s="1" t="inlineStr">
        <is>
          <t>-55.61%</t>
        </is>
      </c>
      <c r="N1427" t="n">
        <v>4.5</v>
      </c>
      <c r="O1427" t="n">
        <v>14561</v>
      </c>
      <c r="Q1427" t="inlineStr">
        <is>
          <t>InStock</t>
        </is>
      </c>
      <c r="R1427" t="inlineStr">
        <is>
          <t>undefined</t>
        </is>
      </c>
      <c r="S1427" t="inlineStr">
        <is>
          <t>7060672938169</t>
        </is>
      </c>
    </row>
    <row r="1428" ht="75" customHeight="1">
      <c r="A1428" s="2">
        <f>HYPERLINK("https://camerareadycosmetics.com/products/jouer-long-wear-creme-lip-liner", "https://camerareadycosmetics.com/products/jouer-long-wear-creme-lip-liner")</f>
        <v/>
      </c>
      <c r="B1428" s="2">
        <f>HYPERLINK("https://camerareadycosmetics.com/products/jouer-long-wear-creme-lip-liner", "https://camerareadycosmetics.com/products/jouer-long-wear-creme-lip-liner")</f>
        <v/>
      </c>
      <c r="C1428" t="inlineStr">
        <is>
          <t>Long-Wear Crème Lip Liner</t>
        </is>
      </c>
      <c r="D1428" t="inlineStr">
        <is>
          <t>IS'MINE Matte Lip Liner Pencil Set - 12 Assorted Colors Natural Lip Makeup Soft Pencils Waterproof and Longwear Ultra Fine Lip Liners (Color Set-3)</t>
        </is>
      </c>
      <c r="E1428" s="2">
        <f>HYPERLINK("https://www.amazon.com/ISMINE-Matte-Lip-Liner-Pencil/dp/B0BWCLBPNM/ref=sr_1_8?keywords=Long-Wear+Cr%C3%A8me+Lip+Liner&amp;qid=1695565689&amp;sr=8-8", "https://www.amazon.com/ISMINE-Matte-Lip-Liner-Pencil/dp/B0BWCLBPNM/ref=sr_1_8?keywords=Long-Wear+Cr%C3%A8me+Lip+Liner&amp;qid=1695565689&amp;sr=8-8")</f>
        <v/>
      </c>
      <c r="F1428" t="inlineStr">
        <is>
          <t>B0BWCLBPNM</t>
        </is>
      </c>
      <c r="G1428">
        <f>_xlfn.IMAGE("https://camerareadycosmetics.com/cdn/shop/products/CLL_Tawny_Rose_1_1024x1024.progressive_2ea8d0a0-96a0-470a-b843-87920299022f_50x.jpg?v=1635355427")</f>
        <v/>
      </c>
      <c r="H1428">
        <f>_xlfn.IMAGE("https://m.media-amazon.com/images/I/71PD6rKoKLL._AC_UL320_.jpg")</f>
        <v/>
      </c>
      <c r="K1428" t="inlineStr">
        <is>
          <t>18.0</t>
        </is>
      </c>
      <c r="L1428" t="n">
        <v>7.98</v>
      </c>
      <c r="M1428" s="1" t="inlineStr">
        <is>
          <t>-55.67%</t>
        </is>
      </c>
      <c r="N1428" t="n">
        <v>4.3</v>
      </c>
      <c r="O1428" t="n">
        <v>3527</v>
      </c>
      <c r="Q1428" t="inlineStr">
        <is>
          <t>InStock</t>
        </is>
      </c>
      <c r="R1428" t="inlineStr">
        <is>
          <t>undefined</t>
        </is>
      </c>
      <c r="S1428" t="inlineStr">
        <is>
          <t>7060672938169</t>
        </is>
      </c>
    </row>
    <row r="1429" ht="75" customHeight="1">
      <c r="A1429" s="2">
        <f>HYPERLINK("https://camerareadycosmetics.com/products/jouer-long-wear-creme-lip-liner", "https://camerareadycosmetics.com/products/jouer-long-wear-creme-lip-liner")</f>
        <v/>
      </c>
      <c r="B1429" s="2">
        <f>HYPERLINK("https://camerareadycosmetics.com/products/jouer-long-wear-creme-lip-liner", "https://camerareadycosmetics.com/products/jouer-long-wear-creme-lip-liner")</f>
        <v/>
      </c>
      <c r="C1429" t="inlineStr">
        <is>
          <t>Long-Wear Crème Lip Liner</t>
        </is>
      </c>
      <c r="D1429" t="inlineStr">
        <is>
          <t>Palladio Retractable Waterproof Lip Liner High Pigmented and Creamy Color Slim Twist Up Smudge Proof Formula with Long Lasting All Day Wear No Sharpener Required, Nearly Nude</t>
        </is>
      </c>
      <c r="E1429" s="2">
        <f>HYPERLINK("https://www.amazon.com/Palladio-Retractable-Liner-Pencil-Nearly/dp/B000GBN0G4/ref=sr_1_6?keywords=Long-Wear+Cr%C3%A8me+Lip+Liner&amp;qid=1695565689&amp;sr=8-6", "https://www.amazon.com/Palladio-Retractable-Liner-Pencil-Nearly/dp/B000GBN0G4/ref=sr_1_6?keywords=Long-Wear+Cr%C3%A8me+Lip+Liner&amp;qid=1695565689&amp;sr=8-6")</f>
        <v/>
      </c>
      <c r="F1429" t="inlineStr">
        <is>
          <t>B000GBN0G4</t>
        </is>
      </c>
      <c r="G1429">
        <f>_xlfn.IMAGE("https://camerareadycosmetics.com/cdn/shop/products/CLL_Tawny_Rose_1_1024x1024.progressive_2ea8d0a0-96a0-470a-b843-87920299022f_50x.jpg?v=1635355427")</f>
        <v/>
      </c>
      <c r="H1429">
        <f>_xlfn.IMAGE("https://m.media-amazon.com/images/I/41UgZgjP9EL._AC_UL320_.jpg")</f>
        <v/>
      </c>
      <c r="K1429" t="inlineStr">
        <is>
          <t>18.0</t>
        </is>
      </c>
      <c r="L1429" t="n">
        <v>7.99</v>
      </c>
      <c r="M1429" s="1" t="inlineStr">
        <is>
          <t>-55.61%</t>
        </is>
      </c>
      <c r="N1429" t="n">
        <v>4.3</v>
      </c>
      <c r="O1429" t="n">
        <v>4524</v>
      </c>
      <c r="Q1429" t="inlineStr">
        <is>
          <t>InStock</t>
        </is>
      </c>
      <c r="R1429" t="inlineStr">
        <is>
          <t>undefined</t>
        </is>
      </c>
      <c r="S1429" t="inlineStr">
        <is>
          <t>7060672938169</t>
        </is>
      </c>
    </row>
    <row r="1430" ht="75" customHeight="1">
      <c r="A1430" s="2">
        <f>HYPERLINK("https://camerareadycosmetics.com/products/jouer-long-wear-creme-lip-liner", "https://camerareadycosmetics.com/products/jouer-long-wear-creme-lip-liner")</f>
        <v/>
      </c>
      <c r="B1430" s="2">
        <f>HYPERLINK("https://camerareadycosmetics.com/products/jouer-long-wear-creme-lip-liner", "https://camerareadycosmetics.com/products/jouer-long-wear-creme-lip-liner")</f>
        <v/>
      </c>
      <c r="C1430" t="inlineStr">
        <is>
          <t>Long-Wear Crème Lip Liner</t>
        </is>
      </c>
      <c r="D1430" t="inlineStr">
        <is>
          <t>Revlon Lip Liner, Colorstay Face Makeup with Built-in-Sharpener, Longwear Rich Lip Colors, Smooth Application, 660 Mauve</t>
        </is>
      </c>
      <c r="E1430" s="2">
        <f>HYPERLINK("https://www.amazon.com/Revlon-ColorStay-Lip-Liner-Mauve/dp/B01LPROM8M/ref=sr_1_7?keywords=Long-Wear+Cr%C3%A8me+Lip+Liner&amp;qid=1695565689&amp;sr=8-7", "https://www.amazon.com/Revlon-ColorStay-Lip-Liner-Mauve/dp/B01LPROM8M/ref=sr_1_7?keywords=Long-Wear+Cr%C3%A8me+Lip+Liner&amp;qid=1695565689&amp;sr=8-7")</f>
        <v/>
      </c>
      <c r="F1430" t="inlineStr">
        <is>
          <t>B01LPROM8M</t>
        </is>
      </c>
      <c r="G1430">
        <f>_xlfn.IMAGE("https://camerareadycosmetics.com/cdn/shop/products/CLL_Tawny_Rose_1_1024x1024.progressive_2ea8d0a0-96a0-470a-b843-87920299022f_50x.jpg?v=1635355427")</f>
        <v/>
      </c>
      <c r="H1430">
        <f>_xlfn.IMAGE("https://m.media-amazon.com/images/I/61v63DTPwwL._AC_UL320_.jpg")</f>
        <v/>
      </c>
      <c r="K1430" t="inlineStr">
        <is>
          <t>18.0</t>
        </is>
      </c>
      <c r="L1430" t="n">
        <v>7.99</v>
      </c>
      <c r="M1430" s="1" t="inlineStr">
        <is>
          <t>-55.61%</t>
        </is>
      </c>
      <c r="N1430" t="n">
        <v>4.5</v>
      </c>
      <c r="O1430" t="n">
        <v>14561</v>
      </c>
      <c r="Q1430" t="inlineStr">
        <is>
          <t>InStock</t>
        </is>
      </c>
      <c r="R1430" t="inlineStr">
        <is>
          <t>undefined</t>
        </is>
      </c>
      <c r="S1430" t="inlineStr">
        <is>
          <t>7060672938169</t>
        </is>
      </c>
    </row>
    <row r="1431" ht="75" customHeight="1">
      <c r="A1431" s="2">
        <f>HYPERLINK("https://camerareadycosmetics.com/products/jouer-long-wear-creme-lip-liner", "https://camerareadycosmetics.com/products/jouer-long-wear-creme-lip-liner")</f>
        <v/>
      </c>
      <c r="B1431" s="2">
        <f>HYPERLINK("https://camerareadycosmetics.com/products/jouer-long-wear-creme-lip-liner", "https://camerareadycosmetics.com/products/jouer-long-wear-creme-lip-liner")</f>
        <v/>
      </c>
      <c r="C1431" t="inlineStr">
        <is>
          <t>Long-Wear Crème Lip Liner</t>
        </is>
      </c>
      <c r="D1431" t="inlineStr">
        <is>
          <t>IS'MINE Matte Lip Liner Pencil Set - 12 Assorted Colors Natural Lip Makeup Soft Pencils Waterproof and Longwear Ultra Fine Lip Liners (Color Set-3)</t>
        </is>
      </c>
      <c r="E1431" s="2">
        <f>HYPERLINK("https://www.amazon.com/ISMINE-Matte-Lip-Liner-Pencil/dp/B0BWCLBPNM/ref=sr_1_8?keywords=Long-Wear+Cr%C3%A8me+Lip+Liner&amp;qid=1695565689&amp;sr=8-8", "https://www.amazon.com/ISMINE-Matte-Lip-Liner-Pencil/dp/B0BWCLBPNM/ref=sr_1_8?keywords=Long-Wear+Cr%C3%A8me+Lip+Liner&amp;qid=1695565689&amp;sr=8-8")</f>
        <v/>
      </c>
      <c r="F1431" t="inlineStr">
        <is>
          <t>B0BWCLBPNM</t>
        </is>
      </c>
      <c r="G1431">
        <f>_xlfn.IMAGE("https://camerareadycosmetics.com/cdn/shop/products/CLL_Tawny_Rose_1_1024x1024.progressive_2ea8d0a0-96a0-470a-b843-87920299022f_50x.jpg?v=1635355427")</f>
        <v/>
      </c>
      <c r="H1431">
        <f>_xlfn.IMAGE("https://m.media-amazon.com/images/I/71PD6rKoKLL._AC_UL320_.jpg")</f>
        <v/>
      </c>
      <c r="K1431" t="inlineStr">
        <is>
          <t>18.0</t>
        </is>
      </c>
      <c r="L1431" t="n">
        <v>7.98</v>
      </c>
      <c r="M1431" s="1" t="inlineStr">
        <is>
          <t>-55.67%</t>
        </is>
      </c>
      <c r="N1431" t="n">
        <v>4.3</v>
      </c>
      <c r="O1431" t="n">
        <v>3527</v>
      </c>
      <c r="Q1431" t="inlineStr">
        <is>
          <t>InStock</t>
        </is>
      </c>
      <c r="R1431" t="inlineStr">
        <is>
          <t>undefined</t>
        </is>
      </c>
      <c r="S1431" t="inlineStr">
        <is>
          <t>7060672938169</t>
        </is>
      </c>
    </row>
    <row r="1432" ht="75" customHeight="1">
      <c r="A1432" s="2">
        <f>HYPERLINK("https://camerareadycosmetics.com/products/jouer-long-wear-lip-topper", "https://camerareadycosmetics.com/products/jouer-long-wear-lip-topper")</f>
        <v/>
      </c>
      <c r="B1432" s="2">
        <f>HYPERLINK("https://camerareadycosmetics.com/products/jouer-long-wear-lip-topper", "https://camerareadycosmetics.com/products/jouer-long-wear-lip-topper")</f>
        <v/>
      </c>
      <c r="C1432" t="inlineStr">
        <is>
          <t>Long Wear Lip Topper</t>
        </is>
      </c>
      <c r="D1432" t="inlineStr">
        <is>
          <t>Pearl Glam Shimmer Liquid Lipstick, Long Wear Pale-Mauve Lip Color with Gold and Silver Shimmer, Boss Babe</t>
        </is>
      </c>
      <c r="E1432" s="2">
        <f>HYPERLINK("https://www.amazon.com/Runway-Rogue-Shimmer-Lipstick-Pale-Mauve/dp/B0B9TBXVZT/ref=sr_1_5?keywords=Long+Wear+Lip+Topper&amp;qid=1695565648&amp;sr=8-5", "https://www.amazon.com/Runway-Rogue-Shimmer-Lipstick-Pale-Mauve/dp/B0B9TBXVZT/ref=sr_1_5?keywords=Long+Wear+Lip+Topper&amp;qid=1695565648&amp;sr=8-5")</f>
        <v/>
      </c>
      <c r="F1432" t="inlineStr">
        <is>
          <t>B0B9TBXVZT</t>
        </is>
      </c>
      <c r="G1432">
        <f>_xlfn.IMAGE("https://camerareadycosmetics.com/cdn/shop/products/rose-818502015671_06_1024x1024.progressive_fda4bd85-edc1-4472-9630-327639973350_50x.jpg?v=1688676216")</f>
        <v/>
      </c>
      <c r="H1432">
        <f>_xlfn.IMAGE("https://m.media-amazon.com/images/I/81WJ5cGM6CL._AC_UL320_.jpg")</f>
        <v/>
      </c>
      <c r="K1432" t="inlineStr">
        <is>
          <t>20.0</t>
        </is>
      </c>
      <c r="L1432" t="n">
        <v>28</v>
      </c>
      <c r="M1432" s="1" t="inlineStr">
        <is>
          <t>40.00%</t>
        </is>
      </c>
      <c r="N1432" t="n">
        <v>4.1</v>
      </c>
      <c r="O1432" t="n">
        <v>262</v>
      </c>
      <c r="Q1432" t="inlineStr">
        <is>
          <t>InStock</t>
        </is>
      </c>
      <c r="R1432" t="inlineStr">
        <is>
          <t>20.0</t>
        </is>
      </c>
      <c r="S1432" t="inlineStr">
        <is>
          <t>7163619082425</t>
        </is>
      </c>
    </row>
    <row r="1433" ht="75" customHeight="1">
      <c r="A1433" s="2">
        <f>HYPERLINK("https://camerareadycosmetics.com/products/jouer-long-wear-lip-topper", "https://camerareadycosmetics.com/products/jouer-long-wear-lip-topper")</f>
        <v/>
      </c>
      <c r="B1433" s="2">
        <f>HYPERLINK("https://camerareadycosmetics.com/products/jouer-long-wear-lip-topper", "https://camerareadycosmetics.com/products/jouer-long-wear-lip-topper")</f>
        <v/>
      </c>
      <c r="C1433" t="inlineStr">
        <is>
          <t>Long Wear Lip Topper</t>
        </is>
      </c>
      <c r="D1433" t="inlineStr">
        <is>
          <t>Silk Glam Liquid Lipstick, Long-Wear Medium-Nude Liquid Lipstick, Sex Symbol</t>
        </is>
      </c>
      <c r="E1433" s="2">
        <f>HYPERLINK("https://www.amazon.com/Runway-Rogue-Lipstick-Long-Wear-Medium-Nude/dp/B0B1KMHS32/ref=sr_1_3?keywords=Long+Wear+Lip+Topper&amp;qid=1695565648&amp;sr=8-3", "https://www.amazon.com/Runway-Rogue-Lipstick-Long-Wear-Medium-Nude/dp/B0B1KMHS32/ref=sr_1_3?keywords=Long+Wear+Lip+Topper&amp;qid=1695565648&amp;sr=8-3")</f>
        <v/>
      </c>
      <c r="F1433" t="inlineStr">
        <is>
          <t>B0B1KMHS32</t>
        </is>
      </c>
      <c r="G1433">
        <f>_xlfn.IMAGE("https://camerareadycosmetics.com/cdn/shop/products/rose-818502015671_06_1024x1024.progressive_fda4bd85-edc1-4472-9630-327639973350_50x.jpg?v=1688676216")</f>
        <v/>
      </c>
      <c r="H1433">
        <f>_xlfn.IMAGE("https://m.media-amazon.com/images/I/71ZOCGkLjzL._AC_UL320_.jpg")</f>
        <v/>
      </c>
      <c r="K1433" t="inlineStr">
        <is>
          <t>20.0</t>
        </is>
      </c>
      <c r="L1433" t="n">
        <v>28</v>
      </c>
      <c r="M1433" s="1" t="inlineStr">
        <is>
          <t>40.00%</t>
        </is>
      </c>
      <c r="N1433" t="n">
        <v>4</v>
      </c>
      <c r="O1433" t="n">
        <v>484</v>
      </c>
      <c r="Q1433" t="inlineStr">
        <is>
          <t>InStock</t>
        </is>
      </c>
      <c r="R1433" t="inlineStr">
        <is>
          <t>20.0</t>
        </is>
      </c>
      <c r="S1433" t="inlineStr">
        <is>
          <t>7163619082425</t>
        </is>
      </c>
    </row>
    <row r="1434" ht="75" customHeight="1">
      <c r="A1434" s="2">
        <f>HYPERLINK("https://camerareadycosmetics.com/products/jouer-long-wear-lip-topper", "https://camerareadycosmetics.com/products/jouer-long-wear-lip-topper")</f>
        <v/>
      </c>
      <c r="B1434" s="2">
        <f>HYPERLINK("https://camerareadycosmetics.com/products/jouer-long-wear-lip-topper", "https://camerareadycosmetics.com/products/jouer-long-wear-lip-topper")</f>
        <v/>
      </c>
      <c r="C1434" t="inlineStr">
        <is>
          <t>Long Wear Lip Topper</t>
        </is>
      </c>
      <c r="D1434" t="inlineStr">
        <is>
          <t>Jouer Long Wear Lip Topper - Lip Gloss - Moisturize &amp; Nourish Lips - Non-Stick Shimmer - Skin Protecting Formula - Vanilla Flavor - Paraben, Gluten, &amp; Cruelty Free- Vegan Friendly</t>
        </is>
      </c>
      <c r="E1434" s="2">
        <f>HYPERLINK("https://www.amazon.com/Jouer-Long-Wear-Lip-Topper/dp/B09RGLJS2J/ref=sr_1_1?keywords=Long+Wear+Lip+Topper&amp;qid=1695565648&amp;sr=8-1", "https://www.amazon.com/Jouer-Long-Wear-Lip-Topper/dp/B09RGLJS2J/ref=sr_1_1?keywords=Long+Wear+Lip+Topper&amp;qid=1695565648&amp;sr=8-1")</f>
        <v/>
      </c>
      <c r="F1434" t="inlineStr">
        <is>
          <t>B09RGLJS2J</t>
        </is>
      </c>
      <c r="G1434">
        <f>_xlfn.IMAGE("https://camerareadycosmetics.com/cdn/shop/products/rose-818502015671_06_1024x1024.progressive_fda4bd85-edc1-4472-9630-327639973350_50x.jpg?v=1688676216")</f>
        <v/>
      </c>
      <c r="H1434">
        <f>_xlfn.IMAGE("https://m.media-amazon.com/images/I/61ZMc2QwFJL._AC_UL320_.jpg")</f>
        <v/>
      </c>
      <c r="K1434" t="inlineStr">
        <is>
          <t>20.0</t>
        </is>
      </c>
      <c r="L1434" t="n">
        <v>20</v>
      </c>
      <c r="M1434" s="1" t="inlineStr">
        <is>
          <t>0.00%</t>
        </is>
      </c>
      <c r="N1434" t="n">
        <v>4.3</v>
      </c>
      <c r="O1434" t="n">
        <v>69</v>
      </c>
      <c r="Q1434" t="inlineStr">
        <is>
          <t>InStock</t>
        </is>
      </c>
      <c r="R1434" t="inlineStr">
        <is>
          <t>20.0</t>
        </is>
      </c>
      <c r="S1434" t="inlineStr">
        <is>
          <t>7163619082425</t>
        </is>
      </c>
    </row>
    <row r="1435" ht="75" customHeight="1">
      <c r="A1435" s="2">
        <f>HYPERLINK("https://camerareadycosmetics.com/products/jouer-long-wear-lip-topper", "https://camerareadycosmetics.com/products/jouer-long-wear-lip-topper")</f>
        <v/>
      </c>
      <c r="B1435" s="2">
        <f>HYPERLINK("https://camerareadycosmetics.com/products/jouer-long-wear-lip-topper", "https://camerareadycosmetics.com/products/jouer-long-wear-lip-topper")</f>
        <v/>
      </c>
      <c r="C1435" t="inlineStr">
        <is>
          <t>Long Wear Lip Topper</t>
        </is>
      </c>
      <c r="D1435" t="inlineStr">
        <is>
          <t>BestLand 6Pcs Matte Liquid Lipstick Makeup Set, Matte liquid Long-Lasting Wear Non-Stick Cup Not Fade Waterproof Lip Gloss (Set B)</t>
        </is>
      </c>
      <c r="E1435" s="2">
        <f>HYPERLINK("https://www.amazon.com/Liquid-Lipstick-Long-Lasting-Non-Stick-Waterproof/dp/B083QMWB6K/ref=sr_1_4?keywords=Long+Wear+Lip+Topper&amp;qid=1695565648&amp;sr=8-4", "https://www.amazon.com/Liquid-Lipstick-Long-Lasting-Non-Stick-Waterproof/dp/B083QMWB6K/ref=sr_1_4?keywords=Long+Wear+Lip+Topper&amp;qid=1695565648&amp;sr=8-4")</f>
        <v/>
      </c>
      <c r="F1435" t="inlineStr">
        <is>
          <t>B083QMWB6K</t>
        </is>
      </c>
      <c r="G1435">
        <f>_xlfn.IMAGE("https://camerareadycosmetics.com/cdn/shop/products/rose-818502015671_06_1024x1024.progressive_fda4bd85-edc1-4472-9630-327639973350_50x.jpg?v=1688676216")</f>
        <v/>
      </c>
      <c r="H1435">
        <f>_xlfn.IMAGE("https://m.media-amazon.com/images/I/61qvhbTMSzL._AC_UL320_.jpg")</f>
        <v/>
      </c>
      <c r="K1435" t="inlineStr">
        <is>
          <t>20.0</t>
        </is>
      </c>
      <c r="L1435" t="n">
        <v>9.99</v>
      </c>
      <c r="M1435" s="1" t="inlineStr">
        <is>
          <t>-50.05%</t>
        </is>
      </c>
      <c r="N1435" t="n">
        <v>3.9</v>
      </c>
      <c r="O1435" t="n">
        <v>38632</v>
      </c>
      <c r="Q1435" t="inlineStr">
        <is>
          <t>InStock</t>
        </is>
      </c>
      <c r="R1435" t="inlineStr">
        <is>
          <t>20.0</t>
        </is>
      </c>
      <c r="S1435" t="inlineStr">
        <is>
          <t>7163619082425</t>
        </is>
      </c>
    </row>
    <row r="1436" ht="75" customHeight="1">
      <c r="A1436" s="2">
        <f>HYPERLINK("https://camerareadycosmetics.com/products/jouer-long-wear-lip-topper", "https://camerareadycosmetics.com/products/jouer-long-wear-lip-topper")</f>
        <v/>
      </c>
      <c r="B1436" s="2">
        <f>HYPERLINK("https://camerareadycosmetics.com/products/jouer-long-wear-lip-topper", "https://camerareadycosmetics.com/products/jouer-long-wear-lip-topper")</f>
        <v/>
      </c>
      <c r="C1436" t="inlineStr">
        <is>
          <t>Long Wear Lip Topper</t>
        </is>
      </c>
      <c r="D1436" t="inlineStr">
        <is>
          <t>Maybelline New York Super Stay 24, 2-Step Liquid Lipstick Makeup, Long Lasting Highly Pigmented Color with Moisturizing Balm, Wear On Wildberry, Mauve Pink, 1 Count</t>
        </is>
      </c>
      <c r="E1436" s="2">
        <f>HYPERLINK("https://www.amazon.com/Maybelline-New-York-Superstay-Wildberry/dp/B00467985Q/ref=sr_1_2?keywords=Long+Wear+Lip+Topper&amp;qid=1695565648&amp;sr=8-2", "https://www.amazon.com/Maybelline-New-York-Superstay-Wildberry/dp/B00467985Q/ref=sr_1_2?keywords=Long+Wear+Lip+Topper&amp;qid=1695565648&amp;sr=8-2")</f>
        <v/>
      </c>
      <c r="F1436" t="inlineStr">
        <is>
          <t>B00467985Q</t>
        </is>
      </c>
      <c r="G1436">
        <f>_xlfn.IMAGE("https://camerareadycosmetics.com/cdn/shop/products/rose-818502015671_06_1024x1024.progressive_fda4bd85-edc1-4472-9630-327639973350_50x.jpg?v=1688676216")</f>
        <v/>
      </c>
      <c r="H1436">
        <f>_xlfn.IMAGE("https://m.media-amazon.com/images/I/71YCOcRKeBL._AC_UL320_.jpg")</f>
        <v/>
      </c>
      <c r="K1436" t="inlineStr">
        <is>
          <t>20.0</t>
        </is>
      </c>
      <c r="L1436" t="n">
        <v>8.98</v>
      </c>
      <c r="M1436" s="1" t="inlineStr">
        <is>
          <t>-55.10%</t>
        </is>
      </c>
      <c r="N1436" t="n">
        <v>4.4</v>
      </c>
      <c r="O1436" t="n">
        <v>28925</v>
      </c>
      <c r="Q1436" t="inlineStr">
        <is>
          <t>InStock</t>
        </is>
      </c>
      <c r="R1436" t="inlineStr">
        <is>
          <t>20.0</t>
        </is>
      </c>
      <c r="S1436" t="inlineStr">
        <is>
          <t>7163619082425</t>
        </is>
      </c>
    </row>
    <row r="1437" ht="75" customHeight="1">
      <c r="A1437" s="2">
        <f>HYPERLINK("https://camerareadycosmetics.com/products/jouer-long-wear-lip-topper", "https://camerareadycosmetics.com/products/jouer-long-wear-lip-topper")</f>
        <v/>
      </c>
      <c r="B1437" s="2">
        <f>HYPERLINK("https://camerareadycosmetics.com/products/jouer-long-wear-lip-topper", "https://camerareadycosmetics.com/products/jouer-long-wear-lip-topper")</f>
        <v/>
      </c>
      <c r="C1437" t="inlineStr">
        <is>
          <t>Long Wear Lip Topper</t>
        </is>
      </c>
      <c r="D1437" t="inlineStr">
        <is>
          <t>L'Oreal Paris Makeup Infallible Galaxy Lumiere Holographic Lip Gloss, Loaded with Iridescent Pearls, Wear Alone or as a Topper to your Favorite Lipstick, Polaris Pink, 0.1 fl; oz.</t>
        </is>
      </c>
      <c r="E1437" s="2">
        <f>HYPERLINK("https://www.amazon.com/LOreal-Paris-Infallible-Holographic-Iridescent/dp/B07P2HZVNP/ref=sr_1_8?keywords=Long+Wear+Lip+Topper&amp;qid=1695565648&amp;sr=8-8", "https://www.amazon.com/LOreal-Paris-Infallible-Holographic-Iridescent/dp/B07P2HZVNP/ref=sr_1_8?keywords=Long+Wear+Lip+Topper&amp;qid=1695565648&amp;sr=8-8")</f>
        <v/>
      </c>
      <c r="F1437" t="inlineStr">
        <is>
          <t>B07P2HZVNP</t>
        </is>
      </c>
      <c r="G1437">
        <f>_xlfn.IMAGE("https://camerareadycosmetics.com/cdn/shop/products/rose-818502015671_06_1024x1024.progressive_fda4bd85-edc1-4472-9630-327639973350_50x.jpg?v=1688676216")</f>
        <v/>
      </c>
      <c r="H1437">
        <f>_xlfn.IMAGE("https://m.media-amazon.com/images/I/71egCFH+BYL._AC_UL320_.jpg")</f>
        <v/>
      </c>
      <c r="K1437" t="inlineStr">
        <is>
          <t>20.0</t>
        </is>
      </c>
      <c r="L1437" t="n">
        <v>8.869999999999999</v>
      </c>
      <c r="M1437" s="1" t="inlineStr">
        <is>
          <t>-55.65%</t>
        </is>
      </c>
      <c r="N1437" t="n">
        <v>4.1</v>
      </c>
      <c r="O1437" t="n">
        <v>324</v>
      </c>
      <c r="Q1437" t="inlineStr">
        <is>
          <t>InStock</t>
        </is>
      </c>
      <c r="R1437" t="inlineStr">
        <is>
          <t>20.0</t>
        </is>
      </c>
      <c r="S1437" t="inlineStr">
        <is>
          <t>7163619082425</t>
        </is>
      </c>
    </row>
    <row r="1438" ht="75" customHeight="1">
      <c r="A1438" s="2">
        <f>HYPERLINK("https://camerareadycosmetics.com/products/jouer-long-wear-lip-topper", "https://camerareadycosmetics.com/products/jouer-long-wear-lip-topper")</f>
        <v/>
      </c>
      <c r="B1438" s="2">
        <f>HYPERLINK("https://camerareadycosmetics.com/products/jouer-long-wear-lip-topper", "https://camerareadycosmetics.com/products/jouer-long-wear-lip-topper")</f>
        <v/>
      </c>
      <c r="C1438" t="inlineStr">
        <is>
          <t>Long Wear Lip Topper</t>
        </is>
      </c>
      <c r="D1438" t="inlineStr">
        <is>
          <t>Maybelline New York Super Stay Ink Crayon Lipstick Makeup, Precision Tip Matte Lip Crayon with Built-in Sharpener, Longwear Up To 8Hrs, Stay Exceptional, Purple Beige, 1 Count</t>
        </is>
      </c>
      <c r="E1438" s="2">
        <f>HYPERLINK("https://www.amazon.com/Maybelline-New-York-SuperStay-Lipstick/dp/B07PDMYV48/ref=sr_1_7?keywords=Long+Wear+Lip+Topper&amp;qid=1695565648&amp;sr=8-7", "https://www.amazon.com/Maybelline-New-York-SuperStay-Lipstick/dp/B07PDMYV48/ref=sr_1_7?keywords=Long+Wear+Lip+Topper&amp;qid=1695565648&amp;sr=8-7")</f>
        <v/>
      </c>
      <c r="F1438" t="inlineStr">
        <is>
          <t>B07PDMYV48</t>
        </is>
      </c>
      <c r="G1438">
        <f>_xlfn.IMAGE("https://camerareadycosmetics.com/cdn/shop/products/rose-818502015671_06_1024x1024.progressive_fda4bd85-edc1-4472-9630-327639973350_50x.jpg?v=1688676216")</f>
        <v/>
      </c>
      <c r="H1438">
        <f>_xlfn.IMAGE("https://m.media-amazon.com/images/I/61nV4+vVQBL._AC_UL320_.jpg")</f>
        <v/>
      </c>
      <c r="K1438" t="inlineStr">
        <is>
          <t>20.0</t>
        </is>
      </c>
      <c r="L1438" t="n">
        <v>8.66</v>
      </c>
      <c r="M1438" s="1" t="inlineStr">
        <is>
          <t>-56.70%</t>
        </is>
      </c>
      <c r="N1438" t="n">
        <v>4.5</v>
      </c>
      <c r="O1438" t="n">
        <v>28004</v>
      </c>
      <c r="Q1438" t="inlineStr">
        <is>
          <t>InStock</t>
        </is>
      </c>
      <c r="R1438" t="inlineStr">
        <is>
          <t>20.0</t>
        </is>
      </c>
      <c r="S1438" t="inlineStr">
        <is>
          <t>7163619082425</t>
        </is>
      </c>
    </row>
    <row r="1439" ht="75" customHeight="1">
      <c r="A1439" s="2">
        <f>HYPERLINK("https://camerareadycosmetics.com/products/jouer-long-wear-lip-topper", "https://camerareadycosmetics.com/products/jouer-long-wear-lip-topper")</f>
        <v/>
      </c>
      <c r="B1439" s="2">
        <f>HYPERLINK("https://camerareadycosmetics.com/products/jouer-long-wear-lip-topper", "https://camerareadycosmetics.com/products/jouer-long-wear-lip-topper")</f>
        <v/>
      </c>
      <c r="C1439" t="inlineStr">
        <is>
          <t>Long Wear Lip Topper</t>
        </is>
      </c>
      <c r="D1439" t="inlineStr">
        <is>
          <t>Maybelline New York Super Stay Matte Ink Liquid Lipstick Makeup, Long Lasting High Impact Color, Up to 16H Wear, Lover, Mauve Neutral, 1 Count</t>
        </is>
      </c>
      <c r="E1439" s="2">
        <f>HYPERLINK("https://www.amazon.com/Maybelline-SuperStay-Matte-Liquid-Lipstick/dp/B06XF16MWM/ref=sr_1_10?keywords=Long+Wear+Lip+Topper&amp;qid=1695565648&amp;sr=8-10", "https://www.amazon.com/Maybelline-SuperStay-Matte-Liquid-Lipstick/dp/B06XF16MWM/ref=sr_1_10?keywords=Long+Wear+Lip+Topper&amp;qid=1695565648&amp;sr=8-10")</f>
        <v/>
      </c>
      <c r="F1439" t="inlineStr">
        <is>
          <t>B06XF16MWM</t>
        </is>
      </c>
      <c r="G1439">
        <f>_xlfn.IMAGE("https://camerareadycosmetics.com/cdn/shop/products/rose-818502015671_06_1024x1024.progressive_fda4bd85-edc1-4472-9630-327639973350_50x.jpg?v=1688676216")</f>
        <v/>
      </c>
      <c r="H1439">
        <f>_xlfn.IMAGE("https://m.media-amazon.com/images/I/7117wJORw5L._AC_UL320_.jpg")</f>
        <v/>
      </c>
      <c r="K1439" t="inlineStr">
        <is>
          <t>20.0</t>
        </is>
      </c>
      <c r="L1439" t="n">
        <v>7.96</v>
      </c>
      <c r="M1439" s="1" t="inlineStr">
        <is>
          <t>-60.20%</t>
        </is>
      </c>
      <c r="N1439" t="n">
        <v>4.4</v>
      </c>
      <c r="O1439" t="n">
        <v>109666</v>
      </c>
      <c r="Q1439" t="inlineStr">
        <is>
          <t>InStock</t>
        </is>
      </c>
      <c r="R1439" t="inlineStr">
        <is>
          <t>20.0</t>
        </is>
      </c>
      <c r="S1439" t="inlineStr">
        <is>
          <t>7163619082425</t>
        </is>
      </c>
    </row>
    <row r="1440" ht="75" customHeight="1">
      <c r="A1440" s="2">
        <f>HYPERLINK("https://camerareadycosmetics.com/products/jouer-long-wear-lip-topper", "https://camerareadycosmetics.com/products/jouer-long-wear-lip-topper")</f>
        <v/>
      </c>
      <c r="B1440" s="2">
        <f>HYPERLINK("https://camerareadycosmetics.com/products/jouer-long-wear-lip-topper", "https://camerareadycosmetics.com/products/jouer-long-wear-lip-topper")</f>
        <v/>
      </c>
      <c r="C1440" t="inlineStr">
        <is>
          <t>Long Wear Lip Topper</t>
        </is>
      </c>
      <c r="D1440" t="inlineStr">
        <is>
          <t>BestLand 6Pcs Matte Liquid Lipstick Makeup Set, Matte liquid Long-Lasting Wear Non-Stick Cup Not Fade Waterproof Lip Gloss (Set B)</t>
        </is>
      </c>
      <c r="E1440" s="2">
        <f>HYPERLINK("https://www.amazon.com/Liquid-Lipstick-Long-Lasting-Non-Stick-Waterproof/dp/B083QMWB6K/ref=sr_1_4?keywords=Long+Wear+Lip+Topper&amp;qid=1695565648&amp;sr=8-4", "https://www.amazon.com/Liquid-Lipstick-Long-Lasting-Non-Stick-Waterproof/dp/B083QMWB6K/ref=sr_1_4?keywords=Long+Wear+Lip+Topper&amp;qid=1695565648&amp;sr=8-4")</f>
        <v/>
      </c>
      <c r="F1440" t="inlineStr">
        <is>
          <t>B083QMWB6K</t>
        </is>
      </c>
      <c r="G1440">
        <f>_xlfn.IMAGE("https://camerareadycosmetics.com/cdn/shop/products/rose-818502015671_06_1024x1024.progressive_fda4bd85-edc1-4472-9630-327639973350_50x.jpg?v=1688676216")</f>
        <v/>
      </c>
      <c r="H1440">
        <f>_xlfn.IMAGE("https://m.media-amazon.com/images/I/61qvhbTMSzL._AC_UL320_.jpg")</f>
        <v/>
      </c>
      <c r="K1440" t="inlineStr">
        <is>
          <t>20.0</t>
        </is>
      </c>
      <c r="L1440" t="n">
        <v>9.99</v>
      </c>
      <c r="M1440" s="1" t="inlineStr">
        <is>
          <t>-50.05%</t>
        </is>
      </c>
      <c r="N1440" t="n">
        <v>3.9</v>
      </c>
      <c r="O1440" t="n">
        <v>38632</v>
      </c>
      <c r="Q1440" t="inlineStr">
        <is>
          <t>InStock</t>
        </is>
      </c>
      <c r="R1440" t="inlineStr">
        <is>
          <t>20.0</t>
        </is>
      </c>
      <c r="S1440" t="inlineStr">
        <is>
          <t>7163619082425</t>
        </is>
      </c>
    </row>
    <row r="1441" ht="75" customHeight="1">
      <c r="A1441" s="2">
        <f>HYPERLINK("https://camerareadycosmetics.com/products/jouer-long-wear-lip-topper", "https://camerareadycosmetics.com/products/jouer-long-wear-lip-topper")</f>
        <v/>
      </c>
      <c r="B1441" s="2">
        <f>HYPERLINK("https://camerareadycosmetics.com/products/jouer-long-wear-lip-topper", "https://camerareadycosmetics.com/products/jouer-long-wear-lip-topper")</f>
        <v/>
      </c>
      <c r="C1441" t="inlineStr">
        <is>
          <t>Long Wear Lip Topper</t>
        </is>
      </c>
      <c r="D1441" t="inlineStr">
        <is>
          <t>Maybelline New York Super Stay 24, 2-Step Liquid Lipstick Makeup, Long Lasting Highly Pigmented Color with Moisturizing Balm, Wear On Wildberry, Mauve Pink, 1 Count</t>
        </is>
      </c>
      <c r="E1441" s="2">
        <f>HYPERLINK("https://www.amazon.com/Maybelline-New-York-Superstay-Wildberry/dp/B00467985Q/ref=sr_1_2?keywords=Long+Wear+Lip+Topper&amp;qid=1695565648&amp;sr=8-2", "https://www.amazon.com/Maybelline-New-York-Superstay-Wildberry/dp/B00467985Q/ref=sr_1_2?keywords=Long+Wear+Lip+Topper&amp;qid=1695565648&amp;sr=8-2")</f>
        <v/>
      </c>
      <c r="F1441" t="inlineStr">
        <is>
          <t>B00467985Q</t>
        </is>
      </c>
      <c r="G1441">
        <f>_xlfn.IMAGE("https://camerareadycosmetics.com/cdn/shop/products/rose-818502015671_06_1024x1024.progressive_fda4bd85-edc1-4472-9630-327639973350_50x.jpg?v=1688676216")</f>
        <v/>
      </c>
      <c r="H1441">
        <f>_xlfn.IMAGE("https://m.media-amazon.com/images/I/71YCOcRKeBL._AC_UL320_.jpg")</f>
        <v/>
      </c>
      <c r="K1441" t="inlineStr">
        <is>
          <t>20.0</t>
        </is>
      </c>
      <c r="L1441" t="n">
        <v>8.98</v>
      </c>
      <c r="M1441" s="1" t="inlineStr">
        <is>
          <t>-55.10%</t>
        </is>
      </c>
      <c r="N1441" t="n">
        <v>4.4</v>
      </c>
      <c r="O1441" t="n">
        <v>28925</v>
      </c>
      <c r="Q1441" t="inlineStr">
        <is>
          <t>InStock</t>
        </is>
      </c>
      <c r="R1441" t="inlineStr">
        <is>
          <t>20.0</t>
        </is>
      </c>
      <c r="S1441" t="inlineStr">
        <is>
          <t>7163619082425</t>
        </is>
      </c>
    </row>
    <row r="1442" ht="75" customHeight="1">
      <c r="A1442" s="2">
        <f>HYPERLINK("https://camerareadycosmetics.com/products/jouer-long-wear-lip-topper", "https://camerareadycosmetics.com/products/jouer-long-wear-lip-topper")</f>
        <v/>
      </c>
      <c r="B1442" s="2">
        <f>HYPERLINK("https://camerareadycosmetics.com/products/jouer-long-wear-lip-topper", "https://camerareadycosmetics.com/products/jouer-long-wear-lip-topper")</f>
        <v/>
      </c>
      <c r="C1442" t="inlineStr">
        <is>
          <t>Long Wear Lip Topper</t>
        </is>
      </c>
      <c r="D1442" t="inlineStr">
        <is>
          <t>L'Oreal Paris Makeup Infallible Galaxy Lumiere Holographic Lip Gloss, Loaded with Iridescent Pearls, Wear Alone or as a Topper to your Favorite Lipstick, Polaris Pink, 0.1 fl; oz.</t>
        </is>
      </c>
      <c r="E1442" s="2">
        <f>HYPERLINK("https://www.amazon.com/LOreal-Paris-Infallible-Holographic-Iridescent/dp/B07P2HZVNP/ref=sr_1_8?keywords=Long+Wear+Lip+Topper&amp;qid=1695565648&amp;sr=8-8", "https://www.amazon.com/LOreal-Paris-Infallible-Holographic-Iridescent/dp/B07P2HZVNP/ref=sr_1_8?keywords=Long+Wear+Lip+Topper&amp;qid=1695565648&amp;sr=8-8")</f>
        <v/>
      </c>
      <c r="F1442" t="inlineStr">
        <is>
          <t>B07P2HZVNP</t>
        </is>
      </c>
      <c r="G1442">
        <f>_xlfn.IMAGE("https://camerareadycosmetics.com/cdn/shop/products/rose-818502015671_06_1024x1024.progressive_fda4bd85-edc1-4472-9630-327639973350_50x.jpg?v=1688676216")</f>
        <v/>
      </c>
      <c r="H1442">
        <f>_xlfn.IMAGE("https://m.media-amazon.com/images/I/71egCFH+BYL._AC_UL320_.jpg")</f>
        <v/>
      </c>
      <c r="K1442" t="inlineStr">
        <is>
          <t>20.0</t>
        </is>
      </c>
      <c r="L1442" t="n">
        <v>8.869999999999999</v>
      </c>
      <c r="M1442" s="1" t="inlineStr">
        <is>
          <t>-55.65%</t>
        </is>
      </c>
      <c r="N1442" t="n">
        <v>4.1</v>
      </c>
      <c r="O1442" t="n">
        <v>324</v>
      </c>
      <c r="Q1442" t="inlineStr">
        <is>
          <t>InStock</t>
        </is>
      </c>
      <c r="R1442" t="inlineStr">
        <is>
          <t>20.0</t>
        </is>
      </c>
      <c r="S1442" t="inlineStr">
        <is>
          <t>7163619082425</t>
        </is>
      </c>
    </row>
    <row r="1443" ht="75" customHeight="1">
      <c r="A1443" s="2">
        <f>HYPERLINK("https://camerareadycosmetics.com/products/jouer-long-wear-lip-topper", "https://camerareadycosmetics.com/products/jouer-long-wear-lip-topper")</f>
        <v/>
      </c>
      <c r="B1443" s="2">
        <f>HYPERLINK("https://camerareadycosmetics.com/products/jouer-long-wear-lip-topper", "https://camerareadycosmetics.com/products/jouer-long-wear-lip-topper")</f>
        <v/>
      </c>
      <c r="C1443" t="inlineStr">
        <is>
          <t>Long Wear Lip Topper</t>
        </is>
      </c>
      <c r="D1443" t="inlineStr">
        <is>
          <t>Maybelline New York Super Stay Ink Crayon Lipstick Makeup, Precision Tip Matte Lip Crayon with Built-in Sharpener, Longwear Up To 8Hrs, Stay Exceptional, Purple Beige, 1 Count</t>
        </is>
      </c>
      <c r="E1443" s="2">
        <f>HYPERLINK("https://www.amazon.com/Maybelline-New-York-SuperStay-Lipstick/dp/B07PDMYV48/ref=sr_1_7?keywords=Long+Wear+Lip+Topper&amp;qid=1695565648&amp;sr=8-7", "https://www.amazon.com/Maybelline-New-York-SuperStay-Lipstick/dp/B07PDMYV48/ref=sr_1_7?keywords=Long+Wear+Lip+Topper&amp;qid=1695565648&amp;sr=8-7")</f>
        <v/>
      </c>
      <c r="F1443" t="inlineStr">
        <is>
          <t>B07PDMYV48</t>
        </is>
      </c>
      <c r="G1443">
        <f>_xlfn.IMAGE("https://camerareadycosmetics.com/cdn/shop/products/rose-818502015671_06_1024x1024.progressive_fda4bd85-edc1-4472-9630-327639973350_50x.jpg?v=1688676216")</f>
        <v/>
      </c>
      <c r="H1443">
        <f>_xlfn.IMAGE("https://m.media-amazon.com/images/I/61nV4+vVQBL._AC_UL320_.jpg")</f>
        <v/>
      </c>
      <c r="K1443" t="inlineStr">
        <is>
          <t>20.0</t>
        </is>
      </c>
      <c r="L1443" t="n">
        <v>8.66</v>
      </c>
      <c r="M1443" s="1" t="inlineStr">
        <is>
          <t>-56.70%</t>
        </is>
      </c>
      <c r="N1443" t="n">
        <v>4.5</v>
      </c>
      <c r="O1443" t="n">
        <v>28004</v>
      </c>
      <c r="Q1443" t="inlineStr">
        <is>
          <t>InStock</t>
        </is>
      </c>
      <c r="R1443" t="inlineStr">
        <is>
          <t>20.0</t>
        </is>
      </c>
      <c r="S1443" t="inlineStr">
        <is>
          <t>7163619082425</t>
        </is>
      </c>
    </row>
    <row r="1444" ht="75" customHeight="1">
      <c r="A1444" s="2">
        <f>HYPERLINK("https://camerareadycosmetics.com/products/jouer-long-wear-lip-topper", "https://camerareadycosmetics.com/products/jouer-long-wear-lip-topper")</f>
        <v/>
      </c>
      <c r="B1444" s="2">
        <f>HYPERLINK("https://camerareadycosmetics.com/products/jouer-long-wear-lip-topper", "https://camerareadycosmetics.com/products/jouer-long-wear-lip-topper")</f>
        <v/>
      </c>
      <c r="C1444" t="inlineStr">
        <is>
          <t>Long Wear Lip Topper</t>
        </is>
      </c>
      <c r="D1444" t="inlineStr">
        <is>
          <t>Maybelline New York Super Stay Matte Ink Liquid Lipstick Makeup, Long Lasting High Impact Color, Up to 16H Wear, Lover, Mauve Neutral, 1 Count</t>
        </is>
      </c>
      <c r="E1444" s="2">
        <f>HYPERLINK("https://www.amazon.com/Maybelline-SuperStay-Matte-Liquid-Lipstick/dp/B06XF16MWM/ref=sr_1_10?keywords=Long+Wear+Lip+Topper&amp;qid=1695565648&amp;sr=8-10", "https://www.amazon.com/Maybelline-SuperStay-Matte-Liquid-Lipstick/dp/B06XF16MWM/ref=sr_1_10?keywords=Long+Wear+Lip+Topper&amp;qid=1695565648&amp;sr=8-10")</f>
        <v/>
      </c>
      <c r="F1444" t="inlineStr">
        <is>
          <t>B06XF16MWM</t>
        </is>
      </c>
      <c r="G1444">
        <f>_xlfn.IMAGE("https://camerareadycosmetics.com/cdn/shop/products/rose-818502015671_06_1024x1024.progressive_fda4bd85-edc1-4472-9630-327639973350_50x.jpg?v=1688676216")</f>
        <v/>
      </c>
      <c r="H1444">
        <f>_xlfn.IMAGE("https://m.media-amazon.com/images/I/7117wJORw5L._AC_UL320_.jpg")</f>
        <v/>
      </c>
      <c r="K1444" t="inlineStr">
        <is>
          <t>20.0</t>
        </is>
      </c>
      <c r="L1444" t="n">
        <v>7.96</v>
      </c>
      <c r="M1444" s="1" t="inlineStr">
        <is>
          <t>-60.20%</t>
        </is>
      </c>
      <c r="N1444" t="n">
        <v>4.4</v>
      </c>
      <c r="O1444" t="n">
        <v>109666</v>
      </c>
      <c r="Q1444" t="inlineStr">
        <is>
          <t>InStock</t>
        </is>
      </c>
      <c r="R1444" t="inlineStr">
        <is>
          <t>20.0</t>
        </is>
      </c>
      <c r="S1444" t="inlineStr">
        <is>
          <t>7163619082425</t>
        </is>
      </c>
    </row>
    <row r="1445" ht="75" customHeight="1">
      <c r="A1445" s="2">
        <f>HYPERLINK("https://camerareadycosmetics.com/products/jouer-menage-a-trois-butter-bronzer-blush-highlighter", "https://camerareadycosmetics.com/products/jouer-menage-a-trois-butter-bronzer-blush-highlighter")</f>
        <v/>
      </c>
      <c r="B1445" s="2">
        <f>HYPERLINK("https://camerareadycosmetics.com/products/jouer-menage-a-trois-butter-bronzer-blush-highlighter", "https://camerareadycosmetics.com/products/jouer-menage-a-trois-butter-bronzer-blush-highlighter")</f>
        <v/>
      </c>
      <c r="C1445" t="inlineStr">
        <is>
          <t>Ménage à Trois Butter Bronzer, Blush &amp; Highlighter</t>
        </is>
      </c>
      <c r="D1445" t="inlineStr">
        <is>
          <t>Jouer Ménage à Trois Butter Bronzer, Blush &amp; Highlighter- 3 in 1 Formula Bronzer, Highlighter and Blush - Hydrating Vitamin E and Talc Free Formula</t>
        </is>
      </c>
      <c r="E1445" s="2">
        <f>HYPERLINK("https://www.amazon.com/Jouer-Bronzer-Highlighter-Formula-Highlighter/dp/B0BJBWXWNG/ref=sr_1_5?keywords=M%C3%A9nage+%C3%A0+Trois+Butter+Bronzer%2C+Blush+%26+Highlighter&amp;qid=1695565838&amp;sr=8-5", "https://www.amazon.com/Jouer-Bronzer-Highlighter-Formula-Highlighter/dp/B0BJBWXWNG/ref=sr_1_5?keywords=M%C3%A9nage+%C3%A0+Trois+Butter+Bronzer%2C+Blush+%26+Highlighter&amp;qid=1695565838&amp;sr=8-5")</f>
        <v/>
      </c>
      <c r="F1445" t="inlineStr">
        <is>
          <t>B0BJBWXWNG</t>
        </is>
      </c>
      <c r="G1445">
        <f>_xlfn.IMAGE("https://camerareadycosmetics.com/cdn/shop/products/818502015817_02_1024x1024.progressive_089f03cc-7fdd-45a2-a3ca-c1a2191f18ac_50x.jpg?v=1670429631")</f>
        <v/>
      </c>
      <c r="H1445">
        <f>_xlfn.IMAGE("https://m.media-amazon.com/images/I/813p9g-BsVL._AC_UL320_.jpg")</f>
        <v/>
      </c>
      <c r="K1445" t="inlineStr">
        <is>
          <t>29.0</t>
        </is>
      </c>
      <c r="L1445" t="n">
        <v>29</v>
      </c>
      <c r="M1445" s="1" t="inlineStr">
        <is>
          <t>0.00%</t>
        </is>
      </c>
      <c r="N1445" t="n">
        <v>3.9</v>
      </c>
      <c r="O1445" t="n">
        <v>7</v>
      </c>
      <c r="Q1445" t="inlineStr">
        <is>
          <t>InStock</t>
        </is>
      </c>
      <c r="R1445" t="inlineStr">
        <is>
          <t>undefined</t>
        </is>
      </c>
      <c r="S1445" t="inlineStr">
        <is>
          <t>7554360410297</t>
        </is>
      </c>
    </row>
    <row r="1446" ht="75" customHeight="1">
      <c r="A1446" s="2">
        <f>HYPERLINK("https://camerareadycosmetics.com/products/jouer-paris-lights-eye-paints-liquid-eyeshadow", "https://camerareadycosmetics.com/products/jouer-paris-lights-eye-paints-liquid-eyeshadow")</f>
        <v/>
      </c>
      <c r="B1446" s="2">
        <f>HYPERLINK("https://camerareadycosmetics.com/products/jouer-paris-lights-eye-paints-liquid-eyeshadow", "https://camerareadycosmetics.com/products/jouer-paris-lights-eye-paints-liquid-eyeshadow")</f>
        <v/>
      </c>
      <c r="C1446" t="inlineStr">
        <is>
          <t>Paris Lights Eye Paints Liquid Eyeshadow</t>
        </is>
      </c>
      <c r="D1446" t="inlineStr">
        <is>
          <t>Jouer Paris Lights Eye Paints - Metallic Liquid Eyeshadow - Long Lasting &amp; Crease-Proof Shimmer Cream Eyeshadow - Smooth Chrome Finish, Lumiere</t>
        </is>
      </c>
      <c r="E1446" s="2">
        <f>HYPERLINK("https://www.amazon.com/Jouer-Paris-Lights-Eye-Paints/dp/B0BG6FP86Z/ref=sr_1_1?keywords=Paris+Lights+Eye+Paints+Liquid+Eyeshadow&amp;qid=1695565716&amp;sr=8-1", "https://www.amazon.com/Jouer-Paris-Lights-Eye-Paints/dp/B0BG6FP86Z/ref=sr_1_1?keywords=Paris+Lights+Eye+Paints+Liquid+Eyeshadow&amp;qid=1695565716&amp;sr=8-1")</f>
        <v/>
      </c>
      <c r="F1446" t="inlineStr">
        <is>
          <t>B0BG6FP86Z</t>
        </is>
      </c>
      <c r="G1446">
        <f>_xlfn.IMAGE("https://camerareadycosmetics.com/cdn/shop/products/ParisLights_RetailerImages_05_1024x1024.progressive_2879fac6-3ab5-408a-af4c-f4e1a968ffc6_50x.jpg?v=1688677631")</f>
        <v/>
      </c>
      <c r="H1446">
        <f>_xlfn.IMAGE("https://m.media-amazon.com/images/I/812SNBcDjrL._AC_UL320_.jpg")</f>
        <v/>
      </c>
      <c r="K1446" t="inlineStr">
        <is>
          <t>24.0</t>
        </is>
      </c>
      <c r="L1446" t="n">
        <v>22.09</v>
      </c>
      <c r="M1446" s="1" t="inlineStr">
        <is>
          <t>-7.96%</t>
        </is>
      </c>
      <c r="N1446" t="n">
        <v>4.3</v>
      </c>
      <c r="O1446" t="n">
        <v>56</v>
      </c>
      <c r="Q1446" t="inlineStr">
        <is>
          <t>InStock</t>
        </is>
      </c>
      <c r="R1446" t="inlineStr">
        <is>
          <t>undefined</t>
        </is>
      </c>
      <c r="S1446" t="inlineStr">
        <is>
          <t>7523964158137</t>
        </is>
      </c>
    </row>
    <row r="1447" ht="75" customHeight="1">
      <c r="A1447" s="2">
        <f>HYPERLINK("https://camerareadycosmetics.com/products/jouer-powder-highlighter", "https://camerareadycosmetics.com/products/jouer-powder-highlighter")</f>
        <v/>
      </c>
      <c r="B1447" s="2">
        <f>HYPERLINK("https://camerareadycosmetics.com/products/jouer-powder-highlighter", "https://camerareadycosmetics.com/products/jouer-powder-highlighter")</f>
        <v/>
      </c>
      <c r="C1447" t="inlineStr">
        <is>
          <t>Powder Highlighter</t>
        </is>
      </c>
      <c r="D1447" t="inlineStr">
        <is>
          <t>Milani Baked Highlighter (Bronze Splendore) - Cruelty-Free Powder Highlighter, Highlight Face for a Shimmery or Matte Finish</t>
        </is>
      </c>
      <c r="E1447" s="2">
        <f>HYPERLINK("https://www.amazon.com/Milani-Baked-Highlighter-Bronze-Splendore/dp/B0835867VT/ref=sr_1_8?keywords=Powder+Highlighter&amp;qid=1695565732&amp;sr=8-8", "https://www.amazon.com/Milani-Baked-Highlighter-Bronze-Splendore/dp/B0835867VT/ref=sr_1_8?keywords=Powder+Highlighter&amp;qid=1695565732&amp;sr=8-8")</f>
        <v/>
      </c>
      <c r="F1447" t="inlineStr">
        <is>
          <t>B0835867VT</t>
        </is>
      </c>
      <c r="G1447">
        <f>_xlfn.IMAGE("https://camerareadycosmetics.com/cdn/shop/products/Jouer-powder-highlight-PH-Topaz_4_1024x1024.progressive_2e03de17-661c-4c89-a670-f8ea4f07c285_50x.jpg?v=1635371126")</f>
        <v/>
      </c>
      <c r="H1447">
        <f>_xlfn.IMAGE("https://m.media-amazon.com/images/I/71rTQgLO1aL._AC_UL320_.jpg")</f>
        <v/>
      </c>
      <c r="K1447" t="inlineStr">
        <is>
          <t>25.0</t>
        </is>
      </c>
      <c r="L1447" t="n">
        <v>10.97</v>
      </c>
      <c r="M1447" s="1" t="inlineStr">
        <is>
          <t>-56.12%</t>
        </is>
      </c>
      <c r="N1447" t="n">
        <v>4.5</v>
      </c>
      <c r="O1447" t="n">
        <v>36221</v>
      </c>
      <c r="Q1447" t="inlineStr">
        <is>
          <t>InStock</t>
        </is>
      </c>
      <c r="R1447" t="inlineStr">
        <is>
          <t>undefined</t>
        </is>
      </c>
      <c r="S1447" t="inlineStr">
        <is>
          <t>7060936163513</t>
        </is>
      </c>
    </row>
    <row r="1448" ht="75" customHeight="1">
      <c r="A1448" s="2">
        <f>HYPERLINK("https://camerareadycosmetics.com/products/jouer-powder-highlighter", "https://camerareadycosmetics.com/products/jouer-powder-highlighter")</f>
        <v/>
      </c>
      <c r="B1448" s="2">
        <f>HYPERLINK("https://camerareadycosmetics.com/products/jouer-powder-highlighter", "https://camerareadycosmetics.com/products/jouer-powder-highlighter")</f>
        <v/>
      </c>
      <c r="C1448" t="inlineStr">
        <is>
          <t>Powder Highlighter</t>
        </is>
      </c>
      <c r="D1448" t="inlineStr">
        <is>
          <t>Physicians Formula Murumuru Butter Highlighter Makeup Face Powder Make Up, Pearl, Dermatologist Approved</t>
        </is>
      </c>
      <c r="E1448" s="2">
        <f>HYPERLINK("https://www.amazon.com/Physicians-Formula-Butter-Highlighter-Pearl/dp/B075K784FK/ref=sr_1_4?keywords=Powder+Highlighter&amp;qid=1695565732&amp;sr=8-4", "https://www.amazon.com/Physicians-Formula-Butter-Highlighter-Pearl/dp/B075K784FK/ref=sr_1_4?keywords=Powder+Highlighter&amp;qid=1695565732&amp;sr=8-4")</f>
        <v/>
      </c>
      <c r="F1448" t="inlineStr">
        <is>
          <t>B075K784FK</t>
        </is>
      </c>
      <c r="G1448">
        <f>_xlfn.IMAGE("https://camerareadycosmetics.com/cdn/shop/products/Jouer-powder-highlight-PH-Topaz_4_1024x1024.progressive_2e03de17-661c-4c89-a670-f8ea4f07c285_50x.jpg?v=1635371126")</f>
        <v/>
      </c>
      <c r="H1448">
        <f>_xlfn.IMAGE("https://m.media-amazon.com/images/I/71svxceaNbL._AC_UL320_.jpg")</f>
        <v/>
      </c>
      <c r="K1448" t="inlineStr">
        <is>
          <t>25.0</t>
        </is>
      </c>
      <c r="L1448" t="n">
        <v>8.390000000000001</v>
      </c>
      <c r="M1448" s="1" t="inlineStr">
        <is>
          <t>-66.44%</t>
        </is>
      </c>
      <c r="N1448" t="n">
        <v>4.3</v>
      </c>
      <c r="O1448" t="n">
        <v>7196</v>
      </c>
      <c r="Q1448" t="inlineStr">
        <is>
          <t>InStock</t>
        </is>
      </c>
      <c r="R1448" t="inlineStr">
        <is>
          <t>undefined</t>
        </is>
      </c>
      <c r="S1448" t="inlineStr">
        <is>
          <t>7060936163513</t>
        </is>
      </c>
    </row>
    <row r="1449" ht="75" customHeight="1">
      <c r="A1449" s="2">
        <f>HYPERLINK("https://camerareadycosmetics.com/products/jouer-powder-highlighter", "https://camerareadycosmetics.com/products/jouer-powder-highlighter")</f>
        <v/>
      </c>
      <c r="B1449" s="2">
        <f>HYPERLINK("https://camerareadycosmetics.com/products/jouer-powder-highlighter", "https://camerareadycosmetics.com/products/jouer-powder-highlighter")</f>
        <v/>
      </c>
      <c r="C1449" t="inlineStr">
        <is>
          <t>Powder Highlighter</t>
        </is>
      </c>
      <c r="D1449" t="inlineStr">
        <is>
          <t>Maybelline New York Master Chrome Metallic Highlighter Powder Makeup, Molten Gold, 1 Count</t>
        </is>
      </c>
      <c r="E1449" s="2">
        <f>HYPERLINK("https://www.amazon.com/Maybelline-Master-Chrome-Metallic-Highlighter/dp/B06XF2YKPP/ref=sr_1_10?keywords=Powder+Highlighter&amp;qid=1695565732&amp;sr=8-10", "https://www.amazon.com/Maybelline-Master-Chrome-Metallic-Highlighter/dp/B06XF2YKPP/ref=sr_1_10?keywords=Powder+Highlighter&amp;qid=1695565732&amp;sr=8-10")</f>
        <v/>
      </c>
      <c r="F1449" t="inlineStr">
        <is>
          <t>B06XF2YKPP</t>
        </is>
      </c>
      <c r="G1449">
        <f>_xlfn.IMAGE("https://camerareadycosmetics.com/cdn/shop/products/Jouer-powder-highlight-PH-Topaz_4_1024x1024.progressive_2e03de17-661c-4c89-a670-f8ea4f07c285_50x.jpg?v=1635371126")</f>
        <v/>
      </c>
      <c r="H1449">
        <f>_xlfn.IMAGE("https://m.media-amazon.com/images/I/81H4VuOBbaL._AC_UL320_.jpg")</f>
        <v/>
      </c>
      <c r="K1449" t="inlineStr">
        <is>
          <t>25.0</t>
        </is>
      </c>
      <c r="L1449" t="n">
        <v>6</v>
      </c>
      <c r="M1449" s="1" t="inlineStr">
        <is>
          <t>-76.00%</t>
        </is>
      </c>
      <c r="N1449" t="n">
        <v>4.5</v>
      </c>
      <c r="O1449" t="n">
        <v>16112</v>
      </c>
      <c r="Q1449" t="inlineStr">
        <is>
          <t>InStock</t>
        </is>
      </c>
      <c r="R1449" t="inlineStr">
        <is>
          <t>undefined</t>
        </is>
      </c>
      <c r="S1449" t="inlineStr">
        <is>
          <t>7060936163513</t>
        </is>
      </c>
    </row>
    <row r="1450" ht="75" customHeight="1">
      <c r="A1450" s="2">
        <f>HYPERLINK("https://camerareadycosmetics.com/products/jouer-powder-highlighter", "https://camerareadycosmetics.com/products/jouer-powder-highlighter")</f>
        <v/>
      </c>
      <c r="B1450" s="2">
        <f>HYPERLINK("https://camerareadycosmetics.com/products/jouer-powder-highlighter", "https://camerareadycosmetics.com/products/jouer-powder-highlighter")</f>
        <v/>
      </c>
      <c r="C1450" t="inlineStr">
        <is>
          <t>Powder Highlighter</t>
        </is>
      </c>
      <c r="D1450" t="inlineStr">
        <is>
          <t>Catrice | More Than Glow Powder Highlighter | Silky Soft Texture for a Subtle Glow | Vegan &amp; Cruelty Free (020 | Supreme Rose Beam)</t>
        </is>
      </c>
      <c r="E1450" s="2">
        <f>HYPERLINK("https://www.amazon.com/Catrice-Highlighter-Texture-Cruelty-Supreme/dp/B08HJN6TMS/ref=sr_1_7?keywords=Powder+Highlighter&amp;qid=1695565732&amp;sr=8-7", "https://www.amazon.com/Catrice-Highlighter-Texture-Cruelty-Supreme/dp/B08HJN6TMS/ref=sr_1_7?keywords=Powder+Highlighter&amp;qid=1695565732&amp;sr=8-7")</f>
        <v/>
      </c>
      <c r="F1450" t="inlineStr">
        <is>
          <t>B08HJN6TMS</t>
        </is>
      </c>
      <c r="G1450">
        <f>_xlfn.IMAGE("https://camerareadycosmetics.com/cdn/shop/products/Jouer-powder-highlight-PH-Topaz_4_1024x1024.progressive_2e03de17-661c-4c89-a670-f8ea4f07c285_50x.jpg?v=1635371126")</f>
        <v/>
      </c>
      <c r="H1450">
        <f>_xlfn.IMAGE("https://m.media-amazon.com/images/I/816g9H0FxdL._AC_UL320_.jpg")</f>
        <v/>
      </c>
      <c r="K1450" t="inlineStr">
        <is>
          <t>25.0</t>
        </is>
      </c>
      <c r="L1450" t="n">
        <v>6</v>
      </c>
      <c r="M1450" s="1" t="inlineStr">
        <is>
          <t>-76.00%</t>
        </is>
      </c>
      <c r="N1450" t="n">
        <v>4.4</v>
      </c>
      <c r="O1450" t="n">
        <v>740</v>
      </c>
      <c r="Q1450" t="inlineStr">
        <is>
          <t>InStock</t>
        </is>
      </c>
      <c r="R1450" t="inlineStr">
        <is>
          <t>undefined</t>
        </is>
      </c>
      <c r="S1450" t="inlineStr">
        <is>
          <t>7060936163513</t>
        </is>
      </c>
    </row>
    <row r="1451" ht="75" customHeight="1">
      <c r="A1451" s="2">
        <f>HYPERLINK("https://camerareadycosmetics.com/products/jouer-powder-highlighter", "https://camerareadycosmetics.com/products/jouer-powder-highlighter")</f>
        <v/>
      </c>
      <c r="B1451" s="2">
        <f>HYPERLINK("https://camerareadycosmetics.com/products/jouer-powder-highlighter", "https://camerareadycosmetics.com/products/jouer-powder-highlighter")</f>
        <v/>
      </c>
      <c r="C1451" t="inlineStr">
        <is>
          <t>Powder Highlighter</t>
        </is>
      </c>
      <c r="D1451" t="inlineStr">
        <is>
          <t>Milani Baked Highlighter (Bronze Splendore) - Cruelty-Free Powder Highlighter, Highlight Face for a Shimmery or Matte Finish</t>
        </is>
      </c>
      <c r="E1451" s="2">
        <f>HYPERLINK("https://www.amazon.com/Milani-Baked-Highlighter-Bronze-Splendore/dp/B0835867VT/ref=sr_1_8?keywords=Powder+Highlighter&amp;qid=1695565732&amp;sr=8-8", "https://www.amazon.com/Milani-Baked-Highlighter-Bronze-Splendore/dp/B0835867VT/ref=sr_1_8?keywords=Powder+Highlighter&amp;qid=1695565732&amp;sr=8-8")</f>
        <v/>
      </c>
      <c r="F1451" t="inlineStr">
        <is>
          <t>B0835867VT</t>
        </is>
      </c>
      <c r="G1451">
        <f>_xlfn.IMAGE("https://camerareadycosmetics.com/cdn/shop/products/Jouer-powder-highlight-PH-Topaz_4_1024x1024.progressive_2e03de17-661c-4c89-a670-f8ea4f07c285_50x.jpg?v=1635371126")</f>
        <v/>
      </c>
      <c r="H1451">
        <f>_xlfn.IMAGE("https://m.media-amazon.com/images/I/71rTQgLO1aL._AC_UL320_.jpg")</f>
        <v/>
      </c>
      <c r="K1451" t="inlineStr">
        <is>
          <t>25.0</t>
        </is>
      </c>
      <c r="L1451" t="n">
        <v>10.97</v>
      </c>
      <c r="M1451" s="1" t="inlineStr">
        <is>
          <t>-56.12%</t>
        </is>
      </c>
      <c r="N1451" t="n">
        <v>4.5</v>
      </c>
      <c r="O1451" t="n">
        <v>36221</v>
      </c>
      <c r="Q1451" t="inlineStr">
        <is>
          <t>InStock</t>
        </is>
      </c>
      <c r="R1451" t="inlineStr">
        <is>
          <t>undefined</t>
        </is>
      </c>
      <c r="S1451" t="inlineStr">
        <is>
          <t>7060936163513</t>
        </is>
      </c>
    </row>
    <row r="1452" ht="75" customHeight="1">
      <c r="A1452" s="2">
        <f>HYPERLINK("https://camerareadycosmetics.com/products/jouer-powder-highlighter", "https://camerareadycosmetics.com/products/jouer-powder-highlighter")</f>
        <v/>
      </c>
      <c r="B1452" s="2">
        <f>HYPERLINK("https://camerareadycosmetics.com/products/jouer-powder-highlighter", "https://camerareadycosmetics.com/products/jouer-powder-highlighter")</f>
        <v/>
      </c>
      <c r="C1452" t="inlineStr">
        <is>
          <t>Powder Highlighter</t>
        </is>
      </c>
      <c r="D1452" t="inlineStr">
        <is>
          <t>Physicians Formula Murumuru Butter Highlighter Makeup Face Powder Make Up, Pearl, Dermatologist Approved</t>
        </is>
      </c>
      <c r="E1452" s="2">
        <f>HYPERLINK("https://www.amazon.com/Physicians-Formula-Butter-Highlighter-Pearl/dp/B075K784FK/ref=sr_1_4?keywords=Powder+Highlighter&amp;qid=1695565732&amp;sr=8-4", "https://www.amazon.com/Physicians-Formula-Butter-Highlighter-Pearl/dp/B075K784FK/ref=sr_1_4?keywords=Powder+Highlighter&amp;qid=1695565732&amp;sr=8-4")</f>
        <v/>
      </c>
      <c r="F1452" t="inlineStr">
        <is>
          <t>B075K784FK</t>
        </is>
      </c>
      <c r="G1452">
        <f>_xlfn.IMAGE("https://camerareadycosmetics.com/cdn/shop/products/Jouer-powder-highlight-PH-Topaz_4_1024x1024.progressive_2e03de17-661c-4c89-a670-f8ea4f07c285_50x.jpg?v=1635371126")</f>
        <v/>
      </c>
      <c r="H1452">
        <f>_xlfn.IMAGE("https://m.media-amazon.com/images/I/71svxceaNbL._AC_UL320_.jpg")</f>
        <v/>
      </c>
      <c r="K1452" t="inlineStr">
        <is>
          <t>25.0</t>
        </is>
      </c>
      <c r="L1452" t="n">
        <v>8.390000000000001</v>
      </c>
      <c r="M1452" s="1" t="inlineStr">
        <is>
          <t>-66.44%</t>
        </is>
      </c>
      <c r="N1452" t="n">
        <v>4.3</v>
      </c>
      <c r="O1452" t="n">
        <v>7196</v>
      </c>
      <c r="Q1452" t="inlineStr">
        <is>
          <t>InStock</t>
        </is>
      </c>
      <c r="R1452" t="inlineStr">
        <is>
          <t>undefined</t>
        </is>
      </c>
      <c r="S1452" t="inlineStr">
        <is>
          <t>7060936163513</t>
        </is>
      </c>
    </row>
    <row r="1453" ht="75" customHeight="1">
      <c r="A1453" s="2">
        <f>HYPERLINK("https://camerareadycosmetics.com/products/jouer-powder-highlighter", "https://camerareadycosmetics.com/products/jouer-powder-highlighter")</f>
        <v/>
      </c>
      <c r="B1453" s="2">
        <f>HYPERLINK("https://camerareadycosmetics.com/products/jouer-powder-highlighter", "https://camerareadycosmetics.com/products/jouer-powder-highlighter")</f>
        <v/>
      </c>
      <c r="C1453" t="inlineStr">
        <is>
          <t>Powder Highlighter</t>
        </is>
      </c>
      <c r="D1453" t="inlineStr">
        <is>
          <t>Maybelline New York Master Chrome Metallic Highlighter Powder Makeup, Molten Gold, 1 Count</t>
        </is>
      </c>
      <c r="E1453" s="2">
        <f>HYPERLINK("https://www.amazon.com/Maybelline-Master-Chrome-Metallic-Highlighter/dp/B06XF2YKPP/ref=sr_1_10?keywords=Powder+Highlighter&amp;qid=1695565732&amp;sr=8-10", "https://www.amazon.com/Maybelline-Master-Chrome-Metallic-Highlighter/dp/B06XF2YKPP/ref=sr_1_10?keywords=Powder+Highlighter&amp;qid=1695565732&amp;sr=8-10")</f>
        <v/>
      </c>
      <c r="F1453" t="inlineStr">
        <is>
          <t>B06XF2YKPP</t>
        </is>
      </c>
      <c r="G1453">
        <f>_xlfn.IMAGE("https://camerareadycosmetics.com/cdn/shop/products/Jouer-powder-highlight-PH-Topaz_4_1024x1024.progressive_2e03de17-661c-4c89-a670-f8ea4f07c285_50x.jpg?v=1635371126")</f>
        <v/>
      </c>
      <c r="H1453">
        <f>_xlfn.IMAGE("https://m.media-amazon.com/images/I/81H4VuOBbaL._AC_UL320_.jpg")</f>
        <v/>
      </c>
      <c r="K1453" t="inlineStr">
        <is>
          <t>25.0</t>
        </is>
      </c>
      <c r="L1453" t="n">
        <v>6</v>
      </c>
      <c r="M1453" s="1" t="inlineStr">
        <is>
          <t>-76.00%</t>
        </is>
      </c>
      <c r="N1453" t="n">
        <v>4.5</v>
      </c>
      <c r="O1453" t="n">
        <v>16112</v>
      </c>
      <c r="Q1453" t="inlineStr">
        <is>
          <t>InStock</t>
        </is>
      </c>
      <c r="R1453" t="inlineStr">
        <is>
          <t>undefined</t>
        </is>
      </c>
      <c r="S1453" t="inlineStr">
        <is>
          <t>7060936163513</t>
        </is>
      </c>
    </row>
    <row r="1454" ht="75" customHeight="1">
      <c r="A1454" s="2">
        <f>HYPERLINK("https://camerareadycosmetics.com/products/jouer-powder-highlighter", "https://camerareadycosmetics.com/products/jouer-powder-highlighter")</f>
        <v/>
      </c>
      <c r="B1454" s="2">
        <f>HYPERLINK("https://camerareadycosmetics.com/products/jouer-powder-highlighter", "https://camerareadycosmetics.com/products/jouer-powder-highlighter")</f>
        <v/>
      </c>
      <c r="C1454" t="inlineStr">
        <is>
          <t>Powder Highlighter</t>
        </is>
      </c>
      <c r="D1454" t="inlineStr">
        <is>
          <t>Catrice | More Than Glow Powder Highlighter | Silky Soft Texture for a Subtle Glow | Vegan &amp; Cruelty Free (020 | Supreme Rose Beam)</t>
        </is>
      </c>
      <c r="E1454" s="2">
        <f>HYPERLINK("https://www.amazon.com/Catrice-Highlighter-Texture-Cruelty-Supreme/dp/B08HJN6TMS/ref=sr_1_7?keywords=Powder+Highlighter&amp;qid=1695565732&amp;sr=8-7", "https://www.amazon.com/Catrice-Highlighter-Texture-Cruelty-Supreme/dp/B08HJN6TMS/ref=sr_1_7?keywords=Powder+Highlighter&amp;qid=1695565732&amp;sr=8-7")</f>
        <v/>
      </c>
      <c r="F1454" t="inlineStr">
        <is>
          <t>B08HJN6TMS</t>
        </is>
      </c>
      <c r="G1454">
        <f>_xlfn.IMAGE("https://camerareadycosmetics.com/cdn/shop/products/Jouer-powder-highlight-PH-Topaz_4_1024x1024.progressive_2e03de17-661c-4c89-a670-f8ea4f07c285_50x.jpg?v=1635371126")</f>
        <v/>
      </c>
      <c r="H1454">
        <f>_xlfn.IMAGE("https://m.media-amazon.com/images/I/816g9H0FxdL._AC_UL320_.jpg")</f>
        <v/>
      </c>
      <c r="K1454" t="inlineStr">
        <is>
          <t>25.0</t>
        </is>
      </c>
      <c r="L1454" t="n">
        <v>6</v>
      </c>
      <c r="M1454" s="1" t="inlineStr">
        <is>
          <t>-76.00%</t>
        </is>
      </c>
      <c r="N1454" t="n">
        <v>4.4</v>
      </c>
      <c r="O1454" t="n">
        <v>740</v>
      </c>
      <c r="Q1454" t="inlineStr">
        <is>
          <t>InStock</t>
        </is>
      </c>
      <c r="R1454" t="inlineStr">
        <is>
          <t>undefined</t>
        </is>
      </c>
      <c r="S1454" t="inlineStr">
        <is>
          <t>7060936163513</t>
        </is>
      </c>
    </row>
    <row r="1455" ht="75" customHeight="1">
      <c r="A1455" s="2">
        <f>HYPERLINK("https://camerareadycosmetics.com/products/jouer-rose-gold-matte-shimmer-eyeshadow-palette", "https://camerareadycosmetics.com/products/jouer-rose-gold-matte-shimmer-eyeshadow-palette")</f>
        <v/>
      </c>
      <c r="B1455" s="2">
        <f>HYPERLINK("https://camerareadycosmetics.com/products/jouer-rose-gold-matte-shimmer-eyeshadow-palette", "https://camerareadycosmetics.com/products/jouer-rose-gold-matte-shimmer-eyeshadow-palette")</f>
        <v/>
      </c>
      <c r="C1455" t="inlineStr">
        <is>
          <t>Rose Gold Matte &amp; Shimmer Eyeshadow Palette</t>
        </is>
      </c>
      <c r="D1455" t="inlineStr">
        <is>
          <t>HUDA GIRL Beauty Rose Gold Remastered + Nude Edition Eyeshadow Palette Combo Kit - 36 Matte and Shimmer Finishes, Includes Black Eyeshadow - Complete Eye Shadow Palette Set</t>
        </is>
      </c>
      <c r="E1455" s="2">
        <f>HYPERLINK("https://www.amazon.com/HUDA-GIRL-Remastered-Eyeshadow-Shimmers/dp/B098R74DJT/ref=sr_1_9?keywords=Rose+Gold+Matte+%26+Shimmer+Eyeshadow+Palette&amp;qid=1695565880&amp;sr=8-9", "https://www.amazon.com/HUDA-GIRL-Remastered-Eyeshadow-Shimmers/dp/B098R74DJT/ref=sr_1_9?keywords=Rose+Gold+Matte+%26+Shimmer+Eyeshadow+Palette&amp;qid=1695565880&amp;sr=8-9")</f>
        <v/>
      </c>
      <c r="F1455" t="inlineStr">
        <is>
          <t>B098R74DJT</t>
        </is>
      </c>
      <c r="G1455">
        <f>_xlfn.IMAGE("https://camerareadycosmetics.com/cdn/shop/products/jouer-eyeshadow-palette-RoseGoldCollection_ESP_1_1024x1024.progressive_943b10c9-c8d3-44ea-ad8a-c63c8a81b501_50x.jpg?v=1635373865")</f>
        <v/>
      </c>
      <c r="H1455">
        <f>_xlfn.IMAGE("https://m.media-amazon.com/images/I/81oQJwz0ZiS._AC_UL320_.jpg")</f>
        <v/>
      </c>
      <c r="K1455" t="inlineStr">
        <is>
          <t>42.0</t>
        </is>
      </c>
      <c r="L1455" t="n">
        <v>30</v>
      </c>
      <c r="M1455" s="1" t="inlineStr">
        <is>
          <t>-28.57%</t>
        </is>
      </c>
      <c r="N1455" t="n">
        <v>4.1</v>
      </c>
      <c r="O1455" t="n">
        <v>829</v>
      </c>
      <c r="Q1455" t="inlineStr">
        <is>
          <t>InStock</t>
        </is>
      </c>
      <c r="R1455" t="inlineStr">
        <is>
          <t>undefined</t>
        </is>
      </c>
      <c r="S1455" t="inlineStr">
        <is>
          <t>7060957987001</t>
        </is>
      </c>
    </row>
    <row r="1456" ht="75" customHeight="1">
      <c r="A1456" s="2">
        <f>HYPERLINK("https://camerareadycosmetics.com/products/jouer-rose-gold-matte-shimmer-eyeshadow-palette", "https://camerareadycosmetics.com/products/jouer-rose-gold-matte-shimmer-eyeshadow-palette")</f>
        <v/>
      </c>
      <c r="B1456" s="2">
        <f>HYPERLINK("https://camerareadycosmetics.com/products/jouer-rose-gold-matte-shimmer-eyeshadow-palette", "https://camerareadycosmetics.com/products/jouer-rose-gold-matte-shimmer-eyeshadow-palette")</f>
        <v/>
      </c>
      <c r="C1456" t="inlineStr">
        <is>
          <t>Rose Gold Matte &amp; Shimmer Eyeshadow Palette</t>
        </is>
      </c>
      <c r="D1456" t="inlineStr">
        <is>
          <t>Julep Eyeshadow 101 Pro Powder Palette | 6 Shade Matte &amp; Shimmer Eyeshadows, Blendable &amp; Buildable Eye Makeup, Rose Gold</t>
        </is>
      </c>
      <c r="E1456" s="2">
        <f>HYPERLINK("https://www.amazon.com/Julep-Eyeshadow-Eyeshadows-Blendable-Buildable/dp/B0BK9W6KWM/ref=sr_1_5?keywords=Rose+Gold+Matte+%26+Shimmer+Eyeshadow+Palette&amp;qid=1695565880&amp;sr=8-5", "https://www.amazon.com/Julep-Eyeshadow-Eyeshadows-Blendable-Buildable/dp/B0BK9W6KWM/ref=sr_1_5?keywords=Rose+Gold+Matte+%26+Shimmer+Eyeshadow+Palette&amp;qid=1695565880&amp;sr=8-5")</f>
        <v/>
      </c>
      <c r="F1456" t="inlineStr">
        <is>
          <t>B0BK9W6KWM</t>
        </is>
      </c>
      <c r="G1456">
        <f>_xlfn.IMAGE("https://camerareadycosmetics.com/cdn/shop/products/jouer-eyeshadow-palette-RoseGoldCollection_ESP_1_1024x1024.progressive_943b10c9-c8d3-44ea-ad8a-c63c8a81b501_50x.jpg?v=1635373865")</f>
        <v/>
      </c>
      <c r="H1456">
        <f>_xlfn.IMAGE("https://m.media-amazon.com/images/I/81AEDy-Mx+L._AC_UL320_.jpg")</f>
        <v/>
      </c>
      <c r="K1456" t="inlineStr">
        <is>
          <t>42.0</t>
        </is>
      </c>
      <c r="L1456" t="n">
        <v>10</v>
      </c>
      <c r="M1456" s="1" t="inlineStr">
        <is>
          <t>-76.19%</t>
        </is>
      </c>
      <c r="N1456" t="n">
        <v>4.2</v>
      </c>
      <c r="O1456" t="n">
        <v>71</v>
      </c>
      <c r="Q1456" t="inlineStr">
        <is>
          <t>InStock</t>
        </is>
      </c>
      <c r="R1456" t="inlineStr">
        <is>
          <t>undefined</t>
        </is>
      </c>
      <c r="S1456" t="inlineStr">
        <is>
          <t>7060957987001</t>
        </is>
      </c>
    </row>
    <row r="1457" ht="75" customHeight="1">
      <c r="A1457" s="2">
        <f>HYPERLINK("https://camerareadycosmetics.com/products/jouer-rose-gold-matte-shimmer-eyeshadow-palette", "https://camerareadycosmetics.com/products/jouer-rose-gold-matte-shimmer-eyeshadow-palette")</f>
        <v/>
      </c>
      <c r="B1457" s="2">
        <f>HYPERLINK("https://camerareadycosmetics.com/products/jouer-rose-gold-matte-shimmer-eyeshadow-palette", "https://camerareadycosmetics.com/products/jouer-rose-gold-matte-shimmer-eyeshadow-palette")</f>
        <v/>
      </c>
      <c r="C1457" t="inlineStr">
        <is>
          <t>Rose Gold Matte &amp; Shimmer Eyeshadow Palette</t>
        </is>
      </c>
      <c r="D1457" t="inlineStr">
        <is>
          <t>Neutral Eyeshadow Palette - Rose Gold Smokey Red Brown Highly Pigmented Matte Shimmer and Metallic 15 Colors Eye Shadow Pallet - DE’LANCI Professional Warm Natural Tone Bronze Eyeshadow For Beginners</t>
        </is>
      </c>
      <c r="E1457" s="2">
        <f>HYPERLINK("https://www.amazon.com/Neutral-Eyeshadow-Palette-Pigmented-Professional/dp/B0921XH9TJ/ref=sr_1_4?keywords=Rose+Gold+Matte+%26+Shimmer+Eyeshadow+Palette&amp;qid=1695565880&amp;sr=8-4", "https://www.amazon.com/Neutral-Eyeshadow-Palette-Pigmented-Professional/dp/B0921XH9TJ/ref=sr_1_4?keywords=Rose+Gold+Matte+%26+Shimmer+Eyeshadow+Palette&amp;qid=1695565880&amp;sr=8-4")</f>
        <v/>
      </c>
      <c r="F1457" t="inlineStr">
        <is>
          <t>B0921XH9TJ</t>
        </is>
      </c>
      <c r="G1457">
        <f>_xlfn.IMAGE("https://camerareadycosmetics.com/cdn/shop/products/jouer-eyeshadow-palette-RoseGoldCollection_ESP_1_1024x1024.progressive_943b10c9-c8d3-44ea-ad8a-c63c8a81b501_50x.jpg?v=1635373865")</f>
        <v/>
      </c>
      <c r="H1457">
        <f>_xlfn.IMAGE("https://m.media-amazon.com/images/I/81ICdcn55vS._AC_UL320_.jpg")</f>
        <v/>
      </c>
      <c r="K1457" t="inlineStr">
        <is>
          <t>42.0</t>
        </is>
      </c>
      <c r="L1457" t="n">
        <v>9.99</v>
      </c>
      <c r="M1457" s="1" t="inlineStr">
        <is>
          <t>-76.21%</t>
        </is>
      </c>
      <c r="N1457" t="n">
        <v>4.3</v>
      </c>
      <c r="O1457" t="n">
        <v>251</v>
      </c>
      <c r="Q1457" t="inlineStr">
        <is>
          <t>InStock</t>
        </is>
      </c>
      <c r="R1457" t="inlineStr">
        <is>
          <t>undefined</t>
        </is>
      </c>
      <c r="S1457" t="inlineStr">
        <is>
          <t>7060957987001</t>
        </is>
      </c>
    </row>
    <row r="1458" ht="75" customHeight="1">
      <c r="A1458" s="2">
        <f>HYPERLINK("https://camerareadycosmetics.com/products/jouer-rose-gold-matte-shimmer-eyeshadow-palette", "https://camerareadycosmetics.com/products/jouer-rose-gold-matte-shimmer-eyeshadow-palette")</f>
        <v/>
      </c>
      <c r="B1458" s="2">
        <f>HYPERLINK("https://camerareadycosmetics.com/products/jouer-rose-gold-matte-shimmer-eyeshadow-palette", "https://camerareadycosmetics.com/products/jouer-rose-gold-matte-shimmer-eyeshadow-palette")</f>
        <v/>
      </c>
      <c r="C1458" t="inlineStr">
        <is>
          <t>Rose Gold Matte &amp; Shimmer Eyeshadow Palette</t>
        </is>
      </c>
      <c r="D1458" t="inlineStr">
        <is>
          <t>Professional Neutral Eyeshadow Makeup Palette, 40 Pigmented Matte Shimmer Warm Eye Shadows, Naked Nudes Rose Gold Smoky Brown Pressed Powder Pallet Make Up Kit</t>
        </is>
      </c>
      <c r="E1458" s="2">
        <f>HYPERLINK("https://www.amazon.com/Professional-Neutral-Eyeshadow-Makeup-Pigmented/dp/B0BZHX6LL4/ref=sr_1_2?keywords=Rose+Gold+Matte+%26+Shimmer+Eyeshadow+Palette&amp;qid=1695565880&amp;sr=8-2", "https://www.amazon.com/Professional-Neutral-Eyeshadow-Makeup-Pigmented/dp/B0BZHX6LL4/ref=sr_1_2?keywords=Rose+Gold+Matte+%26+Shimmer+Eyeshadow+Palette&amp;qid=1695565880&amp;sr=8-2")</f>
        <v/>
      </c>
      <c r="F1458" t="inlineStr">
        <is>
          <t>B0BZHX6LL4</t>
        </is>
      </c>
      <c r="G1458">
        <f>_xlfn.IMAGE("https://camerareadycosmetics.com/cdn/shop/products/jouer-eyeshadow-palette-RoseGoldCollection_ESP_1_1024x1024.progressive_943b10c9-c8d3-44ea-ad8a-c63c8a81b501_50x.jpg?v=1635373865")</f>
        <v/>
      </c>
      <c r="H1458">
        <f>_xlfn.IMAGE("https://m.media-amazon.com/images/I/716wnvszXNL._AC_UL320_.jpg")</f>
        <v/>
      </c>
      <c r="K1458" t="inlineStr">
        <is>
          <t>42.0</t>
        </is>
      </c>
      <c r="L1458" t="n">
        <v>9.99</v>
      </c>
      <c r="M1458" s="1" t="inlineStr">
        <is>
          <t>-76.21%</t>
        </is>
      </c>
      <c r="N1458" t="n">
        <v>4.5</v>
      </c>
      <c r="O1458" t="n">
        <v>22838</v>
      </c>
      <c r="Q1458" t="inlineStr">
        <is>
          <t>InStock</t>
        </is>
      </c>
      <c r="R1458" t="inlineStr">
        <is>
          <t>undefined</t>
        </is>
      </c>
      <c r="S1458" t="inlineStr">
        <is>
          <t>7060957987001</t>
        </is>
      </c>
    </row>
    <row r="1459" ht="75" customHeight="1">
      <c r="A1459" s="2">
        <f>HYPERLINK("https://camerareadycosmetics.com/products/jouer-rose-gold-matte-shimmer-eyeshadow-palette", "https://camerareadycosmetics.com/products/jouer-rose-gold-matte-shimmer-eyeshadow-palette")</f>
        <v/>
      </c>
      <c r="B1459" s="2">
        <f>HYPERLINK("https://camerareadycosmetics.com/products/jouer-rose-gold-matte-shimmer-eyeshadow-palette", "https://camerareadycosmetics.com/products/jouer-rose-gold-matte-shimmer-eyeshadow-palette")</f>
        <v/>
      </c>
      <c r="C1459" t="inlineStr">
        <is>
          <t>Rose Gold Matte &amp; Shimmer Eyeshadow Palette</t>
        </is>
      </c>
      <c r="D1459" t="inlineStr">
        <is>
          <t>evpct 9 Colors Rose Pink Glitter Shimmer Eye Shadow Makeup Palette Highly Pigmented Waterproof Purple Gold Pink Brown Orange Mauve Daily Matte Glitter Shimmer Pearl Daily Party Sparkling for Girl</t>
        </is>
      </c>
      <c r="E1459" s="2">
        <f>HYPERLINK("https://www.amazon.com/evpct-Glitter-Pigmented-Waterproof-Sparkling/dp/B0C26T1FG9/ref=sr_1_8?keywords=Rose+Gold+Matte+%26+Shimmer+Eyeshadow+Palette&amp;qid=1695565880&amp;sr=8-8", "https://www.amazon.com/evpct-Glitter-Pigmented-Waterproof-Sparkling/dp/B0C26T1FG9/ref=sr_1_8?keywords=Rose+Gold+Matte+%26+Shimmer+Eyeshadow+Palette&amp;qid=1695565880&amp;sr=8-8")</f>
        <v/>
      </c>
      <c r="F1459" t="inlineStr">
        <is>
          <t>B0C26T1FG9</t>
        </is>
      </c>
      <c r="G1459">
        <f>_xlfn.IMAGE("https://camerareadycosmetics.com/cdn/shop/products/jouer-eyeshadow-palette-RoseGoldCollection_ESP_1_1024x1024.progressive_943b10c9-c8d3-44ea-ad8a-c63c8a81b501_50x.jpg?v=1635373865")</f>
        <v/>
      </c>
      <c r="H1459">
        <f>_xlfn.IMAGE("https://m.media-amazon.com/images/I/71hP2rz15PL._AC_UL320_.jpg")</f>
        <v/>
      </c>
      <c r="K1459" t="inlineStr">
        <is>
          <t>42.0</t>
        </is>
      </c>
      <c r="L1459" t="n">
        <v>8.99</v>
      </c>
      <c r="M1459" s="1" t="inlineStr">
        <is>
          <t>-78.60%</t>
        </is>
      </c>
      <c r="N1459" t="n">
        <v>4.2</v>
      </c>
      <c r="O1459" t="n">
        <v>227</v>
      </c>
      <c r="Q1459" t="inlineStr">
        <is>
          <t>InStock</t>
        </is>
      </c>
      <c r="R1459" t="inlineStr">
        <is>
          <t>undefined</t>
        </is>
      </c>
      <c r="S1459" t="inlineStr">
        <is>
          <t>7060957987001</t>
        </is>
      </c>
    </row>
    <row r="1460" ht="75" customHeight="1">
      <c r="A1460" s="2">
        <f>HYPERLINK("https://camerareadycosmetics.com/products/jouer-rose-gold-matte-shimmer-eyeshadow-palette", "https://camerareadycosmetics.com/products/jouer-rose-gold-matte-shimmer-eyeshadow-palette")</f>
        <v/>
      </c>
      <c r="B1460" s="2">
        <f>HYPERLINK("https://camerareadycosmetics.com/products/jouer-rose-gold-matte-shimmer-eyeshadow-palette", "https://camerareadycosmetics.com/products/jouer-rose-gold-matte-shimmer-eyeshadow-palette")</f>
        <v/>
      </c>
      <c r="C1460" t="inlineStr">
        <is>
          <t>Rose Gold Matte &amp; Shimmer Eyeshadow Palette</t>
        </is>
      </c>
      <c r="D1460" t="inlineStr">
        <is>
          <t>e.l.f. Perfect 10 Eyeshadow Palette, Ten Ultra-pigmented Shimmer &amp; Matte Rose Gold Shades, Blendable Formula, Vegan &amp; Cruelty-free, Rose Gold Sunset</t>
        </is>
      </c>
      <c r="E1460" s="2">
        <f>HYPERLINK("https://www.amazon.com/l-f-Cosmetics-eyeshadow-palette-shades/dp/B07MWMSKQK/ref=sr_1_1?keywords=Rose+Gold+Matte+%26+Shimmer+Eyeshadow+Palette&amp;qid=1695565880&amp;sr=8-1", "https://www.amazon.com/l-f-Cosmetics-eyeshadow-palette-shades/dp/B07MWMSKQK/ref=sr_1_1?keywords=Rose+Gold+Matte+%26+Shimmer+Eyeshadow+Palette&amp;qid=1695565880&amp;sr=8-1")</f>
        <v/>
      </c>
      <c r="F1460" t="inlineStr">
        <is>
          <t>B07MWMSKQK</t>
        </is>
      </c>
      <c r="G1460">
        <f>_xlfn.IMAGE("https://camerareadycosmetics.com/cdn/shop/products/jouer-eyeshadow-palette-RoseGoldCollection_ESP_1_1024x1024.progressive_943b10c9-c8d3-44ea-ad8a-c63c8a81b501_50x.jpg?v=1635373865")</f>
        <v/>
      </c>
      <c r="H1460">
        <f>_xlfn.IMAGE("https://m.media-amazon.com/images/I/81bukMjwsbL._AC_UL320_.jpg")</f>
        <v/>
      </c>
      <c r="K1460" t="inlineStr">
        <is>
          <t>42.0</t>
        </is>
      </c>
      <c r="L1460" t="n">
        <v>7.49</v>
      </c>
      <c r="M1460" s="1" t="inlineStr">
        <is>
          <t>-82.17%</t>
        </is>
      </c>
      <c r="N1460" t="n">
        <v>4.5</v>
      </c>
      <c r="O1460" t="n">
        <v>3588</v>
      </c>
      <c r="Q1460" t="inlineStr">
        <is>
          <t>InStock</t>
        </is>
      </c>
      <c r="R1460" t="inlineStr">
        <is>
          <t>undefined</t>
        </is>
      </c>
      <c r="S1460" t="inlineStr">
        <is>
          <t>7060957987001</t>
        </is>
      </c>
    </row>
    <row r="1461" ht="75" customHeight="1">
      <c r="A1461" s="2">
        <f>HYPERLINK("https://camerareadycosmetics.com/products/jouer-rose-gold-matte-shimmer-eyeshadow-palette", "https://camerareadycosmetics.com/products/jouer-rose-gold-matte-shimmer-eyeshadow-palette")</f>
        <v/>
      </c>
      <c r="B1461" s="2">
        <f>HYPERLINK("https://camerareadycosmetics.com/products/jouer-rose-gold-matte-shimmer-eyeshadow-palette", "https://camerareadycosmetics.com/products/jouer-rose-gold-matte-shimmer-eyeshadow-palette")</f>
        <v/>
      </c>
      <c r="C1461" t="inlineStr">
        <is>
          <t>Rose Gold Matte &amp; Shimmer Eyeshadow Palette</t>
        </is>
      </c>
      <c r="D1461" t="inlineStr">
        <is>
          <t>9Color Rose Gold Dark Brown Colorful Eyeshadow Palette Makeup,Matte Shimmer Korean Natural Neutral Smokey Eye Eyeshadow palettes Highly Pigmented Naturing-Looking Long Lasting Waterproof Blendable</t>
        </is>
      </c>
      <c r="E1461" s="2">
        <f>HYPERLINK("https://www.amazon.com/Eyeshadow-Pigmented-Naturing-Looking-Waterproof-Blendable/dp/B0C2ZGTJ55/ref=sr_1_3?keywords=Rose+Gold+Matte+%26+Shimmer+Eyeshadow+Palette&amp;qid=1695565880&amp;sr=8-3", "https://www.amazon.com/Eyeshadow-Pigmented-Naturing-Looking-Waterproof-Blendable/dp/B0C2ZGTJ55/ref=sr_1_3?keywords=Rose+Gold+Matte+%26+Shimmer+Eyeshadow+Palette&amp;qid=1695565880&amp;sr=8-3")</f>
        <v/>
      </c>
      <c r="F1461" t="inlineStr">
        <is>
          <t>B0C2ZGTJ55</t>
        </is>
      </c>
      <c r="G1461">
        <f>_xlfn.IMAGE("https://camerareadycosmetics.com/cdn/shop/products/jouer-eyeshadow-palette-RoseGoldCollection_ESP_1_1024x1024.progressive_943b10c9-c8d3-44ea-ad8a-c63c8a81b501_50x.jpg?v=1635373865")</f>
        <v/>
      </c>
      <c r="H1461">
        <f>_xlfn.IMAGE("https://m.media-amazon.com/images/I/61+MBrzLcJL._AC_UL320_.jpg")</f>
        <v/>
      </c>
      <c r="K1461" t="inlineStr">
        <is>
          <t>42.0</t>
        </is>
      </c>
      <c r="L1461" t="n">
        <v>6.99</v>
      </c>
      <c r="M1461" s="1" t="inlineStr">
        <is>
          <t>-83.36%</t>
        </is>
      </c>
      <c r="N1461" t="n">
        <v>3.8</v>
      </c>
      <c r="O1461" t="n">
        <v>7</v>
      </c>
      <c r="Q1461" t="inlineStr">
        <is>
          <t>InStock</t>
        </is>
      </c>
      <c r="R1461" t="inlineStr">
        <is>
          <t>undefined</t>
        </is>
      </c>
      <c r="S1461" t="inlineStr">
        <is>
          <t>7060957987001</t>
        </is>
      </c>
    </row>
    <row r="1462" ht="75" customHeight="1">
      <c r="A1462" s="2">
        <f>HYPERLINK("https://camerareadycosmetics.com/products/jouer-rose-gold-matte-shimmer-eyeshadow-palette", "https://camerareadycosmetics.com/products/jouer-rose-gold-matte-shimmer-eyeshadow-palette")</f>
        <v/>
      </c>
      <c r="B1462" s="2">
        <f>HYPERLINK("https://camerareadycosmetics.com/products/jouer-rose-gold-matte-shimmer-eyeshadow-palette", "https://camerareadycosmetics.com/products/jouer-rose-gold-matte-shimmer-eyeshadow-palette")</f>
        <v/>
      </c>
      <c r="C1462" t="inlineStr">
        <is>
          <t>Rose Gold Matte &amp; Shimmer Eyeshadow Palette</t>
        </is>
      </c>
      <c r="D1462" t="inlineStr">
        <is>
          <t>Peach Rose Gold Champagne Orange Eyeshadow Palette, 9 Color Glitter Matte Shimmer Blendable Eye Shadow Palettes, Waterproof Highly-Pigmented Long-Lasting Korean Makeup(02# Peach)</t>
        </is>
      </c>
      <c r="E1462" s="2">
        <f>HYPERLINK("https://www.amazon.com/Eyeshadow-Waterproof-Hypoallergenic-Highly-Pigmented-Long-Lasting/dp/B0B6QN2SHM/ref=sr_1_6?keywords=Rose+Gold+Matte+%26+Shimmer+Eyeshadow+Palette&amp;qid=1695565880&amp;sr=8-6", "https://www.amazon.com/Eyeshadow-Waterproof-Hypoallergenic-Highly-Pigmented-Long-Lasting/dp/B0B6QN2SHM/ref=sr_1_6?keywords=Rose+Gold+Matte+%26+Shimmer+Eyeshadow+Palette&amp;qid=1695565880&amp;sr=8-6")</f>
        <v/>
      </c>
      <c r="F1462" t="inlineStr">
        <is>
          <t>B0B6QN2SHM</t>
        </is>
      </c>
      <c r="G1462">
        <f>_xlfn.IMAGE("https://camerareadycosmetics.com/cdn/shop/products/jouer-eyeshadow-palette-RoseGoldCollection_ESP_1_1024x1024.progressive_943b10c9-c8d3-44ea-ad8a-c63c8a81b501_50x.jpg?v=1635373865")</f>
        <v/>
      </c>
      <c r="H1462">
        <f>_xlfn.IMAGE("https://m.media-amazon.com/images/I/610mnMsYF5L._AC_UL320_.jpg")</f>
        <v/>
      </c>
      <c r="K1462" t="inlineStr">
        <is>
          <t>42.0</t>
        </is>
      </c>
      <c r="L1462" t="n">
        <v>6.98</v>
      </c>
      <c r="M1462" s="1" t="inlineStr">
        <is>
          <t>-83.38%</t>
        </is>
      </c>
      <c r="N1462" t="n">
        <v>4.1</v>
      </c>
      <c r="O1462" t="n">
        <v>122</v>
      </c>
      <c r="Q1462" t="inlineStr">
        <is>
          <t>InStock</t>
        </is>
      </c>
      <c r="R1462" t="inlineStr">
        <is>
          <t>undefined</t>
        </is>
      </c>
      <c r="S1462" t="inlineStr">
        <is>
          <t>7060957987001</t>
        </is>
      </c>
    </row>
    <row r="1463" ht="75" customHeight="1">
      <c r="A1463" s="2">
        <f>HYPERLINK("https://camerareadycosmetics.com/products/jouer-sheer-pigment-lip-gloss", "https://camerareadycosmetics.com/products/jouer-sheer-pigment-lip-gloss")</f>
        <v/>
      </c>
      <c r="B1463" s="2">
        <f>HYPERLINK("https://camerareadycosmetics.com/products/jouer-sheer-pigment-lip-gloss", "https://camerareadycosmetics.com/products/jouer-sheer-pigment-lip-gloss")</f>
        <v/>
      </c>
      <c r="C1463" t="inlineStr">
        <is>
          <t>Sheer Pigment Lip Gloss</t>
        </is>
      </c>
      <c r="D1463" t="inlineStr">
        <is>
          <t>LuxGloss Lip Gloss, High-Pigment Shimmer Nude Lip Gloss, Photo Filter</t>
        </is>
      </c>
      <c r="E1463" s="2">
        <f>HYPERLINK("https://www.amazon.com/Runway-Rogue-LuxGloss-High-Pigment-Shimmer/dp/B0B1KN6NHM/ref=sr_1_7?keywords=Sheer+Pigment+Lip+Gloss&amp;qid=1695565731&amp;sr=8-7", "https://www.amazon.com/Runway-Rogue-LuxGloss-High-Pigment-Shimmer/dp/B0B1KN6NHM/ref=sr_1_7?keywords=Sheer+Pigment+Lip+Gloss&amp;qid=1695565731&amp;sr=8-7")</f>
        <v/>
      </c>
      <c r="F1463" t="inlineStr">
        <is>
          <t>B0B1KN6NHM</t>
        </is>
      </c>
      <c r="G1463">
        <f>_xlfn.IMAGE("https://camerareadycosmetics.com/cdn/shop/products/SLG-PAR-alt-02_1024x1024.progressive_129b3038-af08-4094-bdb5-6d5cb790573f_50x.jpg?v=1690993955")</f>
        <v/>
      </c>
      <c r="H1463">
        <f>_xlfn.IMAGE("https://m.media-amazon.com/images/I/71YFRYSsmlL._AC_UL320_.jpg")</f>
        <v/>
      </c>
      <c r="K1463" t="inlineStr">
        <is>
          <t>19.0</t>
        </is>
      </c>
      <c r="L1463" t="n">
        <v>27</v>
      </c>
      <c r="M1463" s="1" t="inlineStr">
        <is>
          <t>42.11%</t>
        </is>
      </c>
      <c r="N1463" t="n">
        <v>3.9</v>
      </c>
      <c r="O1463" t="n">
        <v>378</v>
      </c>
      <c r="Q1463" t="inlineStr">
        <is>
          <t>InStock</t>
        </is>
      </c>
      <c r="R1463" t="inlineStr">
        <is>
          <t>undefined</t>
        </is>
      </c>
      <c r="S1463" t="inlineStr">
        <is>
          <t>7060647116985</t>
        </is>
      </c>
    </row>
    <row r="1464" ht="75" customHeight="1">
      <c r="A1464" s="2">
        <f>HYPERLINK("https://camerareadycosmetics.com/products/jouer-sheer-pigment-lip-gloss", "https://camerareadycosmetics.com/products/jouer-sheer-pigment-lip-gloss")</f>
        <v/>
      </c>
      <c r="B1464" s="2">
        <f>HYPERLINK("https://camerareadycosmetics.com/products/jouer-sheer-pigment-lip-gloss", "https://camerareadycosmetics.com/products/jouer-sheer-pigment-lip-gloss")</f>
        <v/>
      </c>
      <c r="C1464" t="inlineStr">
        <is>
          <t>Sheer Pigment Lip Gloss</t>
        </is>
      </c>
      <c r="D1464" t="inlineStr">
        <is>
          <t>Glo Skin Beauty Lip Gloss in Peony - Sheer Pink Coral - 20 Shades - Non-Sticky - Cruelty Free Mineral Makeup</t>
        </is>
      </c>
      <c r="E1464" s="2">
        <f>HYPERLINK("https://www.amazon.com/Glo-Skin-Beauty-Lip-Gloss/dp/B0756XSTC2/ref=sr_1_4?keywords=Sheer+Pigment+Lip+Gloss&amp;qid=1695565731&amp;sr=8-4", "https://www.amazon.com/Glo-Skin-Beauty-Lip-Gloss/dp/B0756XSTC2/ref=sr_1_4?keywords=Sheer+Pigment+Lip+Gloss&amp;qid=1695565731&amp;sr=8-4")</f>
        <v/>
      </c>
      <c r="F1464" t="inlineStr">
        <is>
          <t>B0756XSTC2</t>
        </is>
      </c>
      <c r="G1464">
        <f>_xlfn.IMAGE("https://camerareadycosmetics.com/cdn/shop/products/SLG-PAR-alt-02_1024x1024.progressive_129b3038-af08-4094-bdb5-6d5cb790573f_50x.jpg?v=1690993955")</f>
        <v/>
      </c>
      <c r="H1464">
        <f>_xlfn.IMAGE("https://m.media-amazon.com/images/I/41uRTKcdA-L._AC_UL320_.jpg")</f>
        <v/>
      </c>
      <c r="K1464" t="inlineStr">
        <is>
          <t>19.0</t>
        </is>
      </c>
      <c r="L1464" t="n">
        <v>24</v>
      </c>
      <c r="M1464" s="1" t="inlineStr">
        <is>
          <t>26.32%</t>
        </is>
      </c>
      <c r="N1464" t="n">
        <v>4.5</v>
      </c>
      <c r="O1464" t="n">
        <v>192</v>
      </c>
      <c r="Q1464" t="inlineStr">
        <is>
          <t>InStock</t>
        </is>
      </c>
      <c r="R1464" t="inlineStr">
        <is>
          <t>undefined</t>
        </is>
      </c>
      <c r="S1464" t="inlineStr">
        <is>
          <t>7060647116985</t>
        </is>
      </c>
    </row>
    <row r="1465" ht="75" customHeight="1">
      <c r="A1465" s="2">
        <f>HYPERLINK("https://camerareadycosmetics.com/products/jouer-sheer-pigment-lip-gloss", "https://camerareadycosmetics.com/products/jouer-sheer-pigment-lip-gloss")</f>
        <v/>
      </c>
      <c r="B1465" s="2">
        <f>HYPERLINK("https://camerareadycosmetics.com/products/jouer-sheer-pigment-lip-gloss", "https://camerareadycosmetics.com/products/jouer-sheer-pigment-lip-gloss")</f>
        <v/>
      </c>
      <c r="C1465" t="inlineStr">
        <is>
          <t>Sheer Pigment Lip Gloss</t>
        </is>
      </c>
      <c r="D1465" t="inlineStr">
        <is>
          <t>Jolie Super Hydrating Luxury Lip Gloss - Intense pigment W/ Superior Shine (Sugar Berry)</t>
        </is>
      </c>
      <c r="E1465" s="2">
        <f>HYPERLINK("https://www.amazon.com/Jolie-Super-Hydrating-Luxury-Gloss/dp/B00DFMVMO8/ref=sr_1_3?keywords=Sheer+Pigment+Lip+Gloss&amp;qid=1695565731&amp;sr=8-3", "https://www.amazon.com/Jolie-Super-Hydrating-Luxury-Gloss/dp/B00DFMVMO8/ref=sr_1_3?keywords=Sheer+Pigment+Lip+Gloss&amp;qid=1695565731&amp;sr=8-3")</f>
        <v/>
      </c>
      <c r="F1465" t="inlineStr">
        <is>
          <t>B00DFMVMO8</t>
        </is>
      </c>
      <c r="G1465">
        <f>_xlfn.IMAGE("https://camerareadycosmetics.com/cdn/shop/products/SLG-PAR-alt-02_1024x1024.progressive_129b3038-af08-4094-bdb5-6d5cb790573f_50x.jpg?v=1690993955")</f>
        <v/>
      </c>
      <c r="H1465">
        <f>_xlfn.IMAGE("https://m.media-amazon.com/images/I/31ziZPv7McL._AC_UL320_.jpg")</f>
        <v/>
      </c>
      <c r="K1465" t="inlineStr">
        <is>
          <t>19.0</t>
        </is>
      </c>
      <c r="L1465" t="n">
        <v>18.98</v>
      </c>
      <c r="M1465" s="1" t="inlineStr">
        <is>
          <t>-0.11%</t>
        </is>
      </c>
      <c r="N1465" t="n">
        <v>4.2</v>
      </c>
      <c r="O1465" t="n">
        <v>41</v>
      </c>
      <c r="Q1465" t="inlineStr">
        <is>
          <t>InStock</t>
        </is>
      </c>
      <c r="R1465" t="inlineStr">
        <is>
          <t>undefined</t>
        </is>
      </c>
      <c r="S1465" t="inlineStr">
        <is>
          <t>7060647116985</t>
        </is>
      </c>
    </row>
    <row r="1466" ht="75" customHeight="1">
      <c r="A1466" s="2">
        <f>HYPERLINK("https://camerareadycosmetics.com/products/jouer-sheer-pigment-lip-gloss", "https://camerareadycosmetics.com/products/jouer-sheer-pigment-lip-gloss")</f>
        <v/>
      </c>
      <c r="B1466" s="2">
        <f>HYPERLINK("https://camerareadycosmetics.com/products/jouer-sheer-pigment-lip-gloss", "https://camerareadycosmetics.com/products/jouer-sheer-pigment-lip-gloss")</f>
        <v/>
      </c>
      <c r="C1466" t="inlineStr">
        <is>
          <t>Sheer Pigment Lip Gloss</t>
        </is>
      </c>
      <c r="D1466" t="inlineStr">
        <is>
          <t>KYDA 12 Colors Lipstick Liquid Pigment Set,DIY Lip Gloss Pigment,Edible Coloring Pure Plant Pigment Only for Lip Gloss Base-Set A</t>
        </is>
      </c>
      <c r="E1466" s="2">
        <f>HYPERLINK("https://www.amazon.com/Ownest-Lipstick-Pigment-Cosmetic-Coloring/dp/B08P14Y5WG/ref=sr_1_8?keywords=Sheer+Pigment+Lip+Gloss&amp;qid=1695565731&amp;sr=8-8", "https://www.amazon.com/Ownest-Lipstick-Pigment-Cosmetic-Coloring/dp/B08P14Y5WG/ref=sr_1_8?keywords=Sheer+Pigment+Lip+Gloss&amp;qid=1695565731&amp;sr=8-8")</f>
        <v/>
      </c>
      <c r="F1466" t="inlineStr">
        <is>
          <t>B08P14Y5WG</t>
        </is>
      </c>
      <c r="G1466">
        <f>_xlfn.IMAGE("https://camerareadycosmetics.com/cdn/shop/products/SLG-PAR-alt-02_1024x1024.progressive_129b3038-af08-4094-bdb5-6d5cb790573f_50x.jpg?v=1690993955")</f>
        <v/>
      </c>
      <c r="H1466">
        <f>_xlfn.IMAGE("https://m.media-amazon.com/images/I/71grMTjMGcL._AC_UL320_.jpg")</f>
        <v/>
      </c>
      <c r="K1466" t="inlineStr">
        <is>
          <t>19.0</t>
        </is>
      </c>
      <c r="L1466" t="n">
        <v>15.99</v>
      </c>
      <c r="M1466" s="1" t="inlineStr">
        <is>
          <t>-15.84%</t>
        </is>
      </c>
      <c r="N1466" t="n">
        <v>4.2</v>
      </c>
      <c r="O1466" t="n">
        <v>424</v>
      </c>
      <c r="Q1466" t="inlineStr">
        <is>
          <t>InStock</t>
        </is>
      </c>
      <c r="R1466" t="inlineStr">
        <is>
          <t>undefined</t>
        </is>
      </c>
      <c r="S1466" t="inlineStr">
        <is>
          <t>7060647116985</t>
        </is>
      </c>
    </row>
    <row r="1467" ht="75" customHeight="1">
      <c r="A1467" s="2">
        <f>HYPERLINK("https://camerareadycosmetics.com/products/jouer-sheer-pigment-lip-gloss", "https://camerareadycosmetics.com/products/jouer-sheer-pigment-lip-gloss")</f>
        <v/>
      </c>
      <c r="B1467" s="2">
        <f>HYPERLINK("https://camerareadycosmetics.com/products/jouer-sheer-pigment-lip-gloss", "https://camerareadycosmetics.com/products/jouer-sheer-pigment-lip-gloss")</f>
        <v/>
      </c>
      <c r="C1467" t="inlineStr">
        <is>
          <t>Sheer Pigment Lip Gloss</t>
        </is>
      </c>
      <c r="D1467" t="inlineStr">
        <is>
          <t>12 Colors Liquid Lip Gloss Pigment Set, DIY Lipstick Liquid Pigment Set for Making Lip Gloss, DIY Lip Gloss Pigment Cosmetic Dye, Edible Coloring Pure Plant Pigment for Lip Gloss Base</t>
        </is>
      </c>
      <c r="E1467" s="2">
        <f>HYPERLINK("https://www.amazon.com/Colors-Pigment-Lipstick-Cosmetic-Coloring/dp/B094QGKDP9/ref=sr_1_1?keywords=Sheer+Pigment+Lip+Gloss&amp;qid=1695565731&amp;sr=8-1", "https://www.amazon.com/Colors-Pigment-Lipstick-Cosmetic-Coloring/dp/B094QGKDP9/ref=sr_1_1?keywords=Sheer+Pigment+Lip+Gloss&amp;qid=1695565731&amp;sr=8-1")</f>
        <v/>
      </c>
      <c r="F1467" t="inlineStr">
        <is>
          <t>B094QGKDP9</t>
        </is>
      </c>
      <c r="G1467">
        <f>_xlfn.IMAGE("https://camerareadycosmetics.com/cdn/shop/products/SLG-PAR-alt-02_1024x1024.progressive_129b3038-af08-4094-bdb5-6d5cb790573f_50x.jpg?v=1690993955")</f>
        <v/>
      </c>
      <c r="H1467">
        <f>_xlfn.IMAGE("https://m.media-amazon.com/images/I/71qnFySZF9S._AC_UL320_.jpg")</f>
        <v/>
      </c>
      <c r="K1467" t="inlineStr">
        <is>
          <t>19.0</t>
        </is>
      </c>
      <c r="L1467" t="n">
        <v>14.99</v>
      </c>
      <c r="M1467" s="1" t="inlineStr">
        <is>
          <t>-21.11%</t>
        </is>
      </c>
      <c r="N1467" t="n">
        <v>4.2</v>
      </c>
      <c r="O1467" t="n">
        <v>154</v>
      </c>
      <c r="Q1467" t="inlineStr">
        <is>
          <t>InStock</t>
        </is>
      </c>
      <c r="R1467" t="inlineStr">
        <is>
          <t>undefined</t>
        </is>
      </c>
      <c r="S1467" t="inlineStr">
        <is>
          <t>7060647116985</t>
        </is>
      </c>
    </row>
    <row r="1468" ht="75" customHeight="1">
      <c r="A1468" s="2">
        <f>HYPERLINK("https://camerareadycosmetics.com/products/jouer-sheer-pigment-lip-gloss", "https://camerareadycosmetics.com/products/jouer-sheer-pigment-lip-gloss")</f>
        <v/>
      </c>
      <c r="B1468" s="2">
        <f>HYPERLINK("https://camerareadycosmetics.com/products/jouer-sheer-pigment-lip-gloss", "https://camerareadycosmetics.com/products/jouer-sheer-pigment-lip-gloss")</f>
        <v/>
      </c>
      <c r="C1468" t="inlineStr">
        <is>
          <t>Sheer Pigment Lip Gloss</t>
        </is>
      </c>
      <c r="D1468" t="inlineStr">
        <is>
          <t>Cosmetic Grade Lip-Safe Mica Powder [MLBB 8 Color Set] 4oz (112g) | Pearlescent Pigment | Dye | Non-Toxic | Vegan | Cruelty-Free | Lip Gloss, Eyeshadow, Nail Polish, Nail Art, Bath Bomb</t>
        </is>
      </c>
      <c r="E1468" s="2">
        <f>HYPERLINK("https://www.amazon.com/MARBLERS-Set-Pearlescent-Non-Toxic-Cruelty-Free/dp/B09DY5Q2PK/ref=sr_1_10?keywords=Sheer+Pigment+Lip+Gloss&amp;qid=1695565731&amp;sr=8-10", "https://www.amazon.com/MARBLERS-Set-Pearlescent-Non-Toxic-Cruelty-Free/dp/B09DY5Q2PK/ref=sr_1_10?keywords=Sheer+Pigment+Lip+Gloss&amp;qid=1695565731&amp;sr=8-10")</f>
        <v/>
      </c>
      <c r="F1468" t="inlineStr">
        <is>
          <t>B09DY5Q2PK</t>
        </is>
      </c>
      <c r="G1468">
        <f>_xlfn.IMAGE("https://camerareadycosmetics.com/cdn/shop/products/SLG-PAR-alt-02_1024x1024.progressive_129b3038-af08-4094-bdb5-6d5cb790573f_50x.jpg?v=1690993955")</f>
        <v/>
      </c>
      <c r="H1468">
        <f>_xlfn.IMAGE("https://m.media-amazon.com/images/I/81turCTNtLL._AC_UL320_.jpg")</f>
        <v/>
      </c>
      <c r="K1468" t="inlineStr">
        <is>
          <t>19.0</t>
        </is>
      </c>
      <c r="L1468" t="n">
        <v>14.99</v>
      </c>
      <c r="M1468" s="1" t="inlineStr">
        <is>
          <t>-21.11%</t>
        </is>
      </c>
      <c r="N1468" t="n">
        <v>4.6</v>
      </c>
      <c r="O1468" t="n">
        <v>4437</v>
      </c>
      <c r="Q1468" t="inlineStr">
        <is>
          <t>InStock</t>
        </is>
      </c>
      <c r="R1468" t="inlineStr">
        <is>
          <t>undefined</t>
        </is>
      </c>
      <c r="S1468" t="inlineStr">
        <is>
          <t>7060647116985</t>
        </is>
      </c>
    </row>
    <row r="1469" ht="75" customHeight="1">
      <c r="A1469" s="2">
        <f>HYPERLINK("https://camerareadycosmetics.com/products/jouer-sheer-pigment-lip-gloss", "https://camerareadycosmetics.com/products/jouer-sheer-pigment-lip-gloss")</f>
        <v/>
      </c>
      <c r="B1469" s="2">
        <f>HYPERLINK("https://camerareadycosmetics.com/products/jouer-sheer-pigment-lip-gloss", "https://camerareadycosmetics.com/products/jouer-sheer-pigment-lip-gloss")</f>
        <v/>
      </c>
      <c r="C1469" t="inlineStr">
        <is>
          <t>Sheer Pigment Lip Gloss</t>
        </is>
      </c>
      <c r="D1469" t="inlineStr">
        <is>
          <t>High Shine Lip Gloss | Hydrating, Vegan, High Pigment, Non-Sticky Lipgloss in a Timeless, Universal Color | Gorgeous Go-Getter (Bold Pink)</t>
        </is>
      </c>
      <c r="E1469" s="2">
        <f>HYPERLINK("https://www.amazon.com/ShikSona-Lipgloss-Gorgeous-Go-Getter-Cruelty-Free/dp/B09V5KGG1V/ref=sr_1_5?keywords=Sheer+Pigment+Lip+Gloss&amp;qid=1695565731&amp;sr=8-5", "https://www.amazon.com/ShikSona-Lipgloss-Gorgeous-Go-Getter-Cruelty-Free/dp/B09V5KGG1V/ref=sr_1_5?keywords=Sheer+Pigment+Lip+Gloss&amp;qid=1695565731&amp;sr=8-5")</f>
        <v/>
      </c>
      <c r="F1469" t="inlineStr">
        <is>
          <t>B09V5KGG1V</t>
        </is>
      </c>
      <c r="G1469">
        <f>_xlfn.IMAGE("https://camerareadycosmetics.com/cdn/shop/products/SLG-PAR-alt-02_1024x1024.progressive_129b3038-af08-4094-bdb5-6d5cb790573f_50x.jpg?v=1690993955")</f>
        <v/>
      </c>
      <c r="H1469">
        <f>_xlfn.IMAGE("https://m.media-amazon.com/images/I/71LH-rs3kYL._AC_UL320_.jpg")</f>
        <v/>
      </c>
      <c r="K1469" t="inlineStr">
        <is>
          <t>19.0</t>
        </is>
      </c>
      <c r="L1469" t="n">
        <v>13.99</v>
      </c>
      <c r="M1469" s="1" t="inlineStr">
        <is>
          <t>-26.37%</t>
        </is>
      </c>
      <c r="N1469" t="n">
        <v>4.3</v>
      </c>
      <c r="O1469" t="n">
        <v>100</v>
      </c>
      <c r="Q1469" t="inlineStr">
        <is>
          <t>InStock</t>
        </is>
      </c>
      <c r="R1469" t="inlineStr">
        <is>
          <t>undefined</t>
        </is>
      </c>
      <c r="S1469" t="inlineStr">
        <is>
          <t>7060647116985</t>
        </is>
      </c>
    </row>
    <row r="1470" ht="75" customHeight="1">
      <c r="A1470" s="2">
        <f>HYPERLINK("https://camerareadycosmetics.com/products/jouer-sheer-pigment-lip-gloss", "https://camerareadycosmetics.com/products/jouer-sheer-pigment-lip-gloss")</f>
        <v/>
      </c>
      <c r="B1470" s="2">
        <f>HYPERLINK("https://camerareadycosmetics.com/products/jouer-sheer-pigment-lip-gloss", "https://camerareadycosmetics.com/products/jouer-sheer-pigment-lip-gloss")</f>
        <v/>
      </c>
      <c r="C1470" t="inlineStr">
        <is>
          <t>Sheer Pigment Lip Gloss</t>
        </is>
      </c>
      <c r="D1470" t="inlineStr">
        <is>
          <t>Lip Gloss Pigment Powder Natural Lip Dye 5 Colors x 10G and White Metallic Shimmer Pearl Glitter Pigment Powder for Lip Gloss Lipstick Eyeshadow Cosmetic Grade Lip Gloss Color Pigment</t>
        </is>
      </c>
      <c r="E1470" s="2">
        <f>HYPERLINK("https://www.amazon.com/PARAMISS-Metallic-Lipstick-Eyeshadow-Cosmetic/dp/B08FB2P1BK/ref=sr_1_6?keywords=Sheer+Pigment+Lip+Gloss&amp;qid=1695565731&amp;sr=8-6", "https://www.amazon.com/PARAMISS-Metallic-Lipstick-Eyeshadow-Cosmetic/dp/B08FB2P1BK/ref=sr_1_6?keywords=Sheer+Pigment+Lip+Gloss&amp;qid=1695565731&amp;sr=8-6")</f>
        <v/>
      </c>
      <c r="F1470" t="inlineStr">
        <is>
          <t>B08FB2P1BK</t>
        </is>
      </c>
      <c r="G1470">
        <f>_xlfn.IMAGE("https://camerareadycosmetics.com/cdn/shop/products/SLG-PAR-alt-02_1024x1024.progressive_129b3038-af08-4094-bdb5-6d5cb790573f_50x.jpg?v=1690993955")</f>
        <v/>
      </c>
      <c r="H1470">
        <f>_xlfn.IMAGE("https://m.media-amazon.com/images/I/71jfUxompXL._AC_UL320_.jpg")</f>
        <v/>
      </c>
      <c r="K1470" t="inlineStr">
        <is>
          <t>19.0</t>
        </is>
      </c>
      <c r="L1470" t="n">
        <v>13.69</v>
      </c>
      <c r="M1470" s="1" t="inlineStr">
        <is>
          <t>-27.95%</t>
        </is>
      </c>
      <c r="N1470" t="n">
        <v>4.5</v>
      </c>
      <c r="O1470" t="n">
        <v>1059</v>
      </c>
      <c r="Q1470" t="inlineStr">
        <is>
          <t>InStock</t>
        </is>
      </c>
      <c r="R1470" t="inlineStr">
        <is>
          <t>undefined</t>
        </is>
      </c>
      <c r="S1470" t="inlineStr">
        <is>
          <t>7060647116985</t>
        </is>
      </c>
    </row>
    <row r="1471" ht="75" customHeight="1">
      <c r="A1471" s="2">
        <f>HYPERLINK("https://camerareadycosmetics.com/products/jouer-sheer-pigment-lip-gloss", "https://camerareadycosmetics.com/products/jouer-sheer-pigment-lip-gloss")</f>
        <v/>
      </c>
      <c r="B1471" s="2">
        <f>HYPERLINK("https://camerareadycosmetics.com/products/jouer-sheer-pigment-lip-gloss", "https://camerareadycosmetics.com/products/jouer-sheer-pigment-lip-gloss")</f>
        <v/>
      </c>
      <c r="C1471" t="inlineStr">
        <is>
          <t>Sheer Pigment Lip Gloss</t>
        </is>
      </c>
      <c r="D1471" t="inlineStr">
        <is>
          <t>Mica Powder for Epoxy Resin, 32 Colors Mica Pigment Powder Set for Resin Art, Lip Gloss, Soap Making Dye, Slime and DIY Craft (5g/0.18oz Each Bottle)</t>
        </is>
      </c>
      <c r="E1471" s="2">
        <f>HYPERLINK("https://www.amazon.com/Pigment-Powder-Cosmetic-Eyeshadow-Colorant/dp/B07XRJHL1L/ref=sr_1_2?keywords=Sheer+Pigment+Lip+Gloss&amp;qid=1695565731&amp;sr=8-2", "https://www.amazon.com/Pigment-Powder-Cosmetic-Eyeshadow-Colorant/dp/B07XRJHL1L/ref=sr_1_2?keywords=Sheer+Pigment+Lip+Gloss&amp;qid=1695565731&amp;sr=8-2")</f>
        <v/>
      </c>
      <c r="F1471" t="inlineStr">
        <is>
          <t>B07XRJHL1L</t>
        </is>
      </c>
      <c r="G1471">
        <f>_xlfn.IMAGE("https://camerareadycosmetics.com/cdn/shop/products/SLG-PAR-alt-02_1024x1024.progressive_129b3038-af08-4094-bdb5-6d5cb790573f_50x.jpg?v=1690993955")</f>
        <v/>
      </c>
      <c r="H1471">
        <f>_xlfn.IMAGE("https://m.media-amazon.com/images/I/61gRwm3dPLL._AC_UL320_.jpg")</f>
        <v/>
      </c>
      <c r="K1471" t="inlineStr">
        <is>
          <t>19.0</t>
        </is>
      </c>
      <c r="L1471" t="n">
        <v>12.85</v>
      </c>
      <c r="M1471" s="1" t="inlineStr">
        <is>
          <t>-32.37%</t>
        </is>
      </c>
      <c r="N1471" t="n">
        <v>4.6</v>
      </c>
      <c r="O1471" t="n">
        <v>2964</v>
      </c>
      <c r="Q1471" t="inlineStr">
        <is>
          <t>InStock</t>
        </is>
      </c>
      <c r="R1471" t="inlineStr">
        <is>
          <t>undefined</t>
        </is>
      </c>
      <c r="S1471" t="inlineStr">
        <is>
          <t>7060647116985</t>
        </is>
      </c>
    </row>
    <row r="1472" ht="75" customHeight="1">
      <c r="A1472" s="2">
        <f>HYPERLINK("https://camerareadycosmetics.com/products/jouer-sheer-pigment-lip-gloss", "https://camerareadycosmetics.com/products/jouer-sheer-pigment-lip-gloss")</f>
        <v/>
      </c>
      <c r="B1472" s="2">
        <f>HYPERLINK("https://camerareadycosmetics.com/products/jouer-sheer-pigment-lip-gloss", "https://camerareadycosmetics.com/products/jouer-sheer-pigment-lip-gloss")</f>
        <v/>
      </c>
      <c r="C1472" t="inlineStr">
        <is>
          <t>Sheer Pigment Lip Gloss</t>
        </is>
      </c>
      <c r="D1472" t="inlineStr">
        <is>
          <t>e.l.f. Cosmetics Glossy Lip Stain, Lightweight, Long-Wear Lip Stain For A Sheer Pop Of Color &amp; Subtle Gloss Effect, Berry Queen</t>
        </is>
      </c>
      <c r="E1472" s="2">
        <f>HYPERLINK("https://www.amazon.com/l-f-Cosmetics-Glossy-Lightweight-Long-Wear/dp/B0B4F8FP1V/ref=sr_1_9?keywords=Sheer+Pigment+Lip+Gloss&amp;qid=1695565731&amp;sr=8-9", "https://www.amazon.com/l-f-Cosmetics-Glossy-Lightweight-Long-Wear/dp/B0B4F8FP1V/ref=sr_1_9?keywords=Sheer+Pigment+Lip+Gloss&amp;qid=1695565731&amp;sr=8-9")</f>
        <v/>
      </c>
      <c r="F1472" t="inlineStr">
        <is>
          <t>B0B4F8FP1V</t>
        </is>
      </c>
      <c r="G1472">
        <f>_xlfn.IMAGE("https://camerareadycosmetics.com/cdn/shop/products/SLG-PAR-alt-02_1024x1024.progressive_129b3038-af08-4094-bdb5-6d5cb790573f_50x.jpg?v=1690993955")</f>
        <v/>
      </c>
      <c r="H1472">
        <f>_xlfn.IMAGE("https://m.media-amazon.com/images/I/6199DN2BNTL._AC_UL320_.jpg")</f>
        <v/>
      </c>
      <c r="K1472" t="inlineStr">
        <is>
          <t>19.0</t>
        </is>
      </c>
      <c r="L1472" t="n">
        <v>6</v>
      </c>
      <c r="M1472" s="1" t="inlineStr">
        <is>
          <t>-68.42%</t>
        </is>
      </c>
      <c r="N1472" t="n">
        <v>4.1</v>
      </c>
      <c r="O1472" t="n">
        <v>1266</v>
      </c>
      <c r="Q1472" t="inlineStr">
        <is>
          <t>InStock</t>
        </is>
      </c>
      <c r="R1472" t="inlineStr">
        <is>
          <t>undefined</t>
        </is>
      </c>
      <c r="S1472" t="inlineStr">
        <is>
          <t>7060647116985</t>
        </is>
      </c>
    </row>
    <row r="1473" ht="75" customHeight="1">
      <c r="A1473" s="2">
        <f>HYPERLINK("https://camerareadycosmetics.com/products/jouer-sheer-pigment-lip-gloss", "https://camerareadycosmetics.com/products/jouer-sheer-pigment-lip-gloss")</f>
        <v/>
      </c>
      <c r="B1473" s="2">
        <f>HYPERLINK("https://camerareadycosmetics.com/products/jouer-sheer-pigment-lip-gloss", "https://camerareadycosmetics.com/products/jouer-sheer-pigment-lip-gloss")</f>
        <v/>
      </c>
      <c r="C1473" t="inlineStr">
        <is>
          <t>Sheer Pigment Lip Gloss</t>
        </is>
      </c>
      <c r="D1473" t="inlineStr">
        <is>
          <t>e.l.f. Cosmetics Glossy Lip Stain, Lightweight, Long-Wear Lip Stain For A Sheer Pop Of Color &amp; Subtle Gloss Effect, Berry Queen</t>
        </is>
      </c>
      <c r="E1473" s="2">
        <f>HYPERLINK("https://www.amazon.com/l-f-Cosmetics-Glossy-Lightweight-Long-Wear/dp/B0B4F8FP1V/ref=sr_1_9?keywords=Sheer+Pigment+Lip+Gloss&amp;qid=1695565731&amp;sr=8-9", "https://www.amazon.com/l-f-Cosmetics-Glossy-Lightweight-Long-Wear/dp/B0B4F8FP1V/ref=sr_1_9?keywords=Sheer+Pigment+Lip+Gloss&amp;qid=1695565731&amp;sr=8-9")</f>
        <v/>
      </c>
      <c r="F1473" t="inlineStr">
        <is>
          <t>B0B4F8FP1V</t>
        </is>
      </c>
      <c r="G1473">
        <f>_xlfn.IMAGE("https://camerareadycosmetics.com/cdn/shop/products/SLG-PAR-alt-02_1024x1024.progressive_129b3038-af08-4094-bdb5-6d5cb790573f_50x.jpg?v=1690993955")</f>
        <v/>
      </c>
      <c r="H1473">
        <f>_xlfn.IMAGE("https://m.media-amazon.com/images/I/6199DN2BNTL._AC_UL320_.jpg")</f>
        <v/>
      </c>
      <c r="K1473" t="inlineStr">
        <is>
          <t>19.0</t>
        </is>
      </c>
      <c r="L1473" t="n">
        <v>6</v>
      </c>
      <c r="M1473" s="1" t="inlineStr">
        <is>
          <t>-68.42%</t>
        </is>
      </c>
      <c r="N1473" t="n">
        <v>4.1</v>
      </c>
      <c r="O1473" t="n">
        <v>1266</v>
      </c>
      <c r="Q1473" t="inlineStr">
        <is>
          <t>InStock</t>
        </is>
      </c>
      <c r="R1473" t="inlineStr">
        <is>
          <t>undefined</t>
        </is>
      </c>
      <c r="S1473" t="inlineStr">
        <is>
          <t>7060647116985</t>
        </is>
      </c>
    </row>
    <row r="1474" ht="75" customHeight="1">
      <c r="A1474" s="2">
        <f>HYPERLINK("https://camerareadycosmetics.com/products/jouer-soft-focus-hydrate-set-powder", "https://camerareadycosmetics.com/products/jouer-soft-focus-hydrate-set-powder")</f>
        <v/>
      </c>
      <c r="B1474" s="2">
        <f>HYPERLINK("https://camerareadycosmetics.com/products/jouer-soft-focus-hydrate-set-powder", "https://camerareadycosmetics.com/products/jouer-soft-focus-hydrate-set-powder")</f>
        <v/>
      </c>
      <c r="C1474" t="inlineStr">
        <is>
          <t>Soft Focus Hydrate + Set Powder</t>
        </is>
      </c>
      <c r="D1474" t="inlineStr">
        <is>
          <t>Jouer Soft Focus Hydrate &amp; Setting Powder - Pressed Powder with Matte Finish - Blurs Fine Lines and Pores - Set Face Makeup Foundation or Concealer - For All Skin Tones, Light</t>
        </is>
      </c>
      <c r="E1474" s="2">
        <f>HYPERLINK("https://www.amazon.com/Jouer-Soft-Hydrate-Demi-Matte-Quality-Ingredients-Friendly/dp/B09BG9J3BC/ref=sr_1_1?keywords=Soft+Focus+Hydrate+Set+Powder&amp;qid=1695565592&amp;sr=8-1", "https://www.amazon.com/Jouer-Soft-Hydrate-Demi-Matte-Quality-Ingredients-Friendly/dp/B09BG9J3BC/ref=sr_1_1?keywords=Soft+Focus+Hydrate+Set+Powder&amp;qid=1695565592&amp;sr=8-1")</f>
        <v/>
      </c>
      <c r="F1474" t="inlineStr">
        <is>
          <t>B09BG9J3BC</t>
        </is>
      </c>
      <c r="G1474">
        <f>_xlfn.IMAGE("https://camerareadycosmetics.com/cdn/shop/products/PressedPowderPDP_6Deep_1_1024x1024.progressive_072e648d-a674-4ec2-9026-609a0bfaef7b_50x.jpg?v=1635180518")</f>
        <v/>
      </c>
      <c r="H1474">
        <f>_xlfn.IMAGE("https://m.media-amazon.com/images/I/612fzgNlLJL._AC_UL320_.jpg")</f>
        <v/>
      </c>
      <c r="K1474" t="inlineStr">
        <is>
          <t>32.0</t>
        </is>
      </c>
      <c r="L1474" t="n">
        <v>32</v>
      </c>
      <c r="M1474" s="1" t="inlineStr">
        <is>
          <t>0.00%</t>
        </is>
      </c>
      <c r="N1474" t="n">
        <v>3.9</v>
      </c>
      <c r="O1474" t="n">
        <v>539</v>
      </c>
      <c r="Q1474" t="inlineStr">
        <is>
          <t>InStock</t>
        </is>
      </c>
      <c r="R1474" t="inlineStr">
        <is>
          <t>undefined</t>
        </is>
      </c>
      <c r="S1474" t="inlineStr">
        <is>
          <t>7058016305337</t>
        </is>
      </c>
    </row>
    <row r="1475" ht="75" customHeight="1">
      <c r="A1475" s="2">
        <f>HYPERLINK("https://camerareadycosmetics.com/products/jouer-sunswept-bronzer-duo", "https://camerareadycosmetics.com/products/jouer-sunswept-bronzer-duo")</f>
        <v/>
      </c>
      <c r="B1475" s="2">
        <f>HYPERLINK("https://camerareadycosmetics.com/products/jouer-sunswept-bronzer-duo", "https://camerareadycosmetics.com/products/jouer-sunswept-bronzer-duo")</f>
        <v/>
      </c>
      <c r="C1475" t="inlineStr">
        <is>
          <t>Sunswept Bronzer Duo</t>
        </is>
      </c>
      <c r="D1475" t="inlineStr">
        <is>
          <t>Jouer Sunswept Bronzer Duo 2 Complementary Shades Velvety Formula Matte &amp; Shimmer Shades Vitamin E Talc, Paraben, Gluten &amp; Cruelty Free</t>
        </is>
      </c>
      <c r="E1475" s="2">
        <f>HYPERLINK("https://www.amazon.com/Jouer-Sunswept-Bronzer-Complementary-Velvety-Formula-Shimmer/dp/B09BG645J2/ref=sr_1_1?keywords=Sunswept+Bronzer+Duo&amp;qid=1695565732&amp;sr=8-1", "https://www.amazon.com/Jouer-Sunswept-Bronzer-Complementary-Velvety-Formula-Shimmer/dp/B09BG645J2/ref=sr_1_1?keywords=Sunswept+Bronzer+Duo&amp;qid=1695565732&amp;sr=8-1")</f>
        <v/>
      </c>
      <c r="F1475" t="inlineStr">
        <is>
          <t>B09BG645J2</t>
        </is>
      </c>
      <c r="G1475">
        <f>_xlfn.IMAGE("https://camerareadycosmetics.com/cdn/shop/products/BRD-SGSG_2_1024x1024.progressive_a2e3fc27-7379-4bbe-8d82-e6a2873cf2f3_50x.jpg?v=1635372598")</f>
        <v/>
      </c>
      <c r="H1475">
        <f>_xlfn.IMAGE("https://m.media-amazon.com/images/I/71D3bIhHFrL._AC_UL320_.jpg")</f>
        <v/>
      </c>
      <c r="K1475" t="inlineStr">
        <is>
          <t>33.0</t>
        </is>
      </c>
      <c r="L1475" t="n">
        <v>33</v>
      </c>
      <c r="M1475" s="1" t="inlineStr">
        <is>
          <t>0.00%</t>
        </is>
      </c>
      <c r="N1475" t="n">
        <v>4</v>
      </c>
      <c r="O1475" t="n">
        <v>4</v>
      </c>
      <c r="Q1475" t="inlineStr">
        <is>
          <t>InStock</t>
        </is>
      </c>
      <c r="R1475" t="inlineStr">
        <is>
          <t>undefined</t>
        </is>
      </c>
      <c r="S1475" t="inlineStr">
        <is>
          <t>7060951400633</t>
        </is>
      </c>
    </row>
    <row r="1476" ht="75" customHeight="1">
      <c r="A1476" s="2">
        <f>HYPERLINK("https://camerareadycosmetics.com/products/jouer-tinted-hydrating-lip-oil", "https://camerareadycosmetics.com/products/jouer-tinted-hydrating-lip-oil")</f>
        <v/>
      </c>
      <c r="B1476" s="2">
        <f>HYPERLINK("https://camerareadycosmetics.com/products/jouer-tinted-hydrating-lip-oil", "https://camerareadycosmetics.com/products/jouer-tinted-hydrating-lip-oil")</f>
        <v/>
      </c>
      <c r="C1476" t="inlineStr">
        <is>
          <t>Tinted Hydrating Lip Oil</t>
        </is>
      </c>
      <c r="D1476" t="inlineStr">
        <is>
          <t>2Pack Big Brush Head Hydrating Lip Glow Oil Plumping Lip Tint, Hydrating Lip Gloss Tinted Lip Balm Transparent Lip Care, Long Lasting Nourishing Non-sticky Fresh Texture (Strawberry + Cherry)</t>
        </is>
      </c>
      <c r="E1476" s="2">
        <f>HYPERLINK("https://www.amazon.com/Hydrating-Transparent-Nourishing-Non-sticky-Strawberry/dp/B0C5SJQ4LR/ref=sr_1_7?keywords=Tinted+Hydrating+Lip+Oil&amp;qid=1695565806&amp;sr=8-7", "https://www.amazon.com/Hydrating-Transparent-Nourishing-Non-sticky-Strawberry/dp/B0C5SJQ4LR/ref=sr_1_7?keywords=Tinted+Hydrating+Lip+Oil&amp;qid=1695565806&amp;sr=8-7")</f>
        <v/>
      </c>
      <c r="F1476" t="inlineStr">
        <is>
          <t>B0C5SJQ4LR</t>
        </is>
      </c>
      <c r="G1476">
        <f>_xlfn.IMAGE("https://camerareadycosmetics.com/cdn/shop/files/THLO-Belle_4_50x.jpg?v=1686017910")</f>
        <v/>
      </c>
      <c r="H1476">
        <f>_xlfn.IMAGE("https://m.media-amazon.com/images/I/61T30KwqGjL._AC_UL320_.jpg")</f>
        <v/>
      </c>
      <c r="K1476" t="inlineStr">
        <is>
          <t>20.0</t>
        </is>
      </c>
      <c r="L1476" t="n">
        <v>9.99</v>
      </c>
      <c r="M1476" s="1" t="inlineStr">
        <is>
          <t>-50.05%</t>
        </is>
      </c>
      <c r="N1476" t="n">
        <v>4.3</v>
      </c>
      <c r="O1476" t="n">
        <v>657</v>
      </c>
      <c r="Q1476" t="inlineStr">
        <is>
          <t>InStock</t>
        </is>
      </c>
      <c r="R1476" t="inlineStr">
        <is>
          <t>undefined</t>
        </is>
      </c>
      <c r="S1476" t="inlineStr">
        <is>
          <t>7589381963961</t>
        </is>
      </c>
    </row>
    <row r="1477" ht="75" customHeight="1">
      <c r="A1477" s="2">
        <f>HYPERLINK("https://camerareadycosmetics.com/products/jouer-tinted-hydrating-lip-oil", "https://camerareadycosmetics.com/products/jouer-tinted-hydrating-lip-oil")</f>
        <v/>
      </c>
      <c r="B1477" s="2">
        <f>HYPERLINK("https://camerareadycosmetics.com/products/jouer-tinted-hydrating-lip-oil", "https://camerareadycosmetics.com/products/jouer-tinted-hydrating-lip-oil")</f>
        <v/>
      </c>
      <c r="C1477" t="inlineStr">
        <is>
          <t>Tinted Hydrating Lip Oil</t>
        </is>
      </c>
      <c r="D1477" t="inlineStr">
        <is>
          <t>NYX PROFESSIONAL MAKEUP Fat Oil Lip Drip, Moisturizing, Shiny and Vegan Tinted Lip Gloss - Follow Back (Shimmering Warm Nude)</t>
        </is>
      </c>
      <c r="E1477" s="2">
        <f>HYPERLINK("https://www.amazon.com/NYX-PROFESSIONAL-MAKEUP-Moisturizing-Tinted/dp/B0BL8J88L1/ref=sr_1_4?keywords=Tinted+Hydrating+Lip+Oil&amp;qid=1695565806&amp;sr=8-4", "https://www.amazon.com/NYX-PROFESSIONAL-MAKEUP-Moisturizing-Tinted/dp/B0BL8J88L1/ref=sr_1_4?keywords=Tinted+Hydrating+Lip+Oil&amp;qid=1695565806&amp;sr=8-4")</f>
        <v/>
      </c>
      <c r="F1477" t="inlineStr">
        <is>
          <t>B0BL8J88L1</t>
        </is>
      </c>
      <c r="G1477">
        <f>_xlfn.IMAGE("https://camerareadycosmetics.com/cdn/shop/files/THLO-Belle_4_50x.jpg?v=1686017910")</f>
        <v/>
      </c>
      <c r="H1477">
        <f>_xlfn.IMAGE("https://m.media-amazon.com/images/I/71xY740LwFL._AC_UL320_.jpg")</f>
        <v/>
      </c>
      <c r="K1477" t="inlineStr">
        <is>
          <t>20.0</t>
        </is>
      </c>
      <c r="L1477" t="n">
        <v>8.970000000000001</v>
      </c>
      <c r="M1477" s="1" t="inlineStr">
        <is>
          <t>-55.15%</t>
        </is>
      </c>
      <c r="N1477" t="n">
        <v>4.5</v>
      </c>
      <c r="O1477" t="n">
        <v>7141</v>
      </c>
      <c r="Q1477" t="inlineStr">
        <is>
          <t>InStock</t>
        </is>
      </c>
      <c r="R1477" t="inlineStr">
        <is>
          <t>undefined</t>
        </is>
      </c>
      <c r="S1477" t="inlineStr">
        <is>
          <t>7589381963961</t>
        </is>
      </c>
    </row>
    <row r="1478" ht="75" customHeight="1">
      <c r="A1478" s="2">
        <f>HYPERLINK("https://camerareadycosmetics.com/products/jouer-tinted-hydrating-lip-oil", "https://camerareadycosmetics.com/products/jouer-tinted-hydrating-lip-oil")</f>
        <v/>
      </c>
      <c r="B1478" s="2">
        <f>HYPERLINK("https://camerareadycosmetics.com/products/jouer-tinted-hydrating-lip-oil", "https://camerareadycosmetics.com/products/jouer-tinted-hydrating-lip-oil")</f>
        <v/>
      </c>
      <c r="C1478" t="inlineStr">
        <is>
          <t>Tinted Hydrating Lip Oil</t>
        </is>
      </c>
      <c r="D1478" t="inlineStr">
        <is>
          <t>Honest Beauty Tinted Lip Balm | Antioxidant-rich Acai Extracts + Avocado Oil | EWG Certified, Vegan, Cruelty Free | Blood Orange</t>
        </is>
      </c>
      <c r="E1478" s="2">
        <f>HYPERLINK("https://www.amazon.com/Honest-Beauty-Moisture-Paraben-Silicone/dp/B07NTPQRKX/ref=sr_1_3?keywords=Tinted+Hydrating+Lip+Oil&amp;qid=1695565806&amp;rdc=1&amp;sr=8-3", "https://www.amazon.com/Honest-Beauty-Moisture-Paraben-Silicone/dp/B07NTPQRKX/ref=sr_1_3?keywords=Tinted+Hydrating+Lip+Oil&amp;qid=1695565806&amp;rdc=1&amp;sr=8-3")</f>
        <v/>
      </c>
      <c r="F1478" t="inlineStr">
        <is>
          <t>B07NTPQRKX</t>
        </is>
      </c>
      <c r="G1478">
        <f>_xlfn.IMAGE("https://camerareadycosmetics.com/cdn/shop/files/THLO-Belle_4_50x.jpg?v=1686017910")</f>
        <v/>
      </c>
      <c r="H1478">
        <f>_xlfn.IMAGE("https://m.media-amazon.com/images/I/41BlfLWuZYL._AC_UL320_.jpg")</f>
        <v/>
      </c>
      <c r="K1478" t="inlineStr">
        <is>
          <t>20.0</t>
        </is>
      </c>
      <c r="L1478" t="n">
        <v>7</v>
      </c>
      <c r="M1478" s="1" t="inlineStr">
        <is>
          <t>-65.00%</t>
        </is>
      </c>
      <c r="N1478" t="n">
        <v>4.3</v>
      </c>
      <c r="O1478" t="n">
        <v>17787</v>
      </c>
      <c r="Q1478" t="inlineStr">
        <is>
          <t>InStock</t>
        </is>
      </c>
      <c r="R1478" t="inlineStr">
        <is>
          <t>undefined</t>
        </is>
      </c>
      <c r="S1478" t="inlineStr">
        <is>
          <t>7589381963961</t>
        </is>
      </c>
    </row>
    <row r="1479" ht="75" customHeight="1">
      <c r="A1479" s="2">
        <f>HYPERLINK("https://camerareadycosmetics.com/products/jouer-tinted-hydrating-lip-oil", "https://camerareadycosmetics.com/products/jouer-tinted-hydrating-lip-oil")</f>
        <v/>
      </c>
      <c r="B1479" s="2">
        <f>HYPERLINK("https://camerareadycosmetics.com/products/jouer-tinted-hydrating-lip-oil", "https://camerareadycosmetics.com/products/jouer-tinted-hydrating-lip-oil")</f>
        <v/>
      </c>
      <c r="C1479" t="inlineStr">
        <is>
          <t>Tinted Hydrating Lip Oil</t>
        </is>
      </c>
      <c r="D1479" t="inlineStr">
        <is>
          <t>KYDA Hydrating Lip Glow Oil, Moisturizing Lip Oil Glossy Transparent Plumping Lip Gloss, Tinted Lip Oil for Lip Care and Dry Lips, by Ownest Beauty-Rosewood</t>
        </is>
      </c>
      <c r="E1479" s="2">
        <f>HYPERLINK("https://www.amazon.com/KYDA-Hydrating-Moisturizing-Transparent-Beauty-Rosewood/dp/B0BKZ7Q9NW/ref=sr_1_1?keywords=Tinted+Hydrating+Lip+Oil&amp;qid=1695565806&amp;sr=8-1", "https://www.amazon.com/KYDA-Hydrating-Moisturizing-Transparent-Beauty-Rosewood/dp/B0BKZ7Q9NW/ref=sr_1_1?keywords=Tinted+Hydrating+Lip+Oil&amp;qid=1695565806&amp;sr=8-1")</f>
        <v/>
      </c>
      <c r="F1479" t="inlineStr">
        <is>
          <t>B0BKZ7Q9NW</t>
        </is>
      </c>
      <c r="G1479">
        <f>_xlfn.IMAGE("https://camerareadycosmetics.com/cdn/shop/files/THLO-Belle_4_50x.jpg?v=1686017910")</f>
        <v/>
      </c>
      <c r="H1479">
        <f>_xlfn.IMAGE("https://m.media-amazon.com/images/I/61WgyWdJ2rL._AC_UL320_.jpg")</f>
        <v/>
      </c>
      <c r="K1479" t="inlineStr">
        <is>
          <t>20.0</t>
        </is>
      </c>
      <c r="L1479" t="n">
        <v>6.88</v>
      </c>
      <c r="M1479" s="1" t="inlineStr">
        <is>
          <t>-65.60%</t>
        </is>
      </c>
      <c r="N1479" t="n">
        <v>4.3</v>
      </c>
      <c r="O1479" t="n">
        <v>1663</v>
      </c>
      <c r="Q1479" t="inlineStr">
        <is>
          <t>InStock</t>
        </is>
      </c>
      <c r="R1479" t="inlineStr">
        <is>
          <t>undefined</t>
        </is>
      </c>
      <c r="S1479" t="inlineStr">
        <is>
          <t>7589381963961</t>
        </is>
      </c>
    </row>
    <row r="1480" ht="75" customHeight="1">
      <c r="A1480" s="2">
        <f>HYPERLINK("https://camerareadycosmetics.com/products/jouer-tinted-hydrating-lip-oil", "https://camerareadycosmetics.com/products/jouer-tinted-hydrating-lip-oil")</f>
        <v/>
      </c>
      <c r="B1480" s="2">
        <f>HYPERLINK("https://camerareadycosmetics.com/products/jouer-tinted-hydrating-lip-oil", "https://camerareadycosmetics.com/products/jouer-tinted-hydrating-lip-oil")</f>
        <v/>
      </c>
      <c r="C1480" t="inlineStr">
        <is>
          <t>Tinted Hydrating Lip Oil</t>
        </is>
      </c>
      <c r="D1480" t="inlineStr">
        <is>
          <t>Hydrating Lip Glow Oil, Moisturizing Lip Gloss, Plumping Lip Oil, Non-Sticky Long Lasting Lip Oil Gloss, Transparent Lip Oil Tinted</t>
        </is>
      </c>
      <c r="E1480" s="2">
        <f>HYPERLINK("https://www.amazon.com/Hydrating-Moisturizing-Non-Sticky-Transparent-Moisturize/dp/B0BNXSV914/ref=sr_1_6?keywords=Tinted+Hydrating+Lip+Oil&amp;qid=1695565806&amp;sr=8-6", "https://www.amazon.com/Hydrating-Moisturizing-Non-Sticky-Transparent-Moisturize/dp/B0BNXSV914/ref=sr_1_6?keywords=Tinted+Hydrating+Lip+Oil&amp;qid=1695565806&amp;sr=8-6")</f>
        <v/>
      </c>
      <c r="F1480" t="inlineStr">
        <is>
          <t>B0BNXSV914</t>
        </is>
      </c>
      <c r="G1480">
        <f>_xlfn.IMAGE("https://camerareadycosmetics.com/cdn/shop/files/THLO-Belle_4_50x.jpg?v=1686017910")</f>
        <v/>
      </c>
      <c r="H1480">
        <f>_xlfn.IMAGE("https://m.media-amazon.com/images/I/61--BRXxbjL._AC_UL320_.jpg")</f>
        <v/>
      </c>
      <c r="K1480" t="inlineStr">
        <is>
          <t>20.0</t>
        </is>
      </c>
      <c r="L1480" t="n">
        <v>5.99</v>
      </c>
      <c r="M1480" s="1" t="inlineStr">
        <is>
          <t>-70.05%</t>
        </is>
      </c>
      <c r="N1480" t="n">
        <v>4.3</v>
      </c>
      <c r="O1480" t="n">
        <v>367</v>
      </c>
      <c r="Q1480" t="inlineStr">
        <is>
          <t>InStock</t>
        </is>
      </c>
      <c r="R1480" t="inlineStr">
        <is>
          <t>undefined</t>
        </is>
      </c>
      <c r="S1480" t="inlineStr">
        <is>
          <t>7589381963961</t>
        </is>
      </c>
    </row>
    <row r="1481" ht="75" customHeight="1">
      <c r="A1481" s="2">
        <f>HYPERLINK("https://camerareadycosmetics.com/products/jouer-tinted-hydrating-lip-oil", "https://camerareadycosmetics.com/products/jouer-tinted-hydrating-lip-oil")</f>
        <v/>
      </c>
      <c r="B1481" s="2">
        <f>HYPERLINK("https://camerareadycosmetics.com/products/jouer-tinted-hydrating-lip-oil", "https://camerareadycosmetics.com/products/jouer-tinted-hydrating-lip-oil")</f>
        <v/>
      </c>
      <c r="C1481" t="inlineStr">
        <is>
          <t>Tinted Hydrating Lip Oil</t>
        </is>
      </c>
      <c r="D1481" t="inlineStr">
        <is>
          <t>ZARICS Plumping Lip Oil, Hydrating Lip Gloss Tinted Lip Balm Lip Care Transparent Toot Lip Oil, Long Lasting Nourishing Lip Glow Oil Non-sticky Big Brush Glitter Primer Lip Tint (RASPBERRY)</t>
        </is>
      </c>
      <c r="E1481" s="2">
        <f>HYPERLINK("https://www.amazon.com/ZARICS-Hydrating-Transparent-Nourishing-Non-sticky/dp/B0BBRCPDM5/ref=sr_1_10?keywords=Tinted+Hydrating+Lip+Oil&amp;qid=1695565806&amp;sr=8-10", "https://www.amazon.com/ZARICS-Hydrating-Transparent-Nourishing-Non-sticky/dp/B0BBRCPDM5/ref=sr_1_10?keywords=Tinted+Hydrating+Lip+Oil&amp;qid=1695565806&amp;sr=8-10")</f>
        <v/>
      </c>
      <c r="F1481" t="inlineStr">
        <is>
          <t>B0BBRCPDM5</t>
        </is>
      </c>
      <c r="G1481">
        <f>_xlfn.IMAGE("https://camerareadycosmetics.com/cdn/shop/files/THLO-Belle_4_50x.jpg?v=1686017910")</f>
        <v/>
      </c>
      <c r="H1481">
        <f>_xlfn.IMAGE("https://m.media-amazon.com/images/I/51IIkDPfb5L._AC_UL320_.jpg")</f>
        <v/>
      </c>
      <c r="K1481" t="inlineStr">
        <is>
          <t>20.0</t>
        </is>
      </c>
      <c r="L1481" t="n">
        <v>5.98</v>
      </c>
      <c r="M1481" s="1" t="inlineStr">
        <is>
          <t>-70.10%</t>
        </is>
      </c>
      <c r="N1481" t="n">
        <v>4.1</v>
      </c>
      <c r="O1481" t="n">
        <v>1562</v>
      </c>
      <c r="Q1481" t="inlineStr">
        <is>
          <t>InStock</t>
        </is>
      </c>
      <c r="R1481" t="inlineStr">
        <is>
          <t>undefined</t>
        </is>
      </c>
      <c r="S1481" t="inlineStr">
        <is>
          <t>7589381963961</t>
        </is>
      </c>
    </row>
    <row r="1482" ht="75" customHeight="1">
      <c r="A1482" s="2">
        <f>HYPERLINK("https://camerareadycosmetics.com/products/jouer-tinted-hydrating-lip-oil", "https://camerareadycosmetics.com/products/jouer-tinted-hydrating-lip-oil")</f>
        <v/>
      </c>
      <c r="B1482" s="2">
        <f>HYPERLINK("https://camerareadycosmetics.com/products/jouer-tinted-hydrating-lip-oil", "https://camerareadycosmetics.com/products/jouer-tinted-hydrating-lip-oil")</f>
        <v/>
      </c>
      <c r="C1482" t="inlineStr">
        <is>
          <t>Tinted Hydrating Lip Oil</t>
        </is>
      </c>
      <c r="D1482" t="inlineStr">
        <is>
          <t>Lip Oil Hydrating Tinted Lip Balm, Plump Lip Gloss Lip Care Transparent Toot , Glass Lip Glow Oil Fresh Texture &amp; Non-sticky, Nourishing Repairing Lightening Lip Lines Lip Care Products (012#)</t>
        </is>
      </c>
      <c r="E1482" s="2">
        <f>HYPERLINK("https://www.amazon.com/Hydrating-Transparent-Non-sticky-Nourishing-Lightening/dp/B0BBLFQHXG/ref=sr_1_8?keywords=Tinted+Hydrating+Lip+Oil&amp;qid=1695565806&amp;sr=8-8", "https://www.amazon.com/Hydrating-Transparent-Non-sticky-Nourishing-Lightening/dp/B0BBLFQHXG/ref=sr_1_8?keywords=Tinted+Hydrating+Lip+Oil&amp;qid=1695565806&amp;sr=8-8")</f>
        <v/>
      </c>
      <c r="F1482" t="inlineStr">
        <is>
          <t>B0BBLFQHXG</t>
        </is>
      </c>
      <c r="G1482">
        <f>_xlfn.IMAGE("https://camerareadycosmetics.com/cdn/shop/files/THLO-Belle_4_50x.jpg?v=1686017910")</f>
        <v/>
      </c>
      <c r="H1482">
        <f>_xlfn.IMAGE("https://m.media-amazon.com/images/I/61fDfMy8aUL._AC_UL320_.jpg")</f>
        <v/>
      </c>
      <c r="K1482" t="inlineStr">
        <is>
          <t>20.0</t>
        </is>
      </c>
      <c r="L1482" t="n">
        <v>5.31</v>
      </c>
      <c r="M1482" s="1" t="inlineStr">
        <is>
          <t>-73.45%</t>
        </is>
      </c>
      <c r="N1482" t="n">
        <v>4.1</v>
      </c>
      <c r="O1482" t="n">
        <v>665</v>
      </c>
      <c r="Q1482" t="inlineStr">
        <is>
          <t>InStock</t>
        </is>
      </c>
      <c r="R1482" t="inlineStr">
        <is>
          <t>undefined</t>
        </is>
      </c>
      <c r="S1482" t="inlineStr">
        <is>
          <t>7589381963961</t>
        </is>
      </c>
    </row>
    <row r="1483" ht="75" customHeight="1">
      <c r="A1483" s="2">
        <f>HYPERLINK("https://camerareadycosmetics.com/products/jouer-tinted-hydrating-lip-oil", "https://camerareadycosmetics.com/products/jouer-tinted-hydrating-lip-oil")</f>
        <v/>
      </c>
      <c r="B1483" s="2">
        <f>HYPERLINK("https://camerareadycosmetics.com/products/jouer-tinted-hydrating-lip-oil", "https://camerareadycosmetics.com/products/jouer-tinted-hydrating-lip-oil")</f>
        <v/>
      </c>
      <c r="C1483" t="inlineStr">
        <is>
          <t>Tinted Hydrating Lip Oil</t>
        </is>
      </c>
      <c r="D1483" t="inlineStr">
        <is>
          <t>ChapStick Total Hydration Vitamin Enriched Blushed Bronze Tinted Lip Oil Tube, Lip Care - 0.24 Oz</t>
        </is>
      </c>
      <c r="E1483" s="2">
        <f>HYPERLINK("https://www.amazon.com/ChapStick-Hydration-Vitamin-Enriched-Contains/dp/B07D6RD6JQ/ref=sr_1_5?keywords=Tinted+Hydrating+Lip+Oil&amp;qid=1695565806&amp;rdc=1&amp;sr=8-5", "https://www.amazon.com/ChapStick-Hydration-Vitamin-Enriched-Contains/dp/B07D6RD6JQ/ref=sr_1_5?keywords=Tinted+Hydrating+Lip+Oil&amp;qid=1695565806&amp;rdc=1&amp;sr=8-5")</f>
        <v/>
      </c>
      <c r="F1483" t="inlineStr">
        <is>
          <t>B07D6RD6JQ</t>
        </is>
      </c>
      <c r="G1483">
        <f>_xlfn.IMAGE("https://camerareadycosmetics.com/cdn/shop/files/THLO-Belle_4_50x.jpg?v=1686017910")</f>
        <v/>
      </c>
      <c r="H1483">
        <f>_xlfn.IMAGE("https://m.media-amazon.com/images/I/71yQQ2E35ZL._AC_UL320_.jpg")</f>
        <v/>
      </c>
      <c r="K1483" t="inlineStr">
        <is>
          <t>20.0</t>
        </is>
      </c>
      <c r="L1483" t="n">
        <v>5.25</v>
      </c>
      <c r="M1483" s="1" t="inlineStr">
        <is>
          <t>-73.75%</t>
        </is>
      </c>
      <c r="N1483" t="n">
        <v>4.4</v>
      </c>
      <c r="O1483" t="n">
        <v>810</v>
      </c>
      <c r="Q1483" t="inlineStr">
        <is>
          <t>InStock</t>
        </is>
      </c>
      <c r="R1483" t="inlineStr">
        <is>
          <t>undefined</t>
        </is>
      </c>
      <c r="S1483" t="inlineStr">
        <is>
          <t>7589381963961</t>
        </is>
      </c>
    </row>
    <row r="1484" ht="75" customHeight="1">
      <c r="A1484" s="2">
        <f>HYPERLINK("https://camerareadycosmetics.com/products/jouer-tinted-hydrating-lip-oil", "https://camerareadycosmetics.com/products/jouer-tinted-hydrating-lip-oil")</f>
        <v/>
      </c>
      <c r="B1484" s="2">
        <f>HYPERLINK("https://camerareadycosmetics.com/products/jouer-tinted-hydrating-lip-oil", "https://camerareadycosmetics.com/products/jouer-tinted-hydrating-lip-oil")</f>
        <v/>
      </c>
      <c r="C1484" t="inlineStr">
        <is>
          <t>Tinted Hydrating Lip Oil</t>
        </is>
      </c>
      <c r="D1484" t="inlineStr">
        <is>
          <t>Hydrating Lip Glow Oil, Moisturizing Lip Glow Oil, Nourishing Glossy Transparent Lip Oil, Plumping Lip Oil, Lip Balm, Non-sticky Tinted Toot Lip Balm for Lip Care</t>
        </is>
      </c>
      <c r="E1484" s="2">
        <f>HYPERLINK("https://www.amazon.com/Hydrating-Moisturizing-Nourishing-Transparent-Non-sticky/dp/B0C36MM8CD/ref=sr_1_9?keywords=Tinted+Hydrating+Lip+Oil&amp;qid=1695565806&amp;sr=8-9", "https://www.amazon.com/Hydrating-Moisturizing-Nourishing-Transparent-Non-sticky/dp/B0C36MM8CD/ref=sr_1_9?keywords=Tinted+Hydrating+Lip+Oil&amp;qid=1695565806&amp;sr=8-9")</f>
        <v/>
      </c>
      <c r="F1484" t="inlineStr">
        <is>
          <t>B0C36MM8CD</t>
        </is>
      </c>
      <c r="G1484">
        <f>_xlfn.IMAGE("https://camerareadycosmetics.com/cdn/shop/files/THLO-Belle_4_50x.jpg?v=1686017910")</f>
        <v/>
      </c>
      <c r="H1484">
        <f>_xlfn.IMAGE("https://m.media-amazon.com/images/I/51c209F03ZL._AC_UL320_.jpg")</f>
        <v/>
      </c>
      <c r="K1484" t="inlineStr">
        <is>
          <t>20.0</t>
        </is>
      </c>
      <c r="L1484" t="n">
        <v>4.99</v>
      </c>
      <c r="M1484" s="1" t="inlineStr">
        <is>
          <t>-75.05%</t>
        </is>
      </c>
      <c r="N1484" t="n">
        <v>4.2</v>
      </c>
      <c r="O1484" t="n">
        <v>426</v>
      </c>
      <c r="Q1484" t="inlineStr">
        <is>
          <t>InStock</t>
        </is>
      </c>
      <c r="R1484" t="inlineStr">
        <is>
          <t>undefined</t>
        </is>
      </c>
      <c r="S1484" t="inlineStr">
        <is>
          <t>7589381963961</t>
        </is>
      </c>
    </row>
    <row r="1485" ht="75" customHeight="1">
      <c r="A1485" s="2">
        <f>HYPERLINK("https://camerareadycosmetics.com/products/jouer-tinted-hydrating-lip-oil", "https://camerareadycosmetics.com/products/jouer-tinted-hydrating-lip-oil")</f>
        <v/>
      </c>
      <c r="B1485" s="2">
        <f>HYPERLINK("https://camerareadycosmetics.com/products/jouer-tinted-hydrating-lip-oil", "https://camerareadycosmetics.com/products/jouer-tinted-hydrating-lip-oil")</f>
        <v/>
      </c>
      <c r="C1485" t="inlineStr">
        <is>
          <t>Tinted Hydrating Lip Oil</t>
        </is>
      </c>
      <c r="D1485" t="inlineStr">
        <is>
          <t>Hydrating Lip Glow Oil, Moisturizing Lip Oil Gloss, Transparent Tinted Lip Balm, Transparent Toot Lip Oil, Plumping Lip Gloss, Long Lasting Nourishing Non-sticky (Rosewood)</t>
        </is>
      </c>
      <c r="E1485" s="2">
        <f>HYPERLINK("https://www.amazon.com/Hydrating-Moisturizing-Transparent-Nourishing-Non-sticky/dp/B0C3B5YHDK/ref=sr_1_2?keywords=Tinted+Hydrating+Lip+Oil&amp;qid=1695565806&amp;sr=8-2", "https://www.amazon.com/Hydrating-Moisturizing-Transparent-Nourishing-Non-sticky/dp/B0C3B5YHDK/ref=sr_1_2?keywords=Tinted+Hydrating+Lip+Oil&amp;qid=1695565806&amp;sr=8-2")</f>
        <v/>
      </c>
      <c r="F1485" t="inlineStr">
        <is>
          <t>B0C3B5YHDK</t>
        </is>
      </c>
      <c r="G1485">
        <f>_xlfn.IMAGE("https://camerareadycosmetics.com/cdn/shop/files/THLO-Belle_4_50x.jpg?v=1686017910")</f>
        <v/>
      </c>
      <c r="H1485">
        <f>_xlfn.IMAGE("https://m.media-amazon.com/images/I/51Bc7lKZ9IL._AC_UL320_.jpg")</f>
        <v/>
      </c>
      <c r="K1485" t="inlineStr">
        <is>
          <t>20.0</t>
        </is>
      </c>
      <c r="L1485" t="n">
        <v>4.99</v>
      </c>
      <c r="M1485" s="1" t="inlineStr">
        <is>
          <t>-75.05%</t>
        </is>
      </c>
      <c r="N1485" t="n">
        <v>4.2</v>
      </c>
      <c r="O1485" t="n">
        <v>506</v>
      </c>
      <c r="Q1485" t="inlineStr">
        <is>
          <t>InStock</t>
        </is>
      </c>
      <c r="R1485" t="inlineStr">
        <is>
          <t>undefined</t>
        </is>
      </c>
      <c r="S1485" t="inlineStr">
        <is>
          <t>7589381963961</t>
        </is>
      </c>
    </row>
    <row r="1486" ht="75" customHeight="1">
      <c r="A1486" s="2">
        <f>HYPERLINK("https://camerareadycosmetics.com/products/jouer-tinted-hydrating-lip-oil", "https://camerareadycosmetics.com/products/jouer-tinted-hydrating-lip-oil")</f>
        <v/>
      </c>
      <c r="B1486" s="2">
        <f>HYPERLINK("https://camerareadycosmetics.com/products/jouer-tinted-hydrating-lip-oil", "https://camerareadycosmetics.com/products/jouer-tinted-hydrating-lip-oil")</f>
        <v/>
      </c>
      <c r="C1486" t="inlineStr">
        <is>
          <t>Tinted Hydrating Lip Oil</t>
        </is>
      </c>
      <c r="D1486" t="inlineStr">
        <is>
          <t>2Pack Big Brush Head Hydrating Lip Glow Oil Plumping Lip Tint, Hydrating Lip Gloss Tinted Lip Balm Transparent Lip Care, Long Lasting Nourishing Non-sticky Fresh Texture (Strawberry + Cherry)</t>
        </is>
      </c>
      <c r="E1486" s="2">
        <f>HYPERLINK("https://www.amazon.com/Hydrating-Transparent-Nourishing-Non-sticky-Strawberry/dp/B0C5SJQ4LR/ref=sr_1_7?keywords=Tinted+Hydrating+Lip+Oil&amp;qid=1695565806&amp;sr=8-7", "https://www.amazon.com/Hydrating-Transparent-Nourishing-Non-sticky-Strawberry/dp/B0C5SJQ4LR/ref=sr_1_7?keywords=Tinted+Hydrating+Lip+Oil&amp;qid=1695565806&amp;sr=8-7")</f>
        <v/>
      </c>
      <c r="F1486" t="inlineStr">
        <is>
          <t>B0C5SJQ4LR</t>
        </is>
      </c>
      <c r="G1486">
        <f>_xlfn.IMAGE("https://camerareadycosmetics.com/cdn/shop/files/THLO-Belle_4_50x.jpg?v=1686017910")</f>
        <v/>
      </c>
      <c r="H1486">
        <f>_xlfn.IMAGE("https://m.media-amazon.com/images/I/61T30KwqGjL._AC_UL320_.jpg")</f>
        <v/>
      </c>
      <c r="K1486" t="inlineStr">
        <is>
          <t>20.0</t>
        </is>
      </c>
      <c r="L1486" t="n">
        <v>9.99</v>
      </c>
      <c r="M1486" s="1" t="inlineStr">
        <is>
          <t>-50.05%</t>
        </is>
      </c>
      <c r="N1486" t="n">
        <v>4.3</v>
      </c>
      <c r="O1486" t="n">
        <v>657</v>
      </c>
      <c r="Q1486" t="inlineStr">
        <is>
          <t>InStock</t>
        </is>
      </c>
      <c r="R1486" t="inlineStr">
        <is>
          <t>undefined</t>
        </is>
      </c>
      <c r="S1486" t="inlineStr">
        <is>
          <t>7589381963961</t>
        </is>
      </c>
    </row>
    <row r="1487" ht="75" customHeight="1">
      <c r="A1487" s="2">
        <f>HYPERLINK("https://camerareadycosmetics.com/products/jouer-tinted-hydrating-lip-oil", "https://camerareadycosmetics.com/products/jouer-tinted-hydrating-lip-oil")</f>
        <v/>
      </c>
      <c r="B1487" s="2">
        <f>HYPERLINK("https://camerareadycosmetics.com/products/jouer-tinted-hydrating-lip-oil", "https://camerareadycosmetics.com/products/jouer-tinted-hydrating-lip-oil")</f>
        <v/>
      </c>
      <c r="C1487" t="inlineStr">
        <is>
          <t>Tinted Hydrating Lip Oil</t>
        </is>
      </c>
      <c r="D1487" t="inlineStr">
        <is>
          <t>NYX PROFESSIONAL MAKEUP Fat Oil Lip Drip, Moisturizing, Shiny and Vegan Tinted Lip Gloss - Follow Back (Shimmering Warm Nude)</t>
        </is>
      </c>
      <c r="E1487" s="2">
        <f>HYPERLINK("https://www.amazon.com/NYX-PROFESSIONAL-MAKEUP-Moisturizing-Tinted/dp/B0BL8J88L1/ref=sr_1_4?keywords=Tinted+Hydrating+Lip+Oil&amp;qid=1695565806&amp;sr=8-4", "https://www.amazon.com/NYX-PROFESSIONAL-MAKEUP-Moisturizing-Tinted/dp/B0BL8J88L1/ref=sr_1_4?keywords=Tinted+Hydrating+Lip+Oil&amp;qid=1695565806&amp;sr=8-4")</f>
        <v/>
      </c>
      <c r="F1487" t="inlineStr">
        <is>
          <t>B0BL8J88L1</t>
        </is>
      </c>
      <c r="G1487">
        <f>_xlfn.IMAGE("https://camerareadycosmetics.com/cdn/shop/files/THLO-Belle_4_50x.jpg?v=1686017910")</f>
        <v/>
      </c>
      <c r="H1487">
        <f>_xlfn.IMAGE("https://m.media-amazon.com/images/I/71xY740LwFL._AC_UL320_.jpg")</f>
        <v/>
      </c>
      <c r="K1487" t="inlineStr">
        <is>
          <t>20.0</t>
        </is>
      </c>
      <c r="L1487" t="n">
        <v>8.970000000000001</v>
      </c>
      <c r="M1487" s="1" t="inlineStr">
        <is>
          <t>-55.15%</t>
        </is>
      </c>
      <c r="N1487" t="n">
        <v>4.5</v>
      </c>
      <c r="O1487" t="n">
        <v>7141</v>
      </c>
      <c r="Q1487" t="inlineStr">
        <is>
          <t>InStock</t>
        </is>
      </c>
      <c r="R1487" t="inlineStr">
        <is>
          <t>undefined</t>
        </is>
      </c>
      <c r="S1487" t="inlineStr">
        <is>
          <t>7589381963961</t>
        </is>
      </c>
    </row>
    <row r="1488" ht="75" customHeight="1">
      <c r="A1488" s="2">
        <f>HYPERLINK("https://camerareadycosmetics.com/products/jouer-tinted-hydrating-lip-oil", "https://camerareadycosmetics.com/products/jouer-tinted-hydrating-lip-oil")</f>
        <v/>
      </c>
      <c r="B1488" s="2">
        <f>HYPERLINK("https://camerareadycosmetics.com/products/jouer-tinted-hydrating-lip-oil", "https://camerareadycosmetics.com/products/jouer-tinted-hydrating-lip-oil")</f>
        <v/>
      </c>
      <c r="C1488" t="inlineStr">
        <is>
          <t>Tinted Hydrating Lip Oil</t>
        </is>
      </c>
      <c r="D1488" t="inlineStr">
        <is>
          <t>Honest Beauty Tinted Lip Balm | Antioxidant-rich Acai Extracts + Avocado Oil | EWG Certified, Vegan, Cruelty Free | Blood Orange</t>
        </is>
      </c>
      <c r="E1488" s="2">
        <f>HYPERLINK("https://www.amazon.com/Honest-Beauty-Moisture-Paraben-Silicone/dp/B07NTPQRKX/ref=sr_1_3?keywords=Tinted+Hydrating+Lip+Oil&amp;qid=1695565806&amp;rdc=1&amp;sr=8-3", "https://www.amazon.com/Honest-Beauty-Moisture-Paraben-Silicone/dp/B07NTPQRKX/ref=sr_1_3?keywords=Tinted+Hydrating+Lip+Oil&amp;qid=1695565806&amp;rdc=1&amp;sr=8-3")</f>
        <v/>
      </c>
      <c r="F1488" t="inlineStr">
        <is>
          <t>B07NTPQRKX</t>
        </is>
      </c>
      <c r="G1488">
        <f>_xlfn.IMAGE("https://camerareadycosmetics.com/cdn/shop/files/THLO-Belle_4_50x.jpg?v=1686017910")</f>
        <v/>
      </c>
      <c r="H1488">
        <f>_xlfn.IMAGE("https://m.media-amazon.com/images/I/41BlfLWuZYL._AC_UL320_.jpg")</f>
        <v/>
      </c>
      <c r="K1488" t="inlineStr">
        <is>
          <t>20.0</t>
        </is>
      </c>
      <c r="L1488" t="n">
        <v>7</v>
      </c>
      <c r="M1488" s="1" t="inlineStr">
        <is>
          <t>-65.00%</t>
        </is>
      </c>
      <c r="N1488" t="n">
        <v>4.3</v>
      </c>
      <c r="O1488" t="n">
        <v>17787</v>
      </c>
      <c r="Q1488" t="inlineStr">
        <is>
          <t>InStock</t>
        </is>
      </c>
      <c r="R1488" t="inlineStr">
        <is>
          <t>undefined</t>
        </is>
      </c>
      <c r="S1488" t="inlineStr">
        <is>
          <t>7589381963961</t>
        </is>
      </c>
    </row>
    <row r="1489" ht="75" customHeight="1">
      <c r="A1489" s="2">
        <f>HYPERLINK("https://camerareadycosmetics.com/products/jouer-tinted-hydrating-lip-oil", "https://camerareadycosmetics.com/products/jouer-tinted-hydrating-lip-oil")</f>
        <v/>
      </c>
      <c r="B1489" s="2">
        <f>HYPERLINK("https://camerareadycosmetics.com/products/jouer-tinted-hydrating-lip-oil", "https://camerareadycosmetics.com/products/jouer-tinted-hydrating-lip-oil")</f>
        <v/>
      </c>
      <c r="C1489" t="inlineStr">
        <is>
          <t>Tinted Hydrating Lip Oil</t>
        </is>
      </c>
      <c r="D1489" t="inlineStr">
        <is>
          <t>KYDA Hydrating Lip Glow Oil, Moisturizing Lip Oil Glossy Transparent Plumping Lip Gloss, Tinted Lip Oil for Lip Care and Dry Lips, by Ownest Beauty-Rosewood</t>
        </is>
      </c>
      <c r="E1489" s="2">
        <f>HYPERLINK("https://www.amazon.com/KYDA-Hydrating-Moisturizing-Transparent-Beauty-Rosewood/dp/B0BKZ7Q9NW/ref=sr_1_1?keywords=Tinted+Hydrating+Lip+Oil&amp;qid=1695565806&amp;sr=8-1", "https://www.amazon.com/KYDA-Hydrating-Moisturizing-Transparent-Beauty-Rosewood/dp/B0BKZ7Q9NW/ref=sr_1_1?keywords=Tinted+Hydrating+Lip+Oil&amp;qid=1695565806&amp;sr=8-1")</f>
        <v/>
      </c>
      <c r="F1489" t="inlineStr">
        <is>
          <t>B0BKZ7Q9NW</t>
        </is>
      </c>
      <c r="G1489">
        <f>_xlfn.IMAGE("https://camerareadycosmetics.com/cdn/shop/files/THLO-Belle_4_50x.jpg?v=1686017910")</f>
        <v/>
      </c>
      <c r="H1489">
        <f>_xlfn.IMAGE("https://m.media-amazon.com/images/I/61WgyWdJ2rL._AC_UL320_.jpg")</f>
        <v/>
      </c>
      <c r="K1489" t="inlineStr">
        <is>
          <t>20.0</t>
        </is>
      </c>
      <c r="L1489" t="n">
        <v>6.88</v>
      </c>
      <c r="M1489" s="1" t="inlineStr">
        <is>
          <t>-65.60%</t>
        </is>
      </c>
      <c r="N1489" t="n">
        <v>4.3</v>
      </c>
      <c r="O1489" t="n">
        <v>1663</v>
      </c>
      <c r="Q1489" t="inlineStr">
        <is>
          <t>InStock</t>
        </is>
      </c>
      <c r="R1489" t="inlineStr">
        <is>
          <t>undefined</t>
        </is>
      </c>
      <c r="S1489" t="inlineStr">
        <is>
          <t>7589381963961</t>
        </is>
      </c>
    </row>
    <row r="1490" ht="75" customHeight="1">
      <c r="A1490" s="2">
        <f>HYPERLINK("https://camerareadycosmetics.com/products/jouer-tinted-hydrating-lip-oil", "https://camerareadycosmetics.com/products/jouer-tinted-hydrating-lip-oil")</f>
        <v/>
      </c>
      <c r="B1490" s="2">
        <f>HYPERLINK("https://camerareadycosmetics.com/products/jouer-tinted-hydrating-lip-oil", "https://camerareadycosmetics.com/products/jouer-tinted-hydrating-lip-oil")</f>
        <v/>
      </c>
      <c r="C1490" t="inlineStr">
        <is>
          <t>Tinted Hydrating Lip Oil</t>
        </is>
      </c>
      <c r="D1490" t="inlineStr">
        <is>
          <t>Hydrating Lip Glow Oil, Moisturizing Lip Gloss, Plumping Lip Oil, Non-Sticky Long Lasting Lip Oil Gloss, Transparent Lip Oil Tinted</t>
        </is>
      </c>
      <c r="E1490" s="2">
        <f>HYPERLINK("https://www.amazon.com/Hydrating-Moisturizing-Non-Sticky-Transparent-Moisturize/dp/B0BNXSV914/ref=sr_1_6?keywords=Tinted+Hydrating+Lip+Oil&amp;qid=1695565806&amp;sr=8-6", "https://www.amazon.com/Hydrating-Moisturizing-Non-Sticky-Transparent-Moisturize/dp/B0BNXSV914/ref=sr_1_6?keywords=Tinted+Hydrating+Lip+Oil&amp;qid=1695565806&amp;sr=8-6")</f>
        <v/>
      </c>
      <c r="F1490" t="inlineStr">
        <is>
          <t>B0BNXSV914</t>
        </is>
      </c>
      <c r="G1490">
        <f>_xlfn.IMAGE("https://camerareadycosmetics.com/cdn/shop/files/THLO-Belle_4_50x.jpg?v=1686017910")</f>
        <v/>
      </c>
      <c r="H1490">
        <f>_xlfn.IMAGE("https://m.media-amazon.com/images/I/61--BRXxbjL._AC_UL320_.jpg")</f>
        <v/>
      </c>
      <c r="K1490" t="inlineStr">
        <is>
          <t>20.0</t>
        </is>
      </c>
      <c r="L1490" t="n">
        <v>5.99</v>
      </c>
      <c r="M1490" s="1" t="inlineStr">
        <is>
          <t>-70.05%</t>
        </is>
      </c>
      <c r="N1490" t="n">
        <v>4.3</v>
      </c>
      <c r="O1490" t="n">
        <v>367</v>
      </c>
      <c r="Q1490" t="inlineStr">
        <is>
          <t>InStock</t>
        </is>
      </c>
      <c r="R1490" t="inlineStr">
        <is>
          <t>undefined</t>
        </is>
      </c>
      <c r="S1490" t="inlineStr">
        <is>
          <t>7589381963961</t>
        </is>
      </c>
    </row>
    <row r="1491" ht="75" customHeight="1">
      <c r="A1491" s="2">
        <f>HYPERLINK("https://camerareadycosmetics.com/products/jouer-tinted-hydrating-lip-oil", "https://camerareadycosmetics.com/products/jouer-tinted-hydrating-lip-oil")</f>
        <v/>
      </c>
      <c r="B1491" s="2">
        <f>HYPERLINK("https://camerareadycosmetics.com/products/jouer-tinted-hydrating-lip-oil", "https://camerareadycosmetics.com/products/jouer-tinted-hydrating-lip-oil")</f>
        <v/>
      </c>
      <c r="C1491" t="inlineStr">
        <is>
          <t>Tinted Hydrating Lip Oil</t>
        </is>
      </c>
      <c r="D1491" t="inlineStr">
        <is>
          <t>ZARICS Plumping Lip Oil, Hydrating Lip Gloss Tinted Lip Balm Lip Care Transparent Toot Lip Oil, Long Lasting Nourishing Lip Glow Oil Non-sticky Big Brush Glitter Primer Lip Tint (RASPBERRY)</t>
        </is>
      </c>
      <c r="E1491" s="2">
        <f>HYPERLINK("https://www.amazon.com/ZARICS-Hydrating-Transparent-Nourishing-Non-sticky/dp/B0BBRCPDM5/ref=sr_1_10?keywords=Tinted+Hydrating+Lip+Oil&amp;qid=1695565806&amp;sr=8-10", "https://www.amazon.com/ZARICS-Hydrating-Transparent-Nourishing-Non-sticky/dp/B0BBRCPDM5/ref=sr_1_10?keywords=Tinted+Hydrating+Lip+Oil&amp;qid=1695565806&amp;sr=8-10")</f>
        <v/>
      </c>
      <c r="F1491" t="inlineStr">
        <is>
          <t>B0BBRCPDM5</t>
        </is>
      </c>
      <c r="G1491">
        <f>_xlfn.IMAGE("https://camerareadycosmetics.com/cdn/shop/files/THLO-Belle_4_50x.jpg?v=1686017910")</f>
        <v/>
      </c>
      <c r="H1491">
        <f>_xlfn.IMAGE("https://m.media-amazon.com/images/I/51IIkDPfb5L._AC_UL320_.jpg")</f>
        <v/>
      </c>
      <c r="K1491" t="inlineStr">
        <is>
          <t>20.0</t>
        </is>
      </c>
      <c r="L1491" t="n">
        <v>5.98</v>
      </c>
      <c r="M1491" s="1" t="inlineStr">
        <is>
          <t>-70.10%</t>
        </is>
      </c>
      <c r="N1491" t="n">
        <v>4.1</v>
      </c>
      <c r="O1491" t="n">
        <v>1562</v>
      </c>
      <c r="Q1491" t="inlineStr">
        <is>
          <t>InStock</t>
        </is>
      </c>
      <c r="R1491" t="inlineStr">
        <is>
          <t>undefined</t>
        </is>
      </c>
      <c r="S1491" t="inlineStr">
        <is>
          <t>7589381963961</t>
        </is>
      </c>
    </row>
    <row r="1492" ht="75" customHeight="1">
      <c r="A1492" s="2">
        <f>HYPERLINK("https://camerareadycosmetics.com/products/jouer-tinted-hydrating-lip-oil", "https://camerareadycosmetics.com/products/jouer-tinted-hydrating-lip-oil")</f>
        <v/>
      </c>
      <c r="B1492" s="2">
        <f>HYPERLINK("https://camerareadycosmetics.com/products/jouer-tinted-hydrating-lip-oil", "https://camerareadycosmetics.com/products/jouer-tinted-hydrating-lip-oil")</f>
        <v/>
      </c>
      <c r="C1492" t="inlineStr">
        <is>
          <t>Tinted Hydrating Lip Oil</t>
        </is>
      </c>
      <c r="D1492" t="inlineStr">
        <is>
          <t>Lip Oil Hydrating Tinted Lip Balm, Plump Lip Gloss Lip Care Transparent Toot , Glass Lip Glow Oil Fresh Texture &amp; Non-sticky, Nourishing Repairing Lightening Lip Lines Lip Care Products (012#)</t>
        </is>
      </c>
      <c r="E1492" s="2">
        <f>HYPERLINK("https://www.amazon.com/Hydrating-Transparent-Non-sticky-Nourishing-Lightening/dp/B0BBLFQHXG/ref=sr_1_8?keywords=Tinted+Hydrating+Lip+Oil&amp;qid=1695565806&amp;sr=8-8", "https://www.amazon.com/Hydrating-Transparent-Non-sticky-Nourishing-Lightening/dp/B0BBLFQHXG/ref=sr_1_8?keywords=Tinted+Hydrating+Lip+Oil&amp;qid=1695565806&amp;sr=8-8")</f>
        <v/>
      </c>
      <c r="F1492" t="inlineStr">
        <is>
          <t>B0BBLFQHXG</t>
        </is>
      </c>
      <c r="G1492">
        <f>_xlfn.IMAGE("https://camerareadycosmetics.com/cdn/shop/files/THLO-Belle_4_50x.jpg?v=1686017910")</f>
        <v/>
      </c>
      <c r="H1492">
        <f>_xlfn.IMAGE("https://m.media-amazon.com/images/I/61fDfMy8aUL._AC_UL320_.jpg")</f>
        <v/>
      </c>
      <c r="K1492" t="inlineStr">
        <is>
          <t>20.0</t>
        </is>
      </c>
      <c r="L1492" t="n">
        <v>5.31</v>
      </c>
      <c r="M1492" s="1" t="inlineStr">
        <is>
          <t>-73.45%</t>
        </is>
      </c>
      <c r="N1492" t="n">
        <v>4.1</v>
      </c>
      <c r="O1492" t="n">
        <v>665</v>
      </c>
      <c r="Q1492" t="inlineStr">
        <is>
          <t>InStock</t>
        </is>
      </c>
      <c r="R1492" t="inlineStr">
        <is>
          <t>undefined</t>
        </is>
      </c>
      <c r="S1492" t="inlineStr">
        <is>
          <t>7589381963961</t>
        </is>
      </c>
    </row>
    <row r="1493" ht="75" customHeight="1">
      <c r="A1493" s="2">
        <f>HYPERLINK("https://camerareadycosmetics.com/products/jouer-tinted-hydrating-lip-oil", "https://camerareadycosmetics.com/products/jouer-tinted-hydrating-lip-oil")</f>
        <v/>
      </c>
      <c r="B1493" s="2">
        <f>HYPERLINK("https://camerareadycosmetics.com/products/jouer-tinted-hydrating-lip-oil", "https://camerareadycosmetics.com/products/jouer-tinted-hydrating-lip-oil")</f>
        <v/>
      </c>
      <c r="C1493" t="inlineStr">
        <is>
          <t>Tinted Hydrating Lip Oil</t>
        </is>
      </c>
      <c r="D1493" t="inlineStr">
        <is>
          <t>ChapStick Total Hydration Vitamin Enriched Blushed Bronze Tinted Lip Oil Tube, Lip Care - 0.24 Oz</t>
        </is>
      </c>
      <c r="E1493" s="2">
        <f>HYPERLINK("https://www.amazon.com/ChapStick-Hydration-Vitamin-Enriched-Contains/dp/B07D6RD6JQ/ref=sr_1_5?keywords=Tinted+Hydrating+Lip+Oil&amp;qid=1695565806&amp;rdc=1&amp;sr=8-5", "https://www.amazon.com/ChapStick-Hydration-Vitamin-Enriched-Contains/dp/B07D6RD6JQ/ref=sr_1_5?keywords=Tinted+Hydrating+Lip+Oil&amp;qid=1695565806&amp;rdc=1&amp;sr=8-5")</f>
        <v/>
      </c>
      <c r="F1493" t="inlineStr">
        <is>
          <t>B07D6RD6JQ</t>
        </is>
      </c>
      <c r="G1493">
        <f>_xlfn.IMAGE("https://camerareadycosmetics.com/cdn/shop/files/THLO-Belle_4_50x.jpg?v=1686017910")</f>
        <v/>
      </c>
      <c r="H1493">
        <f>_xlfn.IMAGE("https://m.media-amazon.com/images/I/71yQQ2E35ZL._AC_UL320_.jpg")</f>
        <v/>
      </c>
      <c r="K1493" t="inlineStr">
        <is>
          <t>20.0</t>
        </is>
      </c>
      <c r="L1493" t="n">
        <v>5.25</v>
      </c>
      <c r="M1493" s="1" t="inlineStr">
        <is>
          <t>-73.75%</t>
        </is>
      </c>
      <c r="N1493" t="n">
        <v>4.4</v>
      </c>
      <c r="O1493" t="n">
        <v>810</v>
      </c>
      <c r="Q1493" t="inlineStr">
        <is>
          <t>InStock</t>
        </is>
      </c>
      <c r="R1493" t="inlineStr">
        <is>
          <t>undefined</t>
        </is>
      </c>
      <c r="S1493" t="inlineStr">
        <is>
          <t>7589381963961</t>
        </is>
      </c>
    </row>
    <row r="1494" ht="75" customHeight="1">
      <c r="A1494" s="2">
        <f>HYPERLINK("https://camerareadycosmetics.com/products/jouer-tinted-hydrating-lip-oil", "https://camerareadycosmetics.com/products/jouer-tinted-hydrating-lip-oil")</f>
        <v/>
      </c>
      <c r="B1494" s="2">
        <f>HYPERLINK("https://camerareadycosmetics.com/products/jouer-tinted-hydrating-lip-oil", "https://camerareadycosmetics.com/products/jouer-tinted-hydrating-lip-oil")</f>
        <v/>
      </c>
      <c r="C1494" t="inlineStr">
        <is>
          <t>Tinted Hydrating Lip Oil</t>
        </is>
      </c>
      <c r="D1494" t="inlineStr">
        <is>
          <t>Hydrating Lip Glow Oil, Moisturizing Lip Glow Oil, Nourishing Glossy Transparent Lip Oil, Plumping Lip Oil, Lip Balm, Non-sticky Tinted Toot Lip Balm for Lip Care</t>
        </is>
      </c>
      <c r="E1494" s="2">
        <f>HYPERLINK("https://www.amazon.com/Hydrating-Moisturizing-Nourishing-Transparent-Non-sticky/dp/B0C36MM8CD/ref=sr_1_9?keywords=Tinted+Hydrating+Lip+Oil&amp;qid=1695565806&amp;sr=8-9", "https://www.amazon.com/Hydrating-Moisturizing-Nourishing-Transparent-Non-sticky/dp/B0C36MM8CD/ref=sr_1_9?keywords=Tinted+Hydrating+Lip+Oil&amp;qid=1695565806&amp;sr=8-9")</f>
        <v/>
      </c>
      <c r="F1494" t="inlineStr">
        <is>
          <t>B0C36MM8CD</t>
        </is>
      </c>
      <c r="G1494">
        <f>_xlfn.IMAGE("https://camerareadycosmetics.com/cdn/shop/files/THLO-Belle_4_50x.jpg?v=1686017910")</f>
        <v/>
      </c>
      <c r="H1494">
        <f>_xlfn.IMAGE("https://m.media-amazon.com/images/I/51c209F03ZL._AC_UL320_.jpg")</f>
        <v/>
      </c>
      <c r="K1494" t="inlineStr">
        <is>
          <t>20.0</t>
        </is>
      </c>
      <c r="L1494" t="n">
        <v>4.99</v>
      </c>
      <c r="M1494" s="1" t="inlineStr">
        <is>
          <t>-75.05%</t>
        </is>
      </c>
      <c r="N1494" t="n">
        <v>4.2</v>
      </c>
      <c r="O1494" t="n">
        <v>426</v>
      </c>
      <c r="Q1494" t="inlineStr">
        <is>
          <t>InStock</t>
        </is>
      </c>
      <c r="R1494" t="inlineStr">
        <is>
          <t>undefined</t>
        </is>
      </c>
      <c r="S1494" t="inlineStr">
        <is>
          <t>7589381963961</t>
        </is>
      </c>
    </row>
    <row r="1495" ht="75" customHeight="1">
      <c r="A1495" s="2">
        <f>HYPERLINK("https://camerareadycosmetics.com/products/jouer-tinted-hydrating-lip-oil", "https://camerareadycosmetics.com/products/jouer-tinted-hydrating-lip-oil")</f>
        <v/>
      </c>
      <c r="B1495" s="2">
        <f>HYPERLINK("https://camerareadycosmetics.com/products/jouer-tinted-hydrating-lip-oil", "https://camerareadycosmetics.com/products/jouer-tinted-hydrating-lip-oil")</f>
        <v/>
      </c>
      <c r="C1495" t="inlineStr">
        <is>
          <t>Tinted Hydrating Lip Oil</t>
        </is>
      </c>
      <c r="D1495" t="inlineStr">
        <is>
          <t>Hydrating Lip Glow Oil, Moisturizing Lip Oil Gloss, Transparent Tinted Lip Balm, Transparent Toot Lip Oil, Plumping Lip Gloss, Long Lasting Nourishing Non-sticky (Rosewood)</t>
        </is>
      </c>
      <c r="E1495" s="2">
        <f>HYPERLINK("https://www.amazon.com/Hydrating-Moisturizing-Transparent-Nourishing-Non-sticky/dp/B0C3B5YHDK/ref=sr_1_2?keywords=Tinted+Hydrating+Lip+Oil&amp;qid=1695565806&amp;sr=8-2", "https://www.amazon.com/Hydrating-Moisturizing-Transparent-Nourishing-Non-sticky/dp/B0C3B5YHDK/ref=sr_1_2?keywords=Tinted+Hydrating+Lip+Oil&amp;qid=1695565806&amp;sr=8-2")</f>
        <v/>
      </c>
      <c r="F1495" t="inlineStr">
        <is>
          <t>B0C3B5YHDK</t>
        </is>
      </c>
      <c r="G1495">
        <f>_xlfn.IMAGE("https://camerareadycosmetics.com/cdn/shop/files/THLO-Belle_4_50x.jpg?v=1686017910")</f>
        <v/>
      </c>
      <c r="H1495">
        <f>_xlfn.IMAGE("https://m.media-amazon.com/images/I/51Bc7lKZ9IL._AC_UL320_.jpg")</f>
        <v/>
      </c>
      <c r="K1495" t="inlineStr">
        <is>
          <t>20.0</t>
        </is>
      </c>
      <c r="L1495" t="n">
        <v>4.99</v>
      </c>
      <c r="M1495" s="1" t="inlineStr">
        <is>
          <t>-75.05%</t>
        </is>
      </c>
      <c r="N1495" t="n">
        <v>4.2</v>
      </c>
      <c r="O1495" t="n">
        <v>506</v>
      </c>
      <c r="Q1495" t="inlineStr">
        <is>
          <t>InStock</t>
        </is>
      </c>
      <c r="R1495" t="inlineStr">
        <is>
          <t>undefined</t>
        </is>
      </c>
      <c r="S1495" t="inlineStr">
        <is>
          <t>7589381963961</t>
        </is>
      </c>
    </row>
    <row r="1496" ht="75" customHeight="1">
      <c r="A1496" s="2">
        <f>HYPERLINK("https://camerareadycosmetics.com/products/judith-august-cosmetics-killer-cover-concealer", "https://camerareadycosmetics.com/products/judith-august-cosmetics-killer-cover-concealer")</f>
        <v/>
      </c>
      <c r="B1496" s="2">
        <f>HYPERLINK("https://camerareadycosmetics.com/products/judith-august-cosmetics-killer-cover-concealer", "https://camerareadycosmetics.com/products/judith-august-cosmetics-killer-cover-concealer")</f>
        <v/>
      </c>
      <c r="C1496" t="inlineStr">
        <is>
          <t>Killer Cover Concealer</t>
        </is>
      </c>
      <c r="D1496" t="inlineStr">
        <is>
          <t>Killer Cover - Full Coverage Concealer</t>
        </is>
      </c>
      <c r="E1496" s="2">
        <f>HYPERLINK("https://www.amazon.com/Judith-Augusts-Killer-Cover-Concealer/dp/B01JVA8FIS/ref=sr_1_5?keywords=Killer+Cover+Concealer&amp;qid=1695565711&amp;sr=8-5", "https://www.amazon.com/Judith-Augusts-Killer-Cover-Concealer/dp/B01JVA8FIS/ref=sr_1_5?keywords=Killer+Cover+Concealer&amp;qid=1695565711&amp;sr=8-5")</f>
        <v/>
      </c>
      <c r="F1496" t="inlineStr">
        <is>
          <t>B01JVA8FIS</t>
        </is>
      </c>
      <c r="G1496">
        <f>_xlfn.IMAGE("https://camerareadycosmetics.com/cdn/shop/products/Judith-August-Cosmetics-Killer-Cover-Concealer_50x.jpg?v=1541877590")</f>
        <v/>
      </c>
      <c r="H1496">
        <f>_xlfn.IMAGE("https://m.media-amazon.com/images/I/71su9jY1bZL._AC_UL320_.jpg")</f>
        <v/>
      </c>
      <c r="K1496" t="inlineStr">
        <is>
          <t>36.0</t>
        </is>
      </c>
      <c r="L1496" t="n">
        <v>36</v>
      </c>
      <c r="M1496" s="1" t="inlineStr">
        <is>
          <t>0.00%</t>
        </is>
      </c>
      <c r="N1496" t="n">
        <v>3.8</v>
      </c>
      <c r="O1496" t="n">
        <v>16</v>
      </c>
      <c r="Q1496" t="inlineStr">
        <is>
          <t>InStock</t>
        </is>
      </c>
      <c r="R1496" t="inlineStr">
        <is>
          <t>undefined</t>
        </is>
      </c>
      <c r="S1496" t="inlineStr">
        <is>
          <t>1901042532463</t>
        </is>
      </c>
    </row>
    <row r="1497" ht="75" customHeight="1">
      <c r="A1497" s="2">
        <f>HYPERLINK("https://camerareadycosmetics.com/products/judith-august-cosmetics-killer-cover-concealer", "https://camerareadycosmetics.com/products/judith-august-cosmetics-killer-cover-concealer")</f>
        <v/>
      </c>
      <c r="B1497" s="2">
        <f>HYPERLINK("https://camerareadycosmetics.com/products/judith-august-cosmetics-killer-cover-concealer", "https://camerareadycosmetics.com/products/judith-august-cosmetics-killer-cover-concealer")</f>
        <v/>
      </c>
      <c r="C1497" t="inlineStr">
        <is>
          <t>Killer Cover Concealer</t>
        </is>
      </c>
      <c r="D1497" t="inlineStr">
        <is>
          <t>Killer Cover - Full Coverage Concealer (Classic Palette) Cover Bruises, Tattoos, Age Spots, Vitiligo, Birthmarks &amp; More</t>
        </is>
      </c>
      <c r="E1497" s="2">
        <f>HYPERLINK("https://www.amazon.com/Judith-Augusts-Killer-Cover-Concealer/dp/B003O4FG0S/ref=sr_1_2?keywords=Killer+Cover+Concealer&amp;qid=1695565711&amp;sr=8-2", "https://www.amazon.com/Judith-Augusts-Killer-Cover-Concealer/dp/B003O4FG0S/ref=sr_1_2?keywords=Killer+Cover+Concealer&amp;qid=1695565711&amp;sr=8-2")</f>
        <v/>
      </c>
      <c r="F1497" t="inlineStr">
        <is>
          <t>B003O4FG0S</t>
        </is>
      </c>
      <c r="G1497">
        <f>_xlfn.IMAGE("https://camerareadycosmetics.com/cdn/shop/products/Judith-August-Cosmetics-Killer-Cover-Concealer_50x.jpg?v=1541877590")</f>
        <v/>
      </c>
      <c r="H1497">
        <f>_xlfn.IMAGE("https://m.media-amazon.com/images/I/71LhTGf88uL._AC_UL320_.jpg")</f>
        <v/>
      </c>
      <c r="K1497" t="inlineStr">
        <is>
          <t>36.0</t>
        </is>
      </c>
      <c r="L1497" t="n">
        <v>34</v>
      </c>
      <c r="M1497" s="1" t="inlineStr">
        <is>
          <t>-5.56%</t>
        </is>
      </c>
      <c r="N1497" t="n">
        <v>4</v>
      </c>
      <c r="O1497" t="n">
        <v>339</v>
      </c>
      <c r="Q1497" t="inlineStr">
        <is>
          <t>InStock</t>
        </is>
      </c>
      <c r="R1497" t="inlineStr">
        <is>
          <t>undefined</t>
        </is>
      </c>
      <c r="S1497" t="inlineStr">
        <is>
          <t>1901042532463</t>
        </is>
      </c>
    </row>
    <row r="1498" ht="75" customHeight="1">
      <c r="A1498" s="2">
        <f>HYPERLINK("https://camerareadycosmetics.com/products/judith-august-cosmetics-killer-cover-concealer", "https://camerareadycosmetics.com/products/judith-august-cosmetics-killer-cover-concealer")</f>
        <v/>
      </c>
      <c r="B1498" s="2">
        <f>HYPERLINK("https://camerareadycosmetics.com/products/judith-august-cosmetics-killer-cover-concealer", "https://camerareadycosmetics.com/products/judith-august-cosmetics-killer-cover-concealer")</f>
        <v/>
      </c>
      <c r="C1498" t="inlineStr">
        <is>
          <t>Killer Cover Concealer</t>
        </is>
      </c>
      <c r="D1498" t="inlineStr">
        <is>
          <t>Killer Cover - Full Coverage Concealer (Light/Medium Palette) Cover Bruises, Tattoos, Age Spots, Vitiligo &amp; More</t>
        </is>
      </c>
      <c r="E1498" s="2">
        <f>HYPERLINK("https://www.amazon.com/Killer-Cover-Coverage-Concealer-Vitiligo/dp/B08BDR54VD/ref=sr_1_4?keywords=Killer+Cover+Concealer&amp;qid=1695565711&amp;sr=8-4", "https://www.amazon.com/Killer-Cover-Coverage-Concealer-Vitiligo/dp/B08BDR54VD/ref=sr_1_4?keywords=Killer+Cover+Concealer&amp;qid=1695565711&amp;sr=8-4")</f>
        <v/>
      </c>
      <c r="F1498" t="inlineStr">
        <is>
          <t>B08BDR54VD</t>
        </is>
      </c>
      <c r="G1498">
        <f>_xlfn.IMAGE("https://camerareadycosmetics.com/cdn/shop/products/Judith-August-Cosmetics-Killer-Cover-Concealer_50x.jpg?v=1541877590")</f>
        <v/>
      </c>
      <c r="H1498">
        <f>_xlfn.IMAGE("https://m.media-amazon.com/images/I/312pNqG6GjL._AC_UL320_.jpg")</f>
        <v/>
      </c>
      <c r="K1498" t="inlineStr">
        <is>
          <t>36.0</t>
        </is>
      </c>
      <c r="L1498" t="n">
        <v>34</v>
      </c>
      <c r="M1498" s="1" t="inlineStr">
        <is>
          <t>-5.56%</t>
        </is>
      </c>
      <c r="N1498" t="n">
        <v>3.9</v>
      </c>
      <c r="O1498" t="n">
        <v>37</v>
      </c>
      <c r="Q1498" t="inlineStr">
        <is>
          <t>InStock</t>
        </is>
      </c>
      <c r="R1498" t="inlineStr">
        <is>
          <t>undefined</t>
        </is>
      </c>
      <c r="S1498" t="inlineStr">
        <is>
          <t>1901042532463</t>
        </is>
      </c>
    </row>
    <row r="1499" ht="75" customHeight="1">
      <c r="A1499" s="2">
        <f>HYPERLINK("https://camerareadycosmetics.com/products/judith-august-cosmetics-killer-cover-concealer", "https://camerareadycosmetics.com/products/judith-august-cosmetics-killer-cover-concealer")</f>
        <v/>
      </c>
      <c r="B1499" s="2">
        <f>HYPERLINK("https://camerareadycosmetics.com/products/judith-august-cosmetics-killer-cover-concealer", "https://camerareadycosmetics.com/products/judith-august-cosmetics-killer-cover-concealer")</f>
        <v/>
      </c>
      <c r="C1499" t="inlineStr">
        <is>
          <t>Killer Cover Concealer</t>
        </is>
      </c>
      <c r="D1499" t="inlineStr">
        <is>
          <t>Killer Cover Concealer - Classic - Cover Bruises, Tattoos, Age Spots, Vitiligo &amp; More</t>
        </is>
      </c>
      <c r="E1499" s="2">
        <f>HYPERLINK("https://www.amazon.com/Killer-Cover-Coverage-Concealer-Makeup/dp/B01MG9EPHK/ref=sr_1_1?keywords=Killer+Cover+Concealer&amp;qid=1695565711&amp;sr=8-1", "https://www.amazon.com/Killer-Cover-Coverage-Concealer-Makeup/dp/B01MG9EPHK/ref=sr_1_1?keywords=Killer+Cover+Concealer&amp;qid=1695565711&amp;sr=8-1")</f>
        <v/>
      </c>
      <c r="F1499" t="inlineStr">
        <is>
          <t>B01MG9EPHK</t>
        </is>
      </c>
      <c r="G1499">
        <f>_xlfn.IMAGE("https://camerareadycosmetics.com/cdn/shop/products/Judith-August-Cosmetics-Killer-Cover-Concealer_50x.jpg?v=1541877590")</f>
        <v/>
      </c>
      <c r="H1499">
        <f>_xlfn.IMAGE("https://m.media-amazon.com/images/I/81cW2qUEXOL._AC_UL320_.jpg")</f>
        <v/>
      </c>
      <c r="K1499" t="inlineStr">
        <is>
          <t>36.0</t>
        </is>
      </c>
      <c r="L1499" t="n">
        <v>34</v>
      </c>
      <c r="M1499" s="1" t="inlineStr">
        <is>
          <t>-5.56%</t>
        </is>
      </c>
      <c r="N1499" t="n">
        <v>4</v>
      </c>
      <c r="O1499" t="n">
        <v>256</v>
      </c>
      <c r="Q1499" t="inlineStr">
        <is>
          <t>InStock</t>
        </is>
      </c>
      <c r="R1499" t="inlineStr">
        <is>
          <t>undefined</t>
        </is>
      </c>
      <c r="S1499" t="inlineStr">
        <is>
          <t>1901042532463</t>
        </is>
      </c>
    </row>
    <row r="1500" ht="75" customHeight="1">
      <c r="A1500" s="2">
        <f>HYPERLINK("https://camerareadycosmetics.com/products/judith-august-cosmetics-orange-masking-cream-dark-circle-neutralizer", "https://camerareadycosmetics.com/products/judith-august-cosmetics-orange-masking-cream-dark-circle-neutralizer")</f>
        <v/>
      </c>
      <c r="B1500" s="2">
        <f>HYPERLINK("https://camerareadycosmetics.com/products/judith-august-cosmetics-orange-masking-cream-dark-circle-neutralizer", "https://camerareadycosmetics.com/products/judith-august-cosmetics-orange-masking-cream-dark-circle-neutralizer")</f>
        <v/>
      </c>
      <c r="C1500" t="inlineStr">
        <is>
          <t>Orange Masking Cream - Dark Circle Neutralizer</t>
        </is>
      </c>
      <c r="D1500" t="inlineStr">
        <is>
          <t>Judith August- Orange Masking Crème - Dark Circle Concealer Makeup - .75 oz</t>
        </is>
      </c>
      <c r="E1500" s="2">
        <f>HYPERLINK("https://www.amazon.com/Judith-August-Orange-Masking-Creme/dp/B000MLS9OQ/ref=sr_1_1?keywords=Orange+Masking+Cream+-+Dark+Circle+Neutralizer&amp;qid=1695565595&amp;sr=8-1", "https://www.amazon.com/Judith-August-Orange-Masking-Creme/dp/B000MLS9OQ/ref=sr_1_1?keywords=Orange+Masking+Cream+-+Dark+Circle+Neutralizer&amp;qid=1695565595&amp;sr=8-1")</f>
        <v/>
      </c>
      <c r="F1500" t="inlineStr">
        <is>
          <t>B000MLS9OQ</t>
        </is>
      </c>
      <c r="G1500">
        <f>_xlfn.IMAGE("https://camerareadycosmetics.com/cdn/shop/products/judith-august-cosmetics-orange-masking-creme-hide-dark-circles_50x.jpg?v=1541877591")</f>
        <v/>
      </c>
      <c r="H1500">
        <f>_xlfn.IMAGE("https://m.media-amazon.com/images/I/514mKZ8-g2L._AC_UL320_.jpg")</f>
        <v/>
      </c>
      <c r="K1500" t="inlineStr">
        <is>
          <t>24.0</t>
        </is>
      </c>
      <c r="L1500" t="n">
        <v>23</v>
      </c>
      <c r="M1500" s="1" t="inlineStr">
        <is>
          <t>-4.17%</t>
        </is>
      </c>
      <c r="N1500" t="n">
        <v>4.1</v>
      </c>
      <c r="O1500" t="n">
        <v>45</v>
      </c>
      <c r="Q1500" t="inlineStr">
        <is>
          <t>InStock</t>
        </is>
      </c>
      <c r="R1500" t="inlineStr">
        <is>
          <t>undefined</t>
        </is>
      </c>
      <c r="S1500" t="inlineStr">
        <is>
          <t>1894755893359</t>
        </is>
      </c>
    </row>
    <row r="1501" ht="75" customHeight="1">
      <c r="A1501" s="2">
        <f>HYPERLINK("https://camerareadycosmetics.com/products/judith-august-cosmetics-the-everything-pencil", "https://camerareadycosmetics.com/products/judith-august-cosmetics-the-everything-pencil")</f>
        <v/>
      </c>
      <c r="B1501" s="2">
        <f>HYPERLINK("https://camerareadycosmetics.com/products/judith-august-cosmetics-the-everything-pencil", "https://camerareadycosmetics.com/products/judith-august-cosmetics-the-everything-pencil")</f>
        <v/>
      </c>
      <c r="C1501" t="inlineStr">
        <is>
          <t>The Everything Pencil Face &amp; Body Concealer</t>
        </is>
      </c>
      <c r="D1501" t="inlineStr">
        <is>
          <t>Judith August The Everything Pencil Face &amp; Body Concealer Almond</t>
        </is>
      </c>
      <c r="E1501" s="2">
        <f>HYPERLINK("https://www.amazon.com/Judith-August-Everything-Pencil-Concealer/dp/B00KHK7L64/ref=sr_1_2?keywords=The+Everything+Pencil+Face+%26+Body+Concealer&amp;qid=1695565650&amp;sr=8-2", "https://www.amazon.com/Judith-August-Everything-Pencil-Concealer/dp/B00KHK7L64/ref=sr_1_2?keywords=The+Everything+Pencil+Face+%26+Body+Concealer&amp;qid=1695565650&amp;sr=8-2")</f>
        <v/>
      </c>
      <c r="F1501" t="inlineStr">
        <is>
          <t>B00KHK7L64</t>
        </is>
      </c>
      <c r="G1501">
        <f>_xlfn.IMAGE("https://camerareadycosmetics.com/cdn/shop/products/etp-swatch-_1_50x.jpg?v=1654285656")</f>
        <v/>
      </c>
      <c r="H1501">
        <f>_xlfn.IMAGE("https://m.media-amazon.com/images/I/51nFQhUSRPL._AC_UL320_.jpg")</f>
        <v/>
      </c>
      <c r="K1501" t="inlineStr">
        <is>
          <t>17.0</t>
        </is>
      </c>
      <c r="L1501" t="n">
        <v>19.95</v>
      </c>
      <c r="M1501" s="1" t="inlineStr">
        <is>
          <t>17.35%</t>
        </is>
      </c>
      <c r="N1501" t="n">
        <v>4.5</v>
      </c>
      <c r="O1501" t="n">
        <v>4</v>
      </c>
      <c r="Q1501" t="inlineStr">
        <is>
          <t>InStock</t>
        </is>
      </c>
      <c r="R1501" t="inlineStr">
        <is>
          <t>17.0</t>
        </is>
      </c>
      <c r="S1501" t="inlineStr">
        <is>
          <t>1894013010031</t>
        </is>
      </c>
    </row>
    <row r="1502" ht="75" customHeight="1">
      <c r="A1502" s="2">
        <f>HYPERLINK("https://camerareadycosmetics.com/products/judith-august-cosmetics-the-everything-pencil", "https://camerareadycosmetics.com/products/judith-august-cosmetics-the-everything-pencil")</f>
        <v/>
      </c>
      <c r="B1502" s="2">
        <f>HYPERLINK("https://camerareadycosmetics.com/products/judith-august-cosmetics-the-everything-pencil", "https://camerareadycosmetics.com/products/judith-august-cosmetics-the-everything-pencil")</f>
        <v/>
      </c>
      <c r="C1502" t="inlineStr">
        <is>
          <t>The Everything Pencil Face &amp; Body Concealer</t>
        </is>
      </c>
      <c r="D1502" t="inlineStr">
        <is>
          <t>Best Concealer Pencil - The Everything Pencil Deluxe - Face &amp; Body Concealer (Pure Beige)</t>
        </is>
      </c>
      <c r="E1502" s="2">
        <f>HYPERLINK("https://www.amazon.com/Best-Concealer-Pencil-Everything-Beige/dp/B06W5K2YY1/ref=sr_1_3?keywords=The+Everything+Pencil+Face+%26+Body+Concealer&amp;qid=1695565650&amp;sr=8-3", "https://www.amazon.com/Best-Concealer-Pencil-Everything-Beige/dp/B06W5K2YY1/ref=sr_1_3?keywords=The+Everything+Pencil+Face+%26+Body+Concealer&amp;qid=1695565650&amp;sr=8-3")</f>
        <v/>
      </c>
      <c r="F1502" t="inlineStr">
        <is>
          <t>B06W5K2YY1</t>
        </is>
      </c>
      <c r="G1502">
        <f>_xlfn.IMAGE("https://camerareadycosmetics.com/cdn/shop/products/etp-swatch-_1_50x.jpg?v=1654285656")</f>
        <v/>
      </c>
      <c r="H1502">
        <f>_xlfn.IMAGE("https://m.media-amazon.com/images/I/41-tNRY6ZOL._AC_UL320_.jpg")</f>
        <v/>
      </c>
      <c r="K1502" t="inlineStr">
        <is>
          <t>17.0</t>
        </is>
      </c>
      <c r="L1502" t="n">
        <v>17</v>
      </c>
      <c r="M1502" s="1" t="inlineStr">
        <is>
          <t>0.00%</t>
        </is>
      </c>
      <c r="N1502" t="n">
        <v>4.4</v>
      </c>
      <c r="O1502" t="n">
        <v>13</v>
      </c>
      <c r="Q1502" t="inlineStr">
        <is>
          <t>InStock</t>
        </is>
      </c>
      <c r="R1502" t="inlineStr">
        <is>
          <t>17.0</t>
        </is>
      </c>
      <c r="S1502" t="inlineStr">
        <is>
          <t>1894013010031</t>
        </is>
      </c>
    </row>
    <row r="1503" ht="75" customHeight="1">
      <c r="A1503" s="2">
        <f>HYPERLINK("https://camerareadycosmetics.com/products/judith-august-cosmetics-the-everything-pencil", "https://camerareadycosmetics.com/products/judith-august-cosmetics-the-everything-pencil")</f>
        <v/>
      </c>
      <c r="B1503" s="2">
        <f>HYPERLINK("https://camerareadycosmetics.com/products/judith-august-cosmetics-the-everything-pencil", "https://camerareadycosmetics.com/products/judith-august-cosmetics-the-everything-pencil")</f>
        <v/>
      </c>
      <c r="C1503" t="inlineStr">
        <is>
          <t>The Everything Pencil Face &amp; Body Concealer</t>
        </is>
      </c>
      <c r="D1503" t="inlineStr">
        <is>
          <t>Judith August - The Everything Pencil Deluxe - Face &amp; Body Concealer (Pure Beige)</t>
        </is>
      </c>
      <c r="E1503" s="2">
        <f>HYPERLINK("https://www.amazon.com/Judith-August-Everything-Concealer-Sharpener/dp/B0018QQ0YA/ref=sr_1_1?keywords=The+Everything+Pencil+Face+%26+Body+Concealer&amp;qid=1695565650&amp;sr=8-1", "https://www.amazon.com/Judith-August-Everything-Concealer-Sharpener/dp/B0018QQ0YA/ref=sr_1_1?keywords=The+Everything+Pencil+Face+%26+Body+Concealer&amp;qid=1695565650&amp;sr=8-1")</f>
        <v/>
      </c>
      <c r="F1503" t="inlineStr">
        <is>
          <t>B0018QQ0YA</t>
        </is>
      </c>
      <c r="G1503">
        <f>_xlfn.IMAGE("https://camerareadycosmetics.com/cdn/shop/products/etp-swatch-_1_50x.jpg?v=1654285656")</f>
        <v/>
      </c>
      <c r="H1503">
        <f>_xlfn.IMAGE("https://m.media-amazon.com/images/I/71ZE0KxWgoL._AC_UL320_.jpg")</f>
        <v/>
      </c>
      <c r="K1503" t="inlineStr">
        <is>
          <t>17.0</t>
        </is>
      </c>
      <c r="L1503" t="n">
        <v>17</v>
      </c>
      <c r="M1503" s="1" t="inlineStr">
        <is>
          <t>0.00%</t>
        </is>
      </c>
      <c r="N1503" t="n">
        <v>4.2</v>
      </c>
      <c r="O1503" t="n">
        <v>247</v>
      </c>
      <c r="Q1503" t="inlineStr">
        <is>
          <t>InStock</t>
        </is>
      </c>
      <c r="R1503" t="inlineStr">
        <is>
          <t>17.0</t>
        </is>
      </c>
      <c r="S1503" t="inlineStr">
        <is>
          <t>1894013010031</t>
        </is>
      </c>
    </row>
    <row r="1504" ht="75" customHeight="1">
      <c r="A1504" s="2">
        <f>HYPERLINK("https://camerareadycosmetics.com/products/karla-cosmetics-fix-potion", "https://camerareadycosmetics.com/products/karla-cosmetics-fix-potion")</f>
        <v/>
      </c>
      <c r="B1504" s="2">
        <f>HYPERLINK("https://camerareadycosmetics.com/products/karla-cosmetics-fix-potion", "https://camerareadycosmetics.com/products/karla-cosmetics-fix-potion")</f>
        <v/>
      </c>
      <c r="C1504" t="inlineStr">
        <is>
          <t>Fix Potion Eye Primer</t>
        </is>
      </c>
      <c r="D1504" t="inlineStr">
        <is>
          <t>Jolie Eye Shadow Fix, Creme Eye Lid Smudgeproof Non Crease Base Primer - Updated Packaging (Light)</t>
        </is>
      </c>
      <c r="E1504" s="2">
        <f>HYPERLINK("https://www.amazon.com/Jolie-Shadow-Magnet-Smudgeproof-Crease/dp/B008K7MB20/ref=sr_1_4?keywords=Fix+Potion+Eye+Primer&amp;qid=1695565506&amp;sr=8-4", "https://www.amazon.com/Jolie-Shadow-Magnet-Smudgeproof-Crease/dp/B008K7MB20/ref=sr_1_4?keywords=Fix+Potion+Eye+Primer&amp;qid=1695565506&amp;sr=8-4")</f>
        <v/>
      </c>
      <c r="F1504" t="inlineStr">
        <is>
          <t>B008K7MB20</t>
        </is>
      </c>
      <c r="G1504">
        <f>_xlfn.IMAGE("https://camerareadycosmetics.com/cdn/shop/products/Karla-Cosmetics-Fix-Potion-Gel-Eye-Primer_93fa11b8-2436-44cc-a46f-77d1faefd482_50x.jpg?v=1638469076")</f>
        <v/>
      </c>
      <c r="H1504">
        <f>_xlfn.IMAGE("https://m.media-amazon.com/images/I/71LtRHYFS3L._AC_UL320_.jpg")</f>
        <v/>
      </c>
      <c r="K1504" t="inlineStr">
        <is>
          <t>20.0</t>
        </is>
      </c>
      <c r="L1504" t="n">
        <v>24</v>
      </c>
      <c r="M1504" s="1" t="inlineStr">
        <is>
          <t>20.00%</t>
        </is>
      </c>
      <c r="N1504" t="n">
        <v>4.2</v>
      </c>
      <c r="O1504" t="n">
        <v>133</v>
      </c>
      <c r="Q1504" t="inlineStr">
        <is>
          <t>InStock</t>
        </is>
      </c>
      <c r="R1504" t="inlineStr">
        <is>
          <t>undefined</t>
        </is>
      </c>
      <c r="S1504" t="inlineStr">
        <is>
          <t>7113128018105</t>
        </is>
      </c>
    </row>
    <row r="1505" ht="75" customHeight="1">
      <c r="A1505" s="2">
        <f>HYPERLINK("https://camerareadycosmetics.com/products/karla-cosmetics-opal-multi-chrome-eyeshadow", "https://camerareadycosmetics.com/products/karla-cosmetics-opal-multi-chrome-eyeshadow")</f>
        <v/>
      </c>
      <c r="B1505" s="2">
        <f>HYPERLINK("https://camerareadycosmetics.com/products/karla-cosmetics-opal-multi-chrome-eyeshadow", "https://camerareadycosmetics.com/products/karla-cosmetics-opal-multi-chrome-eyeshadow")</f>
        <v/>
      </c>
      <c r="C1505" t="inlineStr">
        <is>
          <t>Opal Multichrome Loose Eyeshadow</t>
        </is>
      </c>
      <c r="D1505" t="inlineStr">
        <is>
          <t>Concrete Minerals White MultiChrome Eyeshadow, Intense Color Shifting, Longer-Lasting With No Creasing, 100% Vegan and Cruelty Free, 2.4 Grams Loose Mineral Powder (Frosted Sample Bundle)</t>
        </is>
      </c>
      <c r="E1505" s="2">
        <f>HYPERLINK("https://www.amazon.com/Concrete-Minerals-MultiChrome-Eyeshadow-Longer-Lasting/dp/B09LL44MVQ/ref=sr_1_1?keywords=Opal+Multichrome+Loose+Eyeshadow&amp;qid=1695565460&amp;sr=8-1", "https://www.amazon.com/Concrete-Minerals-MultiChrome-Eyeshadow-Longer-Lasting/dp/B09LL44MVQ/ref=sr_1_1?keywords=Opal+Multichrome+Loose+Eyeshadow&amp;qid=1695565460&amp;sr=8-1")</f>
        <v/>
      </c>
      <c r="F1505" t="inlineStr">
        <is>
          <t>B09LL44MVQ</t>
        </is>
      </c>
      <c r="G1505">
        <f>_xlfn.IMAGE("https://camerareadycosmetics.com/cdn/shop/products/romance-eye_50x.jpg?v=1651684609")</f>
        <v/>
      </c>
      <c r="H1505">
        <f>_xlfn.IMAGE("https://m.media-amazon.com/images/I/81eHBxFENXL._AC_UL320_.jpg")</f>
        <v/>
      </c>
      <c r="K1505" t="inlineStr">
        <is>
          <t>29.0</t>
        </is>
      </c>
      <c r="L1505" t="n">
        <v>46</v>
      </c>
      <c r="M1505" s="1" t="inlineStr">
        <is>
          <t>58.62%</t>
        </is>
      </c>
      <c r="N1505" t="n">
        <v>4.2</v>
      </c>
      <c r="O1505" t="n">
        <v>1317</v>
      </c>
      <c r="Q1505" t="inlineStr">
        <is>
          <t>InStock</t>
        </is>
      </c>
      <c r="R1505" t="inlineStr">
        <is>
          <t>undefined</t>
        </is>
      </c>
      <c r="S1505" t="inlineStr">
        <is>
          <t>7156198965433</t>
        </is>
      </c>
    </row>
    <row r="1506" ht="75" customHeight="1">
      <c r="A1506" s="2">
        <f>HYPERLINK("https://camerareadycosmetics.com/products/karla-cosmetics-pressed-eyeshadow", "https://camerareadycosmetics.com/products/karla-cosmetics-pressed-eyeshadow")</f>
        <v/>
      </c>
      <c r="B1506" s="2">
        <f>HYPERLINK("https://camerareadycosmetics.com/products/karla-cosmetics-pressed-eyeshadow", "https://camerareadycosmetics.com/products/karla-cosmetics-pressed-eyeshadow")</f>
        <v/>
      </c>
      <c r="C1506" t="inlineStr">
        <is>
          <t>Pressed Eyeshadow</t>
        </is>
      </c>
      <c r="D1506" t="inlineStr">
        <is>
          <t>Lauren Brooke Cosmetiques Pressed Eyeshadow Duo, Natural, Organic Makeup (Tanzi/Moon Dust)</t>
        </is>
      </c>
      <c r="E1506" s="2" t="n"/>
      <c r="F1506" t="inlineStr">
        <is>
          <t>B00IEAM0A6</t>
        </is>
      </c>
      <c r="G1506">
        <f>_xlfn.IMAGE("https://camerareadycosmetics.com/cdn/shop/products/sleep-walk-pressed_50x.jpg?v=1688675914")</f>
        <v/>
      </c>
      <c r="H1506">
        <f>_xlfn.IMAGE("https://m.media-amazon.com/images/I/51FmczFztpL._AC_UL320_.jpg")</f>
        <v/>
      </c>
      <c r="K1506" t="inlineStr">
        <is>
          <t>26.14</t>
        </is>
      </c>
      <c r="L1506" t="n">
        <v>17</v>
      </c>
      <c r="M1506" s="1" t="inlineStr">
        <is>
          <t>-34.97%</t>
        </is>
      </c>
      <c r="N1506" t="n">
        <v>4</v>
      </c>
      <c r="O1506" t="n">
        <v>276</v>
      </c>
      <c r="Q1506" t="inlineStr">
        <is>
          <t>InStock</t>
        </is>
      </c>
      <c r="R1506" t="inlineStr">
        <is>
          <t>undefined</t>
        </is>
      </c>
      <c r="S1506" t="inlineStr">
        <is>
          <t>7113193259193</t>
        </is>
      </c>
    </row>
    <row r="1507" ht="75" customHeight="1">
      <c r="A1507" s="2">
        <f>HYPERLINK("https://camerareadycosmetics.com/products/karla-cosmetics-pressed-eyeshadow", "https://camerareadycosmetics.com/products/karla-cosmetics-pressed-eyeshadow")</f>
        <v/>
      </c>
      <c r="B1507" s="2">
        <f>HYPERLINK("https://camerareadycosmetics.com/products/karla-cosmetics-pressed-eyeshadow", "https://camerareadycosmetics.com/products/karla-cosmetics-pressed-eyeshadow")</f>
        <v/>
      </c>
      <c r="C1507" t="inlineStr">
        <is>
          <t>Pressed Eyeshadow</t>
        </is>
      </c>
      <c r="D1507" t="inlineStr">
        <is>
          <t>Pure Zivaª Navy Blue Grey Gray Silver Matte Opaque Pressed Powder Single Vegan Eyeshadow; Talc, Paraben &amp; Cruelty Free Single Eyeshadow</t>
        </is>
      </c>
      <c r="E1507" s="2">
        <f>HYPERLINK("https://www.amazon.com/Pressed-Eyeshadow-Paraben-Testing-eyeshadow/dp/B0813XV1LZ/ref=sr_1_5?keywords=Pressed+Eyeshadow&amp;qid=1695565545&amp;sr=8-5", "https://www.amazon.com/Pressed-Eyeshadow-Paraben-Testing-eyeshadow/dp/B0813XV1LZ/ref=sr_1_5?keywords=Pressed+Eyeshadow&amp;qid=1695565545&amp;sr=8-5")</f>
        <v/>
      </c>
      <c r="F1507" t="inlineStr">
        <is>
          <t>B0813XV1LZ</t>
        </is>
      </c>
      <c r="G1507">
        <f>_xlfn.IMAGE("https://camerareadycosmetics.com/cdn/shop/products/sleep-walk-pressed_50x.jpg?v=1688675914")</f>
        <v/>
      </c>
      <c r="H1507">
        <f>_xlfn.IMAGE("https://m.media-amazon.com/images/I/91nw+C4KyUL._AC_UL320_.jpg")</f>
        <v/>
      </c>
      <c r="K1507" t="inlineStr">
        <is>
          <t>26.14</t>
        </is>
      </c>
      <c r="L1507" t="n">
        <v>13.99</v>
      </c>
      <c r="M1507" s="1" t="inlineStr">
        <is>
          <t>-46.48%</t>
        </is>
      </c>
      <c r="N1507" t="n">
        <v>4.3</v>
      </c>
      <c r="O1507" t="n">
        <v>2558</v>
      </c>
      <c r="Q1507" t="inlineStr">
        <is>
          <t>InStock</t>
        </is>
      </c>
      <c r="R1507" t="inlineStr">
        <is>
          <t>undefined</t>
        </is>
      </c>
      <c r="S1507" t="inlineStr">
        <is>
          <t>7113193259193</t>
        </is>
      </c>
    </row>
    <row r="1508" ht="75" customHeight="1">
      <c r="A1508" s="2">
        <f>HYPERLINK("https://camerareadycosmetics.com/products/karla-cosmetics-pressed-eyeshadow", "https://camerareadycosmetics.com/products/karla-cosmetics-pressed-eyeshadow")</f>
        <v/>
      </c>
      <c r="B1508" s="2">
        <f>HYPERLINK("https://camerareadycosmetics.com/products/karla-cosmetics-pressed-eyeshadow", "https://camerareadycosmetics.com/products/karla-cosmetics-pressed-eyeshadow")</f>
        <v/>
      </c>
      <c r="C1508" t="inlineStr">
        <is>
          <t>Pressed Eyeshadow</t>
        </is>
      </c>
      <c r="D1508" t="inlineStr">
        <is>
          <t>Aolailiya 24 Color Pressed Glitter Eyeshadow Palette - Mineral Ultra Shimmer Makeup Palette Eye Shadow Powder Long Lasting Waterproof</t>
        </is>
      </c>
      <c r="E1508" s="2">
        <f>HYPERLINK("https://www.amazon.com/Professional-Pressed-Glitter-Eyeshadow-Palette/dp/B07MT8P8QW/ref=sr_1_7?keywords=Pressed+Eyeshadow&amp;qid=1695565545&amp;sr=8-7", "https://www.amazon.com/Professional-Pressed-Glitter-Eyeshadow-Palette/dp/B07MT8P8QW/ref=sr_1_7?keywords=Pressed+Eyeshadow&amp;qid=1695565545&amp;sr=8-7")</f>
        <v/>
      </c>
      <c r="F1508" t="inlineStr">
        <is>
          <t>B07MT8P8QW</t>
        </is>
      </c>
      <c r="G1508">
        <f>_xlfn.IMAGE("https://camerareadycosmetics.com/cdn/shop/products/sleep-walk-pressed_50x.jpg?v=1688675914")</f>
        <v/>
      </c>
      <c r="H1508">
        <f>_xlfn.IMAGE("https://m.media-amazon.com/images/I/71bjBVBguLL._AC_UL320_.jpg")</f>
        <v/>
      </c>
      <c r="K1508" t="inlineStr">
        <is>
          <t>26.14</t>
        </is>
      </c>
      <c r="L1508" t="n">
        <v>9.99</v>
      </c>
      <c r="M1508" s="1" t="inlineStr">
        <is>
          <t>-61.78%</t>
        </is>
      </c>
      <c r="N1508" t="n">
        <v>4.4</v>
      </c>
      <c r="O1508" t="n">
        <v>5775</v>
      </c>
      <c r="Q1508" t="inlineStr">
        <is>
          <t>InStock</t>
        </is>
      </c>
      <c r="R1508" t="inlineStr">
        <is>
          <t>undefined</t>
        </is>
      </c>
      <c r="S1508" t="inlineStr">
        <is>
          <t>7113193259193</t>
        </is>
      </c>
    </row>
    <row r="1509" ht="75" customHeight="1">
      <c r="A1509" s="2">
        <f>HYPERLINK("https://camerareadycosmetics.com/products/karla-cosmetics-pressed-eyeshadow", "https://camerareadycosmetics.com/products/karla-cosmetics-pressed-eyeshadow")</f>
        <v/>
      </c>
      <c r="B1509" s="2">
        <f>HYPERLINK("https://camerareadycosmetics.com/products/karla-cosmetics-pressed-eyeshadow", "https://camerareadycosmetics.com/products/karla-cosmetics-pressed-eyeshadow")</f>
        <v/>
      </c>
      <c r="C1509" t="inlineStr">
        <is>
          <t>Pressed Eyeshadow</t>
        </is>
      </c>
      <c r="D1509" t="inlineStr">
        <is>
          <t>MEICOLY White Single Eyeshadow, Pressed Powder Matte Eye shadow, Opaque Vegan Cruelty Free High Pigment Eyeshadow for Day &amp; Night,Goth Vampire Blood Makeup Base,White</t>
        </is>
      </c>
      <c r="E1509" s="2">
        <f>HYPERLINK("https://www.amazon.com/MEICOLY-Eyeshadow-Pressed-Cruelty-Pigment/dp/B0B1KGXDBC/ref=sr_1_6?keywords=Pressed+Eyeshadow&amp;qid=1695565545&amp;sr=8-6", "https://www.amazon.com/MEICOLY-Eyeshadow-Pressed-Cruelty-Pigment/dp/B0B1KGXDBC/ref=sr_1_6?keywords=Pressed+Eyeshadow&amp;qid=1695565545&amp;sr=8-6")</f>
        <v/>
      </c>
      <c r="F1509" t="inlineStr">
        <is>
          <t>B0B1KGXDBC</t>
        </is>
      </c>
      <c r="G1509">
        <f>_xlfn.IMAGE("https://camerareadycosmetics.com/cdn/shop/products/sleep-walk-pressed_50x.jpg?v=1688675914")</f>
        <v/>
      </c>
      <c r="H1509">
        <f>_xlfn.IMAGE("https://m.media-amazon.com/images/I/71eefa4eKeL._AC_UL320_.jpg")</f>
        <v/>
      </c>
      <c r="K1509" t="inlineStr">
        <is>
          <t>26.14</t>
        </is>
      </c>
      <c r="L1509" t="n">
        <v>6.58</v>
      </c>
      <c r="M1509" s="1" t="inlineStr">
        <is>
          <t>-74.83%</t>
        </is>
      </c>
      <c r="N1509" t="n">
        <v>4.3</v>
      </c>
      <c r="O1509" t="n">
        <v>237</v>
      </c>
      <c r="Q1509" t="inlineStr">
        <is>
          <t>InStock</t>
        </is>
      </c>
      <c r="R1509" t="inlineStr">
        <is>
          <t>undefined</t>
        </is>
      </c>
      <c r="S1509" t="inlineStr">
        <is>
          <t>7113193259193</t>
        </is>
      </c>
    </row>
    <row r="1510" ht="75" customHeight="1">
      <c r="A1510" s="2">
        <f>HYPERLINK("https://camerareadycosmetics.com/products/karla-cosmetics-pressed-eyeshadow", "https://camerareadycosmetics.com/products/karla-cosmetics-pressed-eyeshadow")</f>
        <v/>
      </c>
      <c r="B1510" s="2">
        <f>HYPERLINK("https://camerareadycosmetics.com/products/karla-cosmetics-pressed-eyeshadow", "https://camerareadycosmetics.com/products/karla-cosmetics-pressed-eyeshadow")</f>
        <v/>
      </c>
      <c r="C1510" t="inlineStr">
        <is>
          <t>Pressed Eyeshadow</t>
        </is>
      </c>
      <c r="D1510" t="inlineStr">
        <is>
          <t>Aolailiya 24 Color Pressed Glitter Eyeshadow Palette - Mineral Ultra Shimmer Makeup Palette Eye Shadow Powder Long Lasting Waterproof</t>
        </is>
      </c>
      <c r="E1510" s="2">
        <f>HYPERLINK("https://www.amazon.com/Professional-Pressed-Glitter-Eyeshadow-Palette/dp/B07MT8P8QW/ref=sr_1_7?keywords=Pressed+Eyeshadow&amp;qid=1695565545&amp;sr=8-7", "https://www.amazon.com/Professional-Pressed-Glitter-Eyeshadow-Palette/dp/B07MT8P8QW/ref=sr_1_7?keywords=Pressed+Eyeshadow&amp;qid=1695565545&amp;sr=8-7")</f>
        <v/>
      </c>
      <c r="F1510" t="inlineStr">
        <is>
          <t>B07MT8P8QW</t>
        </is>
      </c>
      <c r="G1510">
        <f>_xlfn.IMAGE("https://camerareadycosmetics.com/cdn/shop/products/sleep-walk-pressed_50x.jpg?v=1688675914")</f>
        <v/>
      </c>
      <c r="H1510">
        <f>_xlfn.IMAGE("https://m.media-amazon.com/images/I/71bjBVBguLL._AC_UL320_.jpg")</f>
        <v/>
      </c>
      <c r="K1510" t="inlineStr">
        <is>
          <t>26.14</t>
        </is>
      </c>
      <c r="L1510" t="n">
        <v>9.99</v>
      </c>
      <c r="M1510" s="1" t="inlineStr">
        <is>
          <t>-61.78%</t>
        </is>
      </c>
      <c r="N1510" t="n">
        <v>4.4</v>
      </c>
      <c r="O1510" t="n">
        <v>5775</v>
      </c>
      <c r="Q1510" t="inlineStr">
        <is>
          <t>InStock</t>
        </is>
      </c>
      <c r="R1510" t="inlineStr">
        <is>
          <t>undefined</t>
        </is>
      </c>
      <c r="S1510" t="inlineStr">
        <is>
          <t>7113193259193</t>
        </is>
      </c>
    </row>
    <row r="1511" ht="75" customHeight="1">
      <c r="A1511" s="2">
        <f>HYPERLINK("https://camerareadycosmetics.com/products/karla-cosmetics-pressed-eyeshadow", "https://camerareadycosmetics.com/products/karla-cosmetics-pressed-eyeshadow")</f>
        <v/>
      </c>
      <c r="B1511" s="2">
        <f>HYPERLINK("https://camerareadycosmetics.com/products/karla-cosmetics-pressed-eyeshadow", "https://camerareadycosmetics.com/products/karla-cosmetics-pressed-eyeshadow")</f>
        <v/>
      </c>
      <c r="C1511" t="inlineStr">
        <is>
          <t>Pressed Eyeshadow</t>
        </is>
      </c>
      <c r="D1511" t="inlineStr">
        <is>
          <t>MEICOLY White Single Eyeshadow, Pressed Powder Matte Eye shadow, Opaque Vegan Cruelty Free High Pigment Eyeshadow for Day &amp; Night,Goth Vampire Blood Makeup Base,White</t>
        </is>
      </c>
      <c r="E1511" s="2">
        <f>HYPERLINK("https://www.amazon.com/MEICOLY-Eyeshadow-Pressed-Cruelty-Pigment/dp/B0B1KGXDBC/ref=sr_1_6?keywords=Pressed+Eyeshadow&amp;qid=1695565545&amp;sr=8-6", "https://www.amazon.com/MEICOLY-Eyeshadow-Pressed-Cruelty-Pigment/dp/B0B1KGXDBC/ref=sr_1_6?keywords=Pressed+Eyeshadow&amp;qid=1695565545&amp;sr=8-6")</f>
        <v/>
      </c>
      <c r="F1511" t="inlineStr">
        <is>
          <t>B0B1KGXDBC</t>
        </is>
      </c>
      <c r="G1511">
        <f>_xlfn.IMAGE("https://camerareadycosmetics.com/cdn/shop/products/sleep-walk-pressed_50x.jpg?v=1688675914")</f>
        <v/>
      </c>
      <c r="H1511">
        <f>_xlfn.IMAGE("https://m.media-amazon.com/images/I/71eefa4eKeL._AC_UL320_.jpg")</f>
        <v/>
      </c>
      <c r="K1511" t="inlineStr">
        <is>
          <t>26.14</t>
        </is>
      </c>
      <c r="L1511" t="n">
        <v>6.58</v>
      </c>
      <c r="M1511" s="1" t="inlineStr">
        <is>
          <t>-74.83%</t>
        </is>
      </c>
      <c r="N1511" t="n">
        <v>4.3</v>
      </c>
      <c r="O1511" t="n">
        <v>237</v>
      </c>
      <c r="Q1511" t="inlineStr">
        <is>
          <t>InStock</t>
        </is>
      </c>
      <c r="R1511" t="inlineStr">
        <is>
          <t>undefined</t>
        </is>
      </c>
      <c r="S1511" t="inlineStr">
        <is>
          <t>7113193259193</t>
        </is>
      </c>
    </row>
    <row r="1512" ht="75" customHeight="1">
      <c r="A1512" s="2">
        <f>HYPERLINK("https://camerareadycosmetics.com/products/karla-cosmetics-romance-quad-eyeshadow-palette", "https://camerareadycosmetics.com/products/karla-cosmetics-romance-quad-eyeshadow-palette")</f>
        <v/>
      </c>
      <c r="B1512" s="2">
        <f>HYPERLINK("https://camerareadycosmetics.com/products/karla-cosmetics-romance-quad-eyeshadow-palette", "https://camerareadycosmetics.com/products/karla-cosmetics-romance-quad-eyeshadow-palette")</f>
        <v/>
      </c>
      <c r="C1512" t="inlineStr">
        <is>
          <t>Romance Quad Eyeshadow Palette</t>
        </is>
      </c>
      <c r="D1512" t="inlineStr">
        <is>
          <t>LAURA GELLER The Delectables Romance in Rose Baked Eyeshadow Palette | 14 Pigmented Eyeshadows Blendable Natural Look</t>
        </is>
      </c>
      <c r="E1512" s="2">
        <f>HYPERLINK("https://www.amazon.com/LAURA-GELLER-Delectables-Eyeshadow-Eyeshadows/dp/B0BGQFH59K/ref=sr_1_2?keywords=Romance+Quad+Eyeshadow+Palette&amp;qid=1695565772&amp;sr=8-2", "https://www.amazon.com/LAURA-GELLER-Delectables-Eyeshadow-Eyeshadows/dp/B0BGQFH59K/ref=sr_1_2?keywords=Romance+Quad+Eyeshadow+Palette&amp;qid=1695565772&amp;sr=8-2")</f>
        <v/>
      </c>
      <c r="F1512" t="inlineStr">
        <is>
          <t>B0BGQFH59K</t>
        </is>
      </c>
      <c r="G1512">
        <f>_xlfn.IMAGE("https://camerareadycosmetics.com/cdn/shop/products/karla-romance-quad-Paletteecommwhite_50x.jpg?v=1661812037")</f>
        <v/>
      </c>
      <c r="H1512">
        <f>_xlfn.IMAGE("https://m.media-amazon.com/images/I/81XxHWhpYyL._AC_UL320_.jpg")</f>
        <v/>
      </c>
      <c r="K1512" t="inlineStr">
        <is>
          <t>82.0</t>
        </is>
      </c>
      <c r="L1512" t="n">
        <v>46.94</v>
      </c>
      <c r="M1512" s="1" t="inlineStr">
        <is>
          <t>-42.76%</t>
        </is>
      </c>
      <c r="N1512" t="n">
        <v>4.2</v>
      </c>
      <c r="O1512" t="n">
        <v>2252</v>
      </c>
      <c r="Q1512" t="inlineStr">
        <is>
          <t>InStock</t>
        </is>
      </c>
      <c r="R1512" t="inlineStr">
        <is>
          <t>82.0</t>
        </is>
      </c>
      <c r="S1512" t="inlineStr">
        <is>
          <t>7475402309817</t>
        </is>
      </c>
    </row>
    <row r="1513" ht="75" customHeight="1">
      <c r="A1513" s="2">
        <f>HYPERLINK("https://camerareadycosmetics.com/products/karla-cosmetics-romance-quad-eyeshadow-palette", "https://camerareadycosmetics.com/products/karla-cosmetics-romance-quad-eyeshadow-palette")</f>
        <v/>
      </c>
      <c r="B1513" s="2">
        <f>HYPERLINK("https://camerareadycosmetics.com/products/karla-cosmetics-romance-quad-eyeshadow-palette", "https://camerareadycosmetics.com/products/karla-cosmetics-romance-quad-eyeshadow-palette")</f>
        <v/>
      </c>
      <c r="C1513" t="inlineStr">
        <is>
          <t>Romance Quad Eyeshadow Palette</t>
        </is>
      </c>
      <c r="D1513" t="inlineStr">
        <is>
          <t>Palladio Eyeshadow Quads, Velvety Pigmented Blendable Matte, Metallic and Shimmer Finishes, Creamy Formula, Four Way Quad Eye Shadow Palette, Talc-Free (Ballerina)</t>
        </is>
      </c>
      <c r="E1513" s="2">
        <f>HYPERLINK("https://www.amazon.com/Palladio-PALLADIO-274085-Eyeshadow-Quad-Ballerina/dp/B00ECVZI32/ref=sr_1_6?keywords=Romance+Quad+Eyeshadow+Palette&amp;qid=1695565772&amp;sr=8-6", "https://www.amazon.com/Palladio-PALLADIO-274085-Eyeshadow-Quad-Ballerina/dp/B00ECVZI32/ref=sr_1_6?keywords=Romance+Quad+Eyeshadow+Palette&amp;qid=1695565772&amp;sr=8-6")</f>
        <v/>
      </c>
      <c r="F1513" t="inlineStr">
        <is>
          <t>B00ECVZI32</t>
        </is>
      </c>
      <c r="G1513">
        <f>_xlfn.IMAGE("https://camerareadycosmetics.com/cdn/shop/products/karla-romance-quad-Paletteecommwhite_50x.jpg?v=1661812037")</f>
        <v/>
      </c>
      <c r="H1513">
        <f>_xlfn.IMAGE("https://m.media-amazon.com/images/I/71e45QA2JVL._AC_UL320_.jpg")</f>
        <v/>
      </c>
      <c r="K1513" t="inlineStr">
        <is>
          <t>82.0</t>
        </is>
      </c>
      <c r="L1513" t="n">
        <v>9.99</v>
      </c>
      <c r="M1513" s="1" t="inlineStr">
        <is>
          <t>-87.82%</t>
        </is>
      </c>
      <c r="N1513" t="n">
        <v>4.4</v>
      </c>
      <c r="O1513" t="n">
        <v>914</v>
      </c>
      <c r="Q1513" t="inlineStr">
        <is>
          <t>InStock</t>
        </is>
      </c>
      <c r="R1513" t="inlineStr">
        <is>
          <t>82.0</t>
        </is>
      </c>
      <c r="S1513" t="inlineStr">
        <is>
          <t>7475402309817</t>
        </is>
      </c>
    </row>
    <row r="1514" ht="75" customHeight="1">
      <c r="A1514" s="2">
        <f>HYPERLINK("https://camerareadycosmetics.com/products/karla-cosmetics-romance-quad-eyeshadow-palette", "https://camerareadycosmetics.com/products/karla-cosmetics-romance-quad-eyeshadow-palette")</f>
        <v/>
      </c>
      <c r="B1514" s="2">
        <f>HYPERLINK("https://camerareadycosmetics.com/products/karla-cosmetics-romance-quad-eyeshadow-palette", "https://camerareadycosmetics.com/products/karla-cosmetics-romance-quad-eyeshadow-palette")</f>
        <v/>
      </c>
      <c r="C1514" t="inlineStr">
        <is>
          <t>Romance Quad Eyeshadow Palette</t>
        </is>
      </c>
      <c r="D1514" t="inlineStr">
        <is>
          <t>COVERGIRL COVERGIRL Trunaked Quad Eyeshadow Palette, Night Mayhem, Midsummer Night Mayhem, 0.06 Ounce</t>
        </is>
      </c>
      <c r="E1514" s="2">
        <f>HYPERLINK("https://www.amazon.com/Covergirl-truNAKED-Eyeshadow-Palette-Midsummer/dp/B088P4Z46P/ref=sr_1_7?keywords=Romance+Quad+Eyeshadow+Palette&amp;qid=1695565772&amp;sr=8-7", "https://www.amazon.com/Covergirl-truNAKED-Eyeshadow-Palette-Midsummer/dp/B088P4Z46P/ref=sr_1_7?keywords=Romance+Quad+Eyeshadow+Palette&amp;qid=1695565772&amp;sr=8-7")</f>
        <v/>
      </c>
      <c r="F1514" t="inlineStr">
        <is>
          <t>B088P4Z46P</t>
        </is>
      </c>
      <c r="G1514">
        <f>_xlfn.IMAGE("https://camerareadycosmetics.com/cdn/shop/products/karla-romance-quad-Paletteecommwhite_50x.jpg?v=1661812037")</f>
        <v/>
      </c>
      <c r="H1514">
        <f>_xlfn.IMAGE("https://m.media-amazon.com/images/I/81-z19Yq1lL._AC_UL320_.jpg")</f>
        <v/>
      </c>
      <c r="K1514" t="inlineStr">
        <is>
          <t>82.0</t>
        </is>
      </c>
      <c r="L1514" t="n">
        <v>4.49</v>
      </c>
      <c r="M1514" s="1" t="inlineStr">
        <is>
          <t>-94.52%</t>
        </is>
      </c>
      <c r="N1514" t="n">
        <v>4.4</v>
      </c>
      <c r="O1514" t="n">
        <v>2648</v>
      </c>
      <c r="Q1514" t="inlineStr">
        <is>
          <t>InStock</t>
        </is>
      </c>
      <c r="R1514" t="inlineStr">
        <is>
          <t>82.0</t>
        </is>
      </c>
      <c r="S1514" t="inlineStr">
        <is>
          <t>7475402309817</t>
        </is>
      </c>
    </row>
    <row r="1515" ht="75" customHeight="1">
      <c r="A1515" s="2">
        <f>HYPERLINK("https://camerareadycosmetics.com/products/karla-cosmetics-romance-quad-eyeshadow-palette", "https://camerareadycosmetics.com/products/karla-cosmetics-romance-quad-eyeshadow-palette")</f>
        <v/>
      </c>
      <c r="B1515" s="2">
        <f>HYPERLINK("https://camerareadycosmetics.com/products/karla-cosmetics-romance-quad-eyeshadow-palette", "https://camerareadycosmetics.com/products/karla-cosmetics-romance-quad-eyeshadow-palette")</f>
        <v/>
      </c>
      <c r="C1515" t="inlineStr">
        <is>
          <t>Romance Quad Eyeshadow Palette</t>
        </is>
      </c>
      <c r="D1515" t="inlineStr">
        <is>
          <t>COVERGIRL COVERGIRL Trunaked Quad Eyeshadow Palette, Dreamland, Dreamland, 0.06 Ounce (99350046919)</t>
        </is>
      </c>
      <c r="E1515" s="2">
        <f>HYPERLINK("https://www.amazon.com/Covergirl-truNAKED-Eyeshadow-Palette-Dreamland/dp/B088P465F2/ref=sr_1_3?keywords=Romance+Quad+Eyeshadow+Palette&amp;qid=1695565772&amp;sr=8-3", "https://www.amazon.com/Covergirl-truNAKED-Eyeshadow-Palette-Dreamland/dp/B088P465F2/ref=sr_1_3?keywords=Romance+Quad+Eyeshadow+Palette&amp;qid=1695565772&amp;sr=8-3")</f>
        <v/>
      </c>
      <c r="F1515" t="inlineStr">
        <is>
          <t>B088P465F2</t>
        </is>
      </c>
      <c r="G1515">
        <f>_xlfn.IMAGE("https://camerareadycosmetics.com/cdn/shop/products/karla-romance-quad-Paletteecommwhite_50x.jpg?v=1661812037")</f>
        <v/>
      </c>
      <c r="H1515">
        <f>_xlfn.IMAGE("https://m.media-amazon.com/images/I/71VTX2xXCjL._AC_UL320_.jpg")</f>
        <v/>
      </c>
      <c r="K1515" t="inlineStr">
        <is>
          <t>82.0</t>
        </is>
      </c>
      <c r="L1515" t="n">
        <v>4.12</v>
      </c>
      <c r="M1515" s="1" t="inlineStr">
        <is>
          <t>-94.98%</t>
        </is>
      </c>
      <c r="N1515" t="n">
        <v>4.4</v>
      </c>
      <c r="O1515" t="n">
        <v>9402</v>
      </c>
      <c r="Q1515" t="inlineStr">
        <is>
          <t>InStock</t>
        </is>
      </c>
      <c r="R1515" t="inlineStr">
        <is>
          <t>82.0</t>
        </is>
      </c>
      <c r="S1515" t="inlineStr">
        <is>
          <t>7475402309817</t>
        </is>
      </c>
    </row>
    <row r="1516" ht="75" customHeight="1">
      <c r="A1516" s="2">
        <f>HYPERLINK("https://camerareadycosmetics.com/products/karla-cosmetics-romance-quad-eyeshadow-palette", "https://camerareadycosmetics.com/products/karla-cosmetics-romance-quad-eyeshadow-palette")</f>
        <v/>
      </c>
      <c r="B1516" s="2">
        <f>HYPERLINK("https://camerareadycosmetics.com/products/karla-cosmetics-romance-quad-eyeshadow-palette", "https://camerareadycosmetics.com/products/karla-cosmetics-romance-quad-eyeshadow-palette")</f>
        <v/>
      </c>
      <c r="C1516" t="inlineStr">
        <is>
          <t>Romance Quad Eyeshadow Palette</t>
        </is>
      </c>
      <c r="D1516" t="inlineStr">
        <is>
          <t>Palladio Eyeshadow Quads, Velvety Pigmented Blendable Matte, Metallic and Shimmer Finishes, Creamy Formula, Four Way Quad Eye Shadow Palette, Talc-Free (Ballerina)</t>
        </is>
      </c>
      <c r="E1516" s="2">
        <f>HYPERLINK("https://www.amazon.com/Palladio-PALLADIO-274085-Eyeshadow-Quad-Ballerina/dp/B00ECVZI32/ref=sr_1_6?keywords=Romance+Quad+Eyeshadow+Palette&amp;qid=1695565772&amp;sr=8-6", "https://www.amazon.com/Palladio-PALLADIO-274085-Eyeshadow-Quad-Ballerina/dp/B00ECVZI32/ref=sr_1_6?keywords=Romance+Quad+Eyeshadow+Palette&amp;qid=1695565772&amp;sr=8-6")</f>
        <v/>
      </c>
      <c r="F1516" t="inlineStr">
        <is>
          <t>B00ECVZI32</t>
        </is>
      </c>
      <c r="G1516">
        <f>_xlfn.IMAGE("https://camerareadycosmetics.com/cdn/shop/products/karla-romance-quad-Paletteecommwhite_50x.jpg?v=1661812037")</f>
        <v/>
      </c>
      <c r="H1516">
        <f>_xlfn.IMAGE("https://m.media-amazon.com/images/I/71e45QA2JVL._AC_UL320_.jpg")</f>
        <v/>
      </c>
      <c r="K1516" t="inlineStr">
        <is>
          <t>82.0</t>
        </is>
      </c>
      <c r="L1516" t="n">
        <v>9.99</v>
      </c>
      <c r="M1516" s="1" t="inlineStr">
        <is>
          <t>-87.82%</t>
        </is>
      </c>
      <c r="N1516" t="n">
        <v>4.4</v>
      </c>
      <c r="O1516" t="n">
        <v>914</v>
      </c>
      <c r="Q1516" t="inlineStr">
        <is>
          <t>InStock</t>
        </is>
      </c>
      <c r="R1516" t="inlineStr">
        <is>
          <t>82.0</t>
        </is>
      </c>
      <c r="S1516" t="inlineStr">
        <is>
          <t>7475402309817</t>
        </is>
      </c>
    </row>
    <row r="1517" ht="75" customHeight="1">
      <c r="A1517" s="2">
        <f>HYPERLINK("https://camerareadycosmetics.com/products/karla-cosmetics-romance-quad-eyeshadow-palette", "https://camerareadycosmetics.com/products/karla-cosmetics-romance-quad-eyeshadow-palette")</f>
        <v/>
      </c>
      <c r="B1517" s="2">
        <f>HYPERLINK("https://camerareadycosmetics.com/products/karla-cosmetics-romance-quad-eyeshadow-palette", "https://camerareadycosmetics.com/products/karla-cosmetics-romance-quad-eyeshadow-palette")</f>
        <v/>
      </c>
      <c r="C1517" t="inlineStr">
        <is>
          <t>Romance Quad Eyeshadow Palette</t>
        </is>
      </c>
      <c r="D1517" t="inlineStr">
        <is>
          <t>COVERGIRL COVERGIRL Trunaked Quad Eyeshadow Palette, Night Mayhem, Midsummer Night Mayhem, 0.06 Ounce</t>
        </is>
      </c>
      <c r="E1517" s="2">
        <f>HYPERLINK("https://www.amazon.com/Covergirl-truNAKED-Eyeshadow-Palette-Midsummer/dp/B088P4Z46P/ref=sr_1_7?keywords=Romance+Quad+Eyeshadow+Palette&amp;qid=1695565772&amp;sr=8-7", "https://www.amazon.com/Covergirl-truNAKED-Eyeshadow-Palette-Midsummer/dp/B088P4Z46P/ref=sr_1_7?keywords=Romance+Quad+Eyeshadow+Palette&amp;qid=1695565772&amp;sr=8-7")</f>
        <v/>
      </c>
      <c r="F1517" t="inlineStr">
        <is>
          <t>B088P4Z46P</t>
        </is>
      </c>
      <c r="G1517">
        <f>_xlfn.IMAGE("https://camerareadycosmetics.com/cdn/shop/products/karla-romance-quad-Paletteecommwhite_50x.jpg?v=1661812037")</f>
        <v/>
      </c>
      <c r="H1517">
        <f>_xlfn.IMAGE("https://m.media-amazon.com/images/I/81-z19Yq1lL._AC_UL320_.jpg")</f>
        <v/>
      </c>
      <c r="K1517" t="inlineStr">
        <is>
          <t>82.0</t>
        </is>
      </c>
      <c r="L1517" t="n">
        <v>4.49</v>
      </c>
      <c r="M1517" s="1" t="inlineStr">
        <is>
          <t>-94.52%</t>
        </is>
      </c>
      <c r="N1517" t="n">
        <v>4.4</v>
      </c>
      <c r="O1517" t="n">
        <v>2648</v>
      </c>
      <c r="Q1517" t="inlineStr">
        <is>
          <t>InStock</t>
        </is>
      </c>
      <c r="R1517" t="inlineStr">
        <is>
          <t>82.0</t>
        </is>
      </c>
      <c r="S1517" t="inlineStr">
        <is>
          <t>7475402309817</t>
        </is>
      </c>
    </row>
    <row r="1518" ht="75" customHeight="1">
      <c r="A1518" s="2">
        <f>HYPERLINK("https://camerareadycosmetics.com/products/karla-cosmetics-romance-quad-eyeshadow-palette", "https://camerareadycosmetics.com/products/karla-cosmetics-romance-quad-eyeshadow-palette")</f>
        <v/>
      </c>
      <c r="B1518" s="2">
        <f>HYPERLINK("https://camerareadycosmetics.com/products/karla-cosmetics-romance-quad-eyeshadow-palette", "https://camerareadycosmetics.com/products/karla-cosmetics-romance-quad-eyeshadow-palette")</f>
        <v/>
      </c>
      <c r="C1518" t="inlineStr">
        <is>
          <t>Romance Quad Eyeshadow Palette</t>
        </is>
      </c>
      <c r="D1518" t="inlineStr">
        <is>
          <t>COVERGIRL COVERGIRL Trunaked Quad Eyeshadow Palette, Dreamland, Dreamland, 0.06 Ounce (99350046919)</t>
        </is>
      </c>
      <c r="E1518" s="2">
        <f>HYPERLINK("https://www.amazon.com/Covergirl-truNAKED-Eyeshadow-Palette-Dreamland/dp/B088P465F2/ref=sr_1_3?keywords=Romance+Quad+Eyeshadow+Palette&amp;qid=1695565772&amp;sr=8-3", "https://www.amazon.com/Covergirl-truNAKED-Eyeshadow-Palette-Dreamland/dp/B088P465F2/ref=sr_1_3?keywords=Romance+Quad+Eyeshadow+Palette&amp;qid=1695565772&amp;sr=8-3")</f>
        <v/>
      </c>
      <c r="F1518" t="inlineStr">
        <is>
          <t>B088P465F2</t>
        </is>
      </c>
      <c r="G1518">
        <f>_xlfn.IMAGE("https://camerareadycosmetics.com/cdn/shop/products/karla-romance-quad-Paletteecommwhite_50x.jpg?v=1661812037")</f>
        <v/>
      </c>
      <c r="H1518">
        <f>_xlfn.IMAGE("https://m.media-amazon.com/images/I/71VTX2xXCjL._AC_UL320_.jpg")</f>
        <v/>
      </c>
      <c r="K1518" t="inlineStr">
        <is>
          <t>82.0</t>
        </is>
      </c>
      <c r="L1518" t="n">
        <v>4.12</v>
      </c>
      <c r="M1518" s="1" t="inlineStr">
        <is>
          <t>-94.98%</t>
        </is>
      </c>
      <c r="N1518" t="n">
        <v>4.4</v>
      </c>
      <c r="O1518" t="n">
        <v>9402</v>
      </c>
      <c r="Q1518" t="inlineStr">
        <is>
          <t>InStock</t>
        </is>
      </c>
      <c r="R1518" t="inlineStr">
        <is>
          <t>82.0</t>
        </is>
      </c>
      <c r="S1518" t="inlineStr">
        <is>
          <t>7475402309817</t>
        </is>
      </c>
    </row>
    <row r="1519" ht="75" customHeight="1">
      <c r="A1519" s="2">
        <f>HYPERLINK("https://camerareadycosmetics.com/products/karla-cosmetics-shadow-potion-gel-eyeshadow", "https://camerareadycosmetics.com/products/karla-cosmetics-shadow-potion-gel-eyeshadow")</f>
        <v/>
      </c>
      <c r="B1519" s="2">
        <f>HYPERLINK("https://camerareadycosmetics.com/products/karla-cosmetics-shadow-potion-gel-eyeshadow", "https://camerareadycosmetics.com/products/karla-cosmetics-shadow-potion-gel-eyeshadow")</f>
        <v/>
      </c>
      <c r="C1519" t="inlineStr">
        <is>
          <t>Shadow Potion Gel Eyeshadow</t>
        </is>
      </c>
      <c r="D1519" t="inlineStr">
        <is>
          <t>AMY'S DIARY 8 Colors Liquid shimeer Eyeshadow Kit - Shimmer Eye Shadow Gel - Sparkling Metallic High Pigmented Glitter Eye Shadow, Quick Drying Long Lasting Creates Dimensional Beauty Eye Looks</t>
        </is>
      </c>
      <c r="E1519" s="2">
        <f>HYPERLINK("https://www.amazon.com/AMYS-DIARY-Colors-shimeer-Eyeshadow/dp/B0BK5Y9GDB/ref=sr_1_10?keywords=Shadow+Potion+Gel+Eyeshadow&amp;qid=1695565465&amp;sr=8-10", "https://www.amazon.com/AMYS-DIARY-Colors-shimeer-Eyeshadow/dp/B0BK5Y9GDB/ref=sr_1_10?keywords=Shadow+Potion+Gel+Eyeshadow&amp;qid=1695565465&amp;sr=8-10")</f>
        <v/>
      </c>
      <c r="F1519" t="inlineStr">
        <is>
          <t>B0BK5Y9GDB</t>
        </is>
      </c>
      <c r="G1519">
        <f>_xlfn.IMAGE("https://camerareadycosmetics.com/cdn/shop/products/snooze--Karla_Cosmetics_Shadow_Potion_Gel_Eyeshadow_50x.jpg?v=1672922886")</f>
        <v/>
      </c>
      <c r="H1519">
        <f>_xlfn.IMAGE("https://m.media-amazon.com/images/I/71uGWvWIkLL._AC_UL320_.jpg")</f>
        <v/>
      </c>
      <c r="K1519" t="inlineStr">
        <is>
          <t>26.14</t>
        </is>
      </c>
      <c r="L1519" t="n">
        <v>9.99</v>
      </c>
      <c r="M1519" s="1" t="inlineStr">
        <is>
          <t>-61.78%</t>
        </is>
      </c>
      <c r="N1519" t="n">
        <v>4</v>
      </c>
      <c r="O1519" t="n">
        <v>39</v>
      </c>
      <c r="Q1519" t="inlineStr">
        <is>
          <t>InStock</t>
        </is>
      </c>
      <c r="R1519" t="inlineStr">
        <is>
          <t>undefined</t>
        </is>
      </c>
      <c r="S1519" t="inlineStr">
        <is>
          <t>7113137356985</t>
        </is>
      </c>
    </row>
    <row r="1520" ht="75" customHeight="1">
      <c r="A1520" s="2">
        <f>HYPERLINK("https://camerareadycosmetics.com/products/karla-cosmetics-shadow-potion-gel-eyeshadow", "https://camerareadycosmetics.com/products/karla-cosmetics-shadow-potion-gel-eyeshadow")</f>
        <v/>
      </c>
      <c r="B1520" s="2">
        <f>HYPERLINK("https://camerareadycosmetics.com/products/karla-cosmetics-shadow-potion-gel-eyeshadow", "https://camerareadycosmetics.com/products/karla-cosmetics-shadow-potion-gel-eyeshadow")</f>
        <v/>
      </c>
      <c r="C1520" t="inlineStr">
        <is>
          <t>Shadow Potion Gel Eyeshadow</t>
        </is>
      </c>
      <c r="D1520" t="inlineStr">
        <is>
          <t>Glitter Eyeshadow, Shiny Liquid Eyeshadow Eyeliner, Long Lasting Quick-Drying Opaque Gel-Based Formula Creates High-Impact Multi-Dimensional Eye Shadow Set, Gift for Girls and Women (A9)</t>
        </is>
      </c>
      <c r="E1520" s="2">
        <f>HYPERLINK("https://www.amazon.com/Eyeshadow-Eyeliner-Quick-Drying-Gel-Based-Multi-Dimensional/dp/B08YWR7WZX/ref=sr_1_3?keywords=Shadow+Potion+Gel+Eyeshadow&amp;qid=1695565465&amp;sr=8-3", "https://www.amazon.com/Eyeshadow-Eyeliner-Quick-Drying-Gel-Based-Multi-Dimensional/dp/B08YWR7WZX/ref=sr_1_3?keywords=Shadow+Potion+Gel+Eyeshadow&amp;qid=1695565465&amp;sr=8-3")</f>
        <v/>
      </c>
      <c r="F1520" t="inlineStr">
        <is>
          <t>B08YWR7WZX</t>
        </is>
      </c>
      <c r="G1520">
        <f>_xlfn.IMAGE("https://camerareadycosmetics.com/cdn/shop/products/snooze--Karla_Cosmetics_Shadow_Potion_Gel_Eyeshadow_50x.jpg?v=1672922886")</f>
        <v/>
      </c>
      <c r="H1520">
        <f>_xlfn.IMAGE("https://m.media-amazon.com/images/I/61SECeYK7AL._AC_UL320_.jpg")</f>
        <v/>
      </c>
      <c r="K1520" t="inlineStr">
        <is>
          <t>26.14</t>
        </is>
      </c>
      <c r="L1520" t="n">
        <v>8.99</v>
      </c>
      <c r="M1520" s="1" t="inlineStr">
        <is>
          <t>-65.61%</t>
        </is>
      </c>
      <c r="N1520" t="n">
        <v>3.8</v>
      </c>
      <c r="O1520" t="n">
        <v>602</v>
      </c>
      <c r="Q1520" t="inlineStr">
        <is>
          <t>InStock</t>
        </is>
      </c>
      <c r="R1520" t="inlineStr">
        <is>
          <t>undefined</t>
        </is>
      </c>
      <c r="S1520" t="inlineStr">
        <is>
          <t>7113137356985</t>
        </is>
      </c>
    </row>
    <row r="1521" ht="75" customHeight="1">
      <c r="A1521" s="2">
        <f>HYPERLINK("https://camerareadycosmetics.com/products/karla-cosmetics-shadow-potion-gel-eyeshadow", "https://camerareadycosmetics.com/products/karla-cosmetics-shadow-potion-gel-eyeshadow")</f>
        <v/>
      </c>
      <c r="B1521" s="2">
        <f>HYPERLINK("https://camerareadycosmetics.com/products/karla-cosmetics-shadow-potion-gel-eyeshadow", "https://camerareadycosmetics.com/products/karla-cosmetics-shadow-potion-gel-eyeshadow")</f>
        <v/>
      </c>
      <c r="C1521" t="inlineStr">
        <is>
          <t>Shadow Potion Gel Eyeshadow</t>
        </is>
      </c>
      <c r="D1521" t="inlineStr">
        <is>
          <t>Multichrome Liquid Eyeshadow, Chameleon Metallic Purple Pink Color Shifting, Holographic Gel Eye Shadow, High Pigmented Quick-Drying Waterproof Glitter Shimmer Duochrome Eye Gloss Makeup (WONDER)</t>
        </is>
      </c>
      <c r="E1521" s="2">
        <f>HYPERLINK("https://www.amazon.com/Multichrome-Eyeshadow-Holographic-Quick-Drying-Waterproof/dp/B09XCRTSV6/ref=sr_1_4?keywords=Shadow+Potion+Gel+Eyeshadow&amp;qid=1695565465&amp;sr=8-4", "https://www.amazon.com/Multichrome-Eyeshadow-Holographic-Quick-Drying-Waterproof/dp/B09XCRTSV6/ref=sr_1_4?keywords=Shadow+Potion+Gel+Eyeshadow&amp;qid=1695565465&amp;sr=8-4")</f>
        <v/>
      </c>
      <c r="F1521" t="inlineStr">
        <is>
          <t>B09XCRTSV6</t>
        </is>
      </c>
      <c r="G1521">
        <f>_xlfn.IMAGE("https://camerareadycosmetics.com/cdn/shop/products/snooze--Karla_Cosmetics_Shadow_Potion_Gel_Eyeshadow_50x.jpg?v=1672922886")</f>
        <v/>
      </c>
      <c r="H1521">
        <f>_xlfn.IMAGE("https://m.media-amazon.com/images/I/81ff5GIb5GL._AC_UL320_.jpg")</f>
        <v/>
      </c>
      <c r="K1521" t="inlineStr">
        <is>
          <t>26.14</t>
        </is>
      </c>
      <c r="L1521" t="n">
        <v>7.88</v>
      </c>
      <c r="M1521" s="1" t="inlineStr">
        <is>
          <t>-69.85%</t>
        </is>
      </c>
      <c r="N1521" t="n">
        <v>4.3</v>
      </c>
      <c r="O1521" t="n">
        <v>75</v>
      </c>
      <c r="Q1521" t="inlineStr">
        <is>
          <t>InStock</t>
        </is>
      </c>
      <c r="R1521" t="inlineStr">
        <is>
          <t>undefined</t>
        </is>
      </c>
      <c r="S1521" t="inlineStr">
        <is>
          <t>7113137356985</t>
        </is>
      </c>
    </row>
    <row r="1522" ht="75" customHeight="1">
      <c r="A1522" s="2">
        <f>HYPERLINK("https://camerareadycosmetics.com/products/karla-cosmetics-shadow-potion-gel-eyeshadow", "https://camerareadycosmetics.com/products/karla-cosmetics-shadow-potion-gel-eyeshadow")</f>
        <v/>
      </c>
      <c r="B1522" s="2">
        <f>HYPERLINK("https://camerareadycosmetics.com/products/karla-cosmetics-shadow-potion-gel-eyeshadow", "https://camerareadycosmetics.com/products/karla-cosmetics-shadow-potion-gel-eyeshadow")</f>
        <v/>
      </c>
      <c r="C1522" t="inlineStr">
        <is>
          <t>Shadow Potion Gel Eyeshadow</t>
        </is>
      </c>
      <c r="D1522" t="inlineStr">
        <is>
          <t>MEICOLY Cream Chameleon Eyeshadow Gel,Color Change Intense Color Shifting Creamy Thick Apply Eye Shadows,Multi Chrome Flakes,Glitter,Sparkle Metallic,Shimmer,No Creasing,Rain Forest</t>
        </is>
      </c>
      <c r="E1522" s="2">
        <f>HYPERLINK("https://www.amazon.com/MEICOLY-Chameleon-Eyeshadow-Shifting-Metallic/dp/B0B1YLQJ2H/ref=sr_1_5?keywords=Shadow+Potion+Gel+Eyeshadow&amp;qid=1695565465&amp;sr=8-5", "https://www.amazon.com/MEICOLY-Chameleon-Eyeshadow-Shifting-Metallic/dp/B0B1YLQJ2H/ref=sr_1_5?keywords=Shadow+Potion+Gel+Eyeshadow&amp;qid=1695565465&amp;sr=8-5")</f>
        <v/>
      </c>
      <c r="F1522" t="inlineStr">
        <is>
          <t>B0B1YLQJ2H</t>
        </is>
      </c>
      <c r="G1522">
        <f>_xlfn.IMAGE("https://camerareadycosmetics.com/cdn/shop/products/snooze--Karla_Cosmetics_Shadow_Potion_Gel_Eyeshadow_50x.jpg?v=1672922886")</f>
        <v/>
      </c>
      <c r="H1522">
        <f>_xlfn.IMAGE("https://m.media-amazon.com/images/I/71EBkw9EobL._AC_UL320_.jpg")</f>
        <v/>
      </c>
      <c r="K1522" t="inlineStr">
        <is>
          <t>26.14</t>
        </is>
      </c>
      <c r="L1522" t="n">
        <v>5.99</v>
      </c>
      <c r="M1522" s="1" t="inlineStr">
        <is>
          <t>-77.08%</t>
        </is>
      </c>
      <c r="N1522" t="n">
        <v>3.5</v>
      </c>
      <c r="O1522" t="n">
        <v>27</v>
      </c>
      <c r="Q1522" t="inlineStr">
        <is>
          <t>InStock</t>
        </is>
      </c>
      <c r="R1522" t="inlineStr">
        <is>
          <t>undefined</t>
        </is>
      </c>
      <c r="S1522" t="inlineStr">
        <is>
          <t>7113137356985</t>
        </is>
      </c>
    </row>
    <row r="1523" ht="75" customHeight="1">
      <c r="A1523" s="2">
        <f>HYPERLINK("https://camerareadycosmetics.com/products/karla-cosmetics-shadow-potion-gel-eyeshadow", "https://camerareadycosmetics.com/products/karla-cosmetics-shadow-potion-gel-eyeshadow")</f>
        <v/>
      </c>
      <c r="B1523" s="2">
        <f>HYPERLINK("https://camerareadycosmetics.com/products/karla-cosmetics-shadow-potion-gel-eyeshadow", "https://camerareadycosmetics.com/products/karla-cosmetics-shadow-potion-gel-eyeshadow")</f>
        <v/>
      </c>
      <c r="C1523" t="inlineStr">
        <is>
          <t>Shadow Potion Gel Eyeshadow</t>
        </is>
      </c>
      <c r="D1523" t="inlineStr">
        <is>
          <t>Matte Liquid Eyeshadow Long Lasting High-pigmented Eye shadow Gel Eye Makeup (Matte Medium Brown</t>
        </is>
      </c>
      <c r="E1523" s="2">
        <f>HYPERLINK("https://www.amazon.com/ONarisae-Liquid-Eyeshadow-Lasting-High-pigmented/dp/B0C4GY1G4Q/ref=sr_1_8?keywords=Shadow+Potion+Gel+Eyeshadow&amp;qid=1695565465&amp;sr=8-8", "https://www.amazon.com/ONarisae-Liquid-Eyeshadow-Lasting-High-pigmented/dp/B0C4GY1G4Q/ref=sr_1_8?keywords=Shadow+Potion+Gel+Eyeshadow&amp;qid=1695565465&amp;sr=8-8")</f>
        <v/>
      </c>
      <c r="F1523" t="inlineStr">
        <is>
          <t>B0C4GY1G4Q</t>
        </is>
      </c>
      <c r="G1523">
        <f>_xlfn.IMAGE("https://camerareadycosmetics.com/cdn/shop/products/snooze--Karla_Cosmetics_Shadow_Potion_Gel_Eyeshadow_50x.jpg?v=1672922886")</f>
        <v/>
      </c>
      <c r="H1523">
        <f>_xlfn.IMAGE("https://m.media-amazon.com/images/I/61UFxk7ozuL._AC_UL320_.jpg")</f>
        <v/>
      </c>
      <c r="K1523" t="inlineStr">
        <is>
          <t>26.14</t>
        </is>
      </c>
      <c r="L1523" t="n">
        <v>5.89</v>
      </c>
      <c r="M1523" s="1" t="inlineStr">
        <is>
          <t>-77.47%</t>
        </is>
      </c>
      <c r="N1523" t="n">
        <v>4.2</v>
      </c>
      <c r="O1523" t="n">
        <v>31</v>
      </c>
      <c r="Q1523" t="inlineStr">
        <is>
          <t>InStock</t>
        </is>
      </c>
      <c r="R1523" t="inlineStr">
        <is>
          <t>undefined</t>
        </is>
      </c>
      <c r="S1523" t="inlineStr">
        <is>
          <t>7113137356985</t>
        </is>
      </c>
    </row>
    <row r="1524" ht="75" customHeight="1">
      <c r="A1524" s="2">
        <f>HYPERLINK("https://camerareadycosmetics.com/products/karla-cosmetics-shadow-potion-gel-eyeshadow", "https://camerareadycosmetics.com/products/karla-cosmetics-shadow-potion-gel-eyeshadow")</f>
        <v/>
      </c>
      <c r="B1524" s="2">
        <f>HYPERLINK("https://camerareadycosmetics.com/products/karla-cosmetics-shadow-potion-gel-eyeshadow", "https://camerareadycosmetics.com/products/karla-cosmetics-shadow-potion-gel-eyeshadow")</f>
        <v/>
      </c>
      <c r="C1524" t="inlineStr">
        <is>
          <t>Shadow Potion Gel Eyeshadow</t>
        </is>
      </c>
      <c r="D1524" t="inlineStr">
        <is>
          <t>AMY'S DIARY 8 Colors Liquid shimeer Eyeshadow Kit - Shimmer Eye Shadow Gel - Sparkling Metallic High Pigmented Glitter Eye Shadow, Quick Drying Long Lasting Creates Dimensional Beauty Eye Looks</t>
        </is>
      </c>
      <c r="E1524" s="2">
        <f>HYPERLINK("https://www.amazon.com/AMYS-DIARY-Colors-shimeer-Eyeshadow/dp/B0BK5Y9GDB/ref=sr_1_10?keywords=Shadow+Potion+Gel+Eyeshadow&amp;qid=1695565465&amp;sr=8-10", "https://www.amazon.com/AMYS-DIARY-Colors-shimeer-Eyeshadow/dp/B0BK5Y9GDB/ref=sr_1_10?keywords=Shadow+Potion+Gel+Eyeshadow&amp;qid=1695565465&amp;sr=8-10")</f>
        <v/>
      </c>
      <c r="F1524" t="inlineStr">
        <is>
          <t>B0BK5Y9GDB</t>
        </is>
      </c>
      <c r="G1524">
        <f>_xlfn.IMAGE("https://camerareadycosmetics.com/cdn/shop/products/snooze--Karla_Cosmetics_Shadow_Potion_Gel_Eyeshadow_50x.jpg?v=1672922886")</f>
        <v/>
      </c>
      <c r="H1524">
        <f>_xlfn.IMAGE("https://m.media-amazon.com/images/I/71uGWvWIkLL._AC_UL320_.jpg")</f>
        <v/>
      </c>
      <c r="K1524" t="inlineStr">
        <is>
          <t>26.14</t>
        </is>
      </c>
      <c r="L1524" t="n">
        <v>9.99</v>
      </c>
      <c r="M1524" s="1" t="inlineStr">
        <is>
          <t>-61.78%</t>
        </is>
      </c>
      <c r="N1524" t="n">
        <v>4</v>
      </c>
      <c r="O1524" t="n">
        <v>39</v>
      </c>
      <c r="Q1524" t="inlineStr">
        <is>
          <t>InStock</t>
        </is>
      </c>
      <c r="R1524" t="inlineStr">
        <is>
          <t>undefined</t>
        </is>
      </c>
      <c r="S1524" t="inlineStr">
        <is>
          <t>7113137356985</t>
        </is>
      </c>
    </row>
    <row r="1525" ht="75" customHeight="1">
      <c r="A1525" s="2">
        <f>HYPERLINK("https://camerareadycosmetics.com/products/karla-cosmetics-shadow-potion-gel-eyeshadow", "https://camerareadycosmetics.com/products/karla-cosmetics-shadow-potion-gel-eyeshadow")</f>
        <v/>
      </c>
      <c r="B1525" s="2">
        <f>HYPERLINK("https://camerareadycosmetics.com/products/karla-cosmetics-shadow-potion-gel-eyeshadow", "https://camerareadycosmetics.com/products/karla-cosmetics-shadow-potion-gel-eyeshadow")</f>
        <v/>
      </c>
      <c r="C1525" t="inlineStr">
        <is>
          <t>Shadow Potion Gel Eyeshadow</t>
        </is>
      </c>
      <c r="D1525" t="inlineStr">
        <is>
          <t>Glitter Eyeshadow, Shiny Liquid Eyeshadow Eyeliner, Long Lasting Quick-Drying Opaque Gel-Based Formula Creates High-Impact Multi-Dimensional Eye Shadow Set, Gift for Girls and Women (A9)</t>
        </is>
      </c>
      <c r="E1525" s="2">
        <f>HYPERLINK("https://www.amazon.com/Eyeshadow-Eyeliner-Quick-Drying-Gel-Based-Multi-Dimensional/dp/B08YWR7WZX/ref=sr_1_3?keywords=Shadow+Potion+Gel+Eyeshadow&amp;qid=1695565465&amp;sr=8-3", "https://www.amazon.com/Eyeshadow-Eyeliner-Quick-Drying-Gel-Based-Multi-Dimensional/dp/B08YWR7WZX/ref=sr_1_3?keywords=Shadow+Potion+Gel+Eyeshadow&amp;qid=1695565465&amp;sr=8-3")</f>
        <v/>
      </c>
      <c r="F1525" t="inlineStr">
        <is>
          <t>B08YWR7WZX</t>
        </is>
      </c>
      <c r="G1525">
        <f>_xlfn.IMAGE("https://camerareadycosmetics.com/cdn/shop/products/snooze--Karla_Cosmetics_Shadow_Potion_Gel_Eyeshadow_50x.jpg?v=1672922886")</f>
        <v/>
      </c>
      <c r="H1525">
        <f>_xlfn.IMAGE("https://m.media-amazon.com/images/I/61SECeYK7AL._AC_UL320_.jpg")</f>
        <v/>
      </c>
      <c r="K1525" t="inlineStr">
        <is>
          <t>26.14</t>
        </is>
      </c>
      <c r="L1525" t="n">
        <v>8.99</v>
      </c>
      <c r="M1525" s="1" t="inlineStr">
        <is>
          <t>-65.61%</t>
        </is>
      </c>
      <c r="N1525" t="n">
        <v>3.8</v>
      </c>
      <c r="O1525" t="n">
        <v>602</v>
      </c>
      <c r="Q1525" t="inlineStr">
        <is>
          <t>InStock</t>
        </is>
      </c>
      <c r="R1525" t="inlineStr">
        <is>
          <t>undefined</t>
        </is>
      </c>
      <c r="S1525" t="inlineStr">
        <is>
          <t>7113137356985</t>
        </is>
      </c>
    </row>
    <row r="1526" ht="75" customHeight="1">
      <c r="A1526" s="2">
        <f>HYPERLINK("https://camerareadycosmetics.com/products/karla-cosmetics-shadow-potion-gel-eyeshadow", "https://camerareadycosmetics.com/products/karla-cosmetics-shadow-potion-gel-eyeshadow")</f>
        <v/>
      </c>
      <c r="B1526" s="2">
        <f>HYPERLINK("https://camerareadycosmetics.com/products/karla-cosmetics-shadow-potion-gel-eyeshadow", "https://camerareadycosmetics.com/products/karla-cosmetics-shadow-potion-gel-eyeshadow")</f>
        <v/>
      </c>
      <c r="C1526" t="inlineStr">
        <is>
          <t>Shadow Potion Gel Eyeshadow</t>
        </is>
      </c>
      <c r="D1526" t="inlineStr">
        <is>
          <t>Multichrome Liquid Eyeshadow, Chameleon Metallic Purple Pink Color Shifting, Holographic Gel Eye Shadow, High Pigmented Quick-Drying Waterproof Glitter Shimmer Duochrome Eye Gloss Makeup (WONDER)</t>
        </is>
      </c>
      <c r="E1526" s="2">
        <f>HYPERLINK("https://www.amazon.com/Multichrome-Eyeshadow-Holographic-Quick-Drying-Waterproof/dp/B09XCRTSV6/ref=sr_1_4?keywords=Shadow+Potion+Gel+Eyeshadow&amp;qid=1695565465&amp;sr=8-4", "https://www.amazon.com/Multichrome-Eyeshadow-Holographic-Quick-Drying-Waterproof/dp/B09XCRTSV6/ref=sr_1_4?keywords=Shadow+Potion+Gel+Eyeshadow&amp;qid=1695565465&amp;sr=8-4")</f>
        <v/>
      </c>
      <c r="F1526" t="inlineStr">
        <is>
          <t>B09XCRTSV6</t>
        </is>
      </c>
      <c r="G1526">
        <f>_xlfn.IMAGE("https://camerareadycosmetics.com/cdn/shop/products/snooze--Karla_Cosmetics_Shadow_Potion_Gel_Eyeshadow_50x.jpg?v=1672922886")</f>
        <v/>
      </c>
      <c r="H1526">
        <f>_xlfn.IMAGE("https://m.media-amazon.com/images/I/81ff5GIb5GL._AC_UL320_.jpg")</f>
        <v/>
      </c>
      <c r="K1526" t="inlineStr">
        <is>
          <t>26.14</t>
        </is>
      </c>
      <c r="L1526" t="n">
        <v>7.88</v>
      </c>
      <c r="M1526" s="1" t="inlineStr">
        <is>
          <t>-69.85%</t>
        </is>
      </c>
      <c r="N1526" t="n">
        <v>4.3</v>
      </c>
      <c r="O1526" t="n">
        <v>75</v>
      </c>
      <c r="Q1526" t="inlineStr">
        <is>
          <t>InStock</t>
        </is>
      </c>
      <c r="R1526" t="inlineStr">
        <is>
          <t>undefined</t>
        </is>
      </c>
      <c r="S1526" t="inlineStr">
        <is>
          <t>7113137356985</t>
        </is>
      </c>
    </row>
    <row r="1527" ht="75" customHeight="1">
      <c r="A1527" s="2">
        <f>HYPERLINK("https://camerareadycosmetics.com/products/karla-cosmetics-shadow-potion-gel-eyeshadow", "https://camerareadycosmetics.com/products/karla-cosmetics-shadow-potion-gel-eyeshadow")</f>
        <v/>
      </c>
      <c r="B1527" s="2">
        <f>HYPERLINK("https://camerareadycosmetics.com/products/karla-cosmetics-shadow-potion-gel-eyeshadow", "https://camerareadycosmetics.com/products/karla-cosmetics-shadow-potion-gel-eyeshadow")</f>
        <v/>
      </c>
      <c r="C1527" t="inlineStr">
        <is>
          <t>Shadow Potion Gel Eyeshadow</t>
        </is>
      </c>
      <c r="D1527" t="inlineStr">
        <is>
          <t>MEICOLY Cream Chameleon Eyeshadow Gel,Color Change Intense Color Shifting Creamy Thick Apply Eye Shadows,Multi Chrome Flakes,Glitter,Sparkle Metallic,Shimmer,No Creasing,Rain Forest</t>
        </is>
      </c>
      <c r="E1527" s="2">
        <f>HYPERLINK("https://www.amazon.com/MEICOLY-Chameleon-Eyeshadow-Shifting-Metallic/dp/B0B1YLQJ2H/ref=sr_1_5?keywords=Shadow+Potion+Gel+Eyeshadow&amp;qid=1695565465&amp;sr=8-5", "https://www.amazon.com/MEICOLY-Chameleon-Eyeshadow-Shifting-Metallic/dp/B0B1YLQJ2H/ref=sr_1_5?keywords=Shadow+Potion+Gel+Eyeshadow&amp;qid=1695565465&amp;sr=8-5")</f>
        <v/>
      </c>
      <c r="F1527" t="inlineStr">
        <is>
          <t>B0B1YLQJ2H</t>
        </is>
      </c>
      <c r="G1527">
        <f>_xlfn.IMAGE("https://camerareadycosmetics.com/cdn/shop/products/snooze--Karla_Cosmetics_Shadow_Potion_Gel_Eyeshadow_50x.jpg?v=1672922886")</f>
        <v/>
      </c>
      <c r="H1527">
        <f>_xlfn.IMAGE("https://m.media-amazon.com/images/I/71EBkw9EobL._AC_UL320_.jpg")</f>
        <v/>
      </c>
      <c r="K1527" t="inlineStr">
        <is>
          <t>26.14</t>
        </is>
      </c>
      <c r="L1527" t="n">
        <v>5.99</v>
      </c>
      <c r="M1527" s="1" t="inlineStr">
        <is>
          <t>-77.08%</t>
        </is>
      </c>
      <c r="N1527" t="n">
        <v>3.5</v>
      </c>
      <c r="O1527" t="n">
        <v>27</v>
      </c>
      <c r="Q1527" t="inlineStr">
        <is>
          <t>InStock</t>
        </is>
      </c>
      <c r="R1527" t="inlineStr">
        <is>
          <t>undefined</t>
        </is>
      </c>
      <c r="S1527" t="inlineStr">
        <is>
          <t>7113137356985</t>
        </is>
      </c>
    </row>
    <row r="1528" ht="75" customHeight="1">
      <c r="A1528" s="2">
        <f>HYPERLINK("https://camerareadycosmetics.com/products/karla-cosmetics-shadow-potion-gel-eyeshadow", "https://camerareadycosmetics.com/products/karla-cosmetics-shadow-potion-gel-eyeshadow")</f>
        <v/>
      </c>
      <c r="B1528" s="2">
        <f>HYPERLINK("https://camerareadycosmetics.com/products/karla-cosmetics-shadow-potion-gel-eyeshadow", "https://camerareadycosmetics.com/products/karla-cosmetics-shadow-potion-gel-eyeshadow")</f>
        <v/>
      </c>
      <c r="C1528" t="inlineStr">
        <is>
          <t>Shadow Potion Gel Eyeshadow</t>
        </is>
      </c>
      <c r="D1528" t="inlineStr">
        <is>
          <t>Matte Liquid Eyeshadow Long Lasting High-pigmented Eye shadow Gel Eye Makeup (Matte Medium Brown</t>
        </is>
      </c>
      <c r="E1528" s="2">
        <f>HYPERLINK("https://www.amazon.com/ONarisae-Liquid-Eyeshadow-Lasting-High-pigmented/dp/B0C4GY1G4Q/ref=sr_1_8?keywords=Shadow+Potion+Gel+Eyeshadow&amp;qid=1695565465&amp;sr=8-8", "https://www.amazon.com/ONarisae-Liquid-Eyeshadow-Lasting-High-pigmented/dp/B0C4GY1G4Q/ref=sr_1_8?keywords=Shadow+Potion+Gel+Eyeshadow&amp;qid=1695565465&amp;sr=8-8")</f>
        <v/>
      </c>
      <c r="F1528" t="inlineStr">
        <is>
          <t>B0C4GY1G4Q</t>
        </is>
      </c>
      <c r="G1528">
        <f>_xlfn.IMAGE("https://camerareadycosmetics.com/cdn/shop/products/snooze--Karla_Cosmetics_Shadow_Potion_Gel_Eyeshadow_50x.jpg?v=1672922886")</f>
        <v/>
      </c>
      <c r="H1528">
        <f>_xlfn.IMAGE("https://m.media-amazon.com/images/I/61UFxk7ozuL._AC_UL320_.jpg")</f>
        <v/>
      </c>
      <c r="K1528" t="inlineStr">
        <is>
          <t>26.14</t>
        </is>
      </c>
      <c r="L1528" t="n">
        <v>5.89</v>
      </c>
      <c r="M1528" s="1" t="inlineStr">
        <is>
          <t>-77.47%</t>
        </is>
      </c>
      <c r="N1528" t="n">
        <v>4.2</v>
      </c>
      <c r="O1528" t="n">
        <v>31</v>
      </c>
      <c r="Q1528" t="inlineStr">
        <is>
          <t>InStock</t>
        </is>
      </c>
      <c r="R1528" t="inlineStr">
        <is>
          <t>undefined</t>
        </is>
      </c>
      <c r="S1528" t="inlineStr">
        <is>
          <t>7113137356985</t>
        </is>
      </c>
    </row>
    <row r="1529" ht="75" customHeight="1">
      <c r="A1529" s="2">
        <f>HYPERLINK("https://camerareadycosmetics.com/products/keromask-camouflage-cream", "https://camerareadycosmetics.com/products/keromask-camouflage-cream")</f>
        <v/>
      </c>
      <c r="B1529" s="2">
        <f>HYPERLINK("https://camerareadycosmetics.com/products/keromask-camouflage-cream", "https://camerareadycosmetics.com/products/keromask-camouflage-cream")</f>
        <v/>
      </c>
      <c r="C1529" t="inlineStr">
        <is>
          <t>Camouflage Cream</t>
        </is>
      </c>
      <c r="D1529" t="inlineStr">
        <is>
          <t>SHANY Professional Cream Foundation and Camouflage Concealer - 15 Color Palette</t>
        </is>
      </c>
      <c r="E1529" s="2">
        <f>HYPERLINK("https://www.amazon.com/SHANY-Cosmetics-Professional-Foundation-Camouflage/dp/B0061KQEVW/ref=sr_1_8?keywords=Camouflage+Cream&amp;qid=1695565518&amp;sr=8-8", "https://www.amazon.com/SHANY-Cosmetics-Professional-Foundation-Camouflage/dp/B0061KQEVW/ref=sr_1_8?keywords=Camouflage+Cream&amp;qid=1695565518&amp;sr=8-8")</f>
        <v/>
      </c>
      <c r="F1529" t="inlineStr">
        <is>
          <t>B0061KQEVW</t>
        </is>
      </c>
      <c r="G1529">
        <f>_xlfn.IMAGE("https://camerareadycosmetics.com/cdn/shop/products/130001001__69326.1437529443.600.600_50x.jpeg?v=1689625297")</f>
        <v/>
      </c>
      <c r="H1529">
        <f>_xlfn.IMAGE("https://m.media-amazon.com/images/I/71U6mlxxCcL._AC_UL320_.jpg")</f>
        <v/>
      </c>
      <c r="K1529" t="inlineStr">
        <is>
          <t>40.0</t>
        </is>
      </c>
      <c r="L1529" t="n">
        <v>18.94</v>
      </c>
      <c r="M1529" s="1" t="inlineStr">
        <is>
          <t>-52.65%</t>
        </is>
      </c>
      <c r="N1529" t="n">
        <v>4.2</v>
      </c>
      <c r="O1529" t="n">
        <v>1314</v>
      </c>
      <c r="Q1529" t="inlineStr">
        <is>
          <t>InStock</t>
        </is>
      </c>
      <c r="R1529" t="inlineStr">
        <is>
          <t>undefined</t>
        </is>
      </c>
      <c r="S1529" t="inlineStr">
        <is>
          <t>7034504519</t>
        </is>
      </c>
    </row>
    <row r="1530" ht="75" customHeight="1">
      <c r="A1530" s="2">
        <f>HYPERLINK("https://camerareadycosmetics.com/products/keromask-camouflage-cream", "https://camerareadycosmetics.com/products/keromask-camouflage-cream")</f>
        <v/>
      </c>
      <c r="B1530" s="2">
        <f>HYPERLINK("https://camerareadycosmetics.com/products/keromask-camouflage-cream", "https://camerareadycosmetics.com/products/keromask-camouflage-cream")</f>
        <v/>
      </c>
      <c r="C1530" t="inlineStr">
        <is>
          <t>Camouflage Cream</t>
        </is>
      </c>
      <c r="D1530" t="inlineStr">
        <is>
          <t>SHANY Cream Concealer/Camouflage Color Correcting Palette - Layer 2 - Refill for the 6 Layer Mini Masterpiece Collection Makeup Set</t>
        </is>
      </c>
      <c r="E1530" s="2">
        <f>HYPERLINK("https://www.amazon.com/SHANY-Concealer-Camouflage-Correcting-Palette/dp/B07KRQC6CY/ref=sr_1_10?keywords=Camouflage+Cream&amp;qid=1695565518&amp;sr=8-10", "https://www.amazon.com/SHANY-Concealer-Camouflage-Correcting-Palette/dp/B07KRQC6CY/ref=sr_1_10?keywords=Camouflage+Cream&amp;qid=1695565518&amp;sr=8-10")</f>
        <v/>
      </c>
      <c r="F1530" t="inlineStr">
        <is>
          <t>B07KRQC6CY</t>
        </is>
      </c>
      <c r="G1530">
        <f>_xlfn.IMAGE("https://camerareadycosmetics.com/cdn/shop/products/130001001__69326.1437529443.600.600_50x.jpeg?v=1689625297")</f>
        <v/>
      </c>
      <c r="H1530">
        <f>_xlfn.IMAGE("https://m.media-amazon.com/images/I/71IKbzp90yL._AC_UL320_.jpg")</f>
        <v/>
      </c>
      <c r="K1530" t="inlineStr">
        <is>
          <t>40.0</t>
        </is>
      </c>
      <c r="L1530" t="n">
        <v>9.67</v>
      </c>
      <c r="M1530" s="1" t="inlineStr">
        <is>
          <t>-75.83%</t>
        </is>
      </c>
      <c r="N1530" t="n">
        <v>4.2</v>
      </c>
      <c r="O1530" t="n">
        <v>257</v>
      </c>
      <c r="Q1530" t="inlineStr">
        <is>
          <t>InStock</t>
        </is>
      </c>
      <c r="R1530" t="inlineStr">
        <is>
          <t>undefined</t>
        </is>
      </c>
      <c r="S1530" t="inlineStr">
        <is>
          <t>7034504519</t>
        </is>
      </c>
    </row>
    <row r="1531" ht="75" customHeight="1">
      <c r="A1531" s="2">
        <f>HYPERLINK("https://camerareadycosmetics.com/products/keromask-camouflage-cream", "https://camerareadycosmetics.com/products/keromask-camouflage-cream")</f>
        <v/>
      </c>
      <c r="B1531" s="2">
        <f>HYPERLINK("https://camerareadycosmetics.com/products/keromask-camouflage-cream", "https://camerareadycosmetics.com/products/keromask-camouflage-cream")</f>
        <v/>
      </c>
      <c r="C1531" t="inlineStr">
        <is>
          <t>Camouflage Cream</t>
        </is>
      </c>
      <c r="D1531" t="inlineStr">
        <is>
          <t>15 Colors Hydrating Cream Concealer Palette, Pure Vie Long Lasting Full Coverage Correcting Concealer Palette Foundation Camouflage Makeup Contour Kit for Conceals Corrects Dark Circles Acne Blemish#2</t>
        </is>
      </c>
      <c r="E1531" s="2">
        <f>HYPERLINK("https://www.amazon.com/Pure-Vie-Professional-Camouflage-Contouring/dp/B017FSPOBE/ref=sr_1_9?keywords=Camouflage+Cream&amp;qid=1695565518&amp;sr=8-9", "https://www.amazon.com/Pure-Vie-Professional-Camouflage-Contouring/dp/B017FSPOBE/ref=sr_1_9?keywords=Camouflage+Cream&amp;qid=1695565518&amp;sr=8-9")</f>
        <v/>
      </c>
      <c r="F1531" t="inlineStr">
        <is>
          <t>B017FSPOBE</t>
        </is>
      </c>
      <c r="G1531">
        <f>_xlfn.IMAGE("https://camerareadycosmetics.com/cdn/shop/products/130001001__69326.1437529443.600.600_50x.jpeg?v=1689625297")</f>
        <v/>
      </c>
      <c r="H1531">
        <f>_xlfn.IMAGE("https://m.media-amazon.com/images/I/618HncpRhJL._AC_UL320_.jpg")</f>
        <v/>
      </c>
      <c r="K1531" t="inlineStr">
        <is>
          <t>40.0</t>
        </is>
      </c>
      <c r="L1531" t="n">
        <v>7.99</v>
      </c>
      <c r="M1531" s="1" t="inlineStr">
        <is>
          <t>-80.02%</t>
        </is>
      </c>
      <c r="N1531" t="n">
        <v>3.5</v>
      </c>
      <c r="O1531" t="n">
        <v>189</v>
      </c>
      <c r="Q1531" t="inlineStr">
        <is>
          <t>InStock</t>
        </is>
      </c>
      <c r="R1531" t="inlineStr">
        <is>
          <t>undefined</t>
        </is>
      </c>
      <c r="S1531" t="inlineStr">
        <is>
          <t>7034504519</t>
        </is>
      </c>
    </row>
    <row r="1532" ht="75" customHeight="1">
      <c r="A1532" s="2">
        <f>HYPERLINK("https://camerareadycosmetics.com/products/keromask-camouflage-cream", "https://camerareadycosmetics.com/products/keromask-camouflage-cream")</f>
        <v/>
      </c>
      <c r="B1532" s="2">
        <f>HYPERLINK("https://camerareadycosmetics.com/products/keromask-camouflage-cream", "https://camerareadycosmetics.com/products/keromask-camouflage-cream")</f>
        <v/>
      </c>
      <c r="C1532" t="inlineStr">
        <is>
          <t>Camouflage Cream</t>
        </is>
      </c>
      <c r="D1532" t="inlineStr">
        <is>
          <t>Catrice | Ultimate Camouflage Cream | Full Coverage, Long Lasting Concealer with Wake Up Effect | Vegan &amp; Cruelty Free | Free From Gluten &amp; Parabens (200 | W Correcting Ochre)</t>
        </is>
      </c>
      <c r="E1532" s="2">
        <f>HYPERLINK("https://www.amazon.com/Catrice-Ultimate-Camouflage-Concealer-Correcting/dp/B09QPR2FQN/ref=sr_1_1?keywords=Camouflage+Cream&amp;qid=1695565518&amp;sr=8-1", "https://www.amazon.com/Catrice-Ultimate-Camouflage-Concealer-Correcting/dp/B09QPR2FQN/ref=sr_1_1?keywords=Camouflage+Cream&amp;qid=1695565518&amp;sr=8-1")</f>
        <v/>
      </c>
      <c r="F1532" t="inlineStr">
        <is>
          <t>B09QPR2FQN</t>
        </is>
      </c>
      <c r="G1532">
        <f>_xlfn.IMAGE("https://camerareadycosmetics.com/cdn/shop/products/130001001__69326.1437529443.600.600_50x.jpeg?v=1689625297")</f>
        <v/>
      </c>
      <c r="H1532">
        <f>_xlfn.IMAGE("https://m.media-amazon.com/images/I/71V6D54f3OL._AC_UL320_.jpg")</f>
        <v/>
      </c>
      <c r="K1532" t="inlineStr">
        <is>
          <t>40.0</t>
        </is>
      </c>
      <c r="L1532" t="n">
        <v>6</v>
      </c>
      <c r="M1532" s="1" t="inlineStr">
        <is>
          <t>-85.00%</t>
        </is>
      </c>
      <c r="N1532" t="n">
        <v>3.3</v>
      </c>
      <c r="O1532" t="n">
        <v>215</v>
      </c>
      <c r="Q1532" t="inlineStr">
        <is>
          <t>InStock</t>
        </is>
      </c>
      <c r="R1532" t="inlineStr">
        <is>
          <t>undefined</t>
        </is>
      </c>
      <c r="S1532" t="inlineStr">
        <is>
          <t>7034504519</t>
        </is>
      </c>
    </row>
    <row r="1533" ht="75" customHeight="1">
      <c r="A1533" s="2">
        <f>HYPERLINK("https://camerareadycosmetics.com/products/keromask-camouflage-cream", "https://camerareadycosmetics.com/products/keromask-camouflage-cream")</f>
        <v/>
      </c>
      <c r="B1533" s="2">
        <f>HYPERLINK("https://camerareadycosmetics.com/products/keromask-camouflage-cream", "https://camerareadycosmetics.com/products/keromask-camouflage-cream")</f>
        <v/>
      </c>
      <c r="C1533" t="inlineStr">
        <is>
          <t>Camouflage Cream</t>
        </is>
      </c>
      <c r="D1533" t="inlineStr">
        <is>
          <t>SHANY Professional Cream Foundation and Camouflage Concealer - 15 Color Palette</t>
        </is>
      </c>
      <c r="E1533" s="2">
        <f>HYPERLINK("https://www.amazon.com/SHANY-Cosmetics-Professional-Foundation-Camouflage/dp/B0061KQEVW/ref=sr_1_8?keywords=Camouflage+Cream&amp;qid=1695565518&amp;sr=8-8", "https://www.amazon.com/SHANY-Cosmetics-Professional-Foundation-Camouflage/dp/B0061KQEVW/ref=sr_1_8?keywords=Camouflage+Cream&amp;qid=1695565518&amp;sr=8-8")</f>
        <v/>
      </c>
      <c r="F1533" t="inlineStr">
        <is>
          <t>B0061KQEVW</t>
        </is>
      </c>
      <c r="G1533">
        <f>_xlfn.IMAGE("https://camerareadycosmetics.com/cdn/shop/products/130001001__69326.1437529443.600.600_50x.jpeg?v=1689625297")</f>
        <v/>
      </c>
      <c r="H1533">
        <f>_xlfn.IMAGE("https://m.media-amazon.com/images/I/71U6mlxxCcL._AC_UL320_.jpg")</f>
        <v/>
      </c>
      <c r="K1533" t="inlineStr">
        <is>
          <t>40.0</t>
        </is>
      </c>
      <c r="L1533" t="n">
        <v>18.94</v>
      </c>
      <c r="M1533" s="1" t="inlineStr">
        <is>
          <t>-52.65%</t>
        </is>
      </c>
      <c r="N1533" t="n">
        <v>4.2</v>
      </c>
      <c r="O1533" t="n">
        <v>1314</v>
      </c>
      <c r="Q1533" t="inlineStr">
        <is>
          <t>InStock</t>
        </is>
      </c>
      <c r="R1533" t="inlineStr">
        <is>
          <t>undefined</t>
        </is>
      </c>
      <c r="S1533" t="inlineStr">
        <is>
          <t>7034504519</t>
        </is>
      </c>
    </row>
    <row r="1534" ht="75" customHeight="1">
      <c r="A1534" s="2">
        <f>HYPERLINK("https://camerareadycosmetics.com/products/keromask-camouflage-cream", "https://camerareadycosmetics.com/products/keromask-camouflage-cream")</f>
        <v/>
      </c>
      <c r="B1534" s="2">
        <f>HYPERLINK("https://camerareadycosmetics.com/products/keromask-camouflage-cream", "https://camerareadycosmetics.com/products/keromask-camouflage-cream")</f>
        <v/>
      </c>
      <c r="C1534" t="inlineStr">
        <is>
          <t>Camouflage Cream</t>
        </is>
      </c>
      <c r="D1534" t="inlineStr">
        <is>
          <t>SHANY Cream Concealer/Camouflage Color Correcting Palette - Layer 2 - Refill for the 6 Layer Mini Masterpiece Collection Makeup Set</t>
        </is>
      </c>
      <c r="E1534" s="2">
        <f>HYPERLINK("https://www.amazon.com/SHANY-Concealer-Camouflage-Correcting-Palette/dp/B07KRQC6CY/ref=sr_1_10?keywords=Camouflage+Cream&amp;qid=1695565518&amp;sr=8-10", "https://www.amazon.com/SHANY-Concealer-Camouflage-Correcting-Palette/dp/B07KRQC6CY/ref=sr_1_10?keywords=Camouflage+Cream&amp;qid=1695565518&amp;sr=8-10")</f>
        <v/>
      </c>
      <c r="F1534" t="inlineStr">
        <is>
          <t>B07KRQC6CY</t>
        </is>
      </c>
      <c r="G1534">
        <f>_xlfn.IMAGE("https://camerareadycosmetics.com/cdn/shop/products/130001001__69326.1437529443.600.600_50x.jpeg?v=1689625297")</f>
        <v/>
      </c>
      <c r="H1534">
        <f>_xlfn.IMAGE("https://m.media-amazon.com/images/I/71IKbzp90yL._AC_UL320_.jpg")</f>
        <v/>
      </c>
      <c r="K1534" t="inlineStr">
        <is>
          <t>40.0</t>
        </is>
      </c>
      <c r="L1534" t="n">
        <v>9.67</v>
      </c>
      <c r="M1534" s="1" t="inlineStr">
        <is>
          <t>-75.83%</t>
        </is>
      </c>
      <c r="N1534" t="n">
        <v>4.2</v>
      </c>
      <c r="O1534" t="n">
        <v>257</v>
      </c>
      <c r="Q1534" t="inlineStr">
        <is>
          <t>InStock</t>
        </is>
      </c>
      <c r="R1534" t="inlineStr">
        <is>
          <t>undefined</t>
        </is>
      </c>
      <c r="S1534" t="inlineStr">
        <is>
          <t>7034504519</t>
        </is>
      </c>
    </row>
    <row r="1535" ht="75" customHeight="1">
      <c r="A1535" s="2">
        <f>HYPERLINK("https://camerareadycosmetics.com/products/keromask-camouflage-cream", "https://camerareadycosmetics.com/products/keromask-camouflage-cream")</f>
        <v/>
      </c>
      <c r="B1535" s="2">
        <f>HYPERLINK("https://camerareadycosmetics.com/products/keromask-camouflage-cream", "https://camerareadycosmetics.com/products/keromask-camouflage-cream")</f>
        <v/>
      </c>
      <c r="C1535" t="inlineStr">
        <is>
          <t>Camouflage Cream</t>
        </is>
      </c>
      <c r="D1535" t="inlineStr">
        <is>
          <t>15 Colors Hydrating Cream Concealer Palette, Pure Vie Long Lasting Full Coverage Correcting Concealer Palette Foundation Camouflage Makeup Contour Kit for Conceals Corrects Dark Circles Acne Blemish#2</t>
        </is>
      </c>
      <c r="E1535" s="2">
        <f>HYPERLINK("https://www.amazon.com/Pure-Vie-Professional-Camouflage-Contouring/dp/B017FSPOBE/ref=sr_1_9?keywords=Camouflage+Cream&amp;qid=1695565518&amp;sr=8-9", "https://www.amazon.com/Pure-Vie-Professional-Camouflage-Contouring/dp/B017FSPOBE/ref=sr_1_9?keywords=Camouflage+Cream&amp;qid=1695565518&amp;sr=8-9")</f>
        <v/>
      </c>
      <c r="F1535" t="inlineStr">
        <is>
          <t>B017FSPOBE</t>
        </is>
      </c>
      <c r="G1535">
        <f>_xlfn.IMAGE("https://camerareadycosmetics.com/cdn/shop/products/130001001__69326.1437529443.600.600_50x.jpeg?v=1689625297")</f>
        <v/>
      </c>
      <c r="H1535">
        <f>_xlfn.IMAGE("https://m.media-amazon.com/images/I/618HncpRhJL._AC_UL320_.jpg")</f>
        <v/>
      </c>
      <c r="K1535" t="inlineStr">
        <is>
          <t>40.0</t>
        </is>
      </c>
      <c r="L1535" t="n">
        <v>7.99</v>
      </c>
      <c r="M1535" s="1" t="inlineStr">
        <is>
          <t>-80.02%</t>
        </is>
      </c>
      <c r="N1535" t="n">
        <v>3.5</v>
      </c>
      <c r="O1535" t="n">
        <v>189</v>
      </c>
      <c r="Q1535" t="inlineStr">
        <is>
          <t>InStock</t>
        </is>
      </c>
      <c r="R1535" t="inlineStr">
        <is>
          <t>undefined</t>
        </is>
      </c>
      <c r="S1535" t="inlineStr">
        <is>
          <t>7034504519</t>
        </is>
      </c>
    </row>
    <row r="1536" ht="75" customHeight="1">
      <c r="A1536" s="2">
        <f>HYPERLINK("https://camerareadycosmetics.com/products/keromask-camouflage-cream", "https://camerareadycosmetics.com/products/keromask-camouflage-cream")</f>
        <v/>
      </c>
      <c r="B1536" s="2">
        <f>HYPERLINK("https://camerareadycosmetics.com/products/keromask-camouflage-cream", "https://camerareadycosmetics.com/products/keromask-camouflage-cream")</f>
        <v/>
      </c>
      <c r="C1536" t="inlineStr">
        <is>
          <t>Camouflage Cream</t>
        </is>
      </c>
      <c r="D1536" t="inlineStr">
        <is>
          <t>Catrice | Ultimate Camouflage Cream | Full Coverage, Long Lasting Concealer with Wake Up Effect | Vegan &amp; Cruelty Free | Free From Gluten &amp; Parabens (200 | W Correcting Ochre)</t>
        </is>
      </c>
      <c r="E1536" s="2">
        <f>HYPERLINK("https://www.amazon.com/Catrice-Ultimate-Camouflage-Concealer-Correcting/dp/B09QPR2FQN/ref=sr_1_1?keywords=Camouflage+Cream&amp;qid=1695565518&amp;sr=8-1", "https://www.amazon.com/Catrice-Ultimate-Camouflage-Concealer-Correcting/dp/B09QPR2FQN/ref=sr_1_1?keywords=Camouflage+Cream&amp;qid=1695565518&amp;sr=8-1")</f>
        <v/>
      </c>
      <c r="F1536" t="inlineStr">
        <is>
          <t>B09QPR2FQN</t>
        </is>
      </c>
      <c r="G1536">
        <f>_xlfn.IMAGE("https://camerareadycosmetics.com/cdn/shop/products/130001001__69326.1437529443.600.600_50x.jpeg?v=1689625297")</f>
        <v/>
      </c>
      <c r="H1536">
        <f>_xlfn.IMAGE("https://m.media-amazon.com/images/I/71V6D54f3OL._AC_UL320_.jpg")</f>
        <v/>
      </c>
      <c r="K1536" t="inlineStr">
        <is>
          <t>40.0</t>
        </is>
      </c>
      <c r="L1536" t="n">
        <v>6</v>
      </c>
      <c r="M1536" s="1" t="inlineStr">
        <is>
          <t>-85.00%</t>
        </is>
      </c>
      <c r="N1536" t="n">
        <v>3.3</v>
      </c>
      <c r="O1536" t="n">
        <v>215</v>
      </c>
      <c r="Q1536" t="inlineStr">
        <is>
          <t>InStock</t>
        </is>
      </c>
      <c r="R1536" t="inlineStr">
        <is>
          <t>undefined</t>
        </is>
      </c>
      <c r="S1536" t="inlineStr">
        <is>
          <t>7034504519</t>
        </is>
      </c>
    </row>
    <row r="1537" ht="75" customHeight="1">
      <c r="A1537" s="2">
        <f>HYPERLINK("https://camerareadycosmetics.com/products/kett-fixx-powder-foundation-pro-palette", "https://camerareadycosmetics.com/products/kett-fixx-powder-foundation-pro-palette")</f>
        <v/>
      </c>
      <c r="B1537" s="2">
        <f>HYPERLINK("https://camerareadycosmetics.com/products/kett-fixx-powder-foundation-pro-palette", "https://camerareadycosmetics.com/products/kett-fixx-powder-foundation-pro-palette")</f>
        <v/>
      </c>
      <c r="C1537" t="inlineStr">
        <is>
          <t>Fixx Powder Foundation Pro Palette</t>
        </is>
      </c>
      <c r="D1537" t="inlineStr">
        <is>
          <t>Graftobian HD Pro Powder Foundation Palette, (Neutral)</t>
        </is>
      </c>
      <c r="E1537" s="2">
        <f>HYPERLINK("https://www.amazon.com/Graftobian-Powder-Foundation-Palette-Neutral/dp/B00707BM30/ref=sr_1_1?keywords=Fixx+Powder+Foundation+Pro+Palette&amp;qid=1695565667&amp;sr=8-1", "https://www.amazon.com/Graftobian-Powder-Foundation-Palette-Neutral/dp/B00707BM30/ref=sr_1_1?keywords=Fixx+Powder+Foundation+Pro+Palette&amp;qid=1695565667&amp;sr=8-1")</f>
        <v/>
      </c>
      <c r="F1537" t="inlineStr">
        <is>
          <t>B00707BM30</t>
        </is>
      </c>
      <c r="G1537">
        <f>_xlfn.IMAGE("https://camerareadycosmetics.com/cdn/shop/products/kett-pro-tan-deep-Palette_50x.jpg?v=1526663068")</f>
        <v/>
      </c>
      <c r="H1537">
        <f>_xlfn.IMAGE("https://m.media-amazon.com/images/I/71O4T81lJIL._AC_UL320_.jpg")</f>
        <v/>
      </c>
      <c r="K1537" t="inlineStr">
        <is>
          <t>140.0</t>
        </is>
      </c>
      <c r="L1537" t="n">
        <v>76.5</v>
      </c>
      <c r="M1537" s="1" t="inlineStr">
        <is>
          <t>-45.36%</t>
        </is>
      </c>
      <c r="N1537" t="n">
        <v>4.2</v>
      </c>
      <c r="O1537" t="n">
        <v>23</v>
      </c>
      <c r="Q1537" t="inlineStr">
        <is>
          <t>InStock</t>
        </is>
      </c>
      <c r="R1537" t="inlineStr">
        <is>
          <t>undefined</t>
        </is>
      </c>
      <c r="S1537" t="inlineStr">
        <is>
          <t>570110312458</t>
        </is>
      </c>
    </row>
    <row r="1538" ht="75" customHeight="1">
      <c r="A1538" s="2">
        <f>HYPERLINK("https://camerareadycosmetics.com/products/kett-fixx-powder-foundation-pro-palette", "https://camerareadycosmetics.com/products/kett-fixx-powder-foundation-pro-palette")</f>
        <v/>
      </c>
      <c r="B1538" s="2">
        <f>HYPERLINK("https://camerareadycosmetics.com/products/kett-fixx-powder-foundation-pro-palette", "https://camerareadycosmetics.com/products/kett-fixx-powder-foundation-pro-palette")</f>
        <v/>
      </c>
      <c r="C1538" t="inlineStr">
        <is>
          <t>Fixx Powder Foundation Pro Palette</t>
        </is>
      </c>
      <c r="D1538" t="inlineStr">
        <is>
          <t>Mehron Makeup Foundation - Celebre Pro-HD Pressed Powder, Contour &amp; Highlight Palette - 12 Shades</t>
        </is>
      </c>
      <c r="E1538" s="2">
        <f>HYPERLINK("https://www.amazon.com/Mehron-Foundation-Celebre-Pressed-Highlight/dp/B01KYA62FW/ref=sr_1_2?keywords=Fixx+Powder+Foundation+Pro+Palette&amp;qid=1695565667&amp;sr=8-2", "https://www.amazon.com/Mehron-Foundation-Celebre-Pressed-Highlight/dp/B01KYA62FW/ref=sr_1_2?keywords=Fixx+Powder+Foundation+Pro+Palette&amp;qid=1695565667&amp;sr=8-2")</f>
        <v/>
      </c>
      <c r="F1538" t="inlineStr">
        <is>
          <t>B01KYA62FW</t>
        </is>
      </c>
      <c r="G1538">
        <f>_xlfn.IMAGE("https://camerareadycosmetics.com/cdn/shop/products/kett-pro-tan-deep-Palette_50x.jpg?v=1526663068")</f>
        <v/>
      </c>
      <c r="H1538">
        <f>_xlfn.IMAGE("https://m.media-amazon.com/images/I/61DE0U+dMDL._AC_UL320_.jpg")</f>
        <v/>
      </c>
      <c r="K1538" t="inlineStr">
        <is>
          <t>140.0</t>
        </is>
      </c>
      <c r="L1538" t="n">
        <v>58.95</v>
      </c>
      <c r="M1538" s="1" t="inlineStr">
        <is>
          <t>-57.89%</t>
        </is>
      </c>
      <c r="N1538" t="n">
        <v>4.2</v>
      </c>
      <c r="O1538" t="n">
        <v>29</v>
      </c>
      <c r="Q1538" t="inlineStr">
        <is>
          <t>InStock</t>
        </is>
      </c>
      <c r="R1538" t="inlineStr">
        <is>
          <t>undefined</t>
        </is>
      </c>
      <c r="S1538" t="inlineStr">
        <is>
          <t>570110312458</t>
        </is>
      </c>
    </row>
    <row r="1539" ht="75" customHeight="1">
      <c r="A1539" s="2">
        <f>HYPERLINK("https://camerareadycosmetics.com/products/kett-fixx-powder-foundation-pro-palette", "https://camerareadycosmetics.com/products/kett-fixx-powder-foundation-pro-palette")</f>
        <v/>
      </c>
      <c r="B1539" s="2">
        <f>HYPERLINK("https://camerareadycosmetics.com/products/kett-fixx-powder-foundation-pro-palette", "https://camerareadycosmetics.com/products/kett-fixx-powder-foundation-pro-palette")</f>
        <v/>
      </c>
      <c r="C1539" t="inlineStr">
        <is>
          <t>Fixx Powder Foundation Pro Palette</t>
        </is>
      </c>
      <c r="D1539" t="inlineStr">
        <is>
          <t>Vodisa Contour Face Powder Kit Base Foundation Corrector Palette Sleek Pigment Pro Pressed Powder Cosmetics Highlighting Contouring Bronzing Professional Beauty Make up Bronzer Pallet Brown</t>
        </is>
      </c>
      <c r="E1539" s="2">
        <f>HYPERLINK("https://www.amazon.com/Vodisa-Palette-Sleek-Palette-Cosmetics-Highlighting-Professional/dp/B06WRTRQFB/ref=sr_1_7?keywords=Fixx+Powder+Foundation+Pro+Palette&amp;qid=1695565667&amp;sr=8-7", "https://www.amazon.com/Vodisa-Palette-Sleek-Palette-Cosmetics-Highlighting-Professional/dp/B06WRTRQFB/ref=sr_1_7?keywords=Fixx+Powder+Foundation+Pro+Palette&amp;qid=1695565667&amp;sr=8-7")</f>
        <v/>
      </c>
      <c r="F1539" t="inlineStr">
        <is>
          <t>B06WRTRQFB</t>
        </is>
      </c>
      <c r="G1539">
        <f>_xlfn.IMAGE("https://camerareadycosmetics.com/cdn/shop/products/kett-pro-tan-deep-Palette_50x.jpg?v=1526663068")</f>
        <v/>
      </c>
      <c r="H1539">
        <f>_xlfn.IMAGE("https://m.media-amazon.com/images/I/51tRrTuTDML._AC_UL320_.jpg")</f>
        <v/>
      </c>
      <c r="K1539" t="inlineStr">
        <is>
          <t>140.0</t>
        </is>
      </c>
      <c r="L1539" t="n">
        <v>13.99</v>
      </c>
      <c r="M1539" s="1" t="inlineStr">
        <is>
          <t>-90.01%</t>
        </is>
      </c>
      <c r="N1539" t="n">
        <v>3.9</v>
      </c>
      <c r="O1539" t="n">
        <v>626</v>
      </c>
      <c r="Q1539" t="inlineStr">
        <is>
          <t>InStock</t>
        </is>
      </c>
      <c r="R1539" t="inlineStr">
        <is>
          <t>undefined</t>
        </is>
      </c>
      <c r="S1539" t="inlineStr">
        <is>
          <t>570110312458</t>
        </is>
      </c>
    </row>
    <row r="1540" ht="75" customHeight="1">
      <c r="A1540" s="2">
        <f>HYPERLINK("https://camerareadycosmetics.com/products/kett-fixx-powder-foundation-pro-palette", "https://camerareadycosmetics.com/products/kett-fixx-powder-foundation-pro-palette")</f>
        <v/>
      </c>
      <c r="B1540" s="2">
        <f>HYPERLINK("https://camerareadycosmetics.com/products/kett-fixx-powder-foundation-pro-palette", "https://camerareadycosmetics.com/products/kett-fixx-powder-foundation-pro-palette")</f>
        <v/>
      </c>
      <c r="C1540" t="inlineStr">
        <is>
          <t>Fixx Powder Foundation Pro Palette</t>
        </is>
      </c>
      <c r="D1540" t="inlineStr">
        <is>
          <t>Mehron Makeup Foundation - Celebre Pro-HD Pressed Powder, Contour &amp; Highlight Palette - 12 Shades</t>
        </is>
      </c>
      <c r="E1540" s="2">
        <f>HYPERLINK("https://www.amazon.com/Mehron-Foundation-Celebre-Pressed-Highlight/dp/B01KYA62FW/ref=sr_1_2?keywords=Fixx+Powder+Foundation+Pro+Palette&amp;qid=1695565667&amp;sr=8-2", "https://www.amazon.com/Mehron-Foundation-Celebre-Pressed-Highlight/dp/B01KYA62FW/ref=sr_1_2?keywords=Fixx+Powder+Foundation+Pro+Palette&amp;qid=1695565667&amp;sr=8-2")</f>
        <v/>
      </c>
      <c r="F1540" t="inlineStr">
        <is>
          <t>B01KYA62FW</t>
        </is>
      </c>
      <c r="G1540">
        <f>_xlfn.IMAGE("https://camerareadycosmetics.com/cdn/shop/products/kett-pro-tan-deep-Palette_50x.jpg?v=1526663068")</f>
        <v/>
      </c>
      <c r="H1540">
        <f>_xlfn.IMAGE("https://m.media-amazon.com/images/I/61DE0U+dMDL._AC_UL320_.jpg")</f>
        <v/>
      </c>
      <c r="K1540" t="inlineStr">
        <is>
          <t>140.0</t>
        </is>
      </c>
      <c r="L1540" t="n">
        <v>58.95</v>
      </c>
      <c r="M1540" s="1" t="inlineStr">
        <is>
          <t>-57.89%</t>
        </is>
      </c>
      <c r="N1540" t="n">
        <v>4.2</v>
      </c>
      <c r="O1540" t="n">
        <v>29</v>
      </c>
      <c r="Q1540" t="inlineStr">
        <is>
          <t>InStock</t>
        </is>
      </c>
      <c r="R1540" t="inlineStr">
        <is>
          <t>undefined</t>
        </is>
      </c>
      <c r="S1540" t="inlineStr">
        <is>
          <t>570110312458</t>
        </is>
      </c>
    </row>
    <row r="1541" ht="75" customHeight="1">
      <c r="A1541" s="2">
        <f>HYPERLINK("https://camerareadycosmetics.com/products/kett-fixx-powder-foundation-pro-palette", "https://camerareadycosmetics.com/products/kett-fixx-powder-foundation-pro-palette")</f>
        <v/>
      </c>
      <c r="B1541" s="2">
        <f>HYPERLINK("https://camerareadycosmetics.com/products/kett-fixx-powder-foundation-pro-palette", "https://camerareadycosmetics.com/products/kett-fixx-powder-foundation-pro-palette")</f>
        <v/>
      </c>
      <c r="C1541" t="inlineStr">
        <is>
          <t>Fixx Powder Foundation Pro Palette</t>
        </is>
      </c>
      <c r="D1541" t="inlineStr">
        <is>
          <t>Vodisa Contour Face Powder Kit Base Foundation Corrector Palette Sleek Pigment Pro Pressed Powder Cosmetics Highlighting Contouring Bronzing Professional Beauty Make up Bronzer Pallet Brown</t>
        </is>
      </c>
      <c r="E1541" s="2">
        <f>HYPERLINK("https://www.amazon.com/Vodisa-Palette-Sleek-Palette-Cosmetics-Highlighting-Professional/dp/B06WRTRQFB/ref=sr_1_7?keywords=Fixx+Powder+Foundation+Pro+Palette&amp;qid=1695565667&amp;sr=8-7", "https://www.amazon.com/Vodisa-Palette-Sleek-Palette-Cosmetics-Highlighting-Professional/dp/B06WRTRQFB/ref=sr_1_7?keywords=Fixx+Powder+Foundation+Pro+Palette&amp;qid=1695565667&amp;sr=8-7")</f>
        <v/>
      </c>
      <c r="F1541" t="inlineStr">
        <is>
          <t>B06WRTRQFB</t>
        </is>
      </c>
      <c r="G1541">
        <f>_xlfn.IMAGE("https://camerareadycosmetics.com/cdn/shop/products/kett-pro-tan-deep-Palette_50x.jpg?v=1526663068")</f>
        <v/>
      </c>
      <c r="H1541">
        <f>_xlfn.IMAGE("https://m.media-amazon.com/images/I/51tRrTuTDML._AC_UL320_.jpg")</f>
        <v/>
      </c>
      <c r="K1541" t="inlineStr">
        <is>
          <t>140.0</t>
        </is>
      </c>
      <c r="L1541" t="n">
        <v>13.99</v>
      </c>
      <c r="M1541" s="1" t="inlineStr">
        <is>
          <t>-90.01%</t>
        </is>
      </c>
      <c r="N1541" t="n">
        <v>3.9</v>
      </c>
      <c r="O1541" t="n">
        <v>626</v>
      </c>
      <c r="Q1541" t="inlineStr">
        <is>
          <t>InStock</t>
        </is>
      </c>
      <c r="R1541" t="inlineStr">
        <is>
          <t>undefined</t>
        </is>
      </c>
      <c r="S1541" t="inlineStr">
        <is>
          <t>570110312458</t>
        </is>
      </c>
    </row>
    <row r="1542" ht="75" customHeight="1">
      <c r="A1542" s="2">
        <f>HYPERLINK("https://camerareadycosmetics.com/products/kett-hydro-blush", "https://camerareadycosmetics.com/products/kett-hydro-blush")</f>
        <v/>
      </c>
      <c r="B1542" s="2">
        <f>HYPERLINK("https://camerareadycosmetics.com/products/kett-hydro-blush", "https://camerareadycosmetics.com/products/kett-hydro-blush")</f>
        <v/>
      </c>
      <c r="C1542" t="inlineStr">
        <is>
          <t>Hydro Blush</t>
        </is>
      </c>
      <c r="D1542" t="inlineStr">
        <is>
          <t>Urban Decay Hydromaniac Dewy Liquid Blush – Long-Lasting 24HR Plumping Cheek Tint – With Kombucha and Marula Oil - All Skin Types – Vegan – 0.5 Fl. Oz</t>
        </is>
      </c>
      <c r="E1542" s="2">
        <f>HYPERLINK("https://www.amazon.com/Urban-Decay-Hydromaniac-Liquid-Blush/dp/B0BQCKCQR5/ref=sr_1_1?keywords=Hydro+Blush&amp;qid=1695565566&amp;sr=8-1", "https://www.amazon.com/Urban-Decay-Hydromaniac-Liquid-Blush/dp/B0BQCKCQR5/ref=sr_1_1?keywords=Hydro+Blush&amp;qid=1695565566&amp;sr=8-1")</f>
        <v/>
      </c>
      <c r="F1542" t="inlineStr">
        <is>
          <t>B0BQCKCQR5</t>
        </is>
      </c>
      <c r="G1542">
        <f>_xlfn.IMAGE("https://camerareadycosmetics.com/cdn/shop/products/unity_50x.jpg?v=1694442528")</f>
        <v/>
      </c>
      <c r="H1542">
        <f>_xlfn.IMAGE("https://m.media-amazon.com/images/I/61cb1yTHmGL._AC_UL320_.jpg")</f>
        <v/>
      </c>
      <c r="K1542" t="inlineStr">
        <is>
          <t>18.0</t>
        </is>
      </c>
      <c r="L1542" t="n">
        <v>22</v>
      </c>
      <c r="M1542" s="1" t="inlineStr">
        <is>
          <t>22.22%</t>
        </is>
      </c>
      <c r="N1542" t="n">
        <v>4.3</v>
      </c>
      <c r="O1542" t="n">
        <v>48</v>
      </c>
      <c r="Q1542" t="inlineStr">
        <is>
          <t>OutOfStock</t>
        </is>
      </c>
      <c r="R1542" t="inlineStr">
        <is>
          <t>18.0</t>
        </is>
      </c>
      <c r="S1542" t="inlineStr">
        <is>
          <t>7037454023</t>
        </is>
      </c>
    </row>
    <row r="1543" ht="75" customHeight="1">
      <c r="A1543" s="2">
        <f>HYPERLINK("https://camerareadycosmetics.com/products/kett-sett-powder", "https://camerareadycosmetics.com/products/kett-sett-powder")</f>
        <v/>
      </c>
      <c r="B1543" s="2">
        <f>HYPERLINK("https://camerareadycosmetics.com/products/kett-sett-powder", "https://camerareadycosmetics.com/products/kett-sett-powder")</f>
        <v/>
      </c>
      <c r="C1543" t="inlineStr">
        <is>
          <t>Sett Powder</t>
        </is>
      </c>
      <c r="D1543" t="inlineStr">
        <is>
          <t>Kett Sett Powder Pressed - Ultra Translucent Setting Shine Control Face Powder - 10g</t>
        </is>
      </c>
      <c r="E1543" s="2">
        <f>HYPERLINK("https://www.amazon.com/Kett-Sett-Powder-Pressed-Translucent/dp/B00TTV8N64/ref=sr_1_1?keywords=Sett+Powder&amp;qid=1695565473&amp;sr=8-1", "https://www.amazon.com/Kett-Sett-Powder-Pressed-Translucent/dp/B00TTV8N64/ref=sr_1_1?keywords=Sett+Powder&amp;qid=1695565473&amp;sr=8-1")</f>
        <v/>
      </c>
      <c r="F1543" t="inlineStr">
        <is>
          <t>B00TTV8N64</t>
        </is>
      </c>
      <c r="G1543">
        <f>_xlfn.IMAGE("https://camerareadycosmetics.com/cdn/shop/products/131004001__92891.1432782150.600.600_50x.jpeg?v=1689625496")</f>
        <v/>
      </c>
      <c r="H1543">
        <f>_xlfn.IMAGE("https://m.media-amazon.com/images/I/21BeG7MnWRL._AC_UL320_.jpg")</f>
        <v/>
      </c>
      <c r="K1543" t="inlineStr">
        <is>
          <t>24.0</t>
        </is>
      </c>
      <c r="L1543" t="n">
        <v>24</v>
      </c>
      <c r="M1543" s="1" t="inlineStr">
        <is>
          <t>0.00%</t>
        </is>
      </c>
      <c r="N1543" t="n">
        <v>4.2</v>
      </c>
      <c r="O1543" t="n">
        <v>36</v>
      </c>
      <c r="Q1543" t="inlineStr">
        <is>
          <t>InStock</t>
        </is>
      </c>
      <c r="R1543" t="inlineStr">
        <is>
          <t>undefined</t>
        </is>
      </c>
      <c r="S1543" t="inlineStr">
        <is>
          <t>7034519495</t>
        </is>
      </c>
    </row>
    <row r="1544" ht="75" customHeight="1">
      <c r="A1544" s="2">
        <f>HYPERLINK("https://camerareadycosmetics.com/products/kett-sett-powder", "https://camerareadycosmetics.com/products/kett-sett-powder")</f>
        <v/>
      </c>
      <c r="B1544" s="2">
        <f>HYPERLINK("https://camerareadycosmetics.com/products/kett-sett-powder", "https://camerareadycosmetics.com/products/kett-sett-powder")</f>
        <v/>
      </c>
      <c r="C1544" t="inlineStr">
        <is>
          <t>Sett Powder</t>
        </is>
      </c>
      <c r="D1544" t="inlineStr">
        <is>
          <t>Aesthetica Translucent Setting Powder – Matte Finishing Makeup Loose Setting Powder – Flash Friendly Translucent Powder Foundation - Loose Face Powder Includes Velour Puff</t>
        </is>
      </c>
      <c r="E1544" s="2">
        <f>HYPERLINK("https://www.amazon.com/Aesthetica-Translucent-Loose-Setting-Powder/dp/B01IE2KT8S/ref=sr_1_7?keywords=Sett+Powder&amp;qid=1695565473&amp;sr=8-7", "https://www.amazon.com/Aesthetica-Translucent-Loose-Setting-Powder/dp/B01IE2KT8S/ref=sr_1_7?keywords=Sett+Powder&amp;qid=1695565473&amp;sr=8-7")</f>
        <v/>
      </c>
      <c r="F1544" t="inlineStr">
        <is>
          <t>B01IE2KT8S</t>
        </is>
      </c>
      <c r="G1544">
        <f>_xlfn.IMAGE("https://camerareadycosmetics.com/cdn/shop/products/131004001__92891.1432782150.600.600_50x.jpeg?v=1689625496")</f>
        <v/>
      </c>
      <c r="H1544">
        <f>_xlfn.IMAGE("https://m.media-amazon.com/images/I/61pH3Su7A7L._AC_UL320_.jpg")</f>
        <v/>
      </c>
      <c r="K1544" t="inlineStr">
        <is>
          <t>24.0</t>
        </is>
      </c>
      <c r="L1544" t="n">
        <v>21.97</v>
      </c>
      <c r="M1544" s="1" t="inlineStr">
        <is>
          <t>-8.46%</t>
        </is>
      </c>
      <c r="N1544" t="n">
        <v>4.2</v>
      </c>
      <c r="O1544" t="n">
        <v>7335</v>
      </c>
      <c r="Q1544" t="inlineStr">
        <is>
          <t>InStock</t>
        </is>
      </c>
      <c r="R1544" t="inlineStr">
        <is>
          <t>undefined</t>
        </is>
      </c>
      <c r="S1544" t="inlineStr">
        <is>
          <t>7034519495</t>
        </is>
      </c>
    </row>
    <row r="1545" ht="75" customHeight="1">
      <c r="A1545" s="2">
        <f>HYPERLINK("https://camerareadycosmetics.com/products/kett-sett-powder", "https://camerareadycosmetics.com/products/kett-sett-powder")</f>
        <v/>
      </c>
      <c r="B1545" s="2">
        <f>HYPERLINK("https://camerareadycosmetics.com/products/kett-sett-powder", "https://camerareadycosmetics.com/products/kett-sett-powder")</f>
        <v/>
      </c>
      <c r="C1545" t="inlineStr">
        <is>
          <t>Sett Powder</t>
        </is>
      </c>
      <c r="D1545" t="inlineStr">
        <is>
          <t>NYX PROFESSIONAL MAKEUP HD Studio Finishing Powder, Loose Setting Powder - Translucent Finish</t>
        </is>
      </c>
      <c r="E1545" s="2">
        <f>HYPERLINK("https://www.amazon.com/NYX-Professional-Makeup-Finishing-Translucent/dp/B009GLQG6Q/ref=sr_1_5?keywords=Sett+Powder&amp;qid=1695565473&amp;sr=8-5", "https://www.amazon.com/NYX-Professional-Makeup-Finishing-Translucent/dp/B009GLQG6Q/ref=sr_1_5?keywords=Sett+Powder&amp;qid=1695565473&amp;sr=8-5")</f>
        <v/>
      </c>
      <c r="F1545" t="inlineStr">
        <is>
          <t>B009GLQG6Q</t>
        </is>
      </c>
      <c r="G1545">
        <f>_xlfn.IMAGE("https://camerareadycosmetics.com/cdn/shop/products/131004001__92891.1432782150.600.600_50x.jpeg?v=1689625496")</f>
        <v/>
      </c>
      <c r="H1545">
        <f>_xlfn.IMAGE("https://m.media-amazon.com/images/I/5196xGH0ZvL._AC_UL320_.jpg")</f>
        <v/>
      </c>
      <c r="K1545" t="inlineStr">
        <is>
          <t>24.0</t>
        </is>
      </c>
      <c r="L1545" t="n">
        <v>9.16</v>
      </c>
      <c r="M1545" s="1" t="inlineStr">
        <is>
          <t>-61.83%</t>
        </is>
      </c>
      <c r="N1545" t="n">
        <v>4.3</v>
      </c>
      <c r="O1545" t="n">
        <v>14881</v>
      </c>
      <c r="Q1545" t="inlineStr">
        <is>
          <t>InStock</t>
        </is>
      </c>
      <c r="R1545" t="inlineStr">
        <is>
          <t>undefined</t>
        </is>
      </c>
      <c r="S1545" t="inlineStr">
        <is>
          <t>7034519495</t>
        </is>
      </c>
    </row>
    <row r="1546" ht="75" customHeight="1">
      <c r="A1546" s="2">
        <f>HYPERLINK("https://camerareadycosmetics.com/products/kett-sett-powder", "https://camerareadycosmetics.com/products/kett-sett-powder")</f>
        <v/>
      </c>
      <c r="B1546" s="2">
        <f>HYPERLINK("https://camerareadycosmetics.com/products/kett-sett-powder", "https://camerareadycosmetics.com/products/kett-sett-powder")</f>
        <v/>
      </c>
      <c r="C1546" t="inlineStr">
        <is>
          <t>Sett Powder</t>
        </is>
      </c>
      <c r="D1546" t="inlineStr">
        <is>
          <t>ETUDE Zero Sebum Drying Powder 4g New | Lightweight Oil Control No Sebum Loose Face Powder with 80% Mineral | Long Lasting for Setting or Foundation Makes Skin Downy</t>
        </is>
      </c>
      <c r="E1546" s="2">
        <f>HYPERLINK("https://www.amazon.com/Lightweight-Control-Mineral-Lasting-Foundation/dp/B09T9KWWBG/ref=sr_1_9?keywords=Sett+Powder&amp;qid=1695565473&amp;sr=8-9", "https://www.amazon.com/Lightweight-Control-Mineral-Lasting-Foundation/dp/B09T9KWWBG/ref=sr_1_9?keywords=Sett+Powder&amp;qid=1695565473&amp;sr=8-9")</f>
        <v/>
      </c>
      <c r="F1546" t="inlineStr">
        <is>
          <t>B09T9KWWBG</t>
        </is>
      </c>
      <c r="G1546">
        <f>_xlfn.IMAGE("https://camerareadycosmetics.com/cdn/shop/products/131004001__92891.1432782150.600.600_50x.jpeg?v=1689625496")</f>
        <v/>
      </c>
      <c r="H1546">
        <f>_xlfn.IMAGE("https://m.media-amazon.com/images/I/51HF50+u2WL._AC_UL320_.jpg")</f>
        <v/>
      </c>
      <c r="K1546" t="inlineStr">
        <is>
          <t>24.0</t>
        </is>
      </c>
      <c r="L1546" t="n">
        <v>7.5</v>
      </c>
      <c r="M1546" s="1" t="inlineStr">
        <is>
          <t>-68.75%</t>
        </is>
      </c>
      <c r="N1546" t="n">
        <v>4.3</v>
      </c>
      <c r="O1546" t="n">
        <v>9899</v>
      </c>
      <c r="Q1546" t="inlineStr">
        <is>
          <t>InStock</t>
        </is>
      </c>
      <c r="R1546" t="inlineStr">
        <is>
          <t>undefined</t>
        </is>
      </c>
      <c r="S1546" t="inlineStr">
        <is>
          <t>7034519495</t>
        </is>
      </c>
    </row>
    <row r="1547" ht="75" customHeight="1">
      <c r="A1547" s="2">
        <f>HYPERLINK("https://camerareadycosmetics.com/products/kett-sett-powder", "https://camerareadycosmetics.com/products/kett-sett-powder")</f>
        <v/>
      </c>
      <c r="B1547" s="2">
        <f>HYPERLINK("https://camerareadycosmetics.com/products/kett-sett-powder", "https://camerareadycosmetics.com/products/kett-sett-powder")</f>
        <v/>
      </c>
      <c r="C1547" t="inlineStr">
        <is>
          <t>Sett Powder</t>
        </is>
      </c>
      <c r="D1547" t="inlineStr">
        <is>
          <t>COVERGIRL Clean Invisible Loose Powder - Loose Powder, Setting Powder, Vegan Formula - Translucent Dark, 20g (0.7 oz)</t>
        </is>
      </c>
      <c r="E1547" s="2">
        <f>HYPERLINK("https://www.amazon.com/Clean-Invisible-Loose-Powder-Translucent/dp/B0BBSQVY4F/ref=sr_1_4?keywords=Sett+Powder&amp;qid=1695565473&amp;sr=8-4", "https://www.amazon.com/Clean-Invisible-Loose-Powder-Translucent/dp/B0BBSQVY4F/ref=sr_1_4?keywords=Sett+Powder&amp;qid=1695565473&amp;sr=8-4")</f>
        <v/>
      </c>
      <c r="F1547" t="inlineStr">
        <is>
          <t>B0BBSQVY4F</t>
        </is>
      </c>
      <c r="G1547">
        <f>_xlfn.IMAGE("https://camerareadycosmetics.com/cdn/shop/products/131004001__92891.1432782150.600.600_50x.jpeg?v=1689625496")</f>
        <v/>
      </c>
      <c r="H1547">
        <f>_xlfn.IMAGE("https://m.media-amazon.com/images/I/81Rrt3nB1sL._AC_UL320_.jpg")</f>
        <v/>
      </c>
      <c r="K1547" t="inlineStr">
        <is>
          <t>24.0</t>
        </is>
      </c>
      <c r="L1547" t="n">
        <v>6.38</v>
      </c>
      <c r="M1547" s="1" t="inlineStr">
        <is>
          <t>-73.42%</t>
        </is>
      </c>
      <c r="N1547" t="n">
        <v>4.4</v>
      </c>
      <c r="O1547" t="n">
        <v>581</v>
      </c>
      <c r="Q1547" t="inlineStr">
        <is>
          <t>InStock</t>
        </is>
      </c>
      <c r="R1547" t="inlineStr">
        <is>
          <t>undefined</t>
        </is>
      </c>
      <c r="S1547" t="inlineStr">
        <is>
          <t>7034519495</t>
        </is>
      </c>
    </row>
    <row r="1548" ht="75" customHeight="1">
      <c r="A1548" s="2">
        <f>HYPERLINK("https://camerareadycosmetics.com/products/kett-sett-powder", "https://camerareadycosmetics.com/products/kett-sett-powder")</f>
        <v/>
      </c>
      <c r="B1548" s="2">
        <f>HYPERLINK("https://camerareadycosmetics.com/products/kett-sett-powder", "https://camerareadycosmetics.com/products/kett-sett-powder")</f>
        <v/>
      </c>
      <c r="C1548" t="inlineStr">
        <is>
          <t>Sett Powder</t>
        </is>
      </c>
      <c r="D1548" t="inlineStr">
        <is>
          <t>Wet n Wild Bare Focus Clarifying Finishing Powder | Matte | Pressed Setting Powder Translucent</t>
        </is>
      </c>
      <c r="E1548" s="2">
        <f>HYPERLINK("https://www.amazon.com/Clarifying-Finishing-Pressed-Setting-Translucent/dp/B09NX3HBLB/ref=sr_1_6?keywords=Sett+Powder&amp;qid=1695565473&amp;rdc=1&amp;sr=8-6", "https://www.amazon.com/Clarifying-Finishing-Pressed-Setting-Translucent/dp/B09NX3HBLB/ref=sr_1_6?keywords=Sett+Powder&amp;qid=1695565473&amp;rdc=1&amp;sr=8-6")</f>
        <v/>
      </c>
      <c r="F1548" t="inlineStr">
        <is>
          <t>B09NX3HBLB</t>
        </is>
      </c>
      <c r="G1548">
        <f>_xlfn.IMAGE("https://camerareadycosmetics.com/cdn/shop/products/131004001__92891.1432782150.600.600_50x.jpeg?v=1689625496")</f>
        <v/>
      </c>
      <c r="H1548">
        <f>_xlfn.IMAGE("https://m.media-amazon.com/images/I/71l5i9eUK7L._AC_UL320_.jpg")</f>
        <v/>
      </c>
      <c r="K1548" t="inlineStr">
        <is>
          <t>24.0</t>
        </is>
      </c>
      <c r="L1548" t="n">
        <v>3.28</v>
      </c>
      <c r="M1548" s="1" t="inlineStr">
        <is>
          <t>-86.33%</t>
        </is>
      </c>
      <c r="N1548" t="n">
        <v>4.3</v>
      </c>
      <c r="O1548" t="n">
        <v>3893</v>
      </c>
      <c r="Q1548" t="inlineStr">
        <is>
          <t>InStock</t>
        </is>
      </c>
      <c r="R1548" t="inlineStr">
        <is>
          <t>undefined</t>
        </is>
      </c>
      <c r="S1548" t="inlineStr">
        <is>
          <t>7034519495</t>
        </is>
      </c>
    </row>
    <row r="1549" ht="75" customHeight="1">
      <c r="A1549" s="2">
        <f>HYPERLINK("https://camerareadycosmetics.com/products/kett-sett-powder", "https://camerareadycosmetics.com/products/kett-sett-powder")</f>
        <v/>
      </c>
      <c r="B1549" s="2">
        <f>HYPERLINK("https://camerareadycosmetics.com/products/kett-sett-powder", "https://camerareadycosmetics.com/products/kett-sett-powder")</f>
        <v/>
      </c>
      <c r="C1549" t="inlineStr">
        <is>
          <t>Sett Powder</t>
        </is>
      </c>
      <c r="D1549" t="inlineStr">
        <is>
          <t>NYX PROFESSIONAL MAKEUP HD Studio Finishing Powder, Loose Setting Powder - Translucent Finish</t>
        </is>
      </c>
      <c r="E1549" s="2">
        <f>HYPERLINK("https://www.amazon.com/NYX-Professional-Makeup-Finishing-Translucent/dp/B009GLQG6Q/ref=sr_1_5?keywords=Sett+Powder&amp;qid=1695565473&amp;sr=8-5", "https://www.amazon.com/NYX-Professional-Makeup-Finishing-Translucent/dp/B009GLQG6Q/ref=sr_1_5?keywords=Sett+Powder&amp;qid=1695565473&amp;sr=8-5")</f>
        <v/>
      </c>
      <c r="F1549" t="inlineStr">
        <is>
          <t>B009GLQG6Q</t>
        </is>
      </c>
      <c r="G1549">
        <f>_xlfn.IMAGE("https://camerareadycosmetics.com/cdn/shop/products/131004001__92891.1432782150.600.600_50x.jpeg?v=1689625496")</f>
        <v/>
      </c>
      <c r="H1549">
        <f>_xlfn.IMAGE("https://m.media-amazon.com/images/I/5196xGH0ZvL._AC_UL320_.jpg")</f>
        <v/>
      </c>
      <c r="K1549" t="inlineStr">
        <is>
          <t>24.0</t>
        </is>
      </c>
      <c r="L1549" t="n">
        <v>9.16</v>
      </c>
      <c r="M1549" s="1" t="inlineStr">
        <is>
          <t>-61.83%</t>
        </is>
      </c>
      <c r="N1549" t="n">
        <v>4.3</v>
      </c>
      <c r="O1549" t="n">
        <v>14881</v>
      </c>
      <c r="Q1549" t="inlineStr">
        <is>
          <t>InStock</t>
        </is>
      </c>
      <c r="R1549" t="inlineStr">
        <is>
          <t>undefined</t>
        </is>
      </c>
      <c r="S1549" t="inlineStr">
        <is>
          <t>7034519495</t>
        </is>
      </c>
    </row>
    <row r="1550" ht="75" customHeight="1">
      <c r="A1550" s="2">
        <f>HYPERLINK("https://camerareadycosmetics.com/products/kett-sett-powder", "https://camerareadycosmetics.com/products/kett-sett-powder")</f>
        <v/>
      </c>
      <c r="B1550" s="2">
        <f>HYPERLINK("https://camerareadycosmetics.com/products/kett-sett-powder", "https://camerareadycosmetics.com/products/kett-sett-powder")</f>
        <v/>
      </c>
      <c r="C1550" t="inlineStr">
        <is>
          <t>Sett Powder</t>
        </is>
      </c>
      <c r="D1550" t="inlineStr">
        <is>
          <t>ETUDE Zero Sebum Drying Powder 4g New | Lightweight Oil Control No Sebum Loose Face Powder with 80% Mineral | Long Lasting for Setting or Foundation Makes Skin Downy</t>
        </is>
      </c>
      <c r="E1550" s="2">
        <f>HYPERLINK("https://www.amazon.com/Lightweight-Control-Mineral-Lasting-Foundation/dp/B09T9KWWBG/ref=sr_1_9?keywords=Sett+Powder&amp;qid=1695565473&amp;sr=8-9", "https://www.amazon.com/Lightweight-Control-Mineral-Lasting-Foundation/dp/B09T9KWWBG/ref=sr_1_9?keywords=Sett+Powder&amp;qid=1695565473&amp;sr=8-9")</f>
        <v/>
      </c>
      <c r="F1550" t="inlineStr">
        <is>
          <t>B09T9KWWBG</t>
        </is>
      </c>
      <c r="G1550">
        <f>_xlfn.IMAGE("https://camerareadycosmetics.com/cdn/shop/products/131004001__92891.1432782150.600.600_50x.jpeg?v=1689625496")</f>
        <v/>
      </c>
      <c r="H1550">
        <f>_xlfn.IMAGE("https://m.media-amazon.com/images/I/51HF50+u2WL._AC_UL320_.jpg")</f>
        <v/>
      </c>
      <c r="K1550" t="inlineStr">
        <is>
          <t>24.0</t>
        </is>
      </c>
      <c r="L1550" t="n">
        <v>7.5</v>
      </c>
      <c r="M1550" s="1" t="inlineStr">
        <is>
          <t>-68.75%</t>
        </is>
      </c>
      <c r="N1550" t="n">
        <v>4.3</v>
      </c>
      <c r="O1550" t="n">
        <v>9899</v>
      </c>
      <c r="Q1550" t="inlineStr">
        <is>
          <t>InStock</t>
        </is>
      </c>
      <c r="R1550" t="inlineStr">
        <is>
          <t>undefined</t>
        </is>
      </c>
      <c r="S1550" t="inlineStr">
        <is>
          <t>7034519495</t>
        </is>
      </c>
    </row>
    <row r="1551" ht="75" customHeight="1">
      <c r="A1551" s="2">
        <f>HYPERLINK("https://camerareadycosmetics.com/products/kett-sett-powder", "https://camerareadycosmetics.com/products/kett-sett-powder")</f>
        <v/>
      </c>
      <c r="B1551" s="2">
        <f>HYPERLINK("https://camerareadycosmetics.com/products/kett-sett-powder", "https://camerareadycosmetics.com/products/kett-sett-powder")</f>
        <v/>
      </c>
      <c r="C1551" t="inlineStr">
        <is>
          <t>Sett Powder</t>
        </is>
      </c>
      <c r="D1551" t="inlineStr">
        <is>
          <t>COVERGIRL Clean Invisible Loose Powder - Loose Powder, Setting Powder, Vegan Formula - Translucent Dark, 20g (0.7 oz)</t>
        </is>
      </c>
      <c r="E1551" s="2">
        <f>HYPERLINK("https://www.amazon.com/Clean-Invisible-Loose-Powder-Translucent/dp/B0BBSQVY4F/ref=sr_1_4?keywords=Sett+Powder&amp;qid=1695565473&amp;sr=8-4", "https://www.amazon.com/Clean-Invisible-Loose-Powder-Translucent/dp/B0BBSQVY4F/ref=sr_1_4?keywords=Sett+Powder&amp;qid=1695565473&amp;sr=8-4")</f>
        <v/>
      </c>
      <c r="F1551" t="inlineStr">
        <is>
          <t>B0BBSQVY4F</t>
        </is>
      </c>
      <c r="G1551">
        <f>_xlfn.IMAGE("https://camerareadycosmetics.com/cdn/shop/products/131004001__92891.1432782150.600.600_50x.jpeg?v=1689625496")</f>
        <v/>
      </c>
      <c r="H1551">
        <f>_xlfn.IMAGE("https://m.media-amazon.com/images/I/81Rrt3nB1sL._AC_UL320_.jpg")</f>
        <v/>
      </c>
      <c r="K1551" t="inlineStr">
        <is>
          <t>24.0</t>
        </is>
      </c>
      <c r="L1551" t="n">
        <v>6.38</v>
      </c>
      <c r="M1551" s="1" t="inlineStr">
        <is>
          <t>-73.42%</t>
        </is>
      </c>
      <c r="N1551" t="n">
        <v>4.4</v>
      </c>
      <c r="O1551" t="n">
        <v>581</v>
      </c>
      <c r="Q1551" t="inlineStr">
        <is>
          <t>InStock</t>
        </is>
      </c>
      <c r="R1551" t="inlineStr">
        <is>
          <t>undefined</t>
        </is>
      </c>
      <c r="S1551" t="inlineStr">
        <is>
          <t>7034519495</t>
        </is>
      </c>
    </row>
    <row r="1552" ht="75" customHeight="1">
      <c r="A1552" s="2">
        <f>HYPERLINK("https://camerareadycosmetics.com/products/kett-sett-powder", "https://camerareadycosmetics.com/products/kett-sett-powder")</f>
        <v/>
      </c>
      <c r="B1552" s="2">
        <f>HYPERLINK("https://camerareadycosmetics.com/products/kett-sett-powder", "https://camerareadycosmetics.com/products/kett-sett-powder")</f>
        <v/>
      </c>
      <c r="C1552" t="inlineStr">
        <is>
          <t>Sett Powder</t>
        </is>
      </c>
      <c r="D1552" t="inlineStr">
        <is>
          <t>Wet n Wild Bare Focus Clarifying Finishing Powder | Matte | Pressed Setting Powder Translucent</t>
        </is>
      </c>
      <c r="E1552" s="2">
        <f>HYPERLINK("https://www.amazon.com/Clarifying-Finishing-Pressed-Setting-Translucent/dp/B09NX3HBLB/ref=sr_1_6?keywords=Sett+Powder&amp;qid=1695565473&amp;rdc=1&amp;sr=8-6", "https://www.amazon.com/Clarifying-Finishing-Pressed-Setting-Translucent/dp/B09NX3HBLB/ref=sr_1_6?keywords=Sett+Powder&amp;qid=1695565473&amp;rdc=1&amp;sr=8-6")</f>
        <v/>
      </c>
      <c r="F1552" t="inlineStr">
        <is>
          <t>B09NX3HBLB</t>
        </is>
      </c>
      <c r="G1552">
        <f>_xlfn.IMAGE("https://camerareadycosmetics.com/cdn/shop/products/131004001__92891.1432782150.600.600_50x.jpeg?v=1689625496")</f>
        <v/>
      </c>
      <c r="H1552">
        <f>_xlfn.IMAGE("https://m.media-amazon.com/images/I/71l5i9eUK7L._AC_UL320_.jpg")</f>
        <v/>
      </c>
      <c r="K1552" t="inlineStr">
        <is>
          <t>24.0</t>
        </is>
      </c>
      <c r="L1552" t="n">
        <v>3.28</v>
      </c>
      <c r="M1552" s="1" t="inlineStr">
        <is>
          <t>-86.33%</t>
        </is>
      </c>
      <c r="N1552" t="n">
        <v>4.3</v>
      </c>
      <c r="O1552" t="n">
        <v>3893</v>
      </c>
      <c r="Q1552" t="inlineStr">
        <is>
          <t>InStock</t>
        </is>
      </c>
      <c r="R1552" t="inlineStr">
        <is>
          <t>undefined</t>
        </is>
      </c>
      <c r="S1552" t="inlineStr">
        <is>
          <t>7034519495</t>
        </is>
      </c>
    </row>
    <row r="1553" ht="75" customHeight="1">
      <c r="A1553" s="2">
        <f>HYPERLINK("https://camerareadycosmetics.com/products/kevyn-aucoin-glass-glow-face", "https://camerareadycosmetics.com/products/kevyn-aucoin-glass-glow-face")</f>
        <v/>
      </c>
      <c r="B1553" s="2">
        <f>HYPERLINK("https://camerareadycosmetics.com/products/kevyn-aucoin-glass-glow-face", "https://camerareadycosmetics.com/products/kevyn-aucoin-glass-glow-face")</f>
        <v/>
      </c>
      <c r="C1553" t="inlineStr">
        <is>
          <t>Glass Glow Face</t>
        </is>
      </c>
      <c r="D1553" t="inlineStr">
        <is>
          <t>Kevyn Aucoin Glass Glow Face, Solar Quartz: Multi-purpose universal dewy highlighter for face and body. Creates glowing youthful-looking hydrated skin with a glassy complexion. Makeup artist go to.</t>
        </is>
      </c>
      <c r="E1553" s="2">
        <f>HYPERLINK("https://www.amazon.com/KEVYN-AUCOIN-Glass-Solar-Quartz/dp/B089P1PG98/ref=sr_1_1?keywords=Glass+Glow+Face&amp;qid=1695565510&amp;sr=8-1", "https://www.amazon.com/KEVYN-AUCOIN-Glass-Solar-Quartz/dp/B089P1PG98/ref=sr_1_1?keywords=Glass+Glow+Face&amp;qid=1695565510&amp;sr=8-1")</f>
        <v/>
      </c>
      <c r="F1553" t="inlineStr">
        <is>
          <t>B089P1PG98</t>
        </is>
      </c>
      <c r="G1553">
        <f>_xlfn.IMAGE("https://camerareadycosmetics.com/cdn/shop/products/GlassGlowArmSwatches_1000x_cf99d1ae-0d48-4d20-873f-a65368c8a202_50x.jpg?v=1654286325")</f>
        <v/>
      </c>
      <c r="H1553">
        <f>_xlfn.IMAGE("https://m.media-amazon.com/images/I/71DBkygzMfL._AC_UL320_.jpg")</f>
        <v/>
      </c>
      <c r="K1553" t="inlineStr">
        <is>
          <t>32.0</t>
        </is>
      </c>
      <c r="L1553" t="n">
        <v>35</v>
      </c>
      <c r="M1553" s="1" t="inlineStr">
        <is>
          <t>9.38%</t>
        </is>
      </c>
      <c r="N1553" t="n">
        <v>4.3</v>
      </c>
      <c r="O1553" t="n">
        <v>238</v>
      </c>
      <c r="Q1553" t="inlineStr">
        <is>
          <t>InStock</t>
        </is>
      </c>
      <c r="R1553" t="inlineStr">
        <is>
          <t>undefined</t>
        </is>
      </c>
      <c r="S1553" t="inlineStr">
        <is>
          <t>2199605117039</t>
        </is>
      </c>
    </row>
    <row r="1554" ht="75" customHeight="1">
      <c r="A1554" s="2">
        <f>HYPERLINK("https://camerareadycosmetics.com/products/kevyn-aucoin-glass-glow-face", "https://camerareadycosmetics.com/products/kevyn-aucoin-glass-glow-face")</f>
        <v/>
      </c>
      <c r="B1554" s="2">
        <f>HYPERLINK("https://camerareadycosmetics.com/products/kevyn-aucoin-glass-glow-face", "https://camerareadycosmetics.com/products/kevyn-aucoin-glass-glow-face")</f>
        <v/>
      </c>
      <c r="C1554" t="inlineStr">
        <is>
          <t>Glass Glow Face</t>
        </is>
      </c>
      <c r="D1554" t="inlineStr">
        <is>
          <t>Glow Serum for Face, Skin Brightening Serum with Vitamin C, Hyaluronic Acid &amp; Niacinamide, Face Serum for Glowing Skin, Glass Skin Serums for Skin Care &amp; Helps Reduce Dark Spots</t>
        </is>
      </c>
      <c r="E1554" s="2">
        <f>HYPERLINK("https://www.amazon.com/Collagen-Boosting-Brightening-Glowing-Serum/dp/B09GP6NRQR/ref=sr_1_3?keywords=Glass+Glow+Face&amp;qid=1695565510&amp;rdc=1&amp;sr=8-3", "https://www.amazon.com/Collagen-Boosting-Brightening-Glowing-Serum/dp/B09GP6NRQR/ref=sr_1_3?keywords=Glass+Glow+Face&amp;qid=1695565510&amp;rdc=1&amp;sr=8-3")</f>
        <v/>
      </c>
      <c r="F1554" t="inlineStr">
        <is>
          <t>B09GP6NRQR</t>
        </is>
      </c>
      <c r="G1554">
        <f>_xlfn.IMAGE("https://camerareadycosmetics.com/cdn/shop/products/GlassGlowArmSwatches_1000x_cf99d1ae-0d48-4d20-873f-a65368c8a202_50x.jpg?v=1654286325")</f>
        <v/>
      </c>
      <c r="H1554">
        <f>_xlfn.IMAGE("https://m.media-amazon.com/images/I/71laX3g+KPL._AC_UL320_.jpg")</f>
        <v/>
      </c>
      <c r="K1554" t="inlineStr">
        <is>
          <t>32.0</t>
        </is>
      </c>
      <c r="L1554" t="n">
        <v>6.39</v>
      </c>
      <c r="M1554" s="1" t="inlineStr">
        <is>
          <t>-80.03%</t>
        </is>
      </c>
      <c r="N1554" t="n">
        <v>4</v>
      </c>
      <c r="O1554" t="n">
        <v>207</v>
      </c>
      <c r="Q1554" t="inlineStr">
        <is>
          <t>InStock</t>
        </is>
      </c>
      <c r="R1554" t="inlineStr">
        <is>
          <t>undefined</t>
        </is>
      </c>
      <c r="S1554" t="inlineStr">
        <is>
          <t>2199605117039</t>
        </is>
      </c>
    </row>
    <row r="1555" ht="75" customHeight="1">
      <c r="A1555" s="2">
        <f>HYPERLINK("https://camerareadycosmetics.com/products/kevyn-aucoin-glass-glow-face", "https://camerareadycosmetics.com/products/kevyn-aucoin-glass-glow-face")</f>
        <v/>
      </c>
      <c r="B1555" s="2">
        <f>HYPERLINK("https://camerareadycosmetics.com/products/kevyn-aucoin-glass-glow-face", "https://camerareadycosmetics.com/products/kevyn-aucoin-glass-glow-face")</f>
        <v/>
      </c>
      <c r="C1555" t="inlineStr">
        <is>
          <t>Glass Glow Face</t>
        </is>
      </c>
      <c r="D1555" t="inlineStr">
        <is>
          <t>Easy Soluderm Tone-up Glow Mask (5 pcs, 25g) - Brightening Glass Skin Beauty Face Mask for Men &amp; Women – Age Defying Korean Face Moisturizer for Dull &amp; Dry Skin - Face Mask Skin Care Products</t>
        </is>
      </c>
      <c r="E1555" s="2">
        <f>HYPERLINK("https://www.amazon.com/Fation-Easy-Soluderm-Tone-up-Glow/dp/B0BRZJL328/ref=sr_1_5?keywords=Glass+Glow+Face&amp;qid=1695565510&amp;sr=8-5", "https://www.amazon.com/Fation-Easy-Soluderm-Tone-up-Glow/dp/B0BRZJL328/ref=sr_1_5?keywords=Glass+Glow+Face&amp;qid=1695565510&amp;sr=8-5")</f>
        <v/>
      </c>
      <c r="F1555" t="inlineStr">
        <is>
          <t>B0BRZJL328</t>
        </is>
      </c>
      <c r="G1555">
        <f>_xlfn.IMAGE("https://camerareadycosmetics.com/cdn/shop/products/GlassGlowArmSwatches_1000x_cf99d1ae-0d48-4d20-873f-a65368c8a202_50x.jpg?v=1654286325")</f>
        <v/>
      </c>
      <c r="H1555">
        <f>_xlfn.IMAGE("https://m.media-amazon.com/images/I/61l0-AscOIL._AC_UL320_.jpg")</f>
        <v/>
      </c>
      <c r="K1555" t="inlineStr">
        <is>
          <t>32.0</t>
        </is>
      </c>
      <c r="L1555" t="n">
        <v>4.99</v>
      </c>
      <c r="M1555" s="1" t="inlineStr">
        <is>
          <t>-84.41%</t>
        </is>
      </c>
      <c r="N1555" t="n">
        <v>4.8</v>
      </c>
      <c r="O1555" t="n">
        <v>28</v>
      </c>
      <c r="Q1555" t="inlineStr">
        <is>
          <t>InStock</t>
        </is>
      </c>
      <c r="R1555" t="inlineStr">
        <is>
          <t>undefined</t>
        </is>
      </c>
      <c r="S1555" t="inlineStr">
        <is>
          <t>2199605117039</t>
        </is>
      </c>
    </row>
    <row r="1556" ht="75" customHeight="1">
      <c r="A1556" s="2">
        <f>HYPERLINK("https://camerareadycosmetics.com/products/kevyn-aucoin-glass-glow-face", "https://camerareadycosmetics.com/products/kevyn-aucoin-glass-glow-face")</f>
        <v/>
      </c>
      <c r="B1556" s="2">
        <f>HYPERLINK("https://camerareadycosmetics.com/products/kevyn-aucoin-glass-glow-face", "https://camerareadycosmetics.com/products/kevyn-aucoin-glass-glow-face")</f>
        <v/>
      </c>
      <c r="C1556" t="inlineStr">
        <is>
          <t>Glass Glow Face</t>
        </is>
      </c>
      <c r="D1556" t="inlineStr">
        <is>
          <t>Glow Serum for Face, Skin Brightening Serum with Vitamin C, Hyaluronic Acid &amp; Niacinamide, Face Serum for Glowing Skin, Glass Skin Serums for Skin Care &amp; Helps Reduce Dark Spots</t>
        </is>
      </c>
      <c r="E1556" s="2">
        <f>HYPERLINK("https://www.amazon.com/Collagen-Boosting-Brightening-Glowing-Serum/dp/B09GP6NRQR/ref=sr_1_3?keywords=Glass+Glow+Face&amp;qid=1695565510&amp;rdc=1&amp;sr=8-3", "https://www.amazon.com/Collagen-Boosting-Brightening-Glowing-Serum/dp/B09GP6NRQR/ref=sr_1_3?keywords=Glass+Glow+Face&amp;qid=1695565510&amp;rdc=1&amp;sr=8-3")</f>
        <v/>
      </c>
      <c r="F1556" t="inlineStr">
        <is>
          <t>B09GP6NRQR</t>
        </is>
      </c>
      <c r="G1556">
        <f>_xlfn.IMAGE("https://camerareadycosmetics.com/cdn/shop/products/GlassGlowArmSwatches_1000x_cf99d1ae-0d48-4d20-873f-a65368c8a202_50x.jpg?v=1654286325")</f>
        <v/>
      </c>
      <c r="H1556">
        <f>_xlfn.IMAGE("https://m.media-amazon.com/images/I/71laX3g+KPL._AC_UL320_.jpg")</f>
        <v/>
      </c>
      <c r="K1556" t="inlineStr">
        <is>
          <t>32.0</t>
        </is>
      </c>
      <c r="L1556" t="n">
        <v>6.39</v>
      </c>
      <c r="M1556" s="1" t="inlineStr">
        <is>
          <t>-80.03%</t>
        </is>
      </c>
      <c r="N1556" t="n">
        <v>4</v>
      </c>
      <c r="O1556" t="n">
        <v>207</v>
      </c>
      <c r="Q1556" t="inlineStr">
        <is>
          <t>InStock</t>
        </is>
      </c>
      <c r="R1556" t="inlineStr">
        <is>
          <t>undefined</t>
        </is>
      </c>
      <c r="S1556" t="inlineStr">
        <is>
          <t>2199605117039</t>
        </is>
      </c>
    </row>
    <row r="1557" ht="75" customHeight="1">
      <c r="A1557" s="2">
        <f>HYPERLINK("https://camerareadycosmetics.com/products/kevyn-aucoin-glass-glow-face", "https://camerareadycosmetics.com/products/kevyn-aucoin-glass-glow-face")</f>
        <v/>
      </c>
      <c r="B1557" s="2">
        <f>HYPERLINK("https://camerareadycosmetics.com/products/kevyn-aucoin-glass-glow-face", "https://camerareadycosmetics.com/products/kevyn-aucoin-glass-glow-face")</f>
        <v/>
      </c>
      <c r="C1557" t="inlineStr">
        <is>
          <t>Glass Glow Face</t>
        </is>
      </c>
      <c r="D1557" t="inlineStr">
        <is>
          <t>Easy Soluderm Tone-up Glow Mask (5 pcs, 25g) - Brightening Glass Skin Beauty Face Mask for Men &amp; Women – Age Defying Korean Face Moisturizer for Dull &amp; Dry Skin - Face Mask Skin Care Products</t>
        </is>
      </c>
      <c r="E1557" s="2">
        <f>HYPERLINK("https://www.amazon.com/Fation-Easy-Soluderm-Tone-up-Glow/dp/B0BRZJL328/ref=sr_1_5?keywords=Glass+Glow+Face&amp;qid=1695565510&amp;sr=8-5", "https://www.amazon.com/Fation-Easy-Soluderm-Tone-up-Glow/dp/B0BRZJL328/ref=sr_1_5?keywords=Glass+Glow+Face&amp;qid=1695565510&amp;sr=8-5")</f>
        <v/>
      </c>
      <c r="F1557" t="inlineStr">
        <is>
          <t>B0BRZJL328</t>
        </is>
      </c>
      <c r="G1557">
        <f>_xlfn.IMAGE("https://camerareadycosmetics.com/cdn/shop/products/GlassGlowArmSwatches_1000x_cf99d1ae-0d48-4d20-873f-a65368c8a202_50x.jpg?v=1654286325")</f>
        <v/>
      </c>
      <c r="H1557">
        <f>_xlfn.IMAGE("https://m.media-amazon.com/images/I/61l0-AscOIL._AC_UL320_.jpg")</f>
        <v/>
      </c>
      <c r="K1557" t="inlineStr">
        <is>
          <t>32.0</t>
        </is>
      </c>
      <c r="L1557" t="n">
        <v>4.99</v>
      </c>
      <c r="M1557" s="1" t="inlineStr">
        <is>
          <t>-84.41%</t>
        </is>
      </c>
      <c r="N1557" t="n">
        <v>4.8</v>
      </c>
      <c r="O1557" t="n">
        <v>28</v>
      </c>
      <c r="Q1557" t="inlineStr">
        <is>
          <t>InStock</t>
        </is>
      </c>
      <c r="R1557" t="inlineStr">
        <is>
          <t>undefined</t>
        </is>
      </c>
      <c r="S1557" t="inlineStr">
        <is>
          <t>2199605117039</t>
        </is>
      </c>
    </row>
    <row r="1558" ht="75" customHeight="1">
      <c r="A1558" s="2">
        <f>HYPERLINK("https://camerareadycosmetics.com/products/kevyn-aucoin-indecent-mascara", "https://camerareadycosmetics.com/products/kevyn-aucoin-indecent-mascara")</f>
        <v/>
      </c>
      <c r="B1558" s="2">
        <f>HYPERLINK("https://camerareadycosmetics.com/products/kevyn-aucoin-indecent-mascara", "https://camerareadycosmetics.com/products/kevyn-aucoin-indecent-mascara")</f>
        <v/>
      </c>
      <c r="C1558" t="inlineStr">
        <is>
          <t>Indecent Mascara</t>
        </is>
      </c>
      <c r="D1558" t="inlineStr">
        <is>
          <t>Smashbox Indecent Exposure Mascara, 0.3 Fluid Ounce</t>
        </is>
      </c>
      <c r="E1558" s="2">
        <f>HYPERLINK("https://www.amazon.com/Smashbox-Indecent-Exposure-Mascara-Fluid/dp/B01DMJT8GW/ref=sr_1_2?keywords=Indecent+Mascara&amp;qid=1695565853&amp;sr=8-2", "https://www.amazon.com/Smashbox-Indecent-Exposure-Mascara-Fluid/dp/B01DMJT8GW/ref=sr_1_2?keywords=Indecent+Mascara&amp;qid=1695565853&amp;sr=8-2")</f>
        <v/>
      </c>
      <c r="F1558" t="inlineStr">
        <is>
          <t>B01DMJT8GW</t>
        </is>
      </c>
      <c r="G1558">
        <f>_xlfn.IMAGE("https://camerareadycosmetics.com/cdn/shop/products/kevyn-aucoin-mascara-indecent-INDECE_3_1000x_ebd9c9fd-5712-45df-95e2-8c0587ed9090_50x.jpg?v=1618867557")</f>
        <v/>
      </c>
      <c r="H1558">
        <f>_xlfn.IMAGE("https://m.media-amazon.com/images/I/61913nJFnkL._AC_UL320_.jpg")</f>
        <v/>
      </c>
      <c r="K1558" t="inlineStr">
        <is>
          <t>30.0</t>
        </is>
      </c>
      <c r="L1558" t="n">
        <v>35.99</v>
      </c>
      <c r="M1558" s="1" t="inlineStr">
        <is>
          <t>19.97%</t>
        </is>
      </c>
      <c r="N1558" t="n">
        <v>4.1</v>
      </c>
      <c r="O1558" t="n">
        <v>47</v>
      </c>
      <c r="Q1558" t="inlineStr">
        <is>
          <t>InStock</t>
        </is>
      </c>
      <c r="R1558" t="inlineStr">
        <is>
          <t>undefined</t>
        </is>
      </c>
      <c r="S1558" t="inlineStr">
        <is>
          <t>6659587276985</t>
        </is>
      </c>
    </row>
    <row r="1559" ht="75" customHeight="1">
      <c r="A1559" s="2">
        <f>HYPERLINK("https://camerareadycosmetics.com/products/kevyn-aucoin-indecent-mascara", "https://camerareadycosmetics.com/products/kevyn-aucoin-indecent-mascara")</f>
        <v/>
      </c>
      <c r="B1559" s="2">
        <f>HYPERLINK("https://camerareadycosmetics.com/products/kevyn-aucoin-indecent-mascara", "https://camerareadycosmetics.com/products/kevyn-aucoin-indecent-mascara")</f>
        <v/>
      </c>
      <c r="C1559" t="inlineStr">
        <is>
          <t>Indecent Mascara</t>
        </is>
      </c>
      <c r="D1559" t="inlineStr">
        <is>
          <t>Kevyn Aucoin Indecent Mascara, Black: Thin cone-shaped brush. Creamy lash condition formula. Dramatic and natural look. Long wear. Clump &amp; flake-free. Pro makeup artist go to for defined fuller lashes</t>
        </is>
      </c>
      <c r="E1559" s="2">
        <f>HYPERLINK("https://www.amazon.com/KEVYN-AUCOIN-Indecent-Mascara-Black/dp/B08V4VSYHX/ref=sr_1_1?keywords=Indecent+Mascara&amp;qid=1695565853&amp;sr=8-1", "https://www.amazon.com/KEVYN-AUCOIN-Indecent-Mascara-Black/dp/B08V4VSYHX/ref=sr_1_1?keywords=Indecent+Mascara&amp;qid=1695565853&amp;sr=8-1")</f>
        <v/>
      </c>
      <c r="F1559" t="inlineStr">
        <is>
          <t>B08V4VSYHX</t>
        </is>
      </c>
      <c r="G1559">
        <f>_xlfn.IMAGE("https://camerareadycosmetics.com/cdn/shop/products/kevyn-aucoin-mascara-indecent-INDECE_3_1000x_ebd9c9fd-5712-45df-95e2-8c0587ed9090_50x.jpg?v=1618867557")</f>
        <v/>
      </c>
      <c r="H1559">
        <f>_xlfn.IMAGE("https://m.media-amazon.com/images/I/61VbGp3kNVL._AC_UL320_.jpg")</f>
        <v/>
      </c>
      <c r="K1559" t="inlineStr">
        <is>
          <t>30.0</t>
        </is>
      </c>
      <c r="L1559" t="n">
        <v>16.95</v>
      </c>
      <c r="M1559" s="1" t="inlineStr">
        <is>
          <t>-43.50%</t>
        </is>
      </c>
      <c r="N1559" t="n">
        <v>3.7</v>
      </c>
      <c r="O1559" t="n">
        <v>59</v>
      </c>
      <c r="Q1559" t="inlineStr">
        <is>
          <t>InStock</t>
        </is>
      </c>
      <c r="R1559" t="inlineStr">
        <is>
          <t>undefined</t>
        </is>
      </c>
      <c r="S1559" t="inlineStr">
        <is>
          <t>6659587276985</t>
        </is>
      </c>
    </row>
    <row r="1560" ht="75" customHeight="1">
      <c r="A1560" s="2">
        <f>HYPERLINK("https://camerareadycosmetics.com/products/kevyn-aucoin-neo-blush", "https://camerareadycosmetics.com/products/kevyn-aucoin-neo-blush")</f>
        <v/>
      </c>
      <c r="B1560" s="2">
        <f>HYPERLINK("https://camerareadycosmetics.com/products/kevyn-aucoin-neo-blush", "https://camerareadycosmetics.com/products/kevyn-aucoin-neo-blush")</f>
        <v/>
      </c>
      <c r="C1560" t="inlineStr">
        <is>
          <t>Neo-Blush</t>
        </is>
      </c>
      <c r="D1560" t="inlineStr">
        <is>
          <t>Kevyn Aucoin The Neo-Blush, Pink Sand: Blush makeup compact. Trio palette of gradient colors. Blends pearl, satin &amp; matte finishes for highlighting cheeks. Personalized looks. Natural to pop of color.</t>
        </is>
      </c>
      <c r="E1560" s="2">
        <f>HYPERLINK("https://www.amazon.com/Kevyn-Aucoin-Neo-Blush-Pink-Sand/dp/B07BZ5JS2R/ref=sr_1_1?keywords=Neo-Blush&amp;qid=1695565580&amp;sr=8-1", "https://www.amazon.com/Kevyn-Aucoin-Neo-Blush-Pink-Sand/dp/B07BZ5JS2R/ref=sr_1_1?keywords=Neo-Blush&amp;qid=1695565580&amp;sr=8-1")</f>
        <v/>
      </c>
      <c r="F1560" t="inlineStr">
        <is>
          <t>B07BZ5JS2R</t>
        </is>
      </c>
      <c r="G1560">
        <f>_xlfn.IMAGE("https://camerareadycosmetics.com/cdn/shop/products/kevyn-aucoin-Neo-Blush_Grapevine_Open-with-swatch_50x.jpg?v=1521616161")</f>
        <v/>
      </c>
      <c r="H1560">
        <f>_xlfn.IMAGE("https://m.media-amazon.com/images/I/71tf1LkHsGL._AC_UL320_.jpg")</f>
        <v/>
      </c>
      <c r="K1560" t="inlineStr">
        <is>
          <t>38.0</t>
        </is>
      </c>
      <c r="L1560" t="n">
        <v>40.95</v>
      </c>
      <c r="M1560" s="1" t="inlineStr">
        <is>
          <t>7.76%</t>
        </is>
      </c>
      <c r="N1560" t="n">
        <v>4.5</v>
      </c>
      <c r="O1560" t="n">
        <v>114</v>
      </c>
      <c r="Q1560" t="inlineStr">
        <is>
          <t>InStock</t>
        </is>
      </c>
      <c r="R1560" t="inlineStr">
        <is>
          <t>undefined</t>
        </is>
      </c>
      <c r="S1560" t="inlineStr">
        <is>
          <t>537162317834</t>
        </is>
      </c>
    </row>
    <row r="1561" ht="75" customHeight="1">
      <c r="A1561" s="2">
        <f>HYPERLINK("https://camerareadycosmetics.com/products/kevyn-aucoin-neo-blush", "https://camerareadycosmetics.com/products/kevyn-aucoin-neo-blush")</f>
        <v/>
      </c>
      <c r="B1561" s="2">
        <f>HYPERLINK("https://camerareadycosmetics.com/products/kevyn-aucoin-neo-blush", "https://camerareadycosmetics.com/products/kevyn-aucoin-neo-blush")</f>
        <v/>
      </c>
      <c r="C1561" t="inlineStr">
        <is>
          <t>Neo-Blush</t>
        </is>
      </c>
      <c r="D1561" t="inlineStr">
        <is>
          <t>Docolor Makeup Brushes 10Pcs Makeup Brush Set Premium Synthetic Powder Foundation Contour Blush Concealer Eye Shadow Blending Liner Make Up Brush Kit Neon Peach</t>
        </is>
      </c>
      <c r="E1561" s="2">
        <f>HYPERLINK("https://www.amazon.com/Docolor-Synthetic-Foundation-Blending-Eyeshadow/dp/B07R9QKVGC/ref=sr_1_8?keywords=Neo-Blush&amp;qid=1695565580&amp;sr=8-8", "https://www.amazon.com/Docolor-Synthetic-Foundation-Blending-Eyeshadow/dp/B07R9QKVGC/ref=sr_1_8?keywords=Neo-Blush&amp;qid=1695565580&amp;sr=8-8")</f>
        <v/>
      </c>
      <c r="F1561" t="inlineStr">
        <is>
          <t>B07R9QKVGC</t>
        </is>
      </c>
      <c r="G1561">
        <f>_xlfn.IMAGE("https://camerareadycosmetics.com/cdn/shop/products/kevyn-aucoin-Neo-Blush_Grapevine_Open-with-swatch_50x.jpg?v=1521616161")</f>
        <v/>
      </c>
      <c r="H1561">
        <f>_xlfn.IMAGE("https://m.media-amazon.com/images/I/71wMzbM8tnL._AC_UL320_.jpg")</f>
        <v/>
      </c>
      <c r="K1561" t="inlineStr">
        <is>
          <t>38.0</t>
        </is>
      </c>
      <c r="L1561" t="n">
        <v>19.99</v>
      </c>
      <c r="M1561" s="1" t="inlineStr">
        <is>
          <t>-47.39%</t>
        </is>
      </c>
      <c r="N1561" t="n">
        <v>4.6</v>
      </c>
      <c r="O1561" t="n">
        <v>7340</v>
      </c>
      <c r="Q1561" t="inlineStr">
        <is>
          <t>InStock</t>
        </is>
      </c>
      <c r="R1561" t="inlineStr">
        <is>
          <t>undefined</t>
        </is>
      </c>
      <c r="S1561" t="inlineStr">
        <is>
          <t>537162317834</t>
        </is>
      </c>
    </row>
    <row r="1562" ht="75" customHeight="1">
      <c r="A1562" s="2">
        <f>HYPERLINK("https://camerareadycosmetics.com/products/kevyn-aucoin-neo-blush", "https://camerareadycosmetics.com/products/kevyn-aucoin-neo-blush")</f>
        <v/>
      </c>
      <c r="B1562" s="2">
        <f>HYPERLINK("https://camerareadycosmetics.com/products/kevyn-aucoin-neo-blush", "https://camerareadycosmetics.com/products/kevyn-aucoin-neo-blush")</f>
        <v/>
      </c>
      <c r="C1562" t="inlineStr">
        <is>
          <t>Neo-Blush</t>
        </is>
      </c>
      <c r="D1562" t="inlineStr">
        <is>
          <t>Jessup Makeup Brushes Set, 10 Pcs Premium Synthetic Powder Foundation Blush Eyeshadow Blending Concealer Eyeliner Brushes for Girls and Women,Neo Mint Green T278</t>
        </is>
      </c>
      <c r="E1562" s="2">
        <f>HYPERLINK("https://www.amazon.com/Jessup-Synthetic-Foundation-Eyeshadow-Concealer/dp/B07VXT7993/ref=sr_1_10?keywords=Neo-Blush&amp;qid=1695565580&amp;sr=8-10", "https://www.amazon.com/Jessup-Synthetic-Foundation-Eyeshadow-Concealer/dp/B07VXT7993/ref=sr_1_10?keywords=Neo-Blush&amp;qid=1695565580&amp;sr=8-10")</f>
        <v/>
      </c>
      <c r="F1562" t="inlineStr">
        <is>
          <t>B07VXT7993</t>
        </is>
      </c>
      <c r="G1562">
        <f>_xlfn.IMAGE("https://camerareadycosmetics.com/cdn/shop/products/kevyn-aucoin-Neo-Blush_Grapevine_Open-with-swatch_50x.jpg?v=1521616161")</f>
        <v/>
      </c>
      <c r="H1562">
        <f>_xlfn.IMAGE("https://m.media-amazon.com/images/I/61p5djrEzAL._AC_UL320_.jpg")</f>
        <v/>
      </c>
      <c r="K1562" t="inlineStr">
        <is>
          <t>38.0</t>
        </is>
      </c>
      <c r="L1562" t="n">
        <v>19.74</v>
      </c>
      <c r="M1562" s="1" t="inlineStr">
        <is>
          <t>-48.05%</t>
        </is>
      </c>
      <c r="N1562" t="n">
        <v>4.7</v>
      </c>
      <c r="O1562" t="n">
        <v>58</v>
      </c>
      <c r="Q1562" t="inlineStr">
        <is>
          <t>InStock</t>
        </is>
      </c>
      <c r="R1562" t="inlineStr">
        <is>
          <t>undefined</t>
        </is>
      </c>
      <c r="S1562" t="inlineStr">
        <is>
          <t>537162317834</t>
        </is>
      </c>
    </row>
    <row r="1563" ht="75" customHeight="1">
      <c r="A1563" s="2">
        <f>HYPERLINK("https://camerareadycosmetics.com/products/kevyn-aucoin-neo-blush", "https://camerareadycosmetics.com/products/kevyn-aucoin-neo-blush")</f>
        <v/>
      </c>
      <c r="B1563" s="2">
        <f>HYPERLINK("https://camerareadycosmetics.com/products/kevyn-aucoin-neo-blush", "https://camerareadycosmetics.com/products/kevyn-aucoin-neo-blush")</f>
        <v/>
      </c>
      <c r="C1563" t="inlineStr">
        <is>
          <t>Neo-Blush</t>
        </is>
      </c>
      <c r="D1563" t="inlineStr">
        <is>
          <t>Nailboo PREMIER Forever Glaze Gel Nail Polish, (Neon Peach) Bikini Blush LED Nail Lamp Gel Polish, Self-Leveling DIY Nails, Salon Quality Nail Color, Glossy Long-Wear, 0.3 oz.</t>
        </is>
      </c>
      <c r="E1563" s="2">
        <f>HYPERLINK("https://www.amazon.com/Nailboo-PREMIER-Forever-Self-Leveling-Long-Wear/dp/B0C2QXFHWN/ref=sr_1_7?keywords=Neo-Blush&amp;qid=1695565580&amp;sr=8-7", "https://www.amazon.com/Nailboo-PREMIER-Forever-Self-Leveling-Long-Wear/dp/B0C2QXFHWN/ref=sr_1_7?keywords=Neo-Blush&amp;qid=1695565580&amp;sr=8-7")</f>
        <v/>
      </c>
      <c r="F1563" t="inlineStr">
        <is>
          <t>B0C2QXFHWN</t>
        </is>
      </c>
      <c r="G1563">
        <f>_xlfn.IMAGE("https://camerareadycosmetics.com/cdn/shop/products/kevyn-aucoin-Neo-Blush_Grapevine_Open-with-swatch_50x.jpg?v=1521616161")</f>
        <v/>
      </c>
      <c r="H1563">
        <f>_xlfn.IMAGE("https://m.media-amazon.com/images/I/61ZQfU5jOgL._AC_UL320_.jpg")</f>
        <v/>
      </c>
      <c r="K1563" t="inlineStr">
        <is>
          <t>38.0</t>
        </is>
      </c>
      <c r="L1563" t="n">
        <v>11.99</v>
      </c>
      <c r="M1563" s="1" t="inlineStr">
        <is>
          <t>-68.45%</t>
        </is>
      </c>
      <c r="N1563" t="n">
        <v>4.4</v>
      </c>
      <c r="O1563" t="n">
        <v>285</v>
      </c>
      <c r="Q1563" t="inlineStr">
        <is>
          <t>InStock</t>
        </is>
      </c>
      <c r="R1563" t="inlineStr">
        <is>
          <t>undefined</t>
        </is>
      </c>
      <c r="S1563" t="inlineStr">
        <is>
          <t>537162317834</t>
        </is>
      </c>
    </row>
    <row r="1564" ht="75" customHeight="1">
      <c r="A1564" s="2">
        <f>HYPERLINK("https://camerareadycosmetics.com/products/kevyn-aucoin-neo-blush", "https://camerareadycosmetics.com/products/kevyn-aucoin-neo-blush")</f>
        <v/>
      </c>
      <c r="B1564" s="2">
        <f>HYPERLINK("https://camerareadycosmetics.com/products/kevyn-aucoin-neo-blush", "https://camerareadycosmetics.com/products/kevyn-aucoin-neo-blush")</f>
        <v/>
      </c>
      <c r="C1564" t="inlineStr">
        <is>
          <t>Neo-Blush</t>
        </is>
      </c>
      <c r="D1564" t="inlineStr">
        <is>
          <t>Neo LOONS® 12" Pastel Blush Premium Latex Balloons - Great for Kids, Adult Birthdays, Weddings, Receptions, Baby Showers, Water Fights, or Any Celebration, Pack of 100</t>
        </is>
      </c>
      <c r="E1564" s="2">
        <f>HYPERLINK("https://www.amazon.com/Neo-LOONS-Birthdays-Receptions-Celebration/dp/B072KP2V7D/ref=sr_1_6?keywords=Neo-Blush&amp;qid=1695565580&amp;sr=8-6", "https://www.amazon.com/Neo-LOONS-Birthdays-Receptions-Celebration/dp/B072KP2V7D/ref=sr_1_6?keywords=Neo-Blush&amp;qid=1695565580&amp;sr=8-6")</f>
        <v/>
      </c>
      <c r="F1564" t="inlineStr">
        <is>
          <t>B072KP2V7D</t>
        </is>
      </c>
      <c r="G1564">
        <f>_xlfn.IMAGE("https://camerareadycosmetics.com/cdn/shop/products/kevyn-aucoin-Neo-Blush_Grapevine_Open-with-swatch_50x.jpg?v=1521616161")</f>
        <v/>
      </c>
      <c r="H1564">
        <f>_xlfn.IMAGE("https://m.media-amazon.com/images/I/41vvzF9YuQL._AC_UL320_.jpg")</f>
        <v/>
      </c>
      <c r="K1564" t="inlineStr">
        <is>
          <t>38.0</t>
        </is>
      </c>
      <c r="L1564" t="n">
        <v>11.99</v>
      </c>
      <c r="M1564" s="1" t="inlineStr">
        <is>
          <t>-68.45%</t>
        </is>
      </c>
      <c r="N1564" t="n">
        <v>5</v>
      </c>
      <c r="O1564" t="n">
        <v>5</v>
      </c>
      <c r="Q1564" t="inlineStr">
        <is>
          <t>InStock</t>
        </is>
      </c>
      <c r="R1564" t="inlineStr">
        <is>
          <t>undefined</t>
        </is>
      </c>
      <c r="S1564" t="inlineStr">
        <is>
          <t>537162317834</t>
        </is>
      </c>
    </row>
    <row r="1565" ht="75" customHeight="1">
      <c r="A1565" s="2">
        <f>HYPERLINK("https://camerareadycosmetics.com/products/kevyn-aucoin-neo-blush", "https://camerareadycosmetics.com/products/kevyn-aucoin-neo-blush")</f>
        <v/>
      </c>
      <c r="B1565" s="2">
        <f>HYPERLINK("https://camerareadycosmetics.com/products/kevyn-aucoin-neo-blush", "https://camerareadycosmetics.com/products/kevyn-aucoin-neo-blush")</f>
        <v/>
      </c>
      <c r="C1565" t="inlineStr">
        <is>
          <t>Neo-Blush</t>
        </is>
      </c>
      <c r="D1565" t="inlineStr">
        <is>
          <t>Neo LOONS 36 Inch Giant Latex Balloons, Standard Blush Round Balloons for Birthdays Weddings Receptions Festival Party Decoration, Pack of 5 Pcs</t>
        </is>
      </c>
      <c r="E1565" s="2">
        <f>HYPERLINK("https://www.amazon.com/Neo-LOONS-Birthdays-Receptions-Decoration/dp/B07MQ9XJGV/ref=sr_1_5?keywords=Neo-Blush&amp;qid=1695565580&amp;sr=8-5", "https://www.amazon.com/Neo-LOONS-Birthdays-Receptions-Decoration/dp/B07MQ9XJGV/ref=sr_1_5?keywords=Neo-Blush&amp;qid=1695565580&amp;sr=8-5")</f>
        <v/>
      </c>
      <c r="F1565" t="inlineStr">
        <is>
          <t>B07MQ9XJGV</t>
        </is>
      </c>
      <c r="G1565">
        <f>_xlfn.IMAGE("https://camerareadycosmetics.com/cdn/shop/products/kevyn-aucoin-Neo-Blush_Grapevine_Open-with-swatch_50x.jpg?v=1521616161")</f>
        <v/>
      </c>
      <c r="H1565">
        <f>_xlfn.IMAGE("https://m.media-amazon.com/images/I/51-VU6eOV3L._AC_UL320_.jpg")</f>
        <v/>
      </c>
      <c r="K1565" t="inlineStr">
        <is>
          <t>38.0</t>
        </is>
      </c>
      <c r="L1565" t="n">
        <v>9.99</v>
      </c>
      <c r="M1565" s="1" t="inlineStr">
        <is>
          <t>-73.71%</t>
        </is>
      </c>
      <c r="N1565" t="n">
        <v>4.5</v>
      </c>
      <c r="O1565" t="n">
        <v>1291</v>
      </c>
      <c r="Q1565" t="inlineStr">
        <is>
          <t>InStock</t>
        </is>
      </c>
      <c r="R1565" t="inlineStr">
        <is>
          <t>undefined</t>
        </is>
      </c>
      <c r="S1565" t="inlineStr">
        <is>
          <t>537162317834</t>
        </is>
      </c>
    </row>
    <row r="1566" ht="75" customHeight="1">
      <c r="A1566" s="2">
        <f>HYPERLINK("https://camerareadycosmetics.com/products/kevyn-aucoin-neo-blush", "https://camerareadycosmetics.com/products/kevyn-aucoin-neo-blush")</f>
        <v/>
      </c>
      <c r="B1566" s="2">
        <f>HYPERLINK("https://camerareadycosmetics.com/products/kevyn-aucoin-neo-blush", "https://camerareadycosmetics.com/products/kevyn-aucoin-neo-blush")</f>
        <v/>
      </c>
      <c r="C1566" t="inlineStr">
        <is>
          <t>Neo-Blush</t>
        </is>
      </c>
      <c r="D1566" t="inlineStr">
        <is>
          <t>Neo LOONS® 100 pcs 5" Pastel Blush Premium Latex Balloons - Great for Kids, Adult Birthdays, Weddings, Receptions, Baby Showers, Water Fights, or Any Celebration</t>
        </is>
      </c>
      <c r="E1566" s="2">
        <f>HYPERLINK("https://www.amazon.com/Neo-LOONS-Birthdays-Receptions-Celebration/dp/B01GFKKZCQ/ref=sr_1_2?keywords=Neo-Blush&amp;qid=1695565580&amp;sr=8-2", "https://www.amazon.com/Neo-LOONS-Birthdays-Receptions-Celebration/dp/B01GFKKZCQ/ref=sr_1_2?keywords=Neo-Blush&amp;qid=1695565580&amp;sr=8-2")</f>
        <v/>
      </c>
      <c r="F1566" t="inlineStr">
        <is>
          <t>B01GFKKZCQ</t>
        </is>
      </c>
      <c r="G1566">
        <f>_xlfn.IMAGE("https://camerareadycosmetics.com/cdn/shop/products/kevyn-aucoin-Neo-Blush_Grapevine_Open-with-swatch_50x.jpg?v=1521616161")</f>
        <v/>
      </c>
      <c r="H1566">
        <f>_xlfn.IMAGE("https://m.media-amazon.com/images/I/51rQj4Z+F3L._AC_UL320_.jpg")</f>
        <v/>
      </c>
      <c r="K1566" t="inlineStr">
        <is>
          <t>38.0</t>
        </is>
      </c>
      <c r="L1566" t="n">
        <v>7.99</v>
      </c>
      <c r="M1566" s="1" t="inlineStr">
        <is>
          <t>-78.97%</t>
        </is>
      </c>
      <c r="N1566" t="n">
        <v>4.6</v>
      </c>
      <c r="O1566" t="n">
        <v>957</v>
      </c>
      <c r="Q1566" t="inlineStr">
        <is>
          <t>InStock</t>
        </is>
      </c>
      <c r="R1566" t="inlineStr">
        <is>
          <t>undefined</t>
        </is>
      </c>
      <c r="S1566" t="inlineStr">
        <is>
          <t>537162317834</t>
        </is>
      </c>
    </row>
    <row r="1567" ht="75" customHeight="1">
      <c r="A1567" s="2">
        <f>HYPERLINK("https://camerareadycosmetics.com/products/kevyn-aucoin-neo-blush", "https://camerareadycosmetics.com/products/kevyn-aucoin-neo-blush")</f>
        <v/>
      </c>
      <c r="B1567" s="2">
        <f>HYPERLINK("https://camerareadycosmetics.com/products/kevyn-aucoin-neo-blush", "https://camerareadycosmetics.com/products/kevyn-aucoin-neo-blush")</f>
        <v/>
      </c>
      <c r="C1567" t="inlineStr">
        <is>
          <t>Neo-Blush</t>
        </is>
      </c>
      <c r="D1567" t="inlineStr">
        <is>
          <t>Docolor Flat Top Kabuki Foundation Brush Synthetic Professional Contours &amp; Sculpts Cheekbones For Bronzer &amp; Face Powder Blush Foundation Liquid Blending Mineral Vegan Makeup Tool Neon Pink</t>
        </is>
      </c>
      <c r="E1567" s="2">
        <f>HYPERLINK("https://www.amazon.com/Docolor-Foundation-Synthetic-Professional-Blending/dp/B08RDDLF6P/ref=sr_1_4?keywords=Neo-Blush&amp;qid=1695565580&amp;sr=8-4", "https://www.amazon.com/Docolor-Foundation-Synthetic-Professional-Blending/dp/B08RDDLF6P/ref=sr_1_4?keywords=Neo-Blush&amp;qid=1695565580&amp;sr=8-4")</f>
        <v/>
      </c>
      <c r="F1567" t="inlineStr">
        <is>
          <t>B08RDDLF6P</t>
        </is>
      </c>
      <c r="G1567">
        <f>_xlfn.IMAGE("https://camerareadycosmetics.com/cdn/shop/products/kevyn-aucoin-Neo-Blush_Grapevine_Open-with-swatch_50x.jpg?v=1521616161")</f>
        <v/>
      </c>
      <c r="H1567">
        <f>_xlfn.IMAGE("https://m.media-amazon.com/images/I/618S-FCU6NL._AC_UL320_.jpg")</f>
        <v/>
      </c>
      <c r="K1567" t="inlineStr">
        <is>
          <t>38.0</t>
        </is>
      </c>
      <c r="L1567" t="n">
        <v>7.99</v>
      </c>
      <c r="M1567" s="1" t="inlineStr">
        <is>
          <t>-78.97%</t>
        </is>
      </c>
      <c r="N1567" t="n">
        <v>4.4</v>
      </c>
      <c r="O1567" t="n">
        <v>2451</v>
      </c>
      <c r="Q1567" t="inlineStr">
        <is>
          <t>InStock</t>
        </is>
      </c>
      <c r="R1567" t="inlineStr">
        <is>
          <t>undefined</t>
        </is>
      </c>
      <c r="S1567" t="inlineStr">
        <is>
          <t>537162317834</t>
        </is>
      </c>
    </row>
    <row r="1568" ht="75" customHeight="1">
      <c r="A1568" s="2">
        <f>HYPERLINK("https://camerareadycosmetics.com/products/kevyn-aucoin-neo-blush", "https://camerareadycosmetics.com/products/kevyn-aucoin-neo-blush")</f>
        <v/>
      </c>
      <c r="B1568" s="2">
        <f>HYPERLINK("https://camerareadycosmetics.com/products/kevyn-aucoin-neo-blush", "https://camerareadycosmetics.com/products/kevyn-aucoin-neo-blush")</f>
        <v/>
      </c>
      <c r="C1568" t="inlineStr">
        <is>
          <t>Neo-Blush</t>
        </is>
      </c>
      <c r="D1568" t="inlineStr">
        <is>
          <t>Neo LOONS 1000 Pcs Artificial Silk Rose Petals Decoration Wedding Party Color Blush</t>
        </is>
      </c>
      <c r="E1568" s="2">
        <f>HYPERLINK("https://www.amazon.com/LOONS-Artificial-Petals-Decoration-Wedding/dp/B075DFQX38/ref=sr_1_3?keywords=Neo-Blush&amp;qid=1695565580&amp;sr=8-3", "https://www.amazon.com/LOONS-Artificial-Petals-Decoration-Wedding/dp/B075DFQX38/ref=sr_1_3?keywords=Neo-Blush&amp;qid=1695565580&amp;sr=8-3")</f>
        <v/>
      </c>
      <c r="F1568" t="inlineStr">
        <is>
          <t>B075DFQX38</t>
        </is>
      </c>
      <c r="G1568">
        <f>_xlfn.IMAGE("https://camerareadycosmetics.com/cdn/shop/products/kevyn-aucoin-Neo-Blush_Grapevine_Open-with-swatch_50x.jpg?v=1521616161")</f>
        <v/>
      </c>
      <c r="H1568">
        <f>_xlfn.IMAGE("https://m.media-amazon.com/images/I/61xCr8f-15L._AC_UL320_.jpg")</f>
        <v/>
      </c>
      <c r="K1568" t="inlineStr">
        <is>
          <t>38.0</t>
        </is>
      </c>
      <c r="L1568" t="n">
        <v>6.89</v>
      </c>
      <c r="M1568" s="1" t="inlineStr">
        <is>
          <t>-81.87%</t>
        </is>
      </c>
      <c r="N1568" t="n">
        <v>4.5</v>
      </c>
      <c r="O1568" t="n">
        <v>10579</v>
      </c>
      <c r="Q1568" t="inlineStr">
        <is>
          <t>InStock</t>
        </is>
      </c>
      <c r="R1568" t="inlineStr">
        <is>
          <t>undefined</t>
        </is>
      </c>
      <c r="S1568" t="inlineStr">
        <is>
          <t>537162317834</t>
        </is>
      </c>
    </row>
    <row r="1569" ht="75" customHeight="1">
      <c r="A1569" s="2">
        <f>HYPERLINK("https://camerareadycosmetics.com/products/kevyn-aucoin-neo-blush", "https://camerareadycosmetics.com/products/kevyn-aucoin-neo-blush")</f>
        <v/>
      </c>
      <c r="B1569" s="2">
        <f>HYPERLINK("https://camerareadycosmetics.com/products/kevyn-aucoin-neo-blush", "https://camerareadycosmetics.com/products/kevyn-aucoin-neo-blush")</f>
        <v/>
      </c>
      <c r="C1569" t="inlineStr">
        <is>
          <t>Neo-Blush</t>
        </is>
      </c>
      <c r="D1569" t="inlineStr">
        <is>
          <t>Docolor Makeup Brushes 10Pcs Makeup Brush Set Premium Synthetic Powder Foundation Contour Blush Concealer Eye Shadow Blending Liner Make Up Brush Kit Neon Peach</t>
        </is>
      </c>
      <c r="E1569" s="2">
        <f>HYPERLINK("https://www.amazon.com/Docolor-Synthetic-Foundation-Blending-Eyeshadow/dp/B07R9QKVGC/ref=sr_1_8?keywords=Neo-Blush&amp;qid=1695565580&amp;sr=8-8", "https://www.amazon.com/Docolor-Synthetic-Foundation-Blending-Eyeshadow/dp/B07R9QKVGC/ref=sr_1_8?keywords=Neo-Blush&amp;qid=1695565580&amp;sr=8-8")</f>
        <v/>
      </c>
      <c r="F1569" t="inlineStr">
        <is>
          <t>B07R9QKVGC</t>
        </is>
      </c>
      <c r="G1569">
        <f>_xlfn.IMAGE("https://camerareadycosmetics.com/cdn/shop/products/kevyn-aucoin-Neo-Blush_Grapevine_Open-with-swatch_50x.jpg?v=1521616161")</f>
        <v/>
      </c>
      <c r="H1569">
        <f>_xlfn.IMAGE("https://m.media-amazon.com/images/I/71wMzbM8tnL._AC_UL320_.jpg")</f>
        <v/>
      </c>
      <c r="K1569" t="inlineStr">
        <is>
          <t>38.0</t>
        </is>
      </c>
      <c r="L1569" t="n">
        <v>19.99</v>
      </c>
      <c r="M1569" s="1" t="inlineStr">
        <is>
          <t>-47.39%</t>
        </is>
      </c>
      <c r="N1569" t="n">
        <v>4.6</v>
      </c>
      <c r="O1569" t="n">
        <v>7340</v>
      </c>
      <c r="Q1569" t="inlineStr">
        <is>
          <t>InStock</t>
        </is>
      </c>
      <c r="R1569" t="inlineStr">
        <is>
          <t>undefined</t>
        </is>
      </c>
      <c r="S1569" t="inlineStr">
        <is>
          <t>537162317834</t>
        </is>
      </c>
    </row>
    <row r="1570" ht="75" customHeight="1">
      <c r="A1570" s="2">
        <f>HYPERLINK("https://camerareadycosmetics.com/products/kevyn-aucoin-neo-blush", "https://camerareadycosmetics.com/products/kevyn-aucoin-neo-blush")</f>
        <v/>
      </c>
      <c r="B1570" s="2">
        <f>HYPERLINK("https://camerareadycosmetics.com/products/kevyn-aucoin-neo-blush", "https://camerareadycosmetics.com/products/kevyn-aucoin-neo-blush")</f>
        <v/>
      </c>
      <c r="C1570" t="inlineStr">
        <is>
          <t>Neo-Blush</t>
        </is>
      </c>
      <c r="D1570" t="inlineStr">
        <is>
          <t>Jessup Makeup Brushes Set, 10 Pcs Premium Synthetic Powder Foundation Blush Eyeshadow Blending Concealer Eyeliner Brushes for Girls and Women,Neo Mint Green T278</t>
        </is>
      </c>
      <c r="E1570" s="2">
        <f>HYPERLINK("https://www.amazon.com/Jessup-Synthetic-Foundation-Eyeshadow-Concealer/dp/B07VXT7993/ref=sr_1_10?keywords=Neo-Blush&amp;qid=1695565580&amp;sr=8-10", "https://www.amazon.com/Jessup-Synthetic-Foundation-Eyeshadow-Concealer/dp/B07VXT7993/ref=sr_1_10?keywords=Neo-Blush&amp;qid=1695565580&amp;sr=8-10")</f>
        <v/>
      </c>
      <c r="F1570" t="inlineStr">
        <is>
          <t>B07VXT7993</t>
        </is>
      </c>
      <c r="G1570">
        <f>_xlfn.IMAGE("https://camerareadycosmetics.com/cdn/shop/products/kevyn-aucoin-Neo-Blush_Grapevine_Open-with-swatch_50x.jpg?v=1521616161")</f>
        <v/>
      </c>
      <c r="H1570">
        <f>_xlfn.IMAGE("https://m.media-amazon.com/images/I/61p5djrEzAL._AC_UL320_.jpg")</f>
        <v/>
      </c>
      <c r="K1570" t="inlineStr">
        <is>
          <t>38.0</t>
        </is>
      </c>
      <c r="L1570" t="n">
        <v>19.74</v>
      </c>
      <c r="M1570" s="1" t="inlineStr">
        <is>
          <t>-48.05%</t>
        </is>
      </c>
      <c r="N1570" t="n">
        <v>4.7</v>
      </c>
      <c r="O1570" t="n">
        <v>58</v>
      </c>
      <c r="Q1570" t="inlineStr">
        <is>
          <t>InStock</t>
        </is>
      </c>
      <c r="R1570" t="inlineStr">
        <is>
          <t>undefined</t>
        </is>
      </c>
      <c r="S1570" t="inlineStr">
        <is>
          <t>537162317834</t>
        </is>
      </c>
    </row>
    <row r="1571" ht="75" customHeight="1">
      <c r="A1571" s="2">
        <f>HYPERLINK("https://camerareadycosmetics.com/products/kevyn-aucoin-neo-blush", "https://camerareadycosmetics.com/products/kevyn-aucoin-neo-blush")</f>
        <v/>
      </c>
      <c r="B1571" s="2">
        <f>HYPERLINK("https://camerareadycosmetics.com/products/kevyn-aucoin-neo-blush", "https://camerareadycosmetics.com/products/kevyn-aucoin-neo-blush")</f>
        <v/>
      </c>
      <c r="C1571" t="inlineStr">
        <is>
          <t>Neo-Blush</t>
        </is>
      </c>
      <c r="D1571" t="inlineStr">
        <is>
          <t>Nailboo PREMIER Forever Glaze Gel Nail Polish, (Neon Peach) Bikini Blush LED Nail Lamp Gel Polish, Self-Leveling DIY Nails, Salon Quality Nail Color, Glossy Long-Wear, 0.3 oz.</t>
        </is>
      </c>
      <c r="E1571" s="2">
        <f>HYPERLINK("https://www.amazon.com/Nailboo-PREMIER-Forever-Self-Leveling-Long-Wear/dp/B0C2QXFHWN/ref=sr_1_7?keywords=Neo-Blush&amp;qid=1695565580&amp;sr=8-7", "https://www.amazon.com/Nailboo-PREMIER-Forever-Self-Leveling-Long-Wear/dp/B0C2QXFHWN/ref=sr_1_7?keywords=Neo-Blush&amp;qid=1695565580&amp;sr=8-7")</f>
        <v/>
      </c>
      <c r="F1571" t="inlineStr">
        <is>
          <t>B0C2QXFHWN</t>
        </is>
      </c>
      <c r="G1571">
        <f>_xlfn.IMAGE("https://camerareadycosmetics.com/cdn/shop/products/kevyn-aucoin-Neo-Blush_Grapevine_Open-with-swatch_50x.jpg?v=1521616161")</f>
        <v/>
      </c>
      <c r="H1571">
        <f>_xlfn.IMAGE("https://m.media-amazon.com/images/I/61ZQfU5jOgL._AC_UL320_.jpg")</f>
        <v/>
      </c>
      <c r="K1571" t="inlineStr">
        <is>
          <t>38.0</t>
        </is>
      </c>
      <c r="L1571" t="n">
        <v>11.99</v>
      </c>
      <c r="M1571" s="1" t="inlineStr">
        <is>
          <t>-68.45%</t>
        </is>
      </c>
      <c r="N1571" t="n">
        <v>4.4</v>
      </c>
      <c r="O1571" t="n">
        <v>285</v>
      </c>
      <c r="Q1571" t="inlineStr">
        <is>
          <t>InStock</t>
        </is>
      </c>
      <c r="R1571" t="inlineStr">
        <is>
          <t>undefined</t>
        </is>
      </c>
      <c r="S1571" t="inlineStr">
        <is>
          <t>537162317834</t>
        </is>
      </c>
    </row>
    <row r="1572" ht="75" customHeight="1">
      <c r="A1572" s="2">
        <f>HYPERLINK("https://camerareadycosmetics.com/products/kevyn-aucoin-neo-blush", "https://camerareadycosmetics.com/products/kevyn-aucoin-neo-blush")</f>
        <v/>
      </c>
      <c r="B1572" s="2">
        <f>HYPERLINK("https://camerareadycosmetics.com/products/kevyn-aucoin-neo-blush", "https://camerareadycosmetics.com/products/kevyn-aucoin-neo-blush")</f>
        <v/>
      </c>
      <c r="C1572" t="inlineStr">
        <is>
          <t>Neo-Blush</t>
        </is>
      </c>
      <c r="D1572" t="inlineStr">
        <is>
          <t>Neo LOONS® 12" Pastel Blush Premium Latex Balloons - Great for Kids, Adult Birthdays, Weddings, Receptions, Baby Showers, Water Fights, or Any Celebration, Pack of 100</t>
        </is>
      </c>
      <c r="E1572" s="2">
        <f>HYPERLINK("https://www.amazon.com/Neo-LOONS-Birthdays-Receptions-Celebration/dp/B072KP2V7D/ref=sr_1_6?keywords=Neo-Blush&amp;qid=1695565580&amp;sr=8-6", "https://www.amazon.com/Neo-LOONS-Birthdays-Receptions-Celebration/dp/B072KP2V7D/ref=sr_1_6?keywords=Neo-Blush&amp;qid=1695565580&amp;sr=8-6")</f>
        <v/>
      </c>
      <c r="F1572" t="inlineStr">
        <is>
          <t>B072KP2V7D</t>
        </is>
      </c>
      <c r="G1572">
        <f>_xlfn.IMAGE("https://camerareadycosmetics.com/cdn/shop/products/kevyn-aucoin-Neo-Blush_Grapevine_Open-with-swatch_50x.jpg?v=1521616161")</f>
        <v/>
      </c>
      <c r="H1572">
        <f>_xlfn.IMAGE("https://m.media-amazon.com/images/I/41vvzF9YuQL._AC_UL320_.jpg")</f>
        <v/>
      </c>
      <c r="K1572" t="inlineStr">
        <is>
          <t>38.0</t>
        </is>
      </c>
      <c r="L1572" t="n">
        <v>11.99</v>
      </c>
      <c r="M1572" s="1" t="inlineStr">
        <is>
          <t>-68.45%</t>
        </is>
      </c>
      <c r="N1572" t="n">
        <v>5</v>
      </c>
      <c r="O1572" t="n">
        <v>5</v>
      </c>
      <c r="Q1572" t="inlineStr">
        <is>
          <t>InStock</t>
        </is>
      </c>
      <c r="R1572" t="inlineStr">
        <is>
          <t>undefined</t>
        </is>
      </c>
      <c r="S1572" t="inlineStr">
        <is>
          <t>537162317834</t>
        </is>
      </c>
    </row>
    <row r="1573" ht="75" customHeight="1">
      <c r="A1573" s="2">
        <f>HYPERLINK("https://camerareadycosmetics.com/products/kevyn-aucoin-neo-blush", "https://camerareadycosmetics.com/products/kevyn-aucoin-neo-blush")</f>
        <v/>
      </c>
      <c r="B1573" s="2">
        <f>HYPERLINK("https://camerareadycosmetics.com/products/kevyn-aucoin-neo-blush", "https://camerareadycosmetics.com/products/kevyn-aucoin-neo-blush")</f>
        <v/>
      </c>
      <c r="C1573" t="inlineStr">
        <is>
          <t>Neo-Blush</t>
        </is>
      </c>
      <c r="D1573" t="inlineStr">
        <is>
          <t>Neo LOONS 36 Inch Giant Latex Balloons, Standard Blush Round Balloons for Birthdays Weddings Receptions Festival Party Decoration, Pack of 5 Pcs</t>
        </is>
      </c>
      <c r="E1573" s="2">
        <f>HYPERLINK("https://www.amazon.com/Neo-LOONS-Birthdays-Receptions-Decoration/dp/B07MQ9XJGV/ref=sr_1_5?keywords=Neo-Blush&amp;qid=1695565580&amp;sr=8-5", "https://www.amazon.com/Neo-LOONS-Birthdays-Receptions-Decoration/dp/B07MQ9XJGV/ref=sr_1_5?keywords=Neo-Blush&amp;qid=1695565580&amp;sr=8-5")</f>
        <v/>
      </c>
      <c r="F1573" t="inlineStr">
        <is>
          <t>B07MQ9XJGV</t>
        </is>
      </c>
      <c r="G1573">
        <f>_xlfn.IMAGE("https://camerareadycosmetics.com/cdn/shop/products/kevyn-aucoin-Neo-Blush_Grapevine_Open-with-swatch_50x.jpg?v=1521616161")</f>
        <v/>
      </c>
      <c r="H1573">
        <f>_xlfn.IMAGE("https://m.media-amazon.com/images/I/51-VU6eOV3L._AC_UL320_.jpg")</f>
        <v/>
      </c>
      <c r="K1573" t="inlineStr">
        <is>
          <t>38.0</t>
        </is>
      </c>
      <c r="L1573" t="n">
        <v>9.99</v>
      </c>
      <c r="M1573" s="1" t="inlineStr">
        <is>
          <t>-73.71%</t>
        </is>
      </c>
      <c r="N1573" t="n">
        <v>4.5</v>
      </c>
      <c r="O1573" t="n">
        <v>1291</v>
      </c>
      <c r="Q1573" t="inlineStr">
        <is>
          <t>InStock</t>
        </is>
      </c>
      <c r="R1573" t="inlineStr">
        <is>
          <t>undefined</t>
        </is>
      </c>
      <c r="S1573" t="inlineStr">
        <is>
          <t>537162317834</t>
        </is>
      </c>
    </row>
    <row r="1574" ht="75" customHeight="1">
      <c r="A1574" s="2">
        <f>HYPERLINK("https://camerareadycosmetics.com/products/kevyn-aucoin-neo-blush", "https://camerareadycosmetics.com/products/kevyn-aucoin-neo-blush")</f>
        <v/>
      </c>
      <c r="B1574" s="2">
        <f>HYPERLINK("https://camerareadycosmetics.com/products/kevyn-aucoin-neo-blush", "https://camerareadycosmetics.com/products/kevyn-aucoin-neo-blush")</f>
        <v/>
      </c>
      <c r="C1574" t="inlineStr">
        <is>
          <t>Neo-Blush</t>
        </is>
      </c>
      <c r="D1574" t="inlineStr">
        <is>
          <t>Neo LOONS® 100 pcs 5" Pastel Blush Premium Latex Balloons - Great for Kids, Adult Birthdays, Weddings, Receptions, Baby Showers, Water Fights, or Any Celebration</t>
        </is>
      </c>
      <c r="E1574" s="2">
        <f>HYPERLINK("https://www.amazon.com/Neo-LOONS-Birthdays-Receptions-Celebration/dp/B01GFKKZCQ/ref=sr_1_2?keywords=Neo-Blush&amp;qid=1695565580&amp;sr=8-2", "https://www.amazon.com/Neo-LOONS-Birthdays-Receptions-Celebration/dp/B01GFKKZCQ/ref=sr_1_2?keywords=Neo-Blush&amp;qid=1695565580&amp;sr=8-2")</f>
        <v/>
      </c>
      <c r="F1574" t="inlineStr">
        <is>
          <t>B01GFKKZCQ</t>
        </is>
      </c>
      <c r="G1574">
        <f>_xlfn.IMAGE("https://camerareadycosmetics.com/cdn/shop/products/kevyn-aucoin-Neo-Blush_Grapevine_Open-with-swatch_50x.jpg?v=1521616161")</f>
        <v/>
      </c>
      <c r="H1574">
        <f>_xlfn.IMAGE("https://m.media-amazon.com/images/I/51rQj4Z+F3L._AC_UL320_.jpg")</f>
        <v/>
      </c>
      <c r="K1574" t="inlineStr">
        <is>
          <t>38.0</t>
        </is>
      </c>
      <c r="L1574" t="n">
        <v>7.99</v>
      </c>
      <c r="M1574" s="1" t="inlineStr">
        <is>
          <t>-78.97%</t>
        </is>
      </c>
      <c r="N1574" t="n">
        <v>4.6</v>
      </c>
      <c r="O1574" t="n">
        <v>957</v>
      </c>
      <c r="Q1574" t="inlineStr">
        <is>
          <t>InStock</t>
        </is>
      </c>
      <c r="R1574" t="inlineStr">
        <is>
          <t>undefined</t>
        </is>
      </c>
      <c r="S1574" t="inlineStr">
        <is>
          <t>537162317834</t>
        </is>
      </c>
    </row>
    <row r="1575" ht="75" customHeight="1">
      <c r="A1575" s="2">
        <f>HYPERLINK("https://camerareadycosmetics.com/products/kevyn-aucoin-neo-blush", "https://camerareadycosmetics.com/products/kevyn-aucoin-neo-blush")</f>
        <v/>
      </c>
      <c r="B1575" s="2">
        <f>HYPERLINK("https://camerareadycosmetics.com/products/kevyn-aucoin-neo-blush", "https://camerareadycosmetics.com/products/kevyn-aucoin-neo-blush")</f>
        <v/>
      </c>
      <c r="C1575" t="inlineStr">
        <is>
          <t>Neo-Blush</t>
        </is>
      </c>
      <c r="D1575" t="inlineStr">
        <is>
          <t>Docolor Flat Top Kabuki Foundation Brush Synthetic Professional Contours &amp; Sculpts Cheekbones For Bronzer &amp; Face Powder Blush Foundation Liquid Blending Mineral Vegan Makeup Tool Neon Pink</t>
        </is>
      </c>
      <c r="E1575" s="2">
        <f>HYPERLINK("https://www.amazon.com/Docolor-Foundation-Synthetic-Professional-Blending/dp/B08RDDLF6P/ref=sr_1_4?keywords=Neo-Blush&amp;qid=1695565580&amp;sr=8-4", "https://www.amazon.com/Docolor-Foundation-Synthetic-Professional-Blending/dp/B08RDDLF6P/ref=sr_1_4?keywords=Neo-Blush&amp;qid=1695565580&amp;sr=8-4")</f>
        <v/>
      </c>
      <c r="F1575" t="inlineStr">
        <is>
          <t>B08RDDLF6P</t>
        </is>
      </c>
      <c r="G1575">
        <f>_xlfn.IMAGE("https://camerareadycosmetics.com/cdn/shop/products/kevyn-aucoin-Neo-Blush_Grapevine_Open-with-swatch_50x.jpg?v=1521616161")</f>
        <v/>
      </c>
      <c r="H1575">
        <f>_xlfn.IMAGE("https://m.media-amazon.com/images/I/618S-FCU6NL._AC_UL320_.jpg")</f>
        <v/>
      </c>
      <c r="K1575" t="inlineStr">
        <is>
          <t>38.0</t>
        </is>
      </c>
      <c r="L1575" t="n">
        <v>7.99</v>
      </c>
      <c r="M1575" s="1" t="inlineStr">
        <is>
          <t>-78.97%</t>
        </is>
      </c>
      <c r="N1575" t="n">
        <v>4.4</v>
      </c>
      <c r="O1575" t="n">
        <v>2451</v>
      </c>
      <c r="Q1575" t="inlineStr">
        <is>
          <t>InStock</t>
        </is>
      </c>
      <c r="R1575" t="inlineStr">
        <is>
          <t>undefined</t>
        </is>
      </c>
      <c r="S1575" t="inlineStr">
        <is>
          <t>537162317834</t>
        </is>
      </c>
    </row>
    <row r="1576" ht="75" customHeight="1">
      <c r="A1576" s="2">
        <f>HYPERLINK("https://camerareadycosmetics.com/products/kevyn-aucoin-neo-blush", "https://camerareadycosmetics.com/products/kevyn-aucoin-neo-blush")</f>
        <v/>
      </c>
      <c r="B1576" s="2">
        <f>HYPERLINK("https://camerareadycosmetics.com/products/kevyn-aucoin-neo-blush", "https://camerareadycosmetics.com/products/kevyn-aucoin-neo-blush")</f>
        <v/>
      </c>
      <c r="C1576" t="inlineStr">
        <is>
          <t>Neo-Blush</t>
        </is>
      </c>
      <c r="D1576" t="inlineStr">
        <is>
          <t>Neo LOONS 1000 Pcs Artificial Silk Rose Petals Decoration Wedding Party Color Blush</t>
        </is>
      </c>
      <c r="E1576" s="2">
        <f>HYPERLINK("https://www.amazon.com/LOONS-Artificial-Petals-Decoration-Wedding/dp/B075DFQX38/ref=sr_1_3?keywords=Neo-Blush&amp;qid=1695565580&amp;sr=8-3", "https://www.amazon.com/LOONS-Artificial-Petals-Decoration-Wedding/dp/B075DFQX38/ref=sr_1_3?keywords=Neo-Blush&amp;qid=1695565580&amp;sr=8-3")</f>
        <v/>
      </c>
      <c r="F1576" t="inlineStr">
        <is>
          <t>B075DFQX38</t>
        </is>
      </c>
      <c r="G1576">
        <f>_xlfn.IMAGE("https://camerareadycosmetics.com/cdn/shop/products/kevyn-aucoin-Neo-Blush_Grapevine_Open-with-swatch_50x.jpg?v=1521616161")</f>
        <v/>
      </c>
      <c r="H1576">
        <f>_xlfn.IMAGE("https://m.media-amazon.com/images/I/61xCr8f-15L._AC_UL320_.jpg")</f>
        <v/>
      </c>
      <c r="K1576" t="inlineStr">
        <is>
          <t>38.0</t>
        </is>
      </c>
      <c r="L1576" t="n">
        <v>6.89</v>
      </c>
      <c r="M1576" s="1" t="inlineStr">
        <is>
          <t>-81.87%</t>
        </is>
      </c>
      <c r="N1576" t="n">
        <v>4.5</v>
      </c>
      <c r="O1576" t="n">
        <v>10579</v>
      </c>
      <c r="Q1576" t="inlineStr">
        <is>
          <t>InStock</t>
        </is>
      </c>
      <c r="R1576" t="inlineStr">
        <is>
          <t>undefined</t>
        </is>
      </c>
      <c r="S1576" t="inlineStr">
        <is>
          <t>537162317834</t>
        </is>
      </c>
    </row>
    <row r="1577" ht="75" customHeight="1">
      <c r="A1577" s="2">
        <f>HYPERLINK("https://camerareadycosmetics.com/products/kevyn-aucoin-stripped-nude-skin-tint", "https://camerareadycosmetics.com/products/kevyn-aucoin-stripped-nude-skin-tint")</f>
        <v/>
      </c>
      <c r="B1577" s="2">
        <f>HYPERLINK("https://camerareadycosmetics.com/products/kevyn-aucoin-stripped-nude-skin-tint", "https://camerareadycosmetics.com/products/kevyn-aucoin-stripped-nude-skin-tint")</f>
        <v/>
      </c>
      <c r="C1577" t="inlineStr">
        <is>
          <t>Stripped Nude Skin Tint</t>
        </is>
      </c>
      <c r="D1577" t="inlineStr">
        <is>
          <t>Kevyn Aucoin Stripped Nude Skin Tint, ST 01 (Light) shade: Tinted makeup foundation with blue light protection. Sheer to light coverage. Blurs imperfections for a natural even finish. Comfortable wear.</t>
        </is>
      </c>
      <c r="E1577" s="2">
        <f>HYPERLINK("https://www.amazon.com/KEVYN-AUCOIN-Stripped-Nude-Light/dp/B089P1FNBJ/ref=sr_1_1?keywords=Stripped+Nude+Skin+Tint&amp;qid=1695565686&amp;sr=8-1", "https://www.amazon.com/KEVYN-AUCOIN-Stripped-Nude-Light/dp/B089P1FNBJ/ref=sr_1_1?keywords=Stripped+Nude+Skin+Tint&amp;qid=1695565686&amp;sr=8-1")</f>
        <v/>
      </c>
      <c r="F1577" t="inlineStr">
        <is>
          <t>B089P1FNBJ</t>
        </is>
      </c>
      <c r="G1577">
        <f>_xlfn.IMAGE("https://camerareadycosmetics.com/cdn/shop/products/light-st-01-kevyn-aucoin-stripped_50x.jpg?v=1585506474")</f>
        <v/>
      </c>
      <c r="H1577">
        <f>_xlfn.IMAGE("https://m.media-amazon.com/images/I/61ppDe0j-QL._AC_UL320_.jpg")</f>
        <v/>
      </c>
      <c r="K1577" t="inlineStr">
        <is>
          <t>42.0</t>
        </is>
      </c>
      <c r="L1577" t="n">
        <v>16.35</v>
      </c>
      <c r="M1577" s="1" t="inlineStr">
        <is>
          <t>-61.07%</t>
        </is>
      </c>
      <c r="N1577" t="n">
        <v>4.2</v>
      </c>
      <c r="O1577" t="n">
        <v>59</v>
      </c>
      <c r="Q1577" t="inlineStr">
        <is>
          <t>InStock</t>
        </is>
      </c>
      <c r="R1577" t="inlineStr">
        <is>
          <t>undefined</t>
        </is>
      </c>
      <c r="S1577" t="inlineStr">
        <is>
          <t>4398387888239</t>
        </is>
      </c>
    </row>
    <row r="1578" ht="75" customHeight="1">
      <c r="A1578" s="2">
        <f>HYPERLINK("https://camerareadycosmetics.com/products/kevyn-aucoin-stripped-nude-skin-tint", "https://camerareadycosmetics.com/products/kevyn-aucoin-stripped-nude-skin-tint")</f>
        <v/>
      </c>
      <c r="B1578" s="2">
        <f>HYPERLINK("https://camerareadycosmetics.com/products/kevyn-aucoin-stripped-nude-skin-tint", "https://camerareadycosmetics.com/products/kevyn-aucoin-stripped-nude-skin-tint")</f>
        <v/>
      </c>
      <c r="C1578" t="inlineStr">
        <is>
          <t>Stripped Nude Skin Tint</t>
        </is>
      </c>
      <c r="D1578" t="inlineStr">
        <is>
          <t>Kevyn Aucoin Stripped Nude Skin Tint, ST 01 (Light) shade: Tinted makeup foundation with blue light protection. Sheer to light coverage. Blurs imperfections for a natural even finish. Comfortable wear.</t>
        </is>
      </c>
      <c r="E1578" s="2">
        <f>HYPERLINK("https://www.amazon.com/KEVYN-AUCOIN-Stripped-Nude-Light/dp/B089P1FNBJ/ref=sr_1_1?keywords=Stripped+Nude+Skin+Tint&amp;qid=1695565686&amp;sr=8-1", "https://www.amazon.com/KEVYN-AUCOIN-Stripped-Nude-Light/dp/B089P1FNBJ/ref=sr_1_1?keywords=Stripped+Nude+Skin+Tint&amp;qid=1695565686&amp;sr=8-1")</f>
        <v/>
      </c>
      <c r="F1578" t="inlineStr">
        <is>
          <t>B089P1FNBJ</t>
        </is>
      </c>
      <c r="G1578">
        <f>_xlfn.IMAGE("https://camerareadycosmetics.com/cdn/shop/products/light-st-01-kevyn-aucoin-stripped_50x.jpg?v=1585506474")</f>
        <v/>
      </c>
      <c r="H1578">
        <f>_xlfn.IMAGE("https://m.media-amazon.com/images/I/61ppDe0j-QL._AC_UL320_.jpg")</f>
        <v/>
      </c>
      <c r="K1578" t="inlineStr">
        <is>
          <t>42.0</t>
        </is>
      </c>
      <c r="L1578" t="n">
        <v>16.35</v>
      </c>
      <c r="M1578" s="1" t="inlineStr">
        <is>
          <t>-61.07%</t>
        </is>
      </c>
      <c r="N1578" t="n">
        <v>4.2</v>
      </c>
      <c r="O1578" t="n">
        <v>59</v>
      </c>
      <c r="Q1578" t="inlineStr">
        <is>
          <t>InStock</t>
        </is>
      </c>
      <c r="R1578" t="inlineStr">
        <is>
          <t>undefined</t>
        </is>
      </c>
      <c r="S1578" t="inlineStr">
        <is>
          <t>4398387888239</t>
        </is>
      </c>
    </row>
    <row r="1579" ht="75" customHeight="1">
      <c r="A1579" s="2">
        <f>HYPERLINK("https://camerareadycosmetics.com/products/kevyn-aucoin-the-contour-eyeshadow-palette", "https://camerareadycosmetics.com/products/kevyn-aucoin-the-contour-eyeshadow-palette")</f>
        <v/>
      </c>
      <c r="B1579" s="2">
        <f>HYPERLINK("https://camerareadycosmetics.com/products/kevyn-aucoin-the-contour-eyeshadow-palette", "https://camerareadycosmetics.com/products/kevyn-aucoin-the-contour-eyeshadow-palette")</f>
        <v/>
      </c>
      <c r="C1579" t="inlineStr">
        <is>
          <t>The Contour Eyeshadow Palette</t>
        </is>
      </c>
      <c r="D1579" t="inlineStr">
        <is>
          <t>Kevyn Aucoin The Contour Eyeshadow Palette in Shade Light</t>
        </is>
      </c>
      <c r="E1579" s="2">
        <f>HYPERLINK("https://www.amazon.com/Kevyn-Aucoin-Contour-Eyeshadow-Palette/dp/B0B7T87NH2/ref=sr_1_4?keywords=The+Contour+Eyeshadow+Palette&amp;qid=1695565699&amp;sr=8-4", "https://www.amazon.com/Kevyn-Aucoin-Contour-Eyeshadow-Palette/dp/B0B7T87NH2/ref=sr_1_4?keywords=The+Contour+Eyeshadow+Palette&amp;qid=1695565699&amp;sr=8-4")</f>
        <v/>
      </c>
      <c r="F1579" t="inlineStr">
        <is>
          <t>B0B7T87NH2</t>
        </is>
      </c>
      <c r="G1579">
        <f>_xlfn.IMAGE("https://camerareadycosmetics.com/cdn/shop/products/Contour-Eye-Shadow-Palette_Light_1500x1500-300dpi_Shadow_50x.jpg?v=1657321629")</f>
        <v/>
      </c>
      <c r="H1579">
        <f>_xlfn.IMAGE("https://m.media-amazon.com/images/I/81J8b2jingL._AC_UL320_.jpg")</f>
        <v/>
      </c>
      <c r="K1579" t="inlineStr">
        <is>
          <t>36.0</t>
        </is>
      </c>
      <c r="L1579" t="n">
        <v>27.32</v>
      </c>
      <c r="M1579" s="1" t="inlineStr">
        <is>
          <t>-24.11%</t>
        </is>
      </c>
      <c r="N1579" t="n">
        <v>4.4</v>
      </c>
      <c r="O1579" t="n">
        <v>12</v>
      </c>
      <c r="Q1579" t="inlineStr">
        <is>
          <t>InStock</t>
        </is>
      </c>
      <c r="R1579" t="inlineStr">
        <is>
          <t>36.0</t>
        </is>
      </c>
      <c r="S1579" t="inlineStr">
        <is>
          <t>7416440291513</t>
        </is>
      </c>
    </row>
    <row r="1580" ht="75" customHeight="1">
      <c r="A1580" s="2">
        <f>HYPERLINK("https://camerareadycosmetics.com/products/kevyn-aucoin-the-contour-eyeshadow-palette", "https://camerareadycosmetics.com/products/kevyn-aucoin-the-contour-eyeshadow-palette")</f>
        <v/>
      </c>
      <c r="B1580" s="2">
        <f>HYPERLINK("https://camerareadycosmetics.com/products/kevyn-aucoin-the-contour-eyeshadow-palette", "https://camerareadycosmetics.com/products/kevyn-aucoin-the-contour-eyeshadow-palette")</f>
        <v/>
      </c>
      <c r="C1580" t="inlineStr">
        <is>
          <t>The Contour Eyeshadow Palette</t>
        </is>
      </c>
      <c r="D1580" t="inlineStr">
        <is>
          <t>UCANBE Pretty All Set Eyeshadow Palette Pro 86 Colors Makeup Kit Matte Shimmer Eye Shadow Highlighters Contour Blush Powder All In One Makeup Pallet Holiday Gift Set</t>
        </is>
      </c>
      <c r="E1580" s="2">
        <f>HYPERLINK("https://www.amazon.com/UCANBE-Eyeshadow-Palette-Shimmer-Highlighters/dp/B0BDZBXSMW/ref=sr_1_3?keywords=The+Contour+Eyeshadow+Palette&amp;qid=1695565699&amp;sr=8-3", "https://www.amazon.com/UCANBE-Eyeshadow-Palette-Shimmer-Highlighters/dp/B0BDZBXSMW/ref=sr_1_3?keywords=The+Contour+Eyeshadow+Palette&amp;qid=1695565699&amp;sr=8-3")</f>
        <v/>
      </c>
      <c r="F1580" t="inlineStr">
        <is>
          <t>B0BDZBXSMW</t>
        </is>
      </c>
      <c r="G1580">
        <f>_xlfn.IMAGE("https://camerareadycosmetics.com/cdn/shop/products/Contour-Eye-Shadow-Palette_Light_1500x1500-300dpi_Shadow_50x.jpg?v=1657321629")</f>
        <v/>
      </c>
      <c r="H1580">
        <f>_xlfn.IMAGE("https://m.media-amazon.com/images/I/71K+-LlntFL._AC_UL320_.jpg")</f>
        <v/>
      </c>
      <c r="K1580" t="inlineStr">
        <is>
          <t>36.0</t>
        </is>
      </c>
      <c r="L1580" t="n">
        <v>15.19</v>
      </c>
      <c r="M1580" s="1" t="inlineStr">
        <is>
          <t>-57.81%</t>
        </is>
      </c>
      <c r="N1580" t="n">
        <v>4.6</v>
      </c>
      <c r="O1580" t="n">
        <v>8332</v>
      </c>
      <c r="Q1580" t="inlineStr">
        <is>
          <t>InStock</t>
        </is>
      </c>
      <c r="R1580" t="inlineStr">
        <is>
          <t>36.0</t>
        </is>
      </c>
      <c r="S1580" t="inlineStr">
        <is>
          <t>7416440291513</t>
        </is>
      </c>
    </row>
    <row r="1581" ht="75" customHeight="1">
      <c r="A1581" s="2">
        <f>HYPERLINK("https://camerareadycosmetics.com/products/kevyn-aucoin-the-contour-eyeshadow-palette", "https://camerareadycosmetics.com/products/kevyn-aucoin-the-contour-eyeshadow-palette")</f>
        <v/>
      </c>
      <c r="B1581" s="2">
        <f>HYPERLINK("https://camerareadycosmetics.com/products/kevyn-aucoin-the-contour-eyeshadow-palette", "https://camerareadycosmetics.com/products/kevyn-aucoin-the-contour-eyeshadow-palette")</f>
        <v/>
      </c>
      <c r="C1581" t="inlineStr">
        <is>
          <t>The Contour Eyeshadow Palette</t>
        </is>
      </c>
      <c r="D1581" t="inlineStr">
        <is>
          <t>All-in-one Disk Conceal Contour Blush Eyeliner Eyeshadow Palette Makeup with Mirror - Full Coverage 10 Colors Highly Pigmented Matte Shimmer Powder Cream Primer - Pro Warm Nude Natural Bronze Neutral Eye Shadows A</t>
        </is>
      </c>
      <c r="E1581" s="2">
        <f>HYPERLINK("https://www.amazon.com/Conceal-Contour-Eyeliner-Eyeshadow-Palette/dp/B0C3QG4MTG/ref=sr_1_9?keywords=The+Contour+Eyeshadow+Palette&amp;qid=1695565699&amp;sr=8-9", "https://www.amazon.com/Conceal-Contour-Eyeliner-Eyeshadow-Palette/dp/B0C3QG4MTG/ref=sr_1_9?keywords=The+Contour+Eyeshadow+Palette&amp;qid=1695565699&amp;sr=8-9")</f>
        <v/>
      </c>
      <c r="F1581" t="inlineStr">
        <is>
          <t>B0C3QG4MTG</t>
        </is>
      </c>
      <c r="G1581">
        <f>_xlfn.IMAGE("https://camerareadycosmetics.com/cdn/shop/products/Contour-Eye-Shadow-Palette_Light_1500x1500-300dpi_Shadow_50x.jpg?v=1657321629")</f>
        <v/>
      </c>
      <c r="H1581">
        <f>_xlfn.IMAGE("https://m.media-amazon.com/images/I/61x3VEBT03L._AC_UL320_.jpg")</f>
        <v/>
      </c>
      <c r="K1581" t="inlineStr">
        <is>
          <t>36.0</t>
        </is>
      </c>
      <c r="L1581" t="n">
        <v>7.99</v>
      </c>
      <c r="M1581" s="1" t="inlineStr">
        <is>
          <t>-77.81%</t>
        </is>
      </c>
      <c r="N1581" t="n">
        <v>5</v>
      </c>
      <c r="O1581" t="n">
        <v>2</v>
      </c>
      <c r="Q1581" t="inlineStr">
        <is>
          <t>InStock</t>
        </is>
      </c>
      <c r="R1581" t="inlineStr">
        <is>
          <t>36.0</t>
        </is>
      </c>
      <c r="S1581" t="inlineStr">
        <is>
          <t>7416440291513</t>
        </is>
      </c>
    </row>
    <row r="1582" ht="75" customHeight="1">
      <c r="A1582" s="2">
        <f>HYPERLINK("https://camerareadycosmetics.com/products/kevyn-aucoin-the-contour-eyeshadow-palette", "https://camerareadycosmetics.com/products/kevyn-aucoin-the-contour-eyeshadow-palette")</f>
        <v/>
      </c>
      <c r="B1582" s="2">
        <f>HYPERLINK("https://camerareadycosmetics.com/products/kevyn-aucoin-the-contour-eyeshadow-palette", "https://camerareadycosmetics.com/products/kevyn-aucoin-the-contour-eyeshadow-palette")</f>
        <v/>
      </c>
      <c r="C1582" t="inlineStr">
        <is>
          <t>The Contour Eyeshadow Palette</t>
        </is>
      </c>
      <c r="D1582" t="inlineStr">
        <is>
          <t>UCANBE Pretty All Set Eyeshadow Palette Pro 86 Colors Makeup Kit Matte Shimmer Eye Shadow Highlighters Contour Blush Powder All In One Makeup Pallet Holiday Gift Set</t>
        </is>
      </c>
      <c r="E1582" s="2">
        <f>HYPERLINK("https://www.amazon.com/UCANBE-Eyeshadow-Palette-Shimmer-Highlighters/dp/B0BDZBXSMW/ref=sr_1_3?keywords=The+Contour+Eyeshadow+Palette&amp;qid=1695565699&amp;sr=8-3", "https://www.amazon.com/UCANBE-Eyeshadow-Palette-Shimmer-Highlighters/dp/B0BDZBXSMW/ref=sr_1_3?keywords=The+Contour+Eyeshadow+Palette&amp;qid=1695565699&amp;sr=8-3")</f>
        <v/>
      </c>
      <c r="F1582" t="inlineStr">
        <is>
          <t>B0BDZBXSMW</t>
        </is>
      </c>
      <c r="G1582">
        <f>_xlfn.IMAGE("https://camerareadycosmetics.com/cdn/shop/products/Contour-Eye-Shadow-Palette_Light_1500x1500-300dpi_Shadow_50x.jpg?v=1657321629")</f>
        <v/>
      </c>
      <c r="H1582">
        <f>_xlfn.IMAGE("https://m.media-amazon.com/images/I/71K+-LlntFL._AC_UL320_.jpg")</f>
        <v/>
      </c>
      <c r="K1582" t="inlineStr">
        <is>
          <t>36.0</t>
        </is>
      </c>
      <c r="L1582" t="n">
        <v>15.19</v>
      </c>
      <c r="M1582" s="1" t="inlineStr">
        <is>
          <t>-57.81%</t>
        </is>
      </c>
      <c r="N1582" t="n">
        <v>4.6</v>
      </c>
      <c r="O1582" t="n">
        <v>8332</v>
      </c>
      <c r="Q1582" t="inlineStr">
        <is>
          <t>InStock</t>
        </is>
      </c>
      <c r="R1582" t="inlineStr">
        <is>
          <t>36.0</t>
        </is>
      </c>
      <c r="S1582" t="inlineStr">
        <is>
          <t>7416440291513</t>
        </is>
      </c>
    </row>
    <row r="1583" ht="75" customHeight="1">
      <c r="A1583" s="2">
        <f>HYPERLINK("https://camerareadycosmetics.com/products/kevyn-aucoin-the-contour-eyeshadow-palette", "https://camerareadycosmetics.com/products/kevyn-aucoin-the-contour-eyeshadow-palette")</f>
        <v/>
      </c>
      <c r="B1583" s="2">
        <f>HYPERLINK("https://camerareadycosmetics.com/products/kevyn-aucoin-the-contour-eyeshadow-palette", "https://camerareadycosmetics.com/products/kevyn-aucoin-the-contour-eyeshadow-palette")</f>
        <v/>
      </c>
      <c r="C1583" t="inlineStr">
        <is>
          <t>The Contour Eyeshadow Palette</t>
        </is>
      </c>
      <c r="D1583" t="inlineStr">
        <is>
          <t>All-in-one Disk Conceal Contour Blush Eyeliner Eyeshadow Palette Makeup with Mirror - Full Coverage 10 Colors Highly Pigmented Matte Shimmer Powder Cream Primer - Pro Warm Nude Natural Bronze Neutral Eye Shadows A</t>
        </is>
      </c>
      <c r="E1583" s="2">
        <f>HYPERLINK("https://www.amazon.com/Conceal-Contour-Eyeliner-Eyeshadow-Palette/dp/B0C3QG4MTG/ref=sr_1_9?keywords=The+Contour+Eyeshadow+Palette&amp;qid=1695565699&amp;sr=8-9", "https://www.amazon.com/Conceal-Contour-Eyeliner-Eyeshadow-Palette/dp/B0C3QG4MTG/ref=sr_1_9?keywords=The+Contour+Eyeshadow+Palette&amp;qid=1695565699&amp;sr=8-9")</f>
        <v/>
      </c>
      <c r="F1583" t="inlineStr">
        <is>
          <t>B0C3QG4MTG</t>
        </is>
      </c>
      <c r="G1583">
        <f>_xlfn.IMAGE("https://camerareadycosmetics.com/cdn/shop/products/Contour-Eye-Shadow-Palette_Light_1500x1500-300dpi_Shadow_50x.jpg?v=1657321629")</f>
        <v/>
      </c>
      <c r="H1583">
        <f>_xlfn.IMAGE("https://m.media-amazon.com/images/I/61x3VEBT03L._AC_UL320_.jpg")</f>
        <v/>
      </c>
      <c r="K1583" t="inlineStr">
        <is>
          <t>36.0</t>
        </is>
      </c>
      <c r="L1583" t="n">
        <v>7.99</v>
      </c>
      <c r="M1583" s="1" t="inlineStr">
        <is>
          <t>-77.81%</t>
        </is>
      </c>
      <c r="N1583" t="n">
        <v>5</v>
      </c>
      <c r="O1583" t="n">
        <v>2</v>
      </c>
      <c r="Q1583" t="inlineStr">
        <is>
          <t>InStock</t>
        </is>
      </c>
      <c r="R1583" t="inlineStr">
        <is>
          <t>36.0</t>
        </is>
      </c>
      <c r="S1583" t="inlineStr">
        <is>
          <t>7416440291513</t>
        </is>
      </c>
    </row>
    <row r="1584" ht="75" customHeight="1">
      <c r="A1584" s="2">
        <f>HYPERLINK("https://camerareadycosmetics.com/products/kevyn-aucoin-the-contour-highlight-duo", "https://camerareadycosmetics.com/products/kevyn-aucoin-the-contour-highlight-duo")</f>
        <v/>
      </c>
      <c r="B1584" s="2">
        <f>HYPERLINK("https://camerareadycosmetics.com/products/kevyn-aucoin-the-contour-highlight-duo", "https://camerareadycosmetics.com/products/kevyn-aucoin-the-contour-highlight-duo")</f>
        <v/>
      </c>
      <c r="C1584" t="inlineStr">
        <is>
          <t>The Contour &amp; Highlight Duo</t>
        </is>
      </c>
      <c r="D1584" t="inlineStr">
        <is>
          <t>W7 Hollywood Bronze &amp; Glow - Pressed Powder Duo Shimmer Bronzer &amp; Highlighter - Contouring &amp; Highlighting Vegan Makeup</t>
        </is>
      </c>
      <c r="E1584" s="2">
        <f>HYPERLINK("https://www.amazon.com/W7-Hollywood-Bronze-Bronzer-Highlighter/dp/B00V4DGT1Q/ref=sr_1_8?keywords=The+Contour+%26+Highlight+Duo&amp;qid=1695565705&amp;sr=8-8", "https://www.amazon.com/W7-Hollywood-Bronze-Bronzer-Highlighter/dp/B00V4DGT1Q/ref=sr_1_8?keywords=The+Contour+%26+Highlight+Duo&amp;qid=1695565705&amp;sr=8-8")</f>
        <v/>
      </c>
      <c r="F1584" t="inlineStr">
        <is>
          <t>B00V4DGT1Q</t>
        </is>
      </c>
      <c r="G1584">
        <f>_xlfn.IMAGE("https://camerareadycosmetics.com/cdn/shop/products/Contour_Travel_Size_Open_1000x1000_f73aec67-f06f-4f74-9116-4d039af774e6_50x.jpg?v=1569355682")</f>
        <v/>
      </c>
      <c r="H1584">
        <f>_xlfn.IMAGE("https://m.media-amazon.com/images/I/71DK+lq-vkL._AC_UL320_.jpg")</f>
        <v/>
      </c>
      <c r="K1584" t="inlineStr">
        <is>
          <t>25.0</t>
        </is>
      </c>
      <c r="L1584" t="n">
        <v>6.95</v>
      </c>
      <c r="M1584" s="1" t="inlineStr">
        <is>
          <t>-72.20%</t>
        </is>
      </c>
      <c r="N1584" t="n">
        <v>4.1</v>
      </c>
      <c r="O1584" t="n">
        <v>2416</v>
      </c>
      <c r="Q1584" t="inlineStr">
        <is>
          <t>OutOfStock</t>
        </is>
      </c>
      <c r="R1584" t="inlineStr">
        <is>
          <t>undefined</t>
        </is>
      </c>
      <c r="S1584" t="inlineStr">
        <is>
          <t>4118184034415</t>
        </is>
      </c>
    </row>
    <row r="1585" ht="75" customHeight="1">
      <c r="A1585" s="2">
        <f>HYPERLINK("https://camerareadycosmetics.com/products/kevyn-aucoin-the-contour-highlight-duo", "https://camerareadycosmetics.com/products/kevyn-aucoin-the-contour-highlight-duo")</f>
        <v/>
      </c>
      <c r="B1585" s="2">
        <f>HYPERLINK("https://camerareadycosmetics.com/products/kevyn-aucoin-the-contour-highlight-duo", "https://camerareadycosmetics.com/products/kevyn-aucoin-the-contour-highlight-duo")</f>
        <v/>
      </c>
      <c r="C1585" t="inlineStr">
        <is>
          <t>The Contour &amp; Highlight Duo</t>
        </is>
      </c>
      <c r="D1585" t="inlineStr">
        <is>
          <t>Duo Highlight &amp; Contour Stick │ Mineral Cream Face Highlighter and Bronzer Pen│Non Stick Face Brightens &amp; Shadows Concealer, Face Illuminator Makeup by Linble (light shadow)</t>
        </is>
      </c>
      <c r="E1585" s="2">
        <f>HYPERLINK("https://www.amazon.com/Highlight-Highlighter-Brightens-Illuminator-Linble/dp/B09ZTLG3CV/ref=sr_1_10?keywords=The+Contour+%26+Highlight+Duo&amp;qid=1695565705&amp;sr=8-10", "https://www.amazon.com/Highlight-Highlighter-Brightens-Illuminator-Linble/dp/B09ZTLG3CV/ref=sr_1_10?keywords=The+Contour+%26+Highlight+Duo&amp;qid=1695565705&amp;sr=8-10")</f>
        <v/>
      </c>
      <c r="F1585" t="inlineStr">
        <is>
          <t>B09ZTLG3CV</t>
        </is>
      </c>
      <c r="G1585">
        <f>_xlfn.IMAGE("https://camerareadycosmetics.com/cdn/shop/products/Contour_Travel_Size_Open_1000x1000_f73aec67-f06f-4f74-9116-4d039af774e6_50x.jpg?v=1569355682")</f>
        <v/>
      </c>
      <c r="H1585">
        <f>_xlfn.IMAGE("https://m.media-amazon.com/images/I/41kR7lVFfsL._AC_UL320_.jpg")</f>
        <v/>
      </c>
      <c r="K1585" t="inlineStr">
        <is>
          <t>25.0</t>
        </is>
      </c>
      <c r="L1585" t="n">
        <v>3.99</v>
      </c>
      <c r="M1585" s="1" t="inlineStr">
        <is>
          <t>-84.04%</t>
        </is>
      </c>
      <c r="N1585" t="n">
        <v>3.7</v>
      </c>
      <c r="O1585" t="n">
        <v>8</v>
      </c>
      <c r="Q1585" t="inlineStr">
        <is>
          <t>OutOfStock</t>
        </is>
      </c>
      <c r="R1585" t="inlineStr">
        <is>
          <t>undefined</t>
        </is>
      </c>
      <c r="S1585" t="inlineStr">
        <is>
          <t>4118184034415</t>
        </is>
      </c>
    </row>
    <row r="1586" ht="75" customHeight="1">
      <c r="A1586" s="2">
        <f>HYPERLINK("https://camerareadycosmetics.com/products/kevyn-aucoin-the-contour-highlight-duo", "https://camerareadycosmetics.com/products/kevyn-aucoin-the-contour-highlight-duo")</f>
        <v/>
      </c>
      <c r="B1586" s="2">
        <f>HYPERLINK("https://camerareadycosmetics.com/products/kevyn-aucoin-the-contour-highlight-duo", "https://camerareadycosmetics.com/products/kevyn-aucoin-the-contour-highlight-duo")</f>
        <v/>
      </c>
      <c r="C1586" t="inlineStr">
        <is>
          <t>The Contour &amp; Highlight Duo</t>
        </is>
      </c>
      <c r="D1586" t="inlineStr">
        <is>
          <t>W7 Hollywood Bronze &amp; Glow - Pressed Powder Duo Shimmer Bronzer &amp; Highlighter - Contouring &amp; Highlighting Vegan Makeup</t>
        </is>
      </c>
      <c r="E1586" s="2">
        <f>HYPERLINK("https://www.amazon.com/W7-Hollywood-Bronze-Bronzer-Highlighter/dp/B00V4DGT1Q/ref=sr_1_8?keywords=The+Contour+%26+Highlight+Duo&amp;qid=1695565705&amp;sr=8-8", "https://www.amazon.com/W7-Hollywood-Bronze-Bronzer-Highlighter/dp/B00V4DGT1Q/ref=sr_1_8?keywords=The+Contour+%26+Highlight+Duo&amp;qid=1695565705&amp;sr=8-8")</f>
        <v/>
      </c>
      <c r="F1586" t="inlineStr">
        <is>
          <t>B00V4DGT1Q</t>
        </is>
      </c>
      <c r="G1586">
        <f>_xlfn.IMAGE("https://camerareadycosmetics.com/cdn/shop/products/Contour_Travel_Size_Open_1000x1000_f73aec67-f06f-4f74-9116-4d039af774e6_50x.jpg?v=1569355682")</f>
        <v/>
      </c>
      <c r="H1586">
        <f>_xlfn.IMAGE("https://m.media-amazon.com/images/I/71DK+lq-vkL._AC_UL320_.jpg")</f>
        <v/>
      </c>
      <c r="K1586" t="inlineStr">
        <is>
          <t>25.0</t>
        </is>
      </c>
      <c r="L1586" t="n">
        <v>6.95</v>
      </c>
      <c r="M1586" s="1" t="inlineStr">
        <is>
          <t>-72.20%</t>
        </is>
      </c>
      <c r="N1586" t="n">
        <v>4.1</v>
      </c>
      <c r="O1586" t="n">
        <v>2416</v>
      </c>
      <c r="Q1586" t="inlineStr">
        <is>
          <t>OutOfStock</t>
        </is>
      </c>
      <c r="R1586" t="inlineStr">
        <is>
          <t>undefined</t>
        </is>
      </c>
      <c r="S1586" t="inlineStr">
        <is>
          <t>4118184034415</t>
        </is>
      </c>
    </row>
    <row r="1587" ht="75" customHeight="1">
      <c r="A1587" s="2">
        <f>HYPERLINK("https://camerareadycosmetics.com/products/kevyn-aucoin-the-contour-highlight-duo", "https://camerareadycosmetics.com/products/kevyn-aucoin-the-contour-highlight-duo")</f>
        <v/>
      </c>
      <c r="B1587" s="2">
        <f>HYPERLINK("https://camerareadycosmetics.com/products/kevyn-aucoin-the-contour-highlight-duo", "https://camerareadycosmetics.com/products/kevyn-aucoin-the-contour-highlight-duo")</f>
        <v/>
      </c>
      <c r="C1587" t="inlineStr">
        <is>
          <t>The Contour &amp; Highlight Duo</t>
        </is>
      </c>
      <c r="D1587" t="inlineStr">
        <is>
          <t>Duo Highlight &amp; Contour Stick │ Mineral Cream Face Highlighter and Bronzer Pen│Non Stick Face Brightens &amp; Shadows Concealer, Face Illuminator Makeup by Linble (light shadow)</t>
        </is>
      </c>
      <c r="E1587" s="2">
        <f>HYPERLINK("https://www.amazon.com/Highlight-Highlighter-Brightens-Illuminator-Linble/dp/B09ZTLG3CV/ref=sr_1_10?keywords=The+Contour+%26+Highlight+Duo&amp;qid=1695565705&amp;sr=8-10", "https://www.amazon.com/Highlight-Highlighter-Brightens-Illuminator-Linble/dp/B09ZTLG3CV/ref=sr_1_10?keywords=The+Contour+%26+Highlight+Duo&amp;qid=1695565705&amp;sr=8-10")</f>
        <v/>
      </c>
      <c r="F1587" t="inlineStr">
        <is>
          <t>B09ZTLG3CV</t>
        </is>
      </c>
      <c r="G1587">
        <f>_xlfn.IMAGE("https://camerareadycosmetics.com/cdn/shop/products/Contour_Travel_Size_Open_1000x1000_f73aec67-f06f-4f74-9116-4d039af774e6_50x.jpg?v=1569355682")</f>
        <v/>
      </c>
      <c r="H1587">
        <f>_xlfn.IMAGE("https://m.media-amazon.com/images/I/41kR7lVFfsL._AC_UL320_.jpg")</f>
        <v/>
      </c>
      <c r="K1587" t="inlineStr">
        <is>
          <t>25.0</t>
        </is>
      </c>
      <c r="L1587" t="n">
        <v>3.99</v>
      </c>
      <c r="M1587" s="1" t="inlineStr">
        <is>
          <t>-84.04%</t>
        </is>
      </c>
      <c r="N1587" t="n">
        <v>3.7</v>
      </c>
      <c r="O1587" t="n">
        <v>8</v>
      </c>
      <c r="Q1587" t="inlineStr">
        <is>
          <t>OutOfStock</t>
        </is>
      </c>
      <c r="R1587" t="inlineStr">
        <is>
          <t>undefined</t>
        </is>
      </c>
      <c r="S1587" t="inlineStr">
        <is>
          <t>4118184034415</t>
        </is>
      </c>
    </row>
    <row r="1588" ht="75" customHeight="1">
      <c r="A1588" s="2">
        <f>HYPERLINK("https://camerareadycosmetics.com/products/kevyn-aucoin-the-etherealist-skin-illuminating-foundation", "https://camerareadycosmetics.com/products/kevyn-aucoin-the-etherealist-skin-illuminating-foundation")</f>
        <v/>
      </c>
      <c r="B1588" s="2">
        <f>HYPERLINK("https://camerareadycosmetics.com/products/kevyn-aucoin-the-etherealist-skin-illuminating-foundation", "https://camerareadycosmetics.com/products/kevyn-aucoin-the-etherealist-skin-illuminating-foundation")</f>
        <v/>
      </c>
      <c r="C1588" t="inlineStr">
        <is>
          <t>The Etherealist Skin Illuminating Foundation</t>
        </is>
      </c>
      <c r="D1588" t="inlineStr">
        <is>
          <t>Kevyn Aucoin The Etherealist Skin Illuminating Foundation, EF 06 (Medium) shade: Comfortable, shine-free, smooth, moisturize. Medium to full coverage. Makeup artist go to. Even, bright &amp; natural look.</t>
        </is>
      </c>
      <c r="E1588" s="2">
        <f>HYPERLINK("https://www.amazon.com/Kevin-Aucoin-Etherealist-Illuminating-Foundation/dp/B01LPKWD7Q/ref=sr_1_1?keywords=The+Etherealist+Skin+Illuminating+Foundation&amp;qid=1695565540&amp;sr=8-1", "https://www.amazon.com/Kevin-Aucoin-Etherealist-Illuminating-Foundation/dp/B01LPKWD7Q/ref=sr_1_1?keywords=The+Etherealist+Skin+Illuminating+Foundation&amp;qid=1695565540&amp;sr=8-1")</f>
        <v/>
      </c>
      <c r="F1588" t="inlineStr">
        <is>
          <t>B01LPKWD7Q</t>
        </is>
      </c>
      <c r="G1588">
        <f>_xlfn.IMAGE("https://camerareadycosmetics.com/cdn/shop/products/01j_50x.jpg?v=1691124170")</f>
        <v/>
      </c>
      <c r="H1588">
        <f>_xlfn.IMAGE("https://m.media-amazon.com/images/I/61vVEvMhNcL._AC_UL320_.jpg")</f>
        <v/>
      </c>
      <c r="K1588" t="inlineStr">
        <is>
          <t>58.0</t>
        </is>
      </c>
      <c r="L1588" t="n">
        <v>45.99</v>
      </c>
      <c r="M1588" s="1" t="inlineStr">
        <is>
          <t>-20.71%</t>
        </is>
      </c>
      <c r="N1588" t="n">
        <v>4.5</v>
      </c>
      <c r="O1588" t="n">
        <v>347</v>
      </c>
      <c r="Q1588" t="inlineStr">
        <is>
          <t>InStock</t>
        </is>
      </c>
      <c r="R1588" t="inlineStr">
        <is>
          <t>undefined</t>
        </is>
      </c>
      <c r="S1588" t="inlineStr">
        <is>
          <t>9349022218</t>
        </is>
      </c>
    </row>
    <row r="1589" ht="75" customHeight="1">
      <c r="A1589" s="2">
        <f>HYPERLINK("https://camerareadycosmetics.com/products/kevyn-aucoin-the-etherealist-super-natural-concealer", "https://camerareadycosmetics.com/products/kevyn-aucoin-the-etherealist-super-natural-concealer")</f>
        <v/>
      </c>
      <c r="B1589" s="2">
        <f>HYPERLINK("https://camerareadycosmetics.com/products/kevyn-aucoin-the-etherealist-super-natural-concealer", "https://camerareadycosmetics.com/products/kevyn-aucoin-the-etherealist-super-natural-concealer")</f>
        <v/>
      </c>
      <c r="C1589" t="inlineStr">
        <is>
          <t>The Etherealist Super Natural Concealer</t>
        </is>
      </c>
      <c r="D1589" t="inlineStr">
        <is>
          <t>Kevyn Aucoin The Etherealist Super Natural Concealer, EC 05 Medium shade: Weightless corrector, multi-use and highlights. Makeup artist go to that blurs imperfections for a flawless finish.</t>
        </is>
      </c>
      <c r="E1589" s="2">
        <f>HYPERLINK("https://www.amazon.com/Kevyn-Aucoin-Etherealist-Natural-Concealer/dp/B075GY322K/ref=sr_1_1?keywords=The+Etherealist+Super+Natural+Concealer&amp;qid=1695565521&amp;sr=8-1", "https://www.amazon.com/Kevyn-Aucoin-Etherealist-Natural-Concealer/dp/B075GY322K/ref=sr_1_1?keywords=The+Etherealist+Super+Natural+Concealer&amp;qid=1695565521&amp;sr=8-1")</f>
        <v/>
      </c>
      <c r="F1589" t="inlineStr">
        <is>
          <t>B075GY322K</t>
        </is>
      </c>
      <c r="G1589">
        <f>_xlfn.IMAGE("https://camerareadycosmetics.com/cdn/shop/products/Etherealist-Super-Natural-Concealer-Open-EC01_50x.jpg?v=1506757797")</f>
        <v/>
      </c>
      <c r="H1589">
        <f>_xlfn.IMAGE("https://m.media-amazon.com/images/I/61AhJtAKsCL._AC_UL320_.jpg")</f>
        <v/>
      </c>
      <c r="K1589" t="inlineStr">
        <is>
          <t>30.0</t>
        </is>
      </c>
      <c r="L1589" t="n">
        <v>28.83</v>
      </c>
      <c r="M1589" s="1" t="inlineStr">
        <is>
          <t>-3.90%</t>
        </is>
      </c>
      <c r="N1589" t="n">
        <v>4.4</v>
      </c>
      <c r="O1589" t="n">
        <v>110</v>
      </c>
      <c r="Q1589" t="inlineStr">
        <is>
          <t>InStock</t>
        </is>
      </c>
      <c r="R1589" t="inlineStr">
        <is>
          <t>undefined</t>
        </is>
      </c>
      <c r="S1589" t="inlineStr">
        <is>
          <t>11190452234</t>
        </is>
      </c>
    </row>
    <row r="1590" ht="75" customHeight="1">
      <c r="A1590" s="2">
        <f>HYPERLINK("https://camerareadycosmetics.com/products/kevyn-aucoin-the-etherealist-super-natural-concealer", "https://camerareadycosmetics.com/products/kevyn-aucoin-the-etherealist-super-natural-concealer")</f>
        <v/>
      </c>
      <c r="B1590" s="2">
        <f>HYPERLINK("https://camerareadycosmetics.com/products/kevyn-aucoin-the-etherealist-super-natural-concealer", "https://camerareadycosmetics.com/products/kevyn-aucoin-the-etherealist-super-natural-concealer")</f>
        <v/>
      </c>
      <c r="C1590" t="inlineStr">
        <is>
          <t>The Etherealist Super Natural Concealer</t>
        </is>
      </c>
      <c r="D1590" t="inlineStr">
        <is>
          <t>Kevyn Aucoin The Etherealist Super Natural Concealer, EC 03 (Medium) shade: Weightless corrector, multi-use and highlights. Makeup artist go to that blurs imperfections for a flawless finish.</t>
        </is>
      </c>
      <c r="E1590" s="2">
        <f>HYPERLINK("https://www.amazon.com/Kevyn-Aucoin-Etherealist-Natural-Concealer/dp/B075GZ6MPK/ref=sr_1_fkmr0_1?keywords=The+Etherealist+Super+Natural+Concealer&amp;qid=1695565521&amp;sr=8-1-fkmr0", "https://www.amazon.com/Kevyn-Aucoin-Etherealist-Natural-Concealer/dp/B075GZ6MPK/ref=sr_1_fkmr0_1?keywords=The+Etherealist+Super+Natural+Concealer&amp;qid=1695565521&amp;sr=8-1-fkmr0")</f>
        <v/>
      </c>
      <c r="F1590" t="inlineStr">
        <is>
          <t>B075GZ6MPK</t>
        </is>
      </c>
      <c r="G1590">
        <f>_xlfn.IMAGE("https://camerareadycosmetics.com/cdn/shop/products/Etherealist-Super-Natural-Concealer-Open-EC01_50x.jpg?v=1506757797")</f>
        <v/>
      </c>
      <c r="H1590">
        <f>_xlfn.IMAGE("https://m.media-amazon.com/images/I/61u8jvwe1dL._AC_UL320_.jpg")</f>
        <v/>
      </c>
      <c r="K1590" t="inlineStr">
        <is>
          <t>30.0</t>
        </is>
      </c>
      <c r="L1590" t="n">
        <v>15.99</v>
      </c>
      <c r="M1590" s="1" t="inlineStr">
        <is>
          <t>-46.70%</t>
        </is>
      </c>
      <c r="N1590" t="n">
        <v>4.4</v>
      </c>
      <c r="O1590" t="n">
        <v>110</v>
      </c>
      <c r="Q1590" t="inlineStr">
        <is>
          <t>InStock</t>
        </is>
      </c>
      <c r="R1590" t="inlineStr">
        <is>
          <t>undefined</t>
        </is>
      </c>
      <c r="S1590" t="inlineStr">
        <is>
          <t>11190452234</t>
        </is>
      </c>
    </row>
    <row r="1591" ht="75" customHeight="1">
      <c r="A1591" s="2">
        <f>HYPERLINK("https://camerareadycosmetics.com/products/kevyn-aucoin-the-neo-bronzer", "https://camerareadycosmetics.com/products/kevyn-aucoin-the-neo-bronzer")</f>
        <v/>
      </c>
      <c r="B1591" s="2">
        <f>HYPERLINK("https://camerareadycosmetics.com/products/kevyn-aucoin-the-neo-bronzer", "https://camerareadycosmetics.com/products/kevyn-aucoin-the-neo-bronzer")</f>
        <v/>
      </c>
      <c r="C1591" t="inlineStr">
        <is>
          <t>The Neo-Bronzer</t>
        </is>
      </c>
      <c r="D1591" t="inlineStr">
        <is>
          <t>Kevyn Aucoin The Neo-Bronzer, Sunrise Light: 3 in 1 makeup palette. Highlighter, blush &amp; bronzer in one smooth gradient makeup compact. Shimmer &amp; matte in light, medium &amp; deep. Sun-kissed to bronzed.</t>
        </is>
      </c>
      <c r="E1591" s="2">
        <f>HYPERLINK("https://www.amazon.com/Kevyn-Aucoin-Neo-Bronzer-Palette-Sunrise/dp/B07QWMCHCK/ref=sr_1_1?keywords=The+Neo-Bronzer&amp;qid=1695565614&amp;sr=8-1", "https://www.amazon.com/Kevyn-Aucoin-Neo-Bronzer-Palette-Sunrise/dp/B07QWMCHCK/ref=sr_1_1?keywords=The+Neo-Bronzer&amp;qid=1695565614&amp;sr=8-1")</f>
        <v/>
      </c>
      <c r="F1591" t="inlineStr">
        <is>
          <t>B07QWMCHCK</t>
        </is>
      </c>
      <c r="G1591">
        <f>_xlfn.IMAGE("https://camerareadycosmetics.com/cdn/shop/files/KA-neo-bronzer-capri-front_50x.jpg?v=1687198243")</f>
        <v/>
      </c>
      <c r="H1591">
        <f>_xlfn.IMAGE("https://m.media-amazon.com/images/I/81JF1CkPgvL._AC_UY218_.jpg")</f>
        <v/>
      </c>
      <c r="K1591" t="inlineStr">
        <is>
          <t>38.0</t>
        </is>
      </c>
      <c r="L1591" t="n">
        <v>18.59</v>
      </c>
      <c r="M1591" s="1" t="inlineStr">
        <is>
          <t>-51.08%</t>
        </is>
      </c>
      <c r="N1591" t="n">
        <v>4.1</v>
      </c>
      <c r="O1591" t="n">
        <v>64</v>
      </c>
      <c r="Q1591" t="inlineStr">
        <is>
          <t>InStock</t>
        </is>
      </c>
      <c r="R1591" t="inlineStr">
        <is>
          <t>undefined</t>
        </is>
      </c>
      <c r="S1591" t="inlineStr">
        <is>
          <t>7050425863</t>
        </is>
      </c>
    </row>
    <row r="1592" ht="75" customHeight="1">
      <c r="A1592" s="2">
        <f>HYPERLINK("https://camerareadycosmetics.com/products/kevyn-aucoin-the-neo-bronzer", "https://camerareadycosmetics.com/products/kevyn-aucoin-the-neo-bronzer")</f>
        <v/>
      </c>
      <c r="B1592" s="2">
        <f>HYPERLINK("https://camerareadycosmetics.com/products/kevyn-aucoin-the-neo-bronzer", "https://camerareadycosmetics.com/products/kevyn-aucoin-the-neo-bronzer")</f>
        <v/>
      </c>
      <c r="C1592" t="inlineStr">
        <is>
          <t>The Neo-Bronzer</t>
        </is>
      </c>
      <c r="D1592" t="inlineStr">
        <is>
          <t>Docolor Flat Top Kabuki Foundation Brush Synthetic Professional Contours &amp; Sculpts Cheekbones For Bronzer &amp; Face Powder Blush Foundation Liquid Blending Mineral Vegan Makeup Tool Neon Pink</t>
        </is>
      </c>
      <c r="E1592" s="2">
        <f>HYPERLINK("https://www.amazon.com/Docolor-Foundation-Synthetic-Professional-Blending/dp/B08RDDLF6P/ref=sr_1_3?keywords=The+Neo-Bronzer&amp;qid=1695565614&amp;sr=8-3", "https://www.amazon.com/Docolor-Foundation-Synthetic-Professional-Blending/dp/B08RDDLF6P/ref=sr_1_3?keywords=The+Neo-Bronzer&amp;qid=1695565614&amp;sr=8-3")</f>
        <v/>
      </c>
      <c r="F1592" t="inlineStr">
        <is>
          <t>B08RDDLF6P</t>
        </is>
      </c>
      <c r="G1592">
        <f>_xlfn.IMAGE("https://camerareadycosmetics.com/cdn/shop/files/KA-neo-bronzer-capri-front_50x.jpg?v=1687198243")</f>
        <v/>
      </c>
      <c r="H1592">
        <f>_xlfn.IMAGE("https://m.media-amazon.com/images/I/618S-FCU6NL._AC_UY218_.jpg")</f>
        <v/>
      </c>
      <c r="K1592" t="inlineStr">
        <is>
          <t>38.0</t>
        </is>
      </c>
      <c r="L1592" t="n">
        <v>7.99</v>
      </c>
      <c r="M1592" s="1" t="inlineStr">
        <is>
          <t>-78.97%</t>
        </is>
      </c>
      <c r="N1592" t="n">
        <v>4.4</v>
      </c>
      <c r="O1592" t="n">
        <v>2451</v>
      </c>
      <c r="Q1592" t="inlineStr">
        <is>
          <t>InStock</t>
        </is>
      </c>
      <c r="R1592" t="inlineStr">
        <is>
          <t>undefined</t>
        </is>
      </c>
      <c r="S1592" t="inlineStr">
        <is>
          <t>7050425863</t>
        </is>
      </c>
    </row>
    <row r="1593" ht="75" customHeight="1">
      <c r="A1593" s="2">
        <f>HYPERLINK("https://camerareadycosmetics.com/products/kevyn-aucoin-the-neo-bronzer", "https://camerareadycosmetics.com/products/kevyn-aucoin-the-neo-bronzer")</f>
        <v/>
      </c>
      <c r="B1593" s="2">
        <f>HYPERLINK("https://camerareadycosmetics.com/products/kevyn-aucoin-the-neo-bronzer", "https://camerareadycosmetics.com/products/kevyn-aucoin-the-neo-bronzer")</f>
        <v/>
      </c>
      <c r="C1593" t="inlineStr">
        <is>
          <t>The Neo-Bronzer</t>
        </is>
      </c>
      <c r="D1593" t="inlineStr">
        <is>
          <t>Kevyn Aucoin The Neo-Bronzer, Sunrise Light: 3 in 1 makeup palette. Highlighter, blush &amp; bronzer in one smooth gradient makeup compact. Shimmer &amp; matte in light, medium &amp; deep. Sun-kissed to bronzed.</t>
        </is>
      </c>
      <c r="E1593" s="2">
        <f>HYPERLINK("https://www.amazon.com/Kevyn-Aucoin-Neo-Bronzer-Palette-Sunrise/dp/B07QWMCHCK/ref=sr_1_1?keywords=The+Neo-Bronzer&amp;qid=1695565614&amp;sr=8-1", "https://www.amazon.com/Kevyn-Aucoin-Neo-Bronzer-Palette-Sunrise/dp/B07QWMCHCK/ref=sr_1_1?keywords=The+Neo-Bronzer&amp;qid=1695565614&amp;sr=8-1")</f>
        <v/>
      </c>
      <c r="F1593" t="inlineStr">
        <is>
          <t>B07QWMCHCK</t>
        </is>
      </c>
      <c r="G1593">
        <f>_xlfn.IMAGE("https://camerareadycosmetics.com/cdn/shop/files/KA-neo-bronzer-capri-front_50x.jpg?v=1687198243")</f>
        <v/>
      </c>
      <c r="H1593">
        <f>_xlfn.IMAGE("https://m.media-amazon.com/images/I/81JF1CkPgvL._AC_UY218_.jpg")</f>
        <v/>
      </c>
      <c r="K1593" t="inlineStr">
        <is>
          <t>38.0</t>
        </is>
      </c>
      <c r="L1593" t="n">
        <v>18.59</v>
      </c>
      <c r="M1593" s="1" t="inlineStr">
        <is>
          <t>-51.08%</t>
        </is>
      </c>
      <c r="N1593" t="n">
        <v>4.1</v>
      </c>
      <c r="O1593" t="n">
        <v>64</v>
      </c>
      <c r="Q1593" t="inlineStr">
        <is>
          <t>InStock</t>
        </is>
      </c>
      <c r="R1593" t="inlineStr">
        <is>
          <t>undefined</t>
        </is>
      </c>
      <c r="S1593" t="inlineStr">
        <is>
          <t>7050425863</t>
        </is>
      </c>
    </row>
    <row r="1594" ht="75" customHeight="1">
      <c r="A1594" s="2">
        <f>HYPERLINK("https://camerareadycosmetics.com/products/kevyn-aucoin-the-neo-bronzer", "https://camerareadycosmetics.com/products/kevyn-aucoin-the-neo-bronzer")</f>
        <v/>
      </c>
      <c r="B1594" s="2">
        <f>HYPERLINK("https://camerareadycosmetics.com/products/kevyn-aucoin-the-neo-bronzer", "https://camerareadycosmetics.com/products/kevyn-aucoin-the-neo-bronzer")</f>
        <v/>
      </c>
      <c r="C1594" t="inlineStr">
        <is>
          <t>The Neo-Bronzer</t>
        </is>
      </c>
      <c r="D1594" t="inlineStr">
        <is>
          <t>Docolor Flat Top Kabuki Foundation Brush Synthetic Professional Contours &amp; Sculpts Cheekbones For Bronzer &amp; Face Powder Blush Foundation Liquid Blending Mineral Vegan Makeup Tool Neon Pink</t>
        </is>
      </c>
      <c r="E1594" s="2">
        <f>HYPERLINK("https://www.amazon.com/Docolor-Foundation-Synthetic-Professional-Blending/dp/B08RDDLF6P/ref=sr_1_3?keywords=The+Neo-Bronzer&amp;qid=1695565614&amp;sr=8-3", "https://www.amazon.com/Docolor-Foundation-Synthetic-Professional-Blending/dp/B08RDDLF6P/ref=sr_1_3?keywords=The+Neo-Bronzer&amp;qid=1695565614&amp;sr=8-3")</f>
        <v/>
      </c>
      <c r="F1594" t="inlineStr">
        <is>
          <t>B08RDDLF6P</t>
        </is>
      </c>
      <c r="G1594">
        <f>_xlfn.IMAGE("https://camerareadycosmetics.com/cdn/shop/files/KA-neo-bronzer-capri-front_50x.jpg?v=1687198243")</f>
        <v/>
      </c>
      <c r="H1594">
        <f>_xlfn.IMAGE("https://m.media-amazon.com/images/I/618S-FCU6NL._AC_UY218_.jpg")</f>
        <v/>
      </c>
      <c r="K1594" t="inlineStr">
        <is>
          <t>38.0</t>
        </is>
      </c>
      <c r="L1594" t="n">
        <v>7.99</v>
      </c>
      <c r="M1594" s="1" t="inlineStr">
        <is>
          <t>-78.97%</t>
        </is>
      </c>
      <c r="N1594" t="n">
        <v>4.4</v>
      </c>
      <c r="O1594" t="n">
        <v>2451</v>
      </c>
      <c r="Q1594" t="inlineStr">
        <is>
          <t>InStock</t>
        </is>
      </c>
      <c r="R1594" t="inlineStr">
        <is>
          <t>undefined</t>
        </is>
      </c>
      <c r="S1594" t="inlineStr">
        <is>
          <t>7050425863</t>
        </is>
      </c>
    </row>
    <row r="1595" ht="75" customHeight="1">
      <c r="A1595" s="2">
        <f>HYPERLINK("https://camerareadycosmetics.com/products/kevyn-aucoin-the-precision-brow-pencil", "https://camerareadycosmetics.com/products/kevyn-aucoin-the-precision-brow-pencil")</f>
        <v/>
      </c>
      <c r="B1595" s="2">
        <f>HYPERLINK("https://camerareadycosmetics.com/products/kevyn-aucoin-the-precision-brow-pencil", "https://camerareadycosmetics.com/products/kevyn-aucoin-the-precision-brow-pencil")</f>
        <v/>
      </c>
      <c r="C1595" t="inlineStr">
        <is>
          <t>The Precision Brow Pencil</t>
        </is>
      </c>
      <c r="D1595" t="inlineStr">
        <is>
          <t>The Quick Flick - Quick Brow 2 in 1 Brow Pencil and Liner - Dark</t>
        </is>
      </c>
      <c r="E1595" s="2" t="n"/>
      <c r="F1595" t="inlineStr">
        <is>
          <t>B0C2J65P41</t>
        </is>
      </c>
      <c r="G1595">
        <f>_xlfn.IMAGE("https://camerareadycosmetics.com/cdn/shop/products/9146_zoom_1414443096_50x.jpg?v=1689637228")</f>
        <v/>
      </c>
      <c r="H1595">
        <f>_xlfn.IMAGE("https://m.media-amazon.com/images/I/61HEJ7KSl7L._AC_UL320_.jpg")</f>
        <v/>
      </c>
      <c r="K1595" t="inlineStr">
        <is>
          <t>28.0</t>
        </is>
      </c>
      <c r="L1595" t="n">
        <v>19.99</v>
      </c>
      <c r="M1595" s="1" t="inlineStr">
        <is>
          <t>-28.61%</t>
        </is>
      </c>
      <c r="N1595" t="n">
        <v>5</v>
      </c>
      <c r="O1595" t="n">
        <v>2</v>
      </c>
      <c r="Q1595" t="inlineStr">
        <is>
          <t>InStock</t>
        </is>
      </c>
      <c r="R1595" t="inlineStr">
        <is>
          <t>undefined</t>
        </is>
      </c>
      <c r="S1595" t="inlineStr">
        <is>
          <t>7038052359</t>
        </is>
      </c>
    </row>
    <row r="1596" ht="75" customHeight="1">
      <c r="A1596" s="2">
        <f>HYPERLINK("https://camerareadycosmetics.com/products/kevyn-aucoin-the-precision-brow-pencil", "https://camerareadycosmetics.com/products/kevyn-aucoin-the-precision-brow-pencil")</f>
        <v/>
      </c>
      <c r="B1596" s="2">
        <f>HYPERLINK("https://camerareadycosmetics.com/products/kevyn-aucoin-the-precision-brow-pencil", "https://camerareadycosmetics.com/products/kevyn-aucoin-the-precision-brow-pencil")</f>
        <v/>
      </c>
      <c r="C1596" t="inlineStr">
        <is>
          <t>The Precision Brow Pencil</t>
        </is>
      </c>
      <c r="D1596" t="inlineStr">
        <is>
          <t>JOAH Eyebrow Pencil - Brow Down To Me Precision Brow Pencil with Built-In Spoolie Brush for Flawless Brows, Cool Taupe</t>
        </is>
      </c>
      <c r="E1596" s="2" t="n"/>
      <c r="F1596" t="inlineStr">
        <is>
          <t>B08QDT4DW8</t>
        </is>
      </c>
      <c r="G1596">
        <f>_xlfn.IMAGE("https://camerareadycosmetics.com/cdn/shop/products/9146_zoom_1414443096_50x.jpg?v=1689637228")</f>
        <v/>
      </c>
      <c r="H1596">
        <f>_xlfn.IMAGE("https://m.media-amazon.com/images/I/61hzzhQOdoL._AC_UL320_.jpg")</f>
        <v/>
      </c>
      <c r="K1596" t="inlineStr">
        <is>
          <t>28.0</t>
        </is>
      </c>
      <c r="L1596" t="n">
        <v>9.49</v>
      </c>
      <c r="M1596" s="1" t="inlineStr">
        <is>
          <t>-66.11%</t>
        </is>
      </c>
      <c r="N1596" t="n">
        <v>4.3</v>
      </c>
      <c r="O1596" t="n">
        <v>1051</v>
      </c>
      <c r="Q1596" t="inlineStr">
        <is>
          <t>InStock</t>
        </is>
      </c>
      <c r="R1596" t="inlineStr">
        <is>
          <t>undefined</t>
        </is>
      </c>
      <c r="S1596" t="inlineStr">
        <is>
          <t>7038052359</t>
        </is>
      </c>
    </row>
    <row r="1597" ht="75" customHeight="1">
      <c r="A1597" s="2">
        <f>HYPERLINK("https://camerareadycosmetics.com/products/kevyn-aucoin-the-precision-brow-pencil", "https://camerareadycosmetics.com/products/kevyn-aucoin-the-precision-brow-pencil")</f>
        <v/>
      </c>
      <c r="B1597" s="2">
        <f>HYPERLINK("https://camerareadycosmetics.com/products/kevyn-aucoin-the-precision-brow-pencil", "https://camerareadycosmetics.com/products/kevyn-aucoin-the-precision-brow-pencil")</f>
        <v/>
      </c>
      <c r="C1597" t="inlineStr">
        <is>
          <t>The Precision Brow Pencil</t>
        </is>
      </c>
      <c r="D1597" t="inlineStr">
        <is>
          <t>e.l.f. Cosmetics Instant Lift Brow Pencil 2-Pack, Dual-Ended Precision Brow Pencils For Shaping &amp; Defining Brows, Neutral Brown</t>
        </is>
      </c>
      <c r="E1597" s="2">
        <f>HYPERLINK("https://www.amazon.com/l-f-Cosmetics-Dual-Ended-Precision-Defining/dp/B0B52KG7YP/ref=sr_1_6?keywords=The+Precision+Brow+Pencil&amp;qid=1695565587&amp;sr=8-6", "https://www.amazon.com/l-f-Cosmetics-Dual-Ended-Precision-Defining/dp/B0B52KG7YP/ref=sr_1_6?keywords=The+Precision+Brow+Pencil&amp;qid=1695565587&amp;sr=8-6")</f>
        <v/>
      </c>
      <c r="F1597" t="inlineStr">
        <is>
          <t>B0B52KG7YP</t>
        </is>
      </c>
      <c r="G1597">
        <f>_xlfn.IMAGE("https://camerareadycosmetics.com/cdn/shop/products/9146_zoom_1414443096_50x.jpg?v=1689637228")</f>
        <v/>
      </c>
      <c r="H1597">
        <f>_xlfn.IMAGE("https://m.media-amazon.com/images/I/61FxJqkaPxL._AC_UL320_.jpg")</f>
        <v/>
      </c>
      <c r="K1597" t="inlineStr">
        <is>
          <t>28.0</t>
        </is>
      </c>
      <c r="L1597" t="n">
        <v>5</v>
      </c>
      <c r="M1597" s="1" t="inlineStr">
        <is>
          <t>-82.14%</t>
        </is>
      </c>
      <c r="N1597" t="n">
        <v>4.5</v>
      </c>
      <c r="O1597" t="n">
        <v>34301</v>
      </c>
      <c r="Q1597" t="inlineStr">
        <is>
          <t>InStock</t>
        </is>
      </c>
      <c r="R1597" t="inlineStr">
        <is>
          <t>undefined</t>
        </is>
      </c>
      <c r="S1597" t="inlineStr">
        <is>
          <t>7038052359</t>
        </is>
      </c>
    </row>
    <row r="1598" ht="75" customHeight="1">
      <c r="A1598" s="2">
        <f>HYPERLINK("https://camerareadycosmetics.com/products/kevyn-aucoin-the-precision-brow-pencil", "https://camerareadycosmetics.com/products/kevyn-aucoin-the-precision-brow-pencil")</f>
        <v/>
      </c>
      <c r="B1598" s="2">
        <f>HYPERLINK("https://camerareadycosmetics.com/products/kevyn-aucoin-the-precision-brow-pencil", "https://camerareadycosmetics.com/products/kevyn-aucoin-the-precision-brow-pencil")</f>
        <v/>
      </c>
      <c r="C1598" t="inlineStr">
        <is>
          <t>The Precision Brow Pencil</t>
        </is>
      </c>
      <c r="D1598" t="inlineStr">
        <is>
          <t>JOAH Eyebrow Pencil - Brow Down To Me Precision Brow Pencil with Built-In Spoolie Brush for Flawless Brows, Cool Taupe</t>
        </is>
      </c>
      <c r="E1598" s="2" t="n"/>
      <c r="F1598" t="inlineStr">
        <is>
          <t>B08QDT4DW8</t>
        </is>
      </c>
      <c r="G1598">
        <f>_xlfn.IMAGE("https://camerareadycosmetics.com/cdn/shop/products/9146_zoom_1414443096_50x.jpg?v=1689637228")</f>
        <v/>
      </c>
      <c r="H1598">
        <f>_xlfn.IMAGE("https://m.media-amazon.com/images/I/61hzzhQOdoL._AC_UL320_.jpg")</f>
        <v/>
      </c>
      <c r="K1598" t="inlineStr">
        <is>
          <t>28.0</t>
        </is>
      </c>
      <c r="L1598" t="n">
        <v>9.49</v>
      </c>
      <c r="M1598" s="1" t="inlineStr">
        <is>
          <t>-66.11%</t>
        </is>
      </c>
      <c r="N1598" t="n">
        <v>4.3</v>
      </c>
      <c r="O1598" t="n">
        <v>1051</v>
      </c>
      <c r="Q1598" t="inlineStr">
        <is>
          <t>InStock</t>
        </is>
      </c>
      <c r="R1598" t="inlineStr">
        <is>
          <t>undefined</t>
        </is>
      </c>
      <c r="S1598" t="inlineStr">
        <is>
          <t>7038052359</t>
        </is>
      </c>
    </row>
    <row r="1599" ht="75" customHeight="1">
      <c r="A1599" s="2">
        <f>HYPERLINK("https://camerareadycosmetics.com/products/kevyn-aucoin-the-precision-brow-pencil", "https://camerareadycosmetics.com/products/kevyn-aucoin-the-precision-brow-pencil")</f>
        <v/>
      </c>
      <c r="B1599" s="2">
        <f>HYPERLINK("https://camerareadycosmetics.com/products/kevyn-aucoin-the-precision-brow-pencil", "https://camerareadycosmetics.com/products/kevyn-aucoin-the-precision-brow-pencil")</f>
        <v/>
      </c>
      <c r="C1599" t="inlineStr">
        <is>
          <t>The Precision Brow Pencil</t>
        </is>
      </c>
      <c r="D1599" t="inlineStr">
        <is>
          <t>e.l.f. Cosmetics Instant Lift Brow Pencil 2-Pack, Dual-Ended Precision Brow Pencils For Shaping &amp; Defining Brows, Neutral Brown</t>
        </is>
      </c>
      <c r="E1599" s="2">
        <f>HYPERLINK("https://www.amazon.com/l-f-Cosmetics-Dual-Ended-Precision-Defining/dp/B0B52KG7YP/ref=sr_1_6?keywords=The+Precision+Brow+Pencil&amp;qid=1695565587&amp;sr=8-6", "https://www.amazon.com/l-f-Cosmetics-Dual-Ended-Precision-Defining/dp/B0B52KG7YP/ref=sr_1_6?keywords=The+Precision+Brow+Pencil&amp;qid=1695565587&amp;sr=8-6")</f>
        <v/>
      </c>
      <c r="F1599" t="inlineStr">
        <is>
          <t>B0B52KG7YP</t>
        </is>
      </c>
      <c r="G1599">
        <f>_xlfn.IMAGE("https://camerareadycosmetics.com/cdn/shop/products/9146_zoom_1414443096_50x.jpg?v=1689637228")</f>
        <v/>
      </c>
      <c r="H1599">
        <f>_xlfn.IMAGE("https://m.media-amazon.com/images/I/61FxJqkaPxL._AC_UL320_.jpg")</f>
        <v/>
      </c>
      <c r="K1599" t="inlineStr">
        <is>
          <t>28.0</t>
        </is>
      </c>
      <c r="L1599" t="n">
        <v>5</v>
      </c>
      <c r="M1599" s="1" t="inlineStr">
        <is>
          <t>-82.14%</t>
        </is>
      </c>
      <c r="N1599" t="n">
        <v>4.5</v>
      </c>
      <c r="O1599" t="n">
        <v>34301</v>
      </c>
      <c r="Q1599" t="inlineStr">
        <is>
          <t>InStock</t>
        </is>
      </c>
      <c r="R1599" t="inlineStr">
        <is>
          <t>undefined</t>
        </is>
      </c>
      <c r="S1599" t="inlineStr">
        <is>
          <t>7038052359</t>
        </is>
      </c>
    </row>
    <row r="1600" ht="75" customHeight="1">
      <c r="A1600" s="2">
        <f>HYPERLINK("https://camerareadycosmetics.com/products/kevyn-aucoin-the-precision-liquid-liner-black", "https://camerareadycosmetics.com/products/kevyn-aucoin-the-precision-liquid-liner-black")</f>
        <v/>
      </c>
      <c r="B1600" s="2">
        <f>HYPERLINK("https://camerareadycosmetics.com/products/kevyn-aucoin-the-precision-liquid-liner-black", "https://camerareadycosmetics.com/products/kevyn-aucoin-the-precision-liquid-liner-black")</f>
        <v/>
      </c>
      <c r="C1600" t="inlineStr">
        <is>
          <t>The Precision Liquid Liner (Black)</t>
        </is>
      </c>
      <c r="D1600" t="inlineStr">
        <is>
          <t>ARTDECO High Precision Liquid Liner – black - eyeliner with high-tech pen tip for precise application - contains carbon pigment for intense black shade - eye makeup - liquid eyeliner - 1.93 Fl Oz</t>
        </is>
      </c>
      <c r="E1600" s="2">
        <f>HYPERLINK("https://www.amazon.com/ARTDECO-High-Precision-Liquid-Liner/dp/B003HL44II/ref=sr_1_5?keywords=The+Precision+Liquid+Liner+%28Black%29&amp;qid=1695565737&amp;sr=8-5", "https://www.amazon.com/ARTDECO-High-Precision-Liquid-Liner/dp/B003HL44II/ref=sr_1_5?keywords=The+Precision+Liquid+Liner+%28Black%29&amp;qid=1695565737&amp;sr=8-5")</f>
        <v/>
      </c>
      <c r="F1600" t="inlineStr">
        <is>
          <t>B003HL44II</t>
        </is>
      </c>
      <c r="G1600">
        <f>_xlfn.IMAGE("https://camerareadycosmetics.com/cdn/shop/products/Precision-Liquid-Liner_50x.JPG?v=1689637208")</f>
        <v/>
      </c>
      <c r="H1600">
        <f>_xlfn.IMAGE("https://m.media-amazon.com/images/I/41KXzTPsCZL._AC_UL320_.jpg")</f>
        <v/>
      </c>
      <c r="K1600" t="inlineStr">
        <is>
          <t>34.0</t>
        </is>
      </c>
      <c r="L1600" t="n">
        <v>18.99</v>
      </c>
      <c r="M1600" s="1" t="inlineStr">
        <is>
          <t>-44.15%</t>
        </is>
      </c>
      <c r="N1600" t="n">
        <v>4.5</v>
      </c>
      <c r="O1600" t="n">
        <v>349</v>
      </c>
      <c r="Q1600" t="inlineStr">
        <is>
          <t>InStock</t>
        </is>
      </c>
      <c r="R1600" t="inlineStr">
        <is>
          <t>undefined</t>
        </is>
      </c>
      <c r="S1600" t="inlineStr">
        <is>
          <t>7038049671</t>
        </is>
      </c>
    </row>
    <row r="1601" ht="75" customHeight="1">
      <c r="A1601" s="2">
        <f>HYPERLINK("https://camerareadycosmetics.com/products/kevyn-aucoin-the-precision-liquid-liner-black", "https://camerareadycosmetics.com/products/kevyn-aucoin-the-precision-liquid-liner-black")</f>
        <v/>
      </c>
      <c r="B1601" s="2">
        <f>HYPERLINK("https://camerareadycosmetics.com/products/kevyn-aucoin-the-precision-liquid-liner-black", "https://camerareadycosmetics.com/products/kevyn-aucoin-the-precision-liquid-liner-black")</f>
        <v/>
      </c>
      <c r="C1601" t="inlineStr">
        <is>
          <t>The Precision Liquid Liner (Black)</t>
        </is>
      </c>
      <c r="D1601" t="inlineStr">
        <is>
          <t>Kevyn Aucoin The Precision Liquid Liner, Black: Easy use with a glide-on felt tip eyeliner. Ultrafine precise applicator for sharp lines. Light to heavy application. Smudge-proof. All day long wear.</t>
        </is>
      </c>
      <c r="E1601" s="2">
        <f>HYPERLINK("https://www.amazon.com/Kevyn-Aucoin-Liquid-Liner-Black/dp/B008FC6OLY/ref=sr_1_6?keywords=The+Precision+Liquid+Liner+%28Black%29&amp;qid=1695565737&amp;sr=8-6", "https://www.amazon.com/Kevyn-Aucoin-Liquid-Liner-Black/dp/B008FC6OLY/ref=sr_1_6?keywords=The+Precision+Liquid+Liner+%28Black%29&amp;qid=1695565737&amp;sr=8-6")</f>
        <v/>
      </c>
      <c r="F1601" t="inlineStr">
        <is>
          <t>B008FC6OLY</t>
        </is>
      </c>
      <c r="G1601">
        <f>_xlfn.IMAGE("https://camerareadycosmetics.com/cdn/shop/products/Precision-Liquid-Liner_50x.JPG?v=1689637208")</f>
        <v/>
      </c>
      <c r="H1601">
        <f>_xlfn.IMAGE("https://m.media-amazon.com/images/I/51KaiGM2pdL._AC_UL320_.jpg")</f>
        <v/>
      </c>
      <c r="K1601" t="inlineStr">
        <is>
          <t>34.0</t>
        </is>
      </c>
      <c r="L1601" t="n">
        <v>18.38</v>
      </c>
      <c r="M1601" s="1" t="inlineStr">
        <is>
          <t>-45.94%</t>
        </is>
      </c>
      <c r="N1601" t="n">
        <v>4.1</v>
      </c>
      <c r="O1601" t="n">
        <v>53</v>
      </c>
      <c r="Q1601" t="inlineStr">
        <is>
          <t>InStock</t>
        </is>
      </c>
      <c r="R1601" t="inlineStr">
        <is>
          <t>undefined</t>
        </is>
      </c>
      <c r="S1601" t="inlineStr">
        <is>
          <t>7038049671</t>
        </is>
      </c>
    </row>
    <row r="1602" ht="75" customHeight="1">
      <c r="A1602" s="2">
        <f>HYPERLINK("https://camerareadycosmetics.com/products/kevyn-aucoin-the-precision-liquid-liner-black", "https://camerareadycosmetics.com/products/kevyn-aucoin-the-precision-liquid-liner-black")</f>
        <v/>
      </c>
      <c r="B1602" s="2">
        <f>HYPERLINK("https://camerareadycosmetics.com/products/kevyn-aucoin-the-precision-liquid-liner-black", "https://camerareadycosmetics.com/products/kevyn-aucoin-the-precision-liquid-liner-black")</f>
        <v/>
      </c>
      <c r="C1602" t="inlineStr">
        <is>
          <t>The Precision Liquid Liner (Black)</t>
        </is>
      </c>
      <c r="D1602" t="inlineStr">
        <is>
          <t>Boobeen Black Eyeliner Liquid, Waterproof Eyeliner Pen With Precision Brush Tip, Create Long Lasting eyeliner Makeup, Goes on Smoothly</t>
        </is>
      </c>
      <c r="E1602" s="2">
        <f>HYPERLINK("https://www.amazon.com/Boobeen-Eyeliner-Waterproof-Precision-eyeliner/dp/B09Y59MWZ3/ref=sr_1_9?keywords=The+Precision+Liquid+Liner+%28Black%29&amp;qid=1695565737&amp;sr=8-9", "https://www.amazon.com/Boobeen-Eyeliner-Waterproof-Precision-eyeliner/dp/B09Y59MWZ3/ref=sr_1_9?keywords=The+Precision+Liquid+Liner+%28Black%29&amp;qid=1695565737&amp;sr=8-9")</f>
        <v/>
      </c>
      <c r="F1602" t="inlineStr">
        <is>
          <t>B09Y59MWZ3</t>
        </is>
      </c>
      <c r="G1602">
        <f>_xlfn.IMAGE("https://camerareadycosmetics.com/cdn/shop/products/Precision-Liquid-Liner_50x.JPG?v=1689637208")</f>
        <v/>
      </c>
      <c r="H1602">
        <f>_xlfn.IMAGE("https://m.media-amazon.com/images/I/51YlwmErYrL._AC_UL320_.jpg")</f>
        <v/>
      </c>
      <c r="K1602" t="inlineStr">
        <is>
          <t>34.0</t>
        </is>
      </c>
      <c r="L1602" t="n">
        <v>7.99</v>
      </c>
      <c r="M1602" s="1" t="inlineStr">
        <is>
          <t>-76.50%</t>
        </is>
      </c>
      <c r="N1602" t="n">
        <v>4</v>
      </c>
      <c r="O1602" t="n">
        <v>108</v>
      </c>
      <c r="Q1602" t="inlineStr">
        <is>
          <t>InStock</t>
        </is>
      </c>
      <c r="R1602" t="inlineStr">
        <is>
          <t>undefined</t>
        </is>
      </c>
      <c r="S1602" t="inlineStr">
        <is>
          <t>7038049671</t>
        </is>
      </c>
    </row>
    <row r="1603" ht="75" customHeight="1">
      <c r="A1603" s="2">
        <f>HYPERLINK("https://camerareadycosmetics.com/products/kevyn-aucoin-the-precision-liquid-liner-black", "https://camerareadycosmetics.com/products/kevyn-aucoin-the-precision-liquid-liner-black")</f>
        <v/>
      </c>
      <c r="B1603" s="2">
        <f>HYPERLINK("https://camerareadycosmetics.com/products/kevyn-aucoin-the-precision-liquid-liner-black", "https://camerareadycosmetics.com/products/kevyn-aucoin-the-precision-liquid-liner-black")</f>
        <v/>
      </c>
      <c r="C1603" t="inlineStr">
        <is>
          <t>The Precision Liquid Liner (Black)</t>
        </is>
      </c>
      <c r="D1603" t="inlineStr">
        <is>
          <t>REVLON ColorStay Micro Easy Precision Liquid Liner, 301 Blackout (Pack of 1)</t>
        </is>
      </c>
      <c r="E1603" s="2" t="n"/>
      <c r="F1603" t="inlineStr">
        <is>
          <t>B0BHL9ZJLL</t>
        </is>
      </c>
      <c r="G1603">
        <f>_xlfn.IMAGE("https://camerareadycosmetics.com/cdn/shop/products/Precision-Liquid-Liner_50x.JPG?v=1689637208")</f>
        <v/>
      </c>
      <c r="H1603">
        <f>_xlfn.IMAGE("https://m.media-amazon.com/images/I/81SNBu5WojL._AC_UL320_.jpg")</f>
        <v/>
      </c>
      <c r="K1603" t="inlineStr">
        <is>
          <t>34.0</t>
        </is>
      </c>
      <c r="L1603" t="n">
        <v>6.49</v>
      </c>
      <c r="M1603" s="1" t="inlineStr">
        <is>
          <t>-80.91%</t>
        </is>
      </c>
      <c r="N1603" t="n">
        <v>4.4</v>
      </c>
      <c r="O1603" t="n">
        <v>163</v>
      </c>
      <c r="Q1603" t="inlineStr">
        <is>
          <t>InStock</t>
        </is>
      </c>
      <c r="R1603" t="inlineStr">
        <is>
          <t>undefined</t>
        </is>
      </c>
      <c r="S1603" t="inlineStr">
        <is>
          <t>7038049671</t>
        </is>
      </c>
    </row>
    <row r="1604" ht="75" customHeight="1">
      <c r="A1604" s="2">
        <f>HYPERLINK("https://camerareadycosmetics.com/products/kevyn-aucoin-the-precision-liquid-liner-black", "https://camerareadycosmetics.com/products/kevyn-aucoin-the-precision-liquid-liner-black")</f>
        <v/>
      </c>
      <c r="B1604" s="2">
        <f>HYPERLINK("https://camerareadycosmetics.com/products/kevyn-aucoin-the-precision-liquid-liner-black", "https://camerareadycosmetics.com/products/kevyn-aucoin-the-precision-liquid-liner-black")</f>
        <v/>
      </c>
      <c r="C1604" t="inlineStr">
        <is>
          <t>The Precision Liquid Liner (Black)</t>
        </is>
      </c>
      <c r="D1604" t="inlineStr">
        <is>
          <t>Boobeen Black Eyeliner Liquid, Waterproof Eyeliner Pen With Precision Brush Tip, Create Long Lasting eyeliner Makeup, Goes on Smoothly</t>
        </is>
      </c>
      <c r="E1604" s="2">
        <f>HYPERLINK("https://www.amazon.com/Boobeen-Eyeliner-Waterproof-Precision-eyeliner/dp/B09Y59MWZ3/ref=sr_1_9?keywords=The+Precision+Liquid+Liner+%28Black%29&amp;qid=1695565737&amp;sr=8-9", "https://www.amazon.com/Boobeen-Eyeliner-Waterproof-Precision-eyeliner/dp/B09Y59MWZ3/ref=sr_1_9?keywords=The+Precision+Liquid+Liner+%28Black%29&amp;qid=1695565737&amp;sr=8-9")</f>
        <v/>
      </c>
      <c r="F1604" t="inlineStr">
        <is>
          <t>B09Y59MWZ3</t>
        </is>
      </c>
      <c r="G1604">
        <f>_xlfn.IMAGE("https://camerareadycosmetics.com/cdn/shop/products/Precision-Liquid-Liner_50x.JPG?v=1689637208")</f>
        <v/>
      </c>
      <c r="H1604">
        <f>_xlfn.IMAGE("https://m.media-amazon.com/images/I/51YlwmErYrL._AC_UL320_.jpg")</f>
        <v/>
      </c>
      <c r="K1604" t="inlineStr">
        <is>
          <t>34.0</t>
        </is>
      </c>
      <c r="L1604" t="n">
        <v>7.99</v>
      </c>
      <c r="M1604" s="1" t="inlineStr">
        <is>
          <t>-76.50%</t>
        </is>
      </c>
      <c r="N1604" t="n">
        <v>4</v>
      </c>
      <c r="O1604" t="n">
        <v>108</v>
      </c>
      <c r="Q1604" t="inlineStr">
        <is>
          <t>InStock</t>
        </is>
      </c>
      <c r="R1604" t="inlineStr">
        <is>
          <t>undefined</t>
        </is>
      </c>
      <c r="S1604" t="inlineStr">
        <is>
          <t>7038049671</t>
        </is>
      </c>
    </row>
    <row r="1605" ht="75" customHeight="1">
      <c r="A1605" s="2">
        <f>HYPERLINK("https://camerareadycosmetics.com/products/kevyn-aucoin-the-precision-liquid-liner-black", "https://camerareadycosmetics.com/products/kevyn-aucoin-the-precision-liquid-liner-black")</f>
        <v/>
      </c>
      <c r="B1605" s="2">
        <f>HYPERLINK("https://camerareadycosmetics.com/products/kevyn-aucoin-the-precision-liquid-liner-black", "https://camerareadycosmetics.com/products/kevyn-aucoin-the-precision-liquid-liner-black")</f>
        <v/>
      </c>
      <c r="C1605" t="inlineStr">
        <is>
          <t>The Precision Liquid Liner (Black)</t>
        </is>
      </c>
      <c r="D1605" t="inlineStr">
        <is>
          <t>REVLON ColorStay Micro Easy Precision Liquid Liner, 301 Blackout (Pack of 1)</t>
        </is>
      </c>
      <c r="E1605" s="2" t="n"/>
      <c r="F1605" t="inlineStr">
        <is>
          <t>B0BHL9ZJLL</t>
        </is>
      </c>
      <c r="G1605">
        <f>_xlfn.IMAGE("https://camerareadycosmetics.com/cdn/shop/products/Precision-Liquid-Liner_50x.JPG?v=1689637208")</f>
        <v/>
      </c>
      <c r="H1605">
        <f>_xlfn.IMAGE("https://m.media-amazon.com/images/I/81SNBu5WojL._AC_UL320_.jpg")</f>
        <v/>
      </c>
      <c r="K1605" t="inlineStr">
        <is>
          <t>34.0</t>
        </is>
      </c>
      <c r="L1605" t="n">
        <v>6.49</v>
      </c>
      <c r="M1605" s="1" t="inlineStr">
        <is>
          <t>-80.91%</t>
        </is>
      </c>
      <c r="N1605" t="n">
        <v>4.4</v>
      </c>
      <c r="O1605" t="n">
        <v>163</v>
      </c>
      <c r="Q1605" t="inlineStr">
        <is>
          <t>InStock</t>
        </is>
      </c>
      <c r="R1605" t="inlineStr">
        <is>
          <t>undefined</t>
        </is>
      </c>
      <c r="S1605" t="inlineStr">
        <is>
          <t>7038049671</t>
        </is>
      </c>
    </row>
    <row r="1606" ht="75" customHeight="1">
      <c r="A1606" s="2">
        <f>HYPERLINK("https://camerareadycosmetics.com/products/kevyn-aucoin-the-sculpting-powder", "https://camerareadycosmetics.com/products/kevyn-aucoin-the-sculpting-powder")</f>
        <v/>
      </c>
      <c r="B1606" s="2">
        <f>HYPERLINK("https://camerareadycosmetics.com/products/kevyn-aucoin-the-sculpting-powder", "https://camerareadycosmetics.com/products/kevyn-aucoin-the-sculpting-powder")</f>
        <v/>
      </c>
      <c r="C1606" t="inlineStr">
        <is>
          <t>The Sculpting Powder</t>
        </is>
      </c>
      <c r="D1606" t="inlineStr">
        <is>
          <t>Kevyn Aucoin The Sculpting Contour Powder, Medium: Easy use, sheer, matte, natural finish. Enhances, defines, creates natural shading. Makeup artist go to. Sculpt face, cheekbones, chin, neck, nose.</t>
        </is>
      </c>
      <c r="E1606" s="2">
        <f>HYPERLINK("https://www.amazon.com/Kevyn-Aucoin-Sculpting-Powder-Packaging/dp/B00F5J646A/ref=sr_1_1?keywords=The+Sculpting+Powder&amp;qid=1695565475&amp;sr=8-1", "https://www.amazon.com/Kevyn-Aucoin-Sculpting-Powder-Packaging/dp/B00F5J646A/ref=sr_1_1?keywords=The+Sculpting+Powder&amp;qid=1695565475&amp;sr=8-1")</f>
        <v/>
      </c>
      <c r="F1606" t="inlineStr">
        <is>
          <t>B00F5J646A</t>
        </is>
      </c>
      <c r="G1606">
        <f>_xlfn.IMAGE("https://camerareadycosmetics.com/cdn/shop/files/KA-SculptingPowder-dark_50x.jpg?v=1687197384")</f>
        <v/>
      </c>
      <c r="H1606">
        <f>_xlfn.IMAGE("https://m.media-amazon.com/images/I/71NII4FWrRL._AC_UL320_.jpg")</f>
        <v/>
      </c>
      <c r="K1606" t="inlineStr">
        <is>
          <t>44.0</t>
        </is>
      </c>
      <c r="L1606" t="n">
        <v>35.52</v>
      </c>
      <c r="M1606" s="1" t="inlineStr">
        <is>
          <t>-19.27%</t>
        </is>
      </c>
      <c r="N1606" t="n">
        <v>4.4</v>
      </c>
      <c r="O1606" t="n">
        <v>254</v>
      </c>
      <c r="Q1606" t="inlineStr">
        <is>
          <t>InStock</t>
        </is>
      </c>
      <c r="R1606" t="inlineStr">
        <is>
          <t>undefined</t>
        </is>
      </c>
      <c r="S1606" t="inlineStr">
        <is>
          <t>7040306311</t>
        </is>
      </c>
    </row>
    <row r="1607" ht="75" customHeight="1">
      <c r="A1607" s="2">
        <f>HYPERLINK("https://camerareadycosmetics.com/products/kevyn-aucoin-the-sensual-skin-enhancer", "https://camerareadycosmetics.com/products/kevyn-aucoin-the-sensual-skin-enhancer")</f>
        <v/>
      </c>
      <c r="B1607" s="2">
        <f>HYPERLINK("https://camerareadycosmetics.com/products/kevyn-aucoin-the-sensual-skin-enhancer", "https://camerareadycosmetics.com/products/kevyn-aucoin-the-sensual-skin-enhancer")</f>
        <v/>
      </c>
      <c r="C1607" t="inlineStr">
        <is>
          <t>The Sensual Skin Enhancer</t>
        </is>
      </c>
      <c r="D1607" t="inlineStr">
        <is>
          <t>Kevyn Aucoin The Sensual Skin Enhancer, SX 10 (Medium) shade: Evens skin tone. All-in-one foundation, concealer, highlight and contour. All skin types. Makeup artist go to that color corrects &amp; covers.</t>
        </is>
      </c>
      <c r="E1607" s="2">
        <f>HYPERLINK("https://www.amazon.com/Kevyn-Aucoin-Sensual-Skin-Enhancer/dp/B09BTGX468/ref=sr_1_1?keywords=The+Sensual+Skin+Enhancer&amp;qid=1695565417&amp;sr=8-1", "https://www.amazon.com/Kevyn-Aucoin-Sensual-Skin-Enhancer/dp/B09BTGX468/ref=sr_1_1?keywords=The+Sensual+Skin+Enhancer&amp;qid=1695565417&amp;sr=8-1")</f>
        <v/>
      </c>
      <c r="F1607" t="inlineStr">
        <is>
          <t>B09BTGX468</t>
        </is>
      </c>
      <c r="G1607">
        <f>_xlfn.IMAGE("https://camerareadycosmetics.com/cdn/shop/products/Sensual-Skin-Enhancer_03_2000x2000-144dpi_no-shadow_50x.jpg?v=1689636452")</f>
        <v/>
      </c>
      <c r="H1607">
        <f>_xlfn.IMAGE("https://m.media-amazon.com/images/I/61NlT4h4aXL._AC_UL320_.jpg")</f>
        <v/>
      </c>
      <c r="K1607" t="inlineStr">
        <is>
          <t>34.0</t>
        </is>
      </c>
      <c r="L1607" t="n">
        <v>38.95</v>
      </c>
      <c r="M1607" s="1" t="inlineStr">
        <is>
          <t>14.56%</t>
        </is>
      </c>
      <c r="N1607" t="n">
        <v>4.3</v>
      </c>
      <c r="O1607" t="n">
        <v>242</v>
      </c>
      <c r="Q1607" t="inlineStr">
        <is>
          <t>InStock</t>
        </is>
      </c>
      <c r="R1607" t="inlineStr">
        <is>
          <t>undefined</t>
        </is>
      </c>
      <c r="S1607" t="inlineStr">
        <is>
          <t>7037696135</t>
        </is>
      </c>
    </row>
    <row r="1608" ht="75" customHeight="1">
      <c r="A1608" s="2">
        <f>HYPERLINK("https://camerareadycosmetics.com/products/kevyn-aucoin-the-sensual-skin-primer", "https://camerareadycosmetics.com/products/kevyn-aucoin-the-sensual-skin-primer")</f>
        <v/>
      </c>
      <c r="B1608" s="2">
        <f>HYPERLINK("https://camerareadycosmetics.com/products/kevyn-aucoin-the-sensual-skin-primer", "https://camerareadycosmetics.com/products/kevyn-aucoin-the-sensual-skin-primer")</f>
        <v/>
      </c>
      <c r="C1608" t="inlineStr">
        <is>
          <t>Sensual Skin Primer</t>
        </is>
      </c>
      <c r="D1608" t="inlineStr">
        <is>
          <t>Kevyn Aucoin Sensual Skin Primer: Lightweight, Long Lasting, Creamy, Hydrates, Smooths, Fills in Pores and Fine Lines Create a smooth canvas for any look. Your makeup will last longer.</t>
        </is>
      </c>
      <c r="E1608" s="2">
        <f>HYPERLINK("https://www.amazon.com/KEVYN-AUCOIN-Sensual-Skin-Primer/dp/B08MDVGC71/ref=sr_1_1?keywords=Sensual+Skin+Primer&amp;qid=1695565653&amp;sr=8-1", "https://www.amazon.com/KEVYN-AUCOIN-Sensual-Skin-Primer/dp/B08MDVGC71/ref=sr_1_1?keywords=Sensual+Skin+Primer&amp;qid=1695565653&amp;sr=8-1")</f>
        <v/>
      </c>
      <c r="F1608" t="inlineStr">
        <is>
          <t>B08MDVGC71</t>
        </is>
      </c>
      <c r="G1608">
        <f>_xlfn.IMAGE("https://camerareadycosmetics.com/cdn/shop/products/KA_SensualSkinPrimer_50x.webp?v=1691126333")</f>
        <v/>
      </c>
      <c r="H1608">
        <f>_xlfn.IMAGE("https://m.media-amazon.com/images/I/51twBW6QWML._AC_UL320_.jpg")</f>
        <v/>
      </c>
      <c r="K1608" t="inlineStr">
        <is>
          <t>44.0</t>
        </is>
      </c>
      <c r="L1608" t="n">
        <v>48.95</v>
      </c>
      <c r="M1608" s="1" t="inlineStr">
        <is>
          <t>11.25%</t>
        </is>
      </c>
      <c r="N1608" t="n">
        <v>4.3</v>
      </c>
      <c r="O1608" t="n">
        <v>69</v>
      </c>
      <c r="Q1608" t="inlineStr">
        <is>
          <t>InStock</t>
        </is>
      </c>
      <c r="R1608" t="inlineStr">
        <is>
          <t>undefined</t>
        </is>
      </c>
      <c r="S1608" t="inlineStr">
        <is>
          <t>9919349130</t>
        </is>
      </c>
    </row>
    <row r="1609" ht="75" customHeight="1">
      <c r="A1609" s="2">
        <f>HYPERLINK("https://camerareadycosmetics.com/products/kevyn-aucoin-true-feather-brow-marker-gel-duo", "https://camerareadycosmetics.com/products/kevyn-aucoin-true-feather-brow-marker-gel-duo")</f>
        <v/>
      </c>
      <c r="B1609" s="2">
        <f>HYPERLINK("https://camerareadycosmetics.com/products/kevyn-aucoin-true-feather-brow-marker-gel-duo", "https://camerareadycosmetics.com/products/kevyn-aucoin-true-feather-brow-marker-gel-duo")</f>
        <v/>
      </c>
      <c r="C1609" t="inlineStr">
        <is>
          <t>True Feather Brow Marker Gel Duo</t>
        </is>
      </c>
      <c r="D1609" t="inlineStr">
        <is>
          <t>Kevyn Aucoin True Feather Brow Marker Gel Duo, Dark Brunette: Dual-ended. Shapes, defines + sets brows for full, natural finish. Precise makeup brush tip. Invisible gel formula creates flexible hold.</t>
        </is>
      </c>
      <c r="E1609" s="2">
        <f>HYPERLINK("https://www.amazon.com/KEVYN-AUCOIN-Feather-Marker-Brunette/dp/B08V4VNVZR/ref=sr_1_1?keywords=True+Feather+Brow+Marker+Gel+Duo&amp;qid=1695565756&amp;sr=8-1", "https://www.amazon.com/KEVYN-AUCOIN-Feather-Marker-Brunette/dp/B08V4VNVZR/ref=sr_1_1?keywords=True+Feather+Brow+Marker+Gel+Duo&amp;qid=1695565756&amp;sr=8-1")</f>
        <v/>
      </c>
      <c r="F1609" t="inlineStr">
        <is>
          <t>B08V4VNVZR</t>
        </is>
      </c>
      <c r="G1609">
        <f>_xlfn.IMAGE("https://camerareadycosmetics.com/cdn/shop/products/dark-brunette-TRUE-FEATHER-BROW-MARKER-GEL-DUO-1000x_50x.jpg?v=1618865218")</f>
        <v/>
      </c>
      <c r="H1609">
        <f>_xlfn.IMAGE("https://m.media-amazon.com/images/I/61QnSR-5R6L._AC_UL320_.jpg")</f>
        <v/>
      </c>
      <c r="K1609" t="inlineStr">
        <is>
          <t>32.0</t>
        </is>
      </c>
      <c r="L1609" t="n">
        <v>20.5</v>
      </c>
      <c r="M1609" s="1" t="inlineStr">
        <is>
          <t>-35.94%</t>
        </is>
      </c>
      <c r="N1609" t="n">
        <v>4.2</v>
      </c>
      <c r="O1609" t="n">
        <v>104</v>
      </c>
      <c r="Q1609" t="inlineStr">
        <is>
          <t>InStock</t>
        </is>
      </c>
      <c r="R1609" t="inlineStr">
        <is>
          <t>32.0</t>
        </is>
      </c>
      <c r="S1609" t="inlineStr">
        <is>
          <t>6659372974265</t>
        </is>
      </c>
    </row>
    <row r="1610" ht="75" customHeight="1">
      <c r="A1610" s="2">
        <f>HYPERLINK("https://camerareadycosmetics.com/products/kevyn-aucoin-unforgettable-lip-definer", "https://camerareadycosmetics.com/products/kevyn-aucoin-unforgettable-lip-definer")</f>
        <v/>
      </c>
      <c r="B1610" s="2">
        <f>HYPERLINK("https://camerareadycosmetics.com/products/kevyn-aucoin-unforgettable-lip-definer", "https://camerareadycosmetics.com/products/kevyn-aucoin-unforgettable-lip-definer")</f>
        <v/>
      </c>
      <c r="C1610" t="inlineStr">
        <is>
          <t>Unforgettable Lip Definer</t>
        </is>
      </c>
      <c r="D1610" t="inlineStr">
        <is>
          <t>Kevyn Aucoin Unforgettable Lip Definer, Undressed: Long-wearing makeup lip definer. Water-resistant, defined tip accentuates lips. Blend-able. Dual-ended pencil and brush. All skin tones and types.</t>
        </is>
      </c>
      <c r="E1610" s="2">
        <f>HYPERLINK("https://www.amazon.com/Kevyn-Aucoin-Unforgettable-Lip-Definer/dp/B085Z6NRT5/ref=sr_1_1?keywords=Unforgettable+Lip+Definer&amp;qid=1695565586&amp;sr=8-1", "https://www.amazon.com/Kevyn-Aucoin-Unforgettable-Lip-Definer/dp/B085Z6NRT5/ref=sr_1_1?keywords=Unforgettable+Lip+Definer&amp;qid=1695565586&amp;sr=8-1")</f>
        <v/>
      </c>
      <c r="F1610" t="inlineStr">
        <is>
          <t>B085Z6NRT5</t>
        </is>
      </c>
      <c r="G1610">
        <f>_xlfn.IMAGE("https://camerareadycosmetics.com/cdn/shop/products/carnal-Kevyn-Aucoin-Unforgettable-Lip-Definer_50x.jpg?v=1581628142")</f>
        <v/>
      </c>
      <c r="H1610">
        <f>_xlfn.IMAGE("https://m.media-amazon.com/images/I/51Yb8dQDKuL._AC_UL320_.jpg")</f>
        <v/>
      </c>
      <c r="K1610" t="inlineStr">
        <is>
          <t>25.0</t>
        </is>
      </c>
      <c r="L1610" t="n">
        <v>19.77</v>
      </c>
      <c r="M1610" s="1" t="inlineStr">
        <is>
          <t>-20.92%</t>
        </is>
      </c>
      <c r="N1610" t="n">
        <v>4.2</v>
      </c>
      <c r="O1610" t="n">
        <v>77</v>
      </c>
      <c r="Q1610" t="inlineStr">
        <is>
          <t>InStock</t>
        </is>
      </c>
      <c r="R1610" t="inlineStr">
        <is>
          <t>undefined</t>
        </is>
      </c>
      <c r="S1610" t="inlineStr">
        <is>
          <t>4382846451823</t>
        </is>
      </c>
    </row>
    <row r="1611" ht="75" customHeight="1">
      <c r="A1611" s="2">
        <f>HYPERLINK("https://camerareadycosmetics.com/products/kevyn-aucoin-unforgettable-lipstick", "https://camerareadycosmetics.com/products/kevyn-aucoin-unforgettable-lipstick")</f>
        <v/>
      </c>
      <c r="B1611" s="2">
        <f>HYPERLINK("https://camerareadycosmetics.com/products/kevyn-aucoin-unforgettable-lipstick", "https://camerareadycosmetics.com/products/kevyn-aucoin-unforgettable-lipstick")</f>
        <v/>
      </c>
      <c r="C1611" t="inlineStr">
        <is>
          <t>Unforgettable Lipstick</t>
        </is>
      </c>
      <c r="D1611" t="inlineStr">
        <is>
          <t>Kevyn Aucoin Unforgettable Lipstick, Thelmadora color with Cream finish: Intense color plus slim design with a weightless formula allows for a precise application for a makeup novice or expert.</t>
        </is>
      </c>
      <c r="E1611" s="2">
        <f>HYPERLINK("https://www.amazon.com/KEVYN-AUCOIN-Unforgettable-Lipstick-Thelmadora/dp/B085S5X519/ref=sr_1_1?keywords=Unforgettable+Lipstick&amp;qid=1695565634&amp;sr=8-1", "https://www.amazon.com/KEVYN-AUCOIN-Unforgettable-Lipstick-Thelmadora/dp/B085S5X519/ref=sr_1_1?keywords=Unforgettable+Lipstick&amp;qid=1695565634&amp;sr=8-1")</f>
        <v/>
      </c>
      <c r="F1611" t="inlineStr">
        <is>
          <t>B085S5X519</t>
        </is>
      </c>
      <c r="G1611">
        <f>_xlfn.IMAGE("https://camerareadycosmetics.com/cdn/shop/products/legendary-cream-lip_50x.jpg?v=1600726314")</f>
        <v/>
      </c>
      <c r="H1611">
        <f>_xlfn.IMAGE("https://m.media-amazon.com/images/I/51xNJnpt+NL._AC_UL320_.jpg")</f>
        <v/>
      </c>
      <c r="K1611" t="inlineStr">
        <is>
          <t>30.0</t>
        </is>
      </c>
      <c r="L1611" t="n">
        <v>25.06</v>
      </c>
      <c r="M1611" s="1" t="inlineStr">
        <is>
          <t>-16.47%</t>
        </is>
      </c>
      <c r="N1611" t="n">
        <v>4.4</v>
      </c>
      <c r="O1611" t="n">
        <v>100</v>
      </c>
      <c r="Q1611" t="inlineStr">
        <is>
          <t>InStock</t>
        </is>
      </c>
      <c r="R1611" t="inlineStr">
        <is>
          <t>undefined</t>
        </is>
      </c>
      <c r="S1611" t="inlineStr">
        <is>
          <t>4382966448239</t>
        </is>
      </c>
    </row>
    <row r="1612" ht="75" customHeight="1">
      <c r="A1612" s="2">
        <f>HYPERLINK("https://camerareadycosmetics.com/products/kiehls-since-1851-buttermask-for-lips", "https://camerareadycosmetics.com/products/kiehls-since-1851-buttermask-for-lips")</f>
        <v/>
      </c>
      <c r="B1612" s="2">
        <f>HYPERLINK("https://camerareadycosmetics.com/products/kiehls-since-1851-buttermask-for-lips", "https://camerareadycosmetics.com/products/kiehls-since-1851-buttermask-for-lips")</f>
        <v/>
      </c>
      <c r="C1612" t="inlineStr">
        <is>
          <t>Buttermask for Lips</t>
        </is>
      </c>
      <c r="D1612" t="inlineStr">
        <is>
          <t>Kiehl's Buttermask For Lips Overnight Treatment Hydrating Mask - 10g (1oz)</t>
        </is>
      </c>
      <c r="E1612" s="2">
        <f>HYPERLINK("https://www.amazon.com/Kiehls-Buttermask-Overnight-Treatment-Hydrating/dp/B07V5X4KDZ/ref=sr_1_1?keywords=Buttermask+for+Lips&amp;qid=1695565745&amp;sr=8-1", "https://www.amazon.com/Kiehls-Buttermask-Overnight-Treatment-Hydrating/dp/B07V5X4KDZ/ref=sr_1_1?keywords=Buttermask+for+Lips&amp;qid=1695565745&amp;sr=8-1")</f>
        <v/>
      </c>
      <c r="F1612" t="inlineStr">
        <is>
          <t>B07V5X4KDZ</t>
        </is>
      </c>
      <c r="G1612">
        <f>_xlfn.IMAGE("https://camerareadycosmetics.com/cdn/shop/products/kiehls-buttermask-lip-treatment_texture_019_R2_50x.jpg?v=1554344546")</f>
        <v/>
      </c>
      <c r="H1612">
        <f>_xlfn.IMAGE("https://m.media-amazon.com/images/I/51d+wpuV7uL._AC_UL320_.jpg")</f>
        <v/>
      </c>
      <c r="K1612" t="inlineStr">
        <is>
          <t>28.0</t>
        </is>
      </c>
      <c r="L1612" t="n">
        <v>30</v>
      </c>
      <c r="M1612" s="1" t="inlineStr">
        <is>
          <t>7.14%</t>
        </is>
      </c>
      <c r="N1612" t="n">
        <v>4.4</v>
      </c>
      <c r="O1612" t="n">
        <v>111</v>
      </c>
      <c r="Q1612" t="inlineStr">
        <is>
          <t>InStock</t>
        </is>
      </c>
      <c r="R1612" t="inlineStr">
        <is>
          <t>undefined</t>
        </is>
      </c>
      <c r="S1612" t="inlineStr">
        <is>
          <t>2190479065199</t>
        </is>
      </c>
    </row>
    <row r="1613" ht="75" customHeight="1">
      <c r="A1613" s="2">
        <f>HYPERLINK("https://camerareadycosmetics.com/products/kiehls-since-1851-facial-fuel-no-shine-moisturizing-lip-balm", "https://camerareadycosmetics.com/products/kiehls-since-1851-facial-fuel-no-shine-moisturizing-lip-balm")</f>
        <v/>
      </c>
      <c r="B1613" s="2">
        <f>HYPERLINK("https://camerareadycosmetics.com/products/kiehls-since-1851-facial-fuel-no-shine-moisturizing-lip-balm", "https://camerareadycosmetics.com/products/kiehls-since-1851-facial-fuel-no-shine-moisturizing-lip-balm")</f>
        <v/>
      </c>
      <c r="C1613" t="inlineStr">
        <is>
          <t>Facial Fuel No-Shine Moisturizing Lip Balm</t>
        </is>
      </c>
      <c r="D1613" t="inlineStr">
        <is>
          <t>Facial Fuel No-Shine Moisturizing Lip Balm 15 ml.</t>
        </is>
      </c>
      <c r="E1613" s="2">
        <f>HYPERLINK("https://www.amazon.com/Facial-Fuel-No-Shine-Moisturizing-Balm/dp/B06XF6G9QH/ref=sr_1_1?keywords=Facial+Fuel+No-Shine+Moisturizing+Lip+Balm&amp;qid=1695565580&amp;sr=8-1", "https://www.amazon.com/Facial-Fuel-No-Shine-Moisturizing-Balm/dp/B06XF6G9QH/ref=sr_1_1?keywords=Facial+Fuel+No-Shine+Moisturizing+Lip+Balm&amp;qid=1695565580&amp;sr=8-1")</f>
        <v/>
      </c>
      <c r="F1613" t="inlineStr">
        <is>
          <t>B06XF6G9QH</t>
        </is>
      </c>
      <c r="G1613">
        <f>_xlfn.IMAGE("https://camerareadycosmetics.com/cdn/shop/products/Facial_Fuel_No_Shine_Moisturizing_Lip_Balm_3605970045982_0.15oz._Texture_alt1_50x.jpg?v=1554344569")</f>
        <v/>
      </c>
      <c r="H1613">
        <f>_xlfn.IMAGE("https://m.media-amazon.com/images/I/31MBWOcjakL._AC_UL320_.jpg")</f>
        <v/>
      </c>
      <c r="K1613" t="inlineStr">
        <is>
          <t>10.0</t>
        </is>
      </c>
      <c r="L1613" t="n">
        <v>12</v>
      </c>
      <c r="M1613" s="1" t="inlineStr">
        <is>
          <t>20.00%</t>
        </is>
      </c>
      <c r="N1613" t="n">
        <v>4.4</v>
      </c>
      <c r="O1613" t="n">
        <v>67</v>
      </c>
      <c r="Q1613" t="inlineStr">
        <is>
          <t>InStock</t>
        </is>
      </c>
      <c r="R1613" t="inlineStr">
        <is>
          <t>undefined</t>
        </is>
      </c>
      <c r="S1613" t="inlineStr">
        <is>
          <t>2190674362479</t>
        </is>
      </c>
    </row>
    <row r="1614" ht="75" customHeight="1">
      <c r="A1614" s="2">
        <f>HYPERLINK("https://camerareadycosmetics.com/products/kimchi-chic-beauty-candy-girl-fake-freckle", "https://camerareadycosmetics.com/products/kimchi-chic-beauty-candy-girl-fake-freckle")</f>
        <v/>
      </c>
      <c r="B1614" s="2">
        <f>HYPERLINK("https://camerareadycosmetics.com/products/kimchi-chic-beauty-candy-girl-fake-freckle", "https://camerareadycosmetics.com/products/kimchi-chic-beauty-candy-girl-fake-freckle")</f>
        <v/>
      </c>
      <c r="C1614" t="inlineStr">
        <is>
          <t>Candy Girl Fake Freckle</t>
        </is>
      </c>
      <c r="D1614" t="inlineStr">
        <is>
          <t>KimChi Chic Beauty Candy Girl Fake Freckle - Afternoon In The Flower Field - Vegan formula</t>
        </is>
      </c>
      <c r="E1614" s="2">
        <f>HYPERLINK("https://www.amazon.com/KimChi-Chic-Beauty-Candy-Freckle/dp/B094WYV57J/ref=sr_1_2?keywords=Candy+Girl+Fake+Freckle&amp;qid=1695565736&amp;sr=8-2", "https://www.amazon.com/KimChi-Chic-Beauty-Candy-Freckle/dp/B094WYV57J/ref=sr_1_2?keywords=Candy+Girl+Fake+Freckle&amp;qid=1695565736&amp;sr=8-2")</f>
        <v/>
      </c>
      <c r="F1614" t="inlineStr">
        <is>
          <t>B094WYV57J</t>
        </is>
      </c>
      <c r="G1614">
        <f>_xlfn.IMAGE("https://camerareadycosmetics.com/cdn/shop/products/KimChi-Chic-Beauty-Candy-Girl-Fake-Freckle-open_50x.jpg?v=1636477285")</f>
        <v/>
      </c>
      <c r="H1614">
        <f>_xlfn.IMAGE("https://m.media-amazon.com/images/I/61+s94lE5aL._AC_UL320_.jpg")</f>
        <v/>
      </c>
      <c r="K1614" t="inlineStr">
        <is>
          <t>15.0</t>
        </is>
      </c>
      <c r="L1614" t="n">
        <v>17.99</v>
      </c>
      <c r="M1614" s="1" t="inlineStr">
        <is>
          <t>19.93%</t>
        </is>
      </c>
      <c r="N1614" t="n">
        <v>4.8</v>
      </c>
      <c r="O1614" t="n">
        <v>12</v>
      </c>
      <c r="Q1614" t="inlineStr">
        <is>
          <t>OutOfStock</t>
        </is>
      </c>
      <c r="R1614" t="inlineStr">
        <is>
          <t>undefined</t>
        </is>
      </c>
      <c r="S1614" t="inlineStr">
        <is>
          <t>7076621811897</t>
        </is>
      </c>
    </row>
    <row r="1615" ht="75" customHeight="1">
      <c r="A1615" s="2">
        <f>HYPERLINK("https://camerareadycosmetics.com/products/kimchi-chic-beauty-candy-girl-fake-freckle", "https://camerareadycosmetics.com/products/kimchi-chic-beauty-candy-girl-fake-freckle")</f>
        <v/>
      </c>
      <c r="B1615" s="2">
        <f>HYPERLINK("https://camerareadycosmetics.com/products/kimchi-chic-beauty-candy-girl-fake-freckle", "https://camerareadycosmetics.com/products/kimchi-chic-beauty-candy-girl-fake-freckle")</f>
        <v/>
      </c>
      <c r="C1615" t="inlineStr">
        <is>
          <t>Candy Girl Fake Freckle</t>
        </is>
      </c>
      <c r="D1615" t="inlineStr">
        <is>
          <t>Coszeos 19 Sheets Face Temporary Tattoos for Girl Women, Cute Freckle Butterfly Heart Flower Makeup Fake Tattoo Stickers Waterproof for Kids Girls Party Birthday Favors Supplies Gifts Art Props</t>
        </is>
      </c>
      <c r="E1615" s="2">
        <f>HYPERLINK("https://www.amazon.com/Coszeos-Temporary-Butterfly-Stickers-Waterproof/dp/B0C81X8ZTH/ref=sr_1_9?keywords=Candy+Girl+Fake+Freckle&amp;qid=1695565736&amp;sr=8-9", "https://www.amazon.com/Coszeos-Temporary-Butterfly-Stickers-Waterproof/dp/B0C81X8ZTH/ref=sr_1_9?keywords=Candy+Girl+Fake+Freckle&amp;qid=1695565736&amp;sr=8-9")</f>
        <v/>
      </c>
      <c r="F1615" t="inlineStr">
        <is>
          <t>B0C81X8ZTH</t>
        </is>
      </c>
      <c r="G1615">
        <f>_xlfn.IMAGE("https://camerareadycosmetics.com/cdn/shop/products/KimChi-Chic-Beauty-Candy-Girl-Fake-Freckle-open_50x.jpg?v=1636477285")</f>
        <v/>
      </c>
      <c r="H1615">
        <f>_xlfn.IMAGE("https://m.media-amazon.com/images/I/71nyhcgbZML._AC_UL320_.jpg")</f>
        <v/>
      </c>
      <c r="K1615" t="inlineStr">
        <is>
          <t>15.0</t>
        </is>
      </c>
      <c r="L1615" t="n">
        <v>9.99</v>
      </c>
      <c r="M1615" s="1" t="inlineStr">
        <is>
          <t>-33.40%</t>
        </is>
      </c>
      <c r="N1615" t="n">
        <v>4.7</v>
      </c>
      <c r="O1615" t="n">
        <v>82</v>
      </c>
      <c r="Q1615" t="inlineStr">
        <is>
          <t>OutOfStock</t>
        </is>
      </c>
      <c r="R1615" t="inlineStr">
        <is>
          <t>undefined</t>
        </is>
      </c>
      <c r="S1615" t="inlineStr">
        <is>
          <t>7076621811897</t>
        </is>
      </c>
    </row>
    <row r="1616" ht="75" customHeight="1">
      <c r="A1616" s="2">
        <f>HYPERLINK("https://camerareadycosmetics.com/products/kimchi-chic-beauty-high-key-gloss-lip-gloss", "https://camerareadycosmetics.com/products/kimchi-chic-beauty-high-key-gloss-lip-gloss")</f>
        <v/>
      </c>
      <c r="B1616" s="2">
        <f>HYPERLINK("https://camerareadycosmetics.com/products/kimchi-chic-beauty-high-key-gloss-lip-gloss", "https://camerareadycosmetics.com/products/kimchi-chic-beauty-high-key-gloss-lip-gloss")</f>
        <v/>
      </c>
      <c r="C1616" t="inlineStr">
        <is>
          <t>High Key Gloss Lip Gloss</t>
        </is>
      </c>
      <c r="D1616" t="inlineStr">
        <is>
          <t>Julep So Plush Hydrating Lip Gloss - Low Key- High-Shine Hydrating Lightweight Lip Color - Non-Sticky Formula - Vitamin E Soothes and Repairs Lips</t>
        </is>
      </c>
      <c r="E1616" s="2">
        <f>HYPERLINK("https://www.amazon.com/Julep-High-Shine-Hydrating-Lightweight-Comfortable/dp/B076N9P5H1/ref=sr_1_1?keywords=High+Key+Gloss+Lip+Gloss&amp;qid=1695565635&amp;sr=8-1", "https://www.amazon.com/Julep-High-Shine-Hydrating-Lightweight-Comfortable/dp/B076N9P5H1/ref=sr_1_1?keywords=High+Key+Gloss+Lip+Gloss&amp;qid=1695565635&amp;sr=8-1")</f>
        <v/>
      </c>
      <c r="F1616" t="inlineStr">
        <is>
          <t>B076N9P5H1</t>
        </is>
      </c>
      <c r="G1616">
        <f>_xlfn.IMAGE("https://camerareadycosmetics.com/cdn/shop/products/HKG12_OpenApp_1000x_5779453a-54ba-4497-8cfe-3a6e785ada07_50x.jpg?v=1636497087")</f>
        <v/>
      </c>
      <c r="H1616">
        <f>_xlfn.IMAGE("https://m.media-amazon.com/images/I/51GwTvkWHGL._AC_UL320_.jpg")</f>
        <v/>
      </c>
      <c r="K1616" t="inlineStr">
        <is>
          <t>11.0</t>
        </is>
      </c>
      <c r="L1616" t="n">
        <v>16</v>
      </c>
      <c r="M1616" s="1" t="inlineStr">
        <is>
          <t>45.45%</t>
        </is>
      </c>
      <c r="N1616" t="n">
        <v>4.3</v>
      </c>
      <c r="O1616" t="n">
        <v>570</v>
      </c>
      <c r="Q1616" t="inlineStr">
        <is>
          <t>InStock</t>
        </is>
      </c>
      <c r="R1616" t="inlineStr">
        <is>
          <t>undefined</t>
        </is>
      </c>
      <c r="S1616" t="inlineStr">
        <is>
          <t>7077190729913</t>
        </is>
      </c>
    </row>
    <row r="1617" ht="75" customHeight="1">
      <c r="A1617" s="2">
        <f>HYPERLINK("https://camerareadycosmetics.com/products/kimchi-chic-beauty-high-key-gloss-lip-gloss", "https://camerareadycosmetics.com/products/kimchi-chic-beauty-high-key-gloss-lip-gloss")</f>
        <v/>
      </c>
      <c r="B1617" s="2">
        <f>HYPERLINK("https://camerareadycosmetics.com/products/kimchi-chic-beauty-high-key-gloss-lip-gloss", "https://camerareadycosmetics.com/products/kimchi-chic-beauty-high-key-gloss-lip-gloss")</f>
        <v/>
      </c>
      <c r="C1617" t="inlineStr">
        <is>
          <t>High Key Gloss Lip Gloss</t>
        </is>
      </c>
      <c r="D1617" t="inlineStr">
        <is>
          <t>Kimchi Chic Beauty High Key Gloss - Soda Pop</t>
        </is>
      </c>
      <c r="E1617" s="2">
        <f>HYPERLINK("https://www.amazon.com/Kimchi-Chic-High-Key-Gloss/dp/B096478P8P/ref=sr_1_6?keywords=High+Key+Gloss+Lip+Gloss&amp;qid=1695565635&amp;sr=8-6", "https://www.amazon.com/Kimchi-Chic-High-Key-Gloss/dp/B096478P8P/ref=sr_1_6?keywords=High+Key+Gloss+Lip+Gloss&amp;qid=1695565635&amp;sr=8-6")</f>
        <v/>
      </c>
      <c r="F1617" t="inlineStr">
        <is>
          <t>B096478P8P</t>
        </is>
      </c>
      <c r="G1617">
        <f>_xlfn.IMAGE("https://camerareadycosmetics.com/cdn/shop/products/HKG12_OpenApp_1000x_5779453a-54ba-4497-8cfe-3a6e785ada07_50x.jpg?v=1636497087")</f>
        <v/>
      </c>
      <c r="H1617">
        <f>_xlfn.IMAGE("https://m.media-amazon.com/images/I/51iYByLnrxS._AC_UL320_.jpg")</f>
        <v/>
      </c>
      <c r="K1617" t="inlineStr">
        <is>
          <t>11.0</t>
        </is>
      </c>
      <c r="L1617" t="n">
        <v>14.99</v>
      </c>
      <c r="M1617" s="1" t="inlineStr">
        <is>
          <t>36.27%</t>
        </is>
      </c>
      <c r="N1617" t="n">
        <v>3.8</v>
      </c>
      <c r="O1617" t="n">
        <v>45</v>
      </c>
      <c r="Q1617" t="inlineStr">
        <is>
          <t>InStock</t>
        </is>
      </c>
      <c r="R1617" t="inlineStr">
        <is>
          <t>undefined</t>
        </is>
      </c>
      <c r="S1617" t="inlineStr">
        <is>
          <t>7077190729913</t>
        </is>
      </c>
    </row>
    <row r="1618" ht="75" customHeight="1">
      <c r="A1618" s="2">
        <f>HYPERLINK("https://camerareadycosmetics.com/products/kimchi-chic-beauty-high-key-gloss-lip-gloss", "https://camerareadycosmetics.com/products/kimchi-chic-beauty-high-key-gloss-lip-gloss")</f>
        <v/>
      </c>
      <c r="B1618" s="2">
        <f>HYPERLINK("https://camerareadycosmetics.com/products/kimchi-chic-beauty-high-key-gloss-lip-gloss", "https://camerareadycosmetics.com/products/kimchi-chic-beauty-high-key-gloss-lip-gloss")</f>
        <v/>
      </c>
      <c r="C1618" t="inlineStr">
        <is>
          <t>High Key Gloss Lip Gloss</t>
        </is>
      </c>
      <c r="D1618" t="inlineStr">
        <is>
          <t>COLORKEY Lip Gloss Mirror Series, Hydrating Lip Gloss with Essential oil, High Shine Glossy Lip Tint, Hydrated &amp; Fuller-looking Lips, Long-Lasting Liquid Lipstick(P710)</t>
        </is>
      </c>
      <c r="E1618" s="2">
        <f>HYPERLINK("https://www.amazon.com/COLORKEY-Hydrating-Essential-Fuller-looking-Long-Lasting/dp/B098NM3S2L/ref=sr_1_7?keywords=High+Key+Gloss+Lip+Gloss&amp;qid=1695565635&amp;sr=8-7", "https://www.amazon.com/COLORKEY-Hydrating-Essential-Fuller-looking-Long-Lasting/dp/B098NM3S2L/ref=sr_1_7?keywords=High+Key+Gloss+Lip+Gloss&amp;qid=1695565635&amp;sr=8-7")</f>
        <v/>
      </c>
      <c r="F1618" t="inlineStr">
        <is>
          <t>B098NM3S2L</t>
        </is>
      </c>
      <c r="G1618">
        <f>_xlfn.IMAGE("https://camerareadycosmetics.com/cdn/shop/products/HKG12_OpenApp_1000x_5779453a-54ba-4497-8cfe-3a6e785ada07_50x.jpg?v=1636497087")</f>
        <v/>
      </c>
      <c r="H1618">
        <f>_xlfn.IMAGE("https://m.media-amazon.com/images/I/61yShFDjF1L._AC_UL320_.jpg")</f>
        <v/>
      </c>
      <c r="K1618" t="inlineStr">
        <is>
          <t>11.0</t>
        </is>
      </c>
      <c r="L1618" t="n">
        <v>12.99</v>
      </c>
      <c r="M1618" s="1" t="inlineStr">
        <is>
          <t>18.09%</t>
        </is>
      </c>
      <c r="N1618" t="n">
        <v>4.1</v>
      </c>
      <c r="O1618" t="n">
        <v>779</v>
      </c>
      <c r="Q1618" t="inlineStr">
        <is>
          <t>InStock</t>
        </is>
      </c>
      <c r="R1618" t="inlineStr">
        <is>
          <t>undefined</t>
        </is>
      </c>
      <c r="S1618" t="inlineStr">
        <is>
          <t>7077190729913</t>
        </is>
      </c>
    </row>
    <row r="1619" ht="75" customHeight="1">
      <c r="A1619" s="2">
        <f>HYPERLINK("https://camerareadycosmetics.com/products/kimchi-chic-beauty-high-key-gloss-lip-gloss", "https://camerareadycosmetics.com/products/kimchi-chic-beauty-high-key-gloss-lip-gloss")</f>
        <v/>
      </c>
      <c r="B1619" s="2">
        <f>HYPERLINK("https://camerareadycosmetics.com/products/kimchi-chic-beauty-high-key-gloss-lip-gloss", "https://camerareadycosmetics.com/products/kimchi-chic-beauty-high-key-gloss-lip-gloss")</f>
        <v/>
      </c>
      <c r="C1619" t="inlineStr">
        <is>
          <t>High Key Gloss Lip Gloss</t>
        </is>
      </c>
      <c r="D1619" t="inlineStr">
        <is>
          <t>HOSAILY 2 in 1 Keychain Bear Lipsticks, 3 Colors High-shine Hydrating Plumping Lip Gloss Glaze Set, Shiny Glossy Lip Tint Moisturizing Smooth Long Lasting Waterproof Lip Gloss Cute Bear Beauty Makeup</t>
        </is>
      </c>
      <c r="E1619" s="2">
        <f>HYPERLINK("https://www.amazon.com/Lipsticks-High-shine-Hydrating-Moisturizing-Waterproof/dp/B0C4LC3YC1/ref=sr_1_10?keywords=High+Key+Gloss+Lip+Gloss&amp;qid=1695565635&amp;sr=8-10", "https://www.amazon.com/Lipsticks-High-shine-Hydrating-Moisturizing-Waterproof/dp/B0C4LC3YC1/ref=sr_1_10?keywords=High+Key+Gloss+Lip+Gloss&amp;qid=1695565635&amp;sr=8-10")</f>
        <v/>
      </c>
      <c r="F1619" t="inlineStr">
        <is>
          <t>B0C4LC3YC1</t>
        </is>
      </c>
      <c r="G1619">
        <f>_xlfn.IMAGE("https://camerareadycosmetics.com/cdn/shop/products/HKG12_OpenApp_1000x_5779453a-54ba-4497-8cfe-3a6e785ada07_50x.jpg?v=1636497087")</f>
        <v/>
      </c>
      <c r="H1619">
        <f>_xlfn.IMAGE("https://m.media-amazon.com/images/I/61ptB-MrZbL._AC_UL320_.jpg")</f>
        <v/>
      </c>
      <c r="K1619" t="inlineStr">
        <is>
          <t>11.0</t>
        </is>
      </c>
      <c r="L1619" t="n">
        <v>7.99</v>
      </c>
      <c r="M1619" s="1" t="inlineStr">
        <is>
          <t>-27.36%</t>
        </is>
      </c>
      <c r="N1619" t="n">
        <v>2.7</v>
      </c>
      <c r="O1619" t="n">
        <v>3</v>
      </c>
      <c r="Q1619" t="inlineStr">
        <is>
          <t>InStock</t>
        </is>
      </c>
      <c r="R1619" t="inlineStr">
        <is>
          <t>undefined</t>
        </is>
      </c>
      <c r="S1619" t="inlineStr">
        <is>
          <t>7077190729913</t>
        </is>
      </c>
    </row>
    <row r="1620" ht="75" customHeight="1">
      <c r="A1620" s="2">
        <f>HYPERLINK("https://camerareadycosmetics.com/products/kimchi-chic-beauty-high-key-gloss-lip-gloss", "https://camerareadycosmetics.com/products/kimchi-chic-beauty-high-key-gloss-lip-gloss")</f>
        <v/>
      </c>
      <c r="B1620" s="2">
        <f>HYPERLINK("https://camerareadycosmetics.com/products/kimchi-chic-beauty-high-key-gloss-lip-gloss", "https://camerareadycosmetics.com/products/kimchi-chic-beauty-high-key-gloss-lip-gloss")</f>
        <v/>
      </c>
      <c r="C1620" t="inlineStr">
        <is>
          <t>High Key Gloss Lip Gloss</t>
        </is>
      </c>
      <c r="D1620" t="inlineStr">
        <is>
          <t>Plumping Lip Gloss Keychain Lip Tint, 2 in 1 Key Chain Bear Pendant Lip Stain Mirror Lip Glaze, Shiny Glossy Lipstick Moisturizing Smooth Long Lasting Waterproof Lip Gloss Cute Bear Beauty Makeup (02#)</t>
        </is>
      </c>
      <c r="E1620" s="2">
        <f>HYPERLINK("https://www.amazon.com/Plumping-Keychain-Lipstick-Moisturizing-Waterproof/dp/B0CBBRK5SG/ref=sr_1_8?keywords=High+Key+Gloss+Lip+Gloss&amp;qid=1695565635&amp;sr=8-8", "https://www.amazon.com/Plumping-Keychain-Lipstick-Moisturizing-Waterproof/dp/B0CBBRK5SG/ref=sr_1_8?keywords=High+Key+Gloss+Lip+Gloss&amp;qid=1695565635&amp;sr=8-8")</f>
        <v/>
      </c>
      <c r="F1620" t="inlineStr">
        <is>
          <t>B0CBBRK5SG</t>
        </is>
      </c>
      <c r="G1620">
        <f>_xlfn.IMAGE("https://camerareadycosmetics.com/cdn/shop/products/HKG12_OpenApp_1000x_5779453a-54ba-4497-8cfe-3a6e785ada07_50x.jpg?v=1636497087")</f>
        <v/>
      </c>
      <c r="H1620">
        <f>_xlfn.IMAGE("https://m.media-amazon.com/images/I/510OqPLjFyL._AC_UL320_.jpg")</f>
        <v/>
      </c>
      <c r="K1620" t="inlineStr">
        <is>
          <t>11.0</t>
        </is>
      </c>
      <c r="L1620" t="n">
        <v>4.99</v>
      </c>
      <c r="M1620" s="1" t="inlineStr">
        <is>
          <t>-54.64%</t>
        </is>
      </c>
      <c r="N1620" t="n">
        <v>4.4</v>
      </c>
      <c r="O1620" t="n">
        <v>3</v>
      </c>
      <c r="Q1620" t="inlineStr">
        <is>
          <t>InStock</t>
        </is>
      </c>
      <c r="R1620" t="inlineStr">
        <is>
          <t>undefined</t>
        </is>
      </c>
      <c r="S1620" t="inlineStr">
        <is>
          <t>7077190729913</t>
        </is>
      </c>
    </row>
    <row r="1621" ht="75" customHeight="1">
      <c r="A1621" s="2">
        <f>HYPERLINK("https://camerareadycosmetics.com/products/kimchi-chic-beauty-high-key-gloss-lip-gloss", "https://camerareadycosmetics.com/products/kimchi-chic-beauty-high-key-gloss-lip-gloss")</f>
        <v/>
      </c>
      <c r="B1621" s="2">
        <f>HYPERLINK("https://camerareadycosmetics.com/products/kimchi-chic-beauty-high-key-gloss-lip-gloss", "https://camerareadycosmetics.com/products/kimchi-chic-beauty-high-key-gloss-lip-gloss")</f>
        <v/>
      </c>
      <c r="C1621" t="inlineStr">
        <is>
          <t>High Key Gloss Lip Gloss</t>
        </is>
      </c>
      <c r="D1621" t="inlineStr">
        <is>
          <t>L.A. Colors High Shine Shea Butter Lip Gloss, Hyper, 0.14 Ounce</t>
        </is>
      </c>
      <c r="E1621" s="2">
        <f>HYPERLINK("https://www.amazon.com/L-Colors-Shine-Butter/dp/B015RPE18Y/ref=sr_1_3?keywords=High+Key+Gloss+Lip+Gloss&amp;qid=1695565635&amp;sr=8-3", "https://www.amazon.com/L-Colors-Shine-Butter/dp/B015RPE18Y/ref=sr_1_3?keywords=High+Key+Gloss+Lip+Gloss&amp;qid=1695565635&amp;sr=8-3")</f>
        <v/>
      </c>
      <c r="F1621" t="inlineStr">
        <is>
          <t>B015RPE18Y</t>
        </is>
      </c>
      <c r="G1621">
        <f>_xlfn.IMAGE("https://camerareadycosmetics.com/cdn/shop/products/HKG12_OpenApp_1000x_5779453a-54ba-4497-8cfe-3a6e785ada07_50x.jpg?v=1636497087")</f>
        <v/>
      </c>
      <c r="H1621">
        <f>_xlfn.IMAGE("https://m.media-amazon.com/images/I/51i9succGOL._AC_UL320_.jpg")</f>
        <v/>
      </c>
      <c r="K1621" t="inlineStr">
        <is>
          <t>11.0</t>
        </is>
      </c>
      <c r="L1621" t="n">
        <v>4.85</v>
      </c>
      <c r="M1621" s="1" t="inlineStr">
        <is>
          <t>-55.91%</t>
        </is>
      </c>
      <c r="N1621" t="n">
        <v>3.7</v>
      </c>
      <c r="O1621" t="n">
        <v>25</v>
      </c>
      <c r="Q1621" t="inlineStr">
        <is>
          <t>InStock</t>
        </is>
      </c>
      <c r="R1621" t="inlineStr">
        <is>
          <t>undefined</t>
        </is>
      </c>
      <c r="S1621" t="inlineStr">
        <is>
          <t>7077190729913</t>
        </is>
      </c>
    </row>
    <row r="1622" ht="75" customHeight="1">
      <c r="A1622" s="2">
        <f>HYPERLINK("https://camerareadycosmetics.com/products/kimchi-chic-beauty-high-key-gloss-lip-gloss", "https://camerareadycosmetics.com/products/kimchi-chic-beauty-high-key-gloss-lip-gloss")</f>
        <v/>
      </c>
      <c r="B1622" s="2">
        <f>HYPERLINK("https://camerareadycosmetics.com/products/kimchi-chic-beauty-high-key-gloss-lip-gloss", "https://camerareadycosmetics.com/products/kimchi-chic-beauty-high-key-gloss-lip-gloss")</f>
        <v/>
      </c>
      <c r="C1622" t="inlineStr">
        <is>
          <t>High Key Gloss Lip Gloss</t>
        </is>
      </c>
      <c r="D1622" t="inlineStr">
        <is>
          <t>L.A. Colors High Shine Shea Butter Lip Gloss, Amplify, 0.14 Ounce</t>
        </is>
      </c>
      <c r="E1622" s="2">
        <f>HYPERLINK("https://www.amazon.com/L-Colors-Butter-Amplify/dp/B015RPE15C/ref=sr_1_5?keywords=High+Key+Gloss+Lip+Gloss&amp;qid=1695565635&amp;sr=8-5", "https://www.amazon.com/L-Colors-Butter-Amplify/dp/B015RPE15C/ref=sr_1_5?keywords=High+Key+Gloss+Lip+Gloss&amp;qid=1695565635&amp;sr=8-5")</f>
        <v/>
      </c>
      <c r="F1622" t="inlineStr">
        <is>
          <t>B015RPE15C</t>
        </is>
      </c>
      <c r="G1622">
        <f>_xlfn.IMAGE("https://camerareadycosmetics.com/cdn/shop/products/HKG12_OpenApp_1000x_5779453a-54ba-4497-8cfe-3a6e785ada07_50x.jpg?v=1636497087")</f>
        <v/>
      </c>
      <c r="H1622">
        <f>_xlfn.IMAGE("https://m.media-amazon.com/images/I/51UKiTNZOtL._AC_UL320_.jpg")</f>
        <v/>
      </c>
      <c r="K1622" t="inlineStr">
        <is>
          <t>11.0</t>
        </is>
      </c>
      <c r="L1622" t="n">
        <v>3.84</v>
      </c>
      <c r="M1622" s="1" t="inlineStr">
        <is>
          <t>-65.09%</t>
        </is>
      </c>
      <c r="N1622" t="n">
        <v>4.1</v>
      </c>
      <c r="O1622" t="n">
        <v>123</v>
      </c>
      <c r="Q1622" t="inlineStr">
        <is>
          <t>InStock</t>
        </is>
      </c>
      <c r="R1622" t="inlineStr">
        <is>
          <t>undefined</t>
        </is>
      </c>
      <c r="S1622" t="inlineStr">
        <is>
          <t>7077190729913</t>
        </is>
      </c>
    </row>
    <row r="1623" ht="75" customHeight="1">
      <c r="A1623" s="2">
        <f>HYPERLINK("https://camerareadycosmetics.com/products/kimchi-chic-beauty-high-key-gloss-lip-gloss", "https://camerareadycosmetics.com/products/kimchi-chic-beauty-high-key-gloss-lip-gloss")</f>
        <v/>
      </c>
      <c r="B1623" s="2">
        <f>HYPERLINK("https://camerareadycosmetics.com/products/kimchi-chic-beauty-high-key-gloss-lip-gloss", "https://camerareadycosmetics.com/products/kimchi-chic-beauty-high-key-gloss-lip-gloss")</f>
        <v/>
      </c>
      <c r="C1623" t="inlineStr">
        <is>
          <t>High Key Gloss Lip Gloss</t>
        </is>
      </c>
      <c r="D1623" t="inlineStr">
        <is>
          <t>COVERGIRL Exhibitionist Lip Gloss, Low Key</t>
        </is>
      </c>
      <c r="E1623" s="2">
        <f>HYPERLINK("https://www.amazon.com/COVERGIRL-Exhibitionist-Lip-Gloss-Low/dp/B07YX7JCG2/ref=sr_1_2?keywords=High+Key+Gloss+Lip+Gloss&amp;qid=1695565635&amp;sr=8-2", "https://www.amazon.com/COVERGIRL-Exhibitionist-Lip-Gloss-Low/dp/B07YX7JCG2/ref=sr_1_2?keywords=High+Key+Gloss+Lip+Gloss&amp;qid=1695565635&amp;sr=8-2")</f>
        <v/>
      </c>
      <c r="F1623" t="inlineStr">
        <is>
          <t>B07YX7JCG2</t>
        </is>
      </c>
      <c r="G1623">
        <f>_xlfn.IMAGE("https://camerareadycosmetics.com/cdn/shop/products/HKG12_OpenApp_1000x_5779453a-54ba-4497-8cfe-3a6e785ada07_50x.jpg?v=1636497087")</f>
        <v/>
      </c>
      <c r="H1623">
        <f>_xlfn.IMAGE("https://m.media-amazon.com/images/I/51EGYH7EfzL._AC_UL320_.jpg")</f>
        <v/>
      </c>
      <c r="K1623" t="inlineStr">
        <is>
          <t>11.0</t>
        </is>
      </c>
      <c r="L1623" t="n">
        <v>3.12</v>
      </c>
      <c r="M1623" s="1" t="inlineStr">
        <is>
          <t>-71.64%</t>
        </is>
      </c>
      <c r="N1623" t="n">
        <v>4.1</v>
      </c>
      <c r="O1623" t="n">
        <v>878</v>
      </c>
      <c r="Q1623" t="inlineStr">
        <is>
          <t>InStock</t>
        </is>
      </c>
      <c r="R1623" t="inlineStr">
        <is>
          <t>undefined</t>
        </is>
      </c>
      <c r="S1623" t="inlineStr">
        <is>
          <t>7077190729913</t>
        </is>
      </c>
    </row>
    <row r="1624" ht="75" customHeight="1">
      <c r="A1624" s="2">
        <f>HYPERLINK("https://camerareadycosmetics.com/products/kimchi-chic-beauty-high-key-gloss-lip-gloss", "https://camerareadycosmetics.com/products/kimchi-chic-beauty-high-key-gloss-lip-gloss")</f>
        <v/>
      </c>
      <c r="B1624" s="2">
        <f>HYPERLINK("https://camerareadycosmetics.com/products/kimchi-chic-beauty-high-key-gloss-lip-gloss", "https://camerareadycosmetics.com/products/kimchi-chic-beauty-high-key-gloss-lip-gloss")</f>
        <v/>
      </c>
      <c r="C1624" t="inlineStr">
        <is>
          <t>High Key Gloss Lip Gloss</t>
        </is>
      </c>
      <c r="D1624" t="inlineStr">
        <is>
          <t>L.A. Colors High Shine Shea Butter Lip Gloss, Clear, 0.14 Ounce</t>
        </is>
      </c>
      <c r="E1624" s="2">
        <f>HYPERLINK("https://www.amazon.com/L-Colors-Shine-Butter/dp/B015RPE14S/ref=sr_1_4?keywords=High+Key+Gloss+Lip+Gloss&amp;qid=1695565635&amp;sr=8-4", "https://www.amazon.com/L-Colors-Shine-Butter/dp/B015RPE14S/ref=sr_1_4?keywords=High+Key+Gloss+Lip+Gloss&amp;qid=1695565635&amp;sr=8-4")</f>
        <v/>
      </c>
      <c r="F1624" t="inlineStr">
        <is>
          <t>B015RPE14S</t>
        </is>
      </c>
      <c r="G1624">
        <f>_xlfn.IMAGE("https://camerareadycosmetics.com/cdn/shop/products/HKG12_OpenApp_1000x_5779453a-54ba-4497-8cfe-3a6e785ada07_50x.jpg?v=1636497087")</f>
        <v/>
      </c>
      <c r="H1624">
        <f>_xlfn.IMAGE("https://m.media-amazon.com/images/I/71uH7YW8RlL._AC_UL320_.jpg")</f>
        <v/>
      </c>
      <c r="K1624" t="inlineStr">
        <is>
          <t>11.0</t>
        </is>
      </c>
      <c r="L1624" t="n">
        <v>1.98</v>
      </c>
      <c r="M1624" s="1" t="inlineStr">
        <is>
          <t>-82.00%</t>
        </is>
      </c>
      <c r="N1624" t="n">
        <v>4.5</v>
      </c>
      <c r="O1624" t="n">
        <v>12510</v>
      </c>
      <c r="Q1624" t="inlineStr">
        <is>
          <t>InStock</t>
        </is>
      </c>
      <c r="R1624" t="inlineStr">
        <is>
          <t>undefined</t>
        </is>
      </c>
      <c r="S1624" t="inlineStr">
        <is>
          <t>7077190729913</t>
        </is>
      </c>
    </row>
    <row r="1625" ht="75" customHeight="1">
      <c r="A1625" s="2">
        <f>HYPERLINK("https://camerareadycosmetics.com/products/kimchi-chic-beauty-high-key-gloss-lip-gloss", "https://camerareadycosmetics.com/products/kimchi-chic-beauty-high-key-gloss-lip-gloss")</f>
        <v/>
      </c>
      <c r="B1625" s="2">
        <f>HYPERLINK("https://camerareadycosmetics.com/products/kimchi-chic-beauty-high-key-gloss-lip-gloss", "https://camerareadycosmetics.com/products/kimchi-chic-beauty-high-key-gloss-lip-gloss")</f>
        <v/>
      </c>
      <c r="C1625" t="inlineStr">
        <is>
          <t>High Key Gloss Lip Gloss</t>
        </is>
      </c>
      <c r="D1625" t="inlineStr">
        <is>
          <t>Plumping Lip Gloss Keychain Lip Tint, 2 in 1 Key Chain Bear Pendant Lip Stain Mirror Lip Glaze, Shiny Glossy Lipstick Moisturizing Smooth Long Lasting Waterproof Lip Gloss Cute Bear Beauty Makeup (02#)</t>
        </is>
      </c>
      <c r="E1625" s="2">
        <f>HYPERLINK("https://www.amazon.com/Plumping-Keychain-Lipstick-Moisturizing-Waterproof/dp/B0CBBRK5SG/ref=sr_1_8?keywords=High+Key+Gloss+Lip+Gloss&amp;qid=1695565635&amp;sr=8-8", "https://www.amazon.com/Plumping-Keychain-Lipstick-Moisturizing-Waterproof/dp/B0CBBRK5SG/ref=sr_1_8?keywords=High+Key+Gloss+Lip+Gloss&amp;qid=1695565635&amp;sr=8-8")</f>
        <v/>
      </c>
      <c r="F1625" t="inlineStr">
        <is>
          <t>B0CBBRK5SG</t>
        </is>
      </c>
      <c r="G1625">
        <f>_xlfn.IMAGE("https://camerareadycosmetics.com/cdn/shop/products/HKG12_OpenApp_1000x_5779453a-54ba-4497-8cfe-3a6e785ada07_50x.jpg?v=1636497087")</f>
        <v/>
      </c>
      <c r="H1625">
        <f>_xlfn.IMAGE("https://m.media-amazon.com/images/I/510OqPLjFyL._AC_UL320_.jpg")</f>
        <v/>
      </c>
      <c r="K1625" t="inlineStr">
        <is>
          <t>11.0</t>
        </is>
      </c>
      <c r="L1625" t="n">
        <v>4.99</v>
      </c>
      <c r="M1625" s="1" t="inlineStr">
        <is>
          <t>-54.64%</t>
        </is>
      </c>
      <c r="N1625" t="n">
        <v>4.4</v>
      </c>
      <c r="O1625" t="n">
        <v>3</v>
      </c>
      <c r="Q1625" t="inlineStr">
        <is>
          <t>InStock</t>
        </is>
      </c>
      <c r="R1625" t="inlineStr">
        <is>
          <t>undefined</t>
        </is>
      </c>
      <c r="S1625" t="inlineStr">
        <is>
          <t>7077190729913</t>
        </is>
      </c>
    </row>
    <row r="1626" ht="75" customHeight="1">
      <c r="A1626" s="2">
        <f>HYPERLINK("https://camerareadycosmetics.com/products/kimchi-chic-beauty-high-key-gloss-lip-gloss", "https://camerareadycosmetics.com/products/kimchi-chic-beauty-high-key-gloss-lip-gloss")</f>
        <v/>
      </c>
      <c r="B1626" s="2">
        <f>HYPERLINK("https://camerareadycosmetics.com/products/kimchi-chic-beauty-high-key-gloss-lip-gloss", "https://camerareadycosmetics.com/products/kimchi-chic-beauty-high-key-gloss-lip-gloss")</f>
        <v/>
      </c>
      <c r="C1626" t="inlineStr">
        <is>
          <t>High Key Gloss Lip Gloss</t>
        </is>
      </c>
      <c r="D1626" t="inlineStr">
        <is>
          <t>L.A. Colors High Shine Shea Butter Lip Gloss, Hyper, 0.14 Ounce</t>
        </is>
      </c>
      <c r="E1626" s="2">
        <f>HYPERLINK("https://www.amazon.com/L-Colors-Shine-Butter/dp/B015RPE18Y/ref=sr_1_3?keywords=High+Key+Gloss+Lip+Gloss&amp;qid=1695565635&amp;sr=8-3", "https://www.amazon.com/L-Colors-Shine-Butter/dp/B015RPE18Y/ref=sr_1_3?keywords=High+Key+Gloss+Lip+Gloss&amp;qid=1695565635&amp;sr=8-3")</f>
        <v/>
      </c>
      <c r="F1626" t="inlineStr">
        <is>
          <t>B015RPE18Y</t>
        </is>
      </c>
      <c r="G1626">
        <f>_xlfn.IMAGE("https://camerareadycosmetics.com/cdn/shop/products/HKG12_OpenApp_1000x_5779453a-54ba-4497-8cfe-3a6e785ada07_50x.jpg?v=1636497087")</f>
        <v/>
      </c>
      <c r="H1626">
        <f>_xlfn.IMAGE("https://m.media-amazon.com/images/I/51i9succGOL._AC_UL320_.jpg")</f>
        <v/>
      </c>
      <c r="K1626" t="inlineStr">
        <is>
          <t>11.0</t>
        </is>
      </c>
      <c r="L1626" t="n">
        <v>4.85</v>
      </c>
      <c r="M1626" s="1" t="inlineStr">
        <is>
          <t>-55.91%</t>
        </is>
      </c>
      <c r="N1626" t="n">
        <v>3.7</v>
      </c>
      <c r="O1626" t="n">
        <v>25</v>
      </c>
      <c r="Q1626" t="inlineStr">
        <is>
          <t>InStock</t>
        </is>
      </c>
      <c r="R1626" t="inlineStr">
        <is>
          <t>undefined</t>
        </is>
      </c>
      <c r="S1626" t="inlineStr">
        <is>
          <t>7077190729913</t>
        </is>
      </c>
    </row>
    <row r="1627" ht="75" customHeight="1">
      <c r="A1627" s="2">
        <f>HYPERLINK("https://camerareadycosmetics.com/products/kimchi-chic-beauty-high-key-gloss-lip-gloss", "https://camerareadycosmetics.com/products/kimchi-chic-beauty-high-key-gloss-lip-gloss")</f>
        <v/>
      </c>
      <c r="B1627" s="2">
        <f>HYPERLINK("https://camerareadycosmetics.com/products/kimchi-chic-beauty-high-key-gloss-lip-gloss", "https://camerareadycosmetics.com/products/kimchi-chic-beauty-high-key-gloss-lip-gloss")</f>
        <v/>
      </c>
      <c r="C1627" t="inlineStr">
        <is>
          <t>High Key Gloss Lip Gloss</t>
        </is>
      </c>
      <c r="D1627" t="inlineStr">
        <is>
          <t>L.A. Colors High Shine Shea Butter Lip Gloss, Amplify, 0.14 Ounce</t>
        </is>
      </c>
      <c r="E1627" s="2">
        <f>HYPERLINK("https://www.amazon.com/L-Colors-Butter-Amplify/dp/B015RPE15C/ref=sr_1_5?keywords=High+Key+Gloss+Lip+Gloss&amp;qid=1695565635&amp;sr=8-5", "https://www.amazon.com/L-Colors-Butter-Amplify/dp/B015RPE15C/ref=sr_1_5?keywords=High+Key+Gloss+Lip+Gloss&amp;qid=1695565635&amp;sr=8-5")</f>
        <v/>
      </c>
      <c r="F1627" t="inlineStr">
        <is>
          <t>B015RPE15C</t>
        </is>
      </c>
      <c r="G1627">
        <f>_xlfn.IMAGE("https://camerareadycosmetics.com/cdn/shop/products/HKG12_OpenApp_1000x_5779453a-54ba-4497-8cfe-3a6e785ada07_50x.jpg?v=1636497087")</f>
        <v/>
      </c>
      <c r="H1627">
        <f>_xlfn.IMAGE("https://m.media-amazon.com/images/I/51UKiTNZOtL._AC_UL320_.jpg")</f>
        <v/>
      </c>
      <c r="K1627" t="inlineStr">
        <is>
          <t>11.0</t>
        </is>
      </c>
      <c r="L1627" t="n">
        <v>3.84</v>
      </c>
      <c r="M1627" s="1" t="inlineStr">
        <is>
          <t>-65.09%</t>
        </is>
      </c>
      <c r="N1627" t="n">
        <v>4.1</v>
      </c>
      <c r="O1627" t="n">
        <v>123</v>
      </c>
      <c r="Q1627" t="inlineStr">
        <is>
          <t>InStock</t>
        </is>
      </c>
      <c r="R1627" t="inlineStr">
        <is>
          <t>undefined</t>
        </is>
      </c>
      <c r="S1627" t="inlineStr">
        <is>
          <t>7077190729913</t>
        </is>
      </c>
    </row>
    <row r="1628" ht="75" customHeight="1">
      <c r="A1628" s="2">
        <f>HYPERLINK("https://camerareadycosmetics.com/products/kimchi-chic-beauty-high-key-gloss-lip-gloss", "https://camerareadycosmetics.com/products/kimchi-chic-beauty-high-key-gloss-lip-gloss")</f>
        <v/>
      </c>
      <c r="B1628" s="2">
        <f>HYPERLINK("https://camerareadycosmetics.com/products/kimchi-chic-beauty-high-key-gloss-lip-gloss", "https://camerareadycosmetics.com/products/kimchi-chic-beauty-high-key-gloss-lip-gloss")</f>
        <v/>
      </c>
      <c r="C1628" t="inlineStr">
        <is>
          <t>High Key Gloss Lip Gloss</t>
        </is>
      </c>
      <c r="D1628" t="inlineStr">
        <is>
          <t>COVERGIRL Exhibitionist Lip Gloss, Low Key</t>
        </is>
      </c>
      <c r="E1628" s="2">
        <f>HYPERLINK("https://www.amazon.com/COVERGIRL-Exhibitionist-Lip-Gloss-Low/dp/B07YX7JCG2/ref=sr_1_2?keywords=High+Key+Gloss+Lip+Gloss&amp;qid=1695565635&amp;sr=8-2", "https://www.amazon.com/COVERGIRL-Exhibitionist-Lip-Gloss-Low/dp/B07YX7JCG2/ref=sr_1_2?keywords=High+Key+Gloss+Lip+Gloss&amp;qid=1695565635&amp;sr=8-2")</f>
        <v/>
      </c>
      <c r="F1628" t="inlineStr">
        <is>
          <t>B07YX7JCG2</t>
        </is>
      </c>
      <c r="G1628">
        <f>_xlfn.IMAGE("https://camerareadycosmetics.com/cdn/shop/products/HKG12_OpenApp_1000x_5779453a-54ba-4497-8cfe-3a6e785ada07_50x.jpg?v=1636497087")</f>
        <v/>
      </c>
      <c r="H1628">
        <f>_xlfn.IMAGE("https://m.media-amazon.com/images/I/51EGYH7EfzL._AC_UL320_.jpg")</f>
        <v/>
      </c>
      <c r="K1628" t="inlineStr">
        <is>
          <t>11.0</t>
        </is>
      </c>
      <c r="L1628" t="n">
        <v>3.12</v>
      </c>
      <c r="M1628" s="1" t="inlineStr">
        <is>
          <t>-71.64%</t>
        </is>
      </c>
      <c r="N1628" t="n">
        <v>4.1</v>
      </c>
      <c r="O1628" t="n">
        <v>878</v>
      </c>
      <c r="Q1628" t="inlineStr">
        <is>
          <t>InStock</t>
        </is>
      </c>
      <c r="R1628" t="inlineStr">
        <is>
          <t>undefined</t>
        </is>
      </c>
      <c r="S1628" t="inlineStr">
        <is>
          <t>7077190729913</t>
        </is>
      </c>
    </row>
    <row r="1629" ht="75" customHeight="1">
      <c r="A1629" s="2">
        <f>HYPERLINK("https://camerareadycosmetics.com/products/kimchi-chic-beauty-high-key-gloss-lip-gloss", "https://camerareadycosmetics.com/products/kimchi-chic-beauty-high-key-gloss-lip-gloss")</f>
        <v/>
      </c>
      <c r="B1629" s="2">
        <f>HYPERLINK("https://camerareadycosmetics.com/products/kimchi-chic-beauty-high-key-gloss-lip-gloss", "https://camerareadycosmetics.com/products/kimchi-chic-beauty-high-key-gloss-lip-gloss")</f>
        <v/>
      </c>
      <c r="C1629" t="inlineStr">
        <is>
          <t>High Key Gloss Lip Gloss</t>
        </is>
      </c>
      <c r="D1629" t="inlineStr">
        <is>
          <t>L.A. Colors High Shine Shea Butter Lip Gloss, Clear, 0.14 Ounce</t>
        </is>
      </c>
      <c r="E1629" s="2">
        <f>HYPERLINK("https://www.amazon.com/L-Colors-Shine-Butter/dp/B015RPE14S/ref=sr_1_4?keywords=High+Key+Gloss+Lip+Gloss&amp;qid=1695565635&amp;sr=8-4", "https://www.amazon.com/L-Colors-Shine-Butter/dp/B015RPE14S/ref=sr_1_4?keywords=High+Key+Gloss+Lip+Gloss&amp;qid=1695565635&amp;sr=8-4")</f>
        <v/>
      </c>
      <c r="F1629" t="inlineStr">
        <is>
          <t>B015RPE14S</t>
        </is>
      </c>
      <c r="G1629">
        <f>_xlfn.IMAGE("https://camerareadycosmetics.com/cdn/shop/products/HKG12_OpenApp_1000x_5779453a-54ba-4497-8cfe-3a6e785ada07_50x.jpg?v=1636497087")</f>
        <v/>
      </c>
      <c r="H1629">
        <f>_xlfn.IMAGE("https://m.media-amazon.com/images/I/71uH7YW8RlL._AC_UL320_.jpg")</f>
        <v/>
      </c>
      <c r="K1629" t="inlineStr">
        <is>
          <t>11.0</t>
        </is>
      </c>
      <c r="L1629" t="n">
        <v>1.98</v>
      </c>
      <c r="M1629" s="1" t="inlineStr">
        <is>
          <t>-82.00%</t>
        </is>
      </c>
      <c r="N1629" t="n">
        <v>4.5</v>
      </c>
      <c r="O1629" t="n">
        <v>12510</v>
      </c>
      <c r="Q1629" t="inlineStr">
        <is>
          <t>InStock</t>
        </is>
      </c>
      <c r="R1629" t="inlineStr">
        <is>
          <t>undefined</t>
        </is>
      </c>
      <c r="S1629" t="inlineStr">
        <is>
          <t>7077190729913</t>
        </is>
      </c>
    </row>
    <row r="1630" ht="75" customHeight="1">
      <c r="A1630" s="2">
        <f>HYPERLINK("https://camerareadycosmetics.com/products/kimchi-chic-beauty-i-am-feeling-sweet-eyeshadow-palette", "https://camerareadycosmetics.com/products/kimchi-chic-beauty-i-am-feeling-sweet-eyeshadow-palette")</f>
        <v/>
      </c>
      <c r="B1630" s="2">
        <f>HYPERLINK("https://camerareadycosmetics.com/products/kimchi-chic-beauty-i-am-feeling-sweet-eyeshadow-palette", "https://camerareadycosmetics.com/products/kimchi-chic-beauty-i-am-feeling-sweet-eyeshadow-palette")</f>
        <v/>
      </c>
      <c r="C1630" t="inlineStr">
        <is>
          <t>I am Feeling Sweet Eyeshadow Palette</t>
        </is>
      </c>
      <c r="D1630" t="inlineStr">
        <is>
          <t>Kimchi Chic Beauty The Happy Palette - I am Feeling Sweet</t>
        </is>
      </c>
      <c r="E1630" s="2">
        <f>HYPERLINK("https://www.amazon.com/Kimchi-Chic-Beauty-Happy-Palette/dp/B0964BRP8F/ref=sr_1_1?keywords=I+am+Feeling+Sweet+Eyeshadow+Palette&amp;qid=1695565775&amp;sr=8-1", "https://www.amazon.com/Kimchi-Chic-Beauty-Happy-Palette/dp/B0964BRP8F/ref=sr_1_1?keywords=I+am+Feeling+Sweet+Eyeshadow+Palette&amp;qid=1695565775&amp;sr=8-1")</f>
        <v/>
      </c>
      <c r="F1630" t="inlineStr">
        <is>
          <t>B0964BRP8F</t>
        </is>
      </c>
      <c r="G1630">
        <f>_xlfn.IMAGE("https://camerareadycosmetics.com/cdn/shop/products/KimChiChicBeautyIamFeelingSweetEyeshadowPalette-YMMH-02_1000x_43235a95-7ab7-4218-862e-b00d5660d21a_50x.jpg?v=1636063321")</f>
        <v/>
      </c>
      <c r="H1630">
        <f>_xlfn.IMAGE("https://m.media-amazon.com/images/I/81RdenrEOIL._AC_UL320_.jpg")</f>
        <v/>
      </c>
      <c r="K1630" t="inlineStr">
        <is>
          <t>28.0</t>
        </is>
      </c>
      <c r="L1630" t="n">
        <v>27.99</v>
      </c>
      <c r="M1630" s="1" t="inlineStr">
        <is>
          <t>-0.04%</t>
        </is>
      </c>
      <c r="N1630" t="n">
        <v>3.5</v>
      </c>
      <c r="O1630" t="n">
        <v>12</v>
      </c>
      <c r="Q1630" t="inlineStr">
        <is>
          <t>InStock</t>
        </is>
      </c>
      <c r="R1630" t="inlineStr">
        <is>
          <t>undefined</t>
        </is>
      </c>
      <c r="S1630" t="inlineStr">
        <is>
          <t>7069919936697</t>
        </is>
      </c>
    </row>
    <row r="1631" ht="75" customHeight="1">
      <c r="A1631" s="2">
        <f>HYPERLINK("https://camerareadycosmetics.com/products/kimchi-chic-beauty-mini-rainbow-sharts-eyeshadow-palette", "https://camerareadycosmetics.com/products/kimchi-chic-beauty-mini-rainbow-sharts-eyeshadow-palette")</f>
        <v/>
      </c>
      <c r="B1631" s="2">
        <f>HYPERLINK("https://camerareadycosmetics.com/products/kimchi-chic-beauty-mini-rainbow-sharts-eyeshadow-palette", "https://camerareadycosmetics.com/products/kimchi-chic-beauty-mini-rainbow-sharts-eyeshadow-palette")</f>
        <v/>
      </c>
      <c r="C1631" t="inlineStr">
        <is>
          <t>Mini Rainbow Sharts Eyeshadow Palette</t>
        </is>
      </c>
      <c r="D1631" t="inlineStr">
        <is>
          <t>Kimchi Chic Beauty Rainbow Sharts Mini Eyeshadow Palette</t>
        </is>
      </c>
      <c r="E1631" s="2">
        <f>HYPERLINK("https://www.amazon.com/Kimchi-Chic-Rainbow-Eyeshadow-Palette/dp/B0992X8B4G/ref=sr_1_1?keywords=Mini+Rainbow+Sharts+Eyeshadow+Palette&amp;qid=1695565732&amp;sr=8-1", "https://www.amazon.com/Kimchi-Chic-Rainbow-Eyeshadow-Palette/dp/B0992X8B4G/ref=sr_1_1?keywords=Mini+Rainbow+Sharts+Eyeshadow+Palette&amp;qid=1695565732&amp;sr=8-1")</f>
        <v/>
      </c>
      <c r="F1631" t="inlineStr">
        <is>
          <t>B0992X8B4G</t>
        </is>
      </c>
      <c r="G1631">
        <f>_xlfn.IMAGE("https://camerareadycosmetics.com/cdn/shop/products/KimChiChicBeautyMiniRainbowShartsEyeshadowPalette-RS_Mini_opened_1000x_a1dd697d-7ec1-4c47-b0cb-141917decbe5_50x.jpg?v=1636064877")</f>
        <v/>
      </c>
      <c r="H1631">
        <f>_xlfn.IMAGE("https://m.media-amazon.com/images/I/81WfSbR0ZBS._AC_UL320_.jpg")</f>
        <v/>
      </c>
      <c r="K1631" t="inlineStr">
        <is>
          <t>15.0</t>
        </is>
      </c>
      <c r="L1631" t="n">
        <v>14.99</v>
      </c>
      <c r="M1631" s="1" t="inlineStr">
        <is>
          <t>-0.07%</t>
        </is>
      </c>
      <c r="N1631" t="n">
        <v>4.3</v>
      </c>
      <c r="O1631" t="n">
        <v>19</v>
      </c>
      <c r="Q1631" t="inlineStr">
        <is>
          <t>InStock</t>
        </is>
      </c>
      <c r="R1631" t="inlineStr">
        <is>
          <t>undefined</t>
        </is>
      </c>
      <c r="S1631" t="inlineStr">
        <is>
          <t>7069957062841</t>
        </is>
      </c>
    </row>
    <row r="1632" ht="75" customHeight="1">
      <c r="A1632" s="2">
        <f>HYPERLINK("https://camerareadycosmetics.com/products/kimchi-chic-beauty-potde-creme-cream-eyeshadow", "https://camerareadycosmetics.com/products/kimchi-chic-beauty-potde-creme-cream-eyeshadow")</f>
        <v/>
      </c>
      <c r="B1632" s="2">
        <f>HYPERLINK("https://camerareadycosmetics.com/products/kimchi-chic-beauty-potde-creme-cream-eyeshadow", "https://camerareadycosmetics.com/products/kimchi-chic-beauty-potde-creme-cream-eyeshadow")</f>
        <v/>
      </c>
      <c r="C1632" t="inlineStr">
        <is>
          <t>Potde Creme Cream Eyeshadow</t>
        </is>
      </c>
      <c r="D1632" t="inlineStr">
        <is>
          <t>Kimchi Chic PotDe Crème Cream Eyeshadow - Lemon Tart</t>
        </is>
      </c>
      <c r="E1632" s="2">
        <f>HYPERLINK("https://www.amazon.com/Kimchi-Chic-PotDe-Cr%C3%A8me-Eyeshadow/dp/B095KWDQJ8/ref=sr_1_2?keywords=Potde+Creme+Cream+Eyeshadow&amp;qid=1695565707&amp;sr=8-2", "https://www.amazon.com/Kimchi-Chic-PotDe-Cr%C3%A8me-Eyeshadow/dp/B095KWDQJ8/ref=sr_1_2?keywords=Potde+Creme+Cream+Eyeshadow&amp;qid=1695565707&amp;sr=8-2")</f>
        <v/>
      </c>
      <c r="F1632" t="inlineStr">
        <is>
          <t>B095KWDQJ8</t>
        </is>
      </c>
      <c r="G1632">
        <f>_xlfn.IMAGE("https://camerareadycosmetics.com/cdn/shop/products/PDC07_Cranberry-kimchi-chic-eyeshadow_1000x_e5a4b816-a833-4b29-9238-fb6b74eb8208_50x.jpg?v=1636054419")</f>
        <v/>
      </c>
      <c r="H1632">
        <f>_xlfn.IMAGE("https://m.media-amazon.com/images/I/81FqTTy+PZL._AC_UL320_.jpg")</f>
        <v/>
      </c>
      <c r="K1632" t="inlineStr">
        <is>
          <t>12.0</t>
        </is>
      </c>
      <c r="L1632" t="n">
        <v>11.99</v>
      </c>
      <c r="M1632" s="1" t="inlineStr">
        <is>
          <t>-0.08%</t>
        </is>
      </c>
      <c r="N1632" t="n">
        <v>4.1</v>
      </c>
      <c r="O1632" t="n">
        <v>13</v>
      </c>
      <c r="Q1632" t="inlineStr">
        <is>
          <t>InStock</t>
        </is>
      </c>
      <c r="R1632" t="inlineStr">
        <is>
          <t>undefined</t>
        </is>
      </c>
      <c r="S1632" t="inlineStr">
        <is>
          <t>7067562115257</t>
        </is>
      </c>
    </row>
    <row r="1633" ht="75" customHeight="1">
      <c r="A1633" s="2">
        <f>HYPERLINK("https://camerareadycosmetics.com/products/kimchi-chic-beauty-puff-puff-pass-mini-setting-powder", "https://camerareadycosmetics.com/products/kimchi-chic-beauty-puff-puff-pass-mini-setting-powder")</f>
        <v/>
      </c>
      <c r="B1633" s="2">
        <f>HYPERLINK("https://camerareadycosmetics.com/products/kimchi-chic-beauty-puff-puff-pass-mini-setting-powder", "https://camerareadycosmetics.com/products/kimchi-chic-beauty-puff-puff-pass-mini-setting-powder")</f>
        <v/>
      </c>
      <c r="C1633" t="inlineStr">
        <is>
          <t>Puff Puff Pass Mini Setting Powder</t>
        </is>
      </c>
      <c r="D1633" t="inlineStr">
        <is>
          <t>12 Pieces Mini Powder Puff Face Triangle Makeup Puff Finger Soft Makeup Puff Setting Sponge Mineral Powder for Mineral Powder Loose Powder Body Powder Cosmetic Foundation (Pink, Nude)</t>
        </is>
      </c>
      <c r="E1633" s="2">
        <f>HYPERLINK("https://www.amazon.com/Triangle-Setting-Mineral-Cosmetic-Foundation/dp/B09ZPB7Q7W/ref=sr_1_7?keywords=Puff+Puff+Pass+Mini+Setting+Powder&amp;qid=1695565541&amp;sr=8-7", "https://www.amazon.com/Triangle-Setting-Mineral-Cosmetic-Foundation/dp/B09ZPB7Q7W/ref=sr_1_7?keywords=Puff+Puff+Pass+Mini+Setting+Powder&amp;qid=1695565541&amp;sr=8-7")</f>
        <v/>
      </c>
      <c r="F1633" t="inlineStr">
        <is>
          <t>B09ZPB7Q7W</t>
        </is>
      </c>
      <c r="G1633">
        <f>_xlfn.IMAGE("https://camerareadycosmetics.com/cdn/shop/products/KimChiChicBeautyPuffPuffPassMiniSettingPowder-PPP_1000x_879463fe-6d31-4abf-9bfb-d013e7b95965_50x.jpg?v=1654718817")</f>
        <v/>
      </c>
      <c r="H1633">
        <f>_xlfn.IMAGE("https://m.media-amazon.com/images/I/71cRol7y90L._AC_UL320_.jpg")</f>
        <v/>
      </c>
      <c r="K1633" t="inlineStr">
        <is>
          <t>12.0</t>
        </is>
      </c>
      <c r="L1633" t="n">
        <v>6.59</v>
      </c>
      <c r="M1633" s="1" t="inlineStr">
        <is>
          <t>-45.08%</t>
        </is>
      </c>
      <c r="N1633" t="n">
        <v>4.5</v>
      </c>
      <c r="O1633" t="n">
        <v>185</v>
      </c>
      <c r="Q1633" t="inlineStr">
        <is>
          <t>OutOfStock</t>
        </is>
      </c>
      <c r="R1633" t="inlineStr">
        <is>
          <t>undefined</t>
        </is>
      </c>
      <c r="S1633" t="inlineStr">
        <is>
          <t>7380951302329</t>
        </is>
      </c>
    </row>
    <row r="1634" ht="75" customHeight="1">
      <c r="A1634" s="2">
        <f>HYPERLINK("https://camerareadycosmetics.com/products/kimchi-chic-beauty-puff-puff-pass-setting-powder", "https://camerareadycosmetics.com/products/kimchi-chic-beauty-puff-puff-pass-setting-powder")</f>
        <v/>
      </c>
      <c r="B1634" s="2">
        <f>HYPERLINK("https://camerareadycosmetics.com/products/kimchi-chic-beauty-puff-puff-pass-setting-powder", "https://camerareadycosmetics.com/products/kimchi-chic-beauty-puff-puff-pass-setting-powder")</f>
        <v/>
      </c>
      <c r="C1634" t="inlineStr">
        <is>
          <t>Puff Puff Pass Setting Powder</t>
        </is>
      </c>
      <c r="D1634" t="inlineStr">
        <is>
          <t>Ocim 10Pcs Triangle Powder Puffs for Face Powder,Soft Velour Makeup Setting Powder Puff with Case,Black+Nude</t>
        </is>
      </c>
      <c r="E1634" s="2">
        <f>HYPERLINK("https://www.amazon.com/Ocim-Triangle-Powder-Velour-Setting/dp/B0C7KK29ZF/ref=sr_1_6?keywords=Puff+Puff+Pass+Setting+Powder&amp;qid=1695565478&amp;sr=8-6", "https://www.amazon.com/Ocim-Triangle-Powder-Velour-Setting/dp/B0C7KK29ZF/ref=sr_1_6?keywords=Puff+Puff+Pass+Setting+Powder&amp;qid=1695565478&amp;sr=8-6")</f>
        <v/>
      </c>
      <c r="F1634" t="inlineStr">
        <is>
          <t>B0C7KK29ZF</t>
        </is>
      </c>
      <c r="G1634">
        <f>_xlfn.IMAGE("https://camerareadycosmetics.com/cdn/shop/products/KimChi-Chic-Beauty-Puff-Puff-Pass-Setting-Powder-banana-PPP02_2_1000x_22aa583a-a8d7-46a5-8ae3-e557bddb6388_50x.jpg?v=1636145369")</f>
        <v/>
      </c>
      <c r="H1634">
        <f>_xlfn.IMAGE("https://m.media-amazon.com/images/I/61raPkrm+8L._AC_UL320_.jpg")</f>
        <v/>
      </c>
      <c r="K1634" t="inlineStr">
        <is>
          <t>19.0</t>
        </is>
      </c>
      <c r="L1634" t="n">
        <v>5.99</v>
      </c>
      <c r="M1634" s="1" t="inlineStr">
        <is>
          <t>-68.47%</t>
        </is>
      </c>
      <c r="N1634" t="n">
        <v>4.7</v>
      </c>
      <c r="O1634" t="n">
        <v>241</v>
      </c>
      <c r="Q1634" t="inlineStr">
        <is>
          <t>InStock</t>
        </is>
      </c>
      <c r="R1634" t="inlineStr">
        <is>
          <t>undefined</t>
        </is>
      </c>
      <c r="S1634" t="inlineStr">
        <is>
          <t>7071033786553</t>
        </is>
      </c>
    </row>
    <row r="1635" ht="75" customHeight="1">
      <c r="A1635" s="2">
        <f>HYPERLINK("https://camerareadycosmetics.com/products/kimchi-chic-beauty-puff-puff-pass-setting-powder", "https://camerareadycosmetics.com/products/kimchi-chic-beauty-puff-puff-pass-setting-powder")</f>
        <v/>
      </c>
      <c r="B1635" s="2">
        <f>HYPERLINK("https://camerareadycosmetics.com/products/kimchi-chic-beauty-puff-puff-pass-setting-powder", "https://camerareadycosmetics.com/products/kimchi-chic-beauty-puff-puff-pass-setting-powder")</f>
        <v/>
      </c>
      <c r="C1635" t="inlineStr">
        <is>
          <t>Puff Puff Pass Setting Powder</t>
        </is>
      </c>
      <c r="D1635" t="inlineStr">
        <is>
          <t>CUPID CARE 6 Pcs Triangle Powder Puff with 2 Travel Cases, Setting Powder Puffs for Face Powder and Foundation, Velour Makeup Puff for Loose Powder Body Powder, Skin-Friendly, Beauty Makeup Tools</t>
        </is>
      </c>
      <c r="E1635" s="2">
        <f>HYPERLINK("https://www.amazon.com/CUPID-CARE-Triangle-Foundation-Skin-Friendly/dp/B0C9WJS1SX/ref=sr_1_8?keywords=Puff+Puff+Pass+Setting+Powder&amp;qid=1695565478&amp;sr=8-8", "https://www.amazon.com/CUPID-CARE-Triangle-Foundation-Skin-Friendly/dp/B0C9WJS1SX/ref=sr_1_8?keywords=Puff+Puff+Pass+Setting+Powder&amp;qid=1695565478&amp;sr=8-8")</f>
        <v/>
      </c>
      <c r="F1635" t="inlineStr">
        <is>
          <t>B0C9WJS1SX</t>
        </is>
      </c>
      <c r="G1635">
        <f>_xlfn.IMAGE("https://camerareadycosmetics.com/cdn/shop/products/KimChi-Chic-Beauty-Puff-Puff-Pass-Setting-Powder-banana-PPP02_2_1000x_22aa583a-a8d7-46a5-8ae3-e557bddb6388_50x.jpg?v=1636145369")</f>
        <v/>
      </c>
      <c r="H1635">
        <f>_xlfn.IMAGE("https://m.media-amazon.com/images/I/71vuBMmmVYL._AC_UL320_.jpg")</f>
        <v/>
      </c>
      <c r="K1635" t="inlineStr">
        <is>
          <t>19.0</t>
        </is>
      </c>
      <c r="L1635" t="n">
        <v>5.99</v>
      </c>
      <c r="M1635" s="1" t="inlineStr">
        <is>
          <t>-68.47%</t>
        </is>
      </c>
      <c r="N1635" t="n">
        <v>4.9</v>
      </c>
      <c r="O1635" t="n">
        <v>24</v>
      </c>
      <c r="Q1635" t="inlineStr">
        <is>
          <t>InStock</t>
        </is>
      </c>
      <c r="R1635" t="inlineStr">
        <is>
          <t>undefined</t>
        </is>
      </c>
      <c r="S1635" t="inlineStr">
        <is>
          <t>7071033786553</t>
        </is>
      </c>
    </row>
    <row r="1636" ht="75" customHeight="1">
      <c r="A1636" s="2">
        <f>HYPERLINK("https://camerareadycosmetics.com/products/kimchi-chic-beauty-puff-puff-pass-setting-powder", "https://camerareadycosmetics.com/products/kimchi-chic-beauty-puff-puff-pass-setting-powder")</f>
        <v/>
      </c>
      <c r="B1636" s="2">
        <f>HYPERLINK("https://camerareadycosmetics.com/products/kimchi-chic-beauty-puff-puff-pass-setting-powder", "https://camerareadycosmetics.com/products/kimchi-chic-beauty-puff-puff-pass-setting-powder")</f>
        <v/>
      </c>
      <c r="C1636" t="inlineStr">
        <is>
          <t>Puff Puff Pass Setting Powder</t>
        </is>
      </c>
      <c r="D1636" t="inlineStr">
        <is>
          <t>12 Pieces Cosmetic Powder Puff,2.76 inch Portable Soft Sponge Setting Face Puffs,Triangle Velvet with Ribbon Band Handle for Loose Powder Body Powder Makeup Tool</t>
        </is>
      </c>
      <c r="E1636" s="2">
        <f>HYPERLINK("https://www.amazon.com/Pieces-Cosmetic-Portable-Setting-Triangle/dp/B099DPGZ33/ref=sr_1_2?keywords=Puff+Puff+Pass+Setting+Powder&amp;qid=1695565478&amp;sr=8-2", "https://www.amazon.com/Pieces-Cosmetic-Portable-Setting-Triangle/dp/B099DPGZ33/ref=sr_1_2?keywords=Puff+Puff+Pass+Setting+Powder&amp;qid=1695565478&amp;sr=8-2")</f>
        <v/>
      </c>
      <c r="F1636" t="inlineStr">
        <is>
          <t>B099DPGZ33</t>
        </is>
      </c>
      <c r="G1636">
        <f>_xlfn.IMAGE("https://camerareadycosmetics.com/cdn/shop/products/KimChi-Chic-Beauty-Puff-Puff-Pass-Setting-Powder-banana-PPP02_2_1000x_22aa583a-a8d7-46a5-8ae3-e557bddb6388_50x.jpg?v=1636145369")</f>
        <v/>
      </c>
      <c r="H1636">
        <f>_xlfn.IMAGE("https://m.media-amazon.com/images/I/617tzpZ0jeL._AC_UL320_.jpg")</f>
        <v/>
      </c>
      <c r="K1636" t="inlineStr">
        <is>
          <t>19.0</t>
        </is>
      </c>
      <c r="L1636" t="n">
        <v>3.99</v>
      </c>
      <c r="M1636" s="1" t="inlineStr">
        <is>
          <t>-79.00%</t>
        </is>
      </c>
      <c r="N1636" t="n">
        <v>4.7</v>
      </c>
      <c r="O1636" t="n">
        <v>2475</v>
      </c>
      <c r="Q1636" t="inlineStr">
        <is>
          <t>InStock</t>
        </is>
      </c>
      <c r="R1636" t="inlineStr">
        <is>
          <t>undefined</t>
        </is>
      </c>
      <c r="S1636" t="inlineStr">
        <is>
          <t>7071033786553</t>
        </is>
      </c>
    </row>
    <row r="1637" ht="75" customHeight="1">
      <c r="A1637" s="2">
        <f>HYPERLINK("https://camerareadycosmetics.com/products/kimchi-chic-beauty-puff-puff-pass-setting-powder", "https://camerareadycosmetics.com/products/kimchi-chic-beauty-puff-puff-pass-setting-powder")</f>
        <v/>
      </c>
      <c r="B1637" s="2">
        <f>HYPERLINK("https://camerareadycosmetics.com/products/kimchi-chic-beauty-puff-puff-pass-setting-powder", "https://camerareadycosmetics.com/products/kimchi-chic-beauty-puff-puff-pass-setting-powder")</f>
        <v/>
      </c>
      <c r="C1637" t="inlineStr">
        <is>
          <t>Puff Puff Pass Setting Powder</t>
        </is>
      </c>
      <c r="D1637" t="inlineStr">
        <is>
          <t>Ocim 10Pcs Triangle Powder Puffs for Face Powder,Soft Velour Makeup Setting Powder Puff with Case,Black+Nude</t>
        </is>
      </c>
      <c r="E1637" s="2">
        <f>HYPERLINK("https://www.amazon.com/Ocim-Triangle-Powder-Velour-Setting/dp/B0C7KK29ZF/ref=sr_1_6?keywords=Puff+Puff+Pass+Setting+Powder&amp;qid=1695565478&amp;sr=8-6", "https://www.amazon.com/Ocim-Triangle-Powder-Velour-Setting/dp/B0C7KK29ZF/ref=sr_1_6?keywords=Puff+Puff+Pass+Setting+Powder&amp;qid=1695565478&amp;sr=8-6")</f>
        <v/>
      </c>
      <c r="F1637" t="inlineStr">
        <is>
          <t>B0C7KK29ZF</t>
        </is>
      </c>
      <c r="G1637">
        <f>_xlfn.IMAGE("https://camerareadycosmetics.com/cdn/shop/products/KimChi-Chic-Beauty-Puff-Puff-Pass-Setting-Powder-banana-PPP02_2_1000x_22aa583a-a8d7-46a5-8ae3-e557bddb6388_50x.jpg?v=1636145369")</f>
        <v/>
      </c>
      <c r="H1637">
        <f>_xlfn.IMAGE("https://m.media-amazon.com/images/I/61raPkrm+8L._AC_UL320_.jpg")</f>
        <v/>
      </c>
      <c r="K1637" t="inlineStr">
        <is>
          <t>19.0</t>
        </is>
      </c>
      <c r="L1637" t="n">
        <v>5.99</v>
      </c>
      <c r="M1637" s="1" t="inlineStr">
        <is>
          <t>-68.47%</t>
        </is>
      </c>
      <c r="N1637" t="n">
        <v>4.7</v>
      </c>
      <c r="O1637" t="n">
        <v>241</v>
      </c>
      <c r="Q1637" t="inlineStr">
        <is>
          <t>InStock</t>
        </is>
      </c>
      <c r="R1637" t="inlineStr">
        <is>
          <t>undefined</t>
        </is>
      </c>
      <c r="S1637" t="inlineStr">
        <is>
          <t>7071033786553</t>
        </is>
      </c>
    </row>
    <row r="1638" ht="75" customHeight="1">
      <c r="A1638" s="2">
        <f>HYPERLINK("https://camerareadycosmetics.com/products/kimchi-chic-beauty-puff-puff-pass-setting-powder", "https://camerareadycosmetics.com/products/kimchi-chic-beauty-puff-puff-pass-setting-powder")</f>
        <v/>
      </c>
      <c r="B1638" s="2">
        <f>HYPERLINK("https://camerareadycosmetics.com/products/kimchi-chic-beauty-puff-puff-pass-setting-powder", "https://camerareadycosmetics.com/products/kimchi-chic-beauty-puff-puff-pass-setting-powder")</f>
        <v/>
      </c>
      <c r="C1638" t="inlineStr">
        <is>
          <t>Puff Puff Pass Setting Powder</t>
        </is>
      </c>
      <c r="D1638" t="inlineStr">
        <is>
          <t>CUPID CARE 6 Pcs Triangle Powder Puff with 2 Travel Cases, Setting Powder Puffs for Face Powder and Foundation, Velour Makeup Puff for Loose Powder Body Powder, Skin-Friendly, Beauty Makeup Tools</t>
        </is>
      </c>
      <c r="E1638" s="2">
        <f>HYPERLINK("https://www.amazon.com/CUPID-CARE-Triangle-Foundation-Skin-Friendly/dp/B0C9WJS1SX/ref=sr_1_8?keywords=Puff+Puff+Pass+Setting+Powder&amp;qid=1695565478&amp;sr=8-8", "https://www.amazon.com/CUPID-CARE-Triangle-Foundation-Skin-Friendly/dp/B0C9WJS1SX/ref=sr_1_8?keywords=Puff+Puff+Pass+Setting+Powder&amp;qid=1695565478&amp;sr=8-8")</f>
        <v/>
      </c>
      <c r="F1638" t="inlineStr">
        <is>
          <t>B0C9WJS1SX</t>
        </is>
      </c>
      <c r="G1638">
        <f>_xlfn.IMAGE("https://camerareadycosmetics.com/cdn/shop/products/KimChi-Chic-Beauty-Puff-Puff-Pass-Setting-Powder-banana-PPP02_2_1000x_22aa583a-a8d7-46a5-8ae3-e557bddb6388_50x.jpg?v=1636145369")</f>
        <v/>
      </c>
      <c r="H1638">
        <f>_xlfn.IMAGE("https://m.media-amazon.com/images/I/71vuBMmmVYL._AC_UL320_.jpg")</f>
        <v/>
      </c>
      <c r="K1638" t="inlineStr">
        <is>
          <t>19.0</t>
        </is>
      </c>
      <c r="L1638" t="n">
        <v>5.99</v>
      </c>
      <c r="M1638" s="1" t="inlineStr">
        <is>
          <t>-68.47%</t>
        </is>
      </c>
      <c r="N1638" t="n">
        <v>4.9</v>
      </c>
      <c r="O1638" t="n">
        <v>24</v>
      </c>
      <c r="Q1638" t="inlineStr">
        <is>
          <t>InStock</t>
        </is>
      </c>
      <c r="R1638" t="inlineStr">
        <is>
          <t>undefined</t>
        </is>
      </c>
      <c r="S1638" t="inlineStr">
        <is>
          <t>7071033786553</t>
        </is>
      </c>
    </row>
    <row r="1639" ht="75" customHeight="1">
      <c r="A1639" s="2">
        <f>HYPERLINK("https://camerareadycosmetics.com/products/kimchi-chic-beauty-puff-puff-pass-setting-powder", "https://camerareadycosmetics.com/products/kimchi-chic-beauty-puff-puff-pass-setting-powder")</f>
        <v/>
      </c>
      <c r="B1639" s="2">
        <f>HYPERLINK("https://camerareadycosmetics.com/products/kimchi-chic-beauty-puff-puff-pass-setting-powder", "https://camerareadycosmetics.com/products/kimchi-chic-beauty-puff-puff-pass-setting-powder")</f>
        <v/>
      </c>
      <c r="C1639" t="inlineStr">
        <is>
          <t>Puff Puff Pass Setting Powder</t>
        </is>
      </c>
      <c r="D1639" t="inlineStr">
        <is>
          <t>12 Pieces Cosmetic Powder Puff,2.76 inch Portable Soft Sponge Setting Face Puffs,Triangle Velvet with Ribbon Band Handle for Loose Powder Body Powder Makeup Tool</t>
        </is>
      </c>
      <c r="E1639" s="2">
        <f>HYPERLINK("https://www.amazon.com/Pieces-Cosmetic-Portable-Setting-Triangle/dp/B099DPGZ33/ref=sr_1_2?keywords=Puff+Puff+Pass+Setting+Powder&amp;qid=1695565478&amp;sr=8-2", "https://www.amazon.com/Pieces-Cosmetic-Portable-Setting-Triangle/dp/B099DPGZ33/ref=sr_1_2?keywords=Puff+Puff+Pass+Setting+Powder&amp;qid=1695565478&amp;sr=8-2")</f>
        <v/>
      </c>
      <c r="F1639" t="inlineStr">
        <is>
          <t>B099DPGZ33</t>
        </is>
      </c>
      <c r="G1639">
        <f>_xlfn.IMAGE("https://camerareadycosmetics.com/cdn/shop/products/KimChi-Chic-Beauty-Puff-Puff-Pass-Setting-Powder-banana-PPP02_2_1000x_22aa583a-a8d7-46a5-8ae3-e557bddb6388_50x.jpg?v=1636145369")</f>
        <v/>
      </c>
      <c r="H1639">
        <f>_xlfn.IMAGE("https://m.media-amazon.com/images/I/617tzpZ0jeL._AC_UL320_.jpg")</f>
        <v/>
      </c>
      <c r="K1639" t="inlineStr">
        <is>
          <t>19.0</t>
        </is>
      </c>
      <c r="L1639" t="n">
        <v>3.99</v>
      </c>
      <c r="M1639" s="1" t="inlineStr">
        <is>
          <t>-79.00%</t>
        </is>
      </c>
      <c r="N1639" t="n">
        <v>4.7</v>
      </c>
      <c r="O1639" t="n">
        <v>2475</v>
      </c>
      <c r="Q1639" t="inlineStr">
        <is>
          <t>InStock</t>
        </is>
      </c>
      <c r="R1639" t="inlineStr">
        <is>
          <t>undefined</t>
        </is>
      </c>
      <c r="S1639" t="inlineStr">
        <is>
          <t>7071033786553</t>
        </is>
      </c>
    </row>
    <row r="1640" ht="75" customHeight="1">
      <c r="A1640" s="2">
        <f>HYPERLINK("https://camerareadycosmetics.com/products/kimchi-chic-beauty-rainbow-sharts-eyeshadow-palette", "https://camerareadycosmetics.com/products/kimchi-chic-beauty-rainbow-sharts-eyeshadow-palette")</f>
        <v/>
      </c>
      <c r="B1640" s="2">
        <f>HYPERLINK("https://camerareadycosmetics.com/products/kimchi-chic-beauty-rainbow-sharts-eyeshadow-palette", "https://camerareadycosmetics.com/products/kimchi-chic-beauty-rainbow-sharts-eyeshadow-palette")</f>
        <v/>
      </c>
      <c r="C1640" t="inlineStr">
        <is>
          <t>Rainbow Sharts Eyeshadow Palette</t>
        </is>
      </c>
      <c r="D1640" t="inlineStr">
        <is>
          <t>Kimchi Chic Beauty Rainbow Sharts Mini Eyeshadow Palette</t>
        </is>
      </c>
      <c r="E1640" s="2">
        <f>HYPERLINK("https://www.amazon.com/Kimchi-Chic-Rainbow-Eyeshadow-Palette/dp/B0992X8B4G/ref=sr_1_1?keywords=Rainbow+Sharts+Eyeshadow+Palette&amp;qid=1695565838&amp;sr=8-1", "https://www.amazon.com/Kimchi-Chic-Rainbow-Eyeshadow-Palette/dp/B0992X8B4G/ref=sr_1_1?keywords=Rainbow+Sharts+Eyeshadow+Palette&amp;qid=1695565838&amp;sr=8-1")</f>
        <v/>
      </c>
      <c r="F1640" t="inlineStr">
        <is>
          <t>B0992X8B4G</t>
        </is>
      </c>
      <c r="G1640">
        <f>_xlfn.IMAGE("https://camerareadycosmetics.com/cdn/shop/products/kimchi-rainbow-sharts-eyeshadow-palette-RS_Opened_4_1000x_e3a2505f-60d1-4f93-8287-62a2991c92b2_50x.jpg?v=1688675644")</f>
        <v/>
      </c>
      <c r="H1640">
        <f>_xlfn.IMAGE("https://m.media-amazon.com/images/I/81WfSbR0ZBS._AC_UL320_.jpg")</f>
        <v/>
      </c>
      <c r="K1640" t="inlineStr">
        <is>
          <t>28.0</t>
        </is>
      </c>
      <c r="L1640" t="n">
        <v>14.99</v>
      </c>
      <c r="M1640" s="1" t="inlineStr">
        <is>
          <t>-46.46%</t>
        </is>
      </c>
      <c r="N1640" t="n">
        <v>4.3</v>
      </c>
      <c r="O1640" t="n">
        <v>19</v>
      </c>
      <c r="Q1640" t="inlineStr">
        <is>
          <t>InStock</t>
        </is>
      </c>
      <c r="R1640" t="inlineStr">
        <is>
          <t>undefined</t>
        </is>
      </c>
      <c r="S1640" t="inlineStr">
        <is>
          <t>7069854073017</t>
        </is>
      </c>
    </row>
    <row r="1641" ht="75" customHeight="1">
      <c r="A1641" s="2">
        <f>HYPERLINK("https://camerareadycosmetics.com/products/kimchi-chic-beauty-rainbow-sharts-eyeshadow-palette", "https://camerareadycosmetics.com/products/kimchi-chic-beauty-rainbow-sharts-eyeshadow-palette")</f>
        <v/>
      </c>
      <c r="B1641" s="2">
        <f>HYPERLINK("https://camerareadycosmetics.com/products/kimchi-chic-beauty-rainbow-sharts-eyeshadow-palette", "https://camerareadycosmetics.com/products/kimchi-chic-beauty-rainbow-sharts-eyeshadow-palette")</f>
        <v/>
      </c>
      <c r="C1641" t="inlineStr">
        <is>
          <t>Rainbow Sharts Eyeshadow Palette</t>
        </is>
      </c>
      <c r="D1641" t="inlineStr">
        <is>
          <t>Rainbow Eyeshadow Palette High Pigment 35 Shades Matte Shimmer Eye Shadow Pallet Glitter Makeup Colorful</t>
        </is>
      </c>
      <c r="E1641" s="2">
        <f>HYPERLINK("https://www.amazon.com/ABELYN-Rainbow-Eyeshadow-Palette-Colorful/dp/B0C3JD1ZRC/ref=sr_1_3?keywords=Rainbow+Sharts+Eyeshadow+Palette&amp;qid=1695565838&amp;sr=8-3", "https://www.amazon.com/ABELYN-Rainbow-Eyeshadow-Palette-Colorful/dp/B0C3JD1ZRC/ref=sr_1_3?keywords=Rainbow+Sharts+Eyeshadow+Palette&amp;qid=1695565838&amp;sr=8-3")</f>
        <v/>
      </c>
      <c r="F1641" t="inlineStr">
        <is>
          <t>B0C3JD1ZRC</t>
        </is>
      </c>
      <c r="G1641">
        <f>_xlfn.IMAGE("https://camerareadycosmetics.com/cdn/shop/products/kimchi-rainbow-sharts-eyeshadow-palette-RS_Opened_4_1000x_e3a2505f-60d1-4f93-8287-62a2991c92b2_50x.jpg?v=1688675644")</f>
        <v/>
      </c>
      <c r="H1641">
        <f>_xlfn.IMAGE("https://m.media-amazon.com/images/I/71Zi85QHwzL._AC_UL320_.jpg")</f>
        <v/>
      </c>
      <c r="K1641" t="inlineStr">
        <is>
          <t>28.0</t>
        </is>
      </c>
      <c r="L1641" t="n">
        <v>13.95</v>
      </c>
      <c r="M1641" s="1" t="inlineStr">
        <is>
          <t>-50.18%</t>
        </is>
      </c>
      <c r="N1641" t="n">
        <v>4</v>
      </c>
      <c r="O1641" t="n">
        <v>2</v>
      </c>
      <c r="Q1641" t="inlineStr">
        <is>
          <t>InStock</t>
        </is>
      </c>
      <c r="R1641" t="inlineStr">
        <is>
          <t>undefined</t>
        </is>
      </c>
      <c r="S1641" t="inlineStr">
        <is>
          <t>7069854073017</t>
        </is>
      </c>
    </row>
    <row r="1642" ht="75" customHeight="1">
      <c r="A1642" s="2">
        <f>HYPERLINK("https://camerareadycosmetics.com/products/kimchi-chic-beauty-rainbow-sharts-eyeshadow-palette", "https://camerareadycosmetics.com/products/kimchi-chic-beauty-rainbow-sharts-eyeshadow-palette")</f>
        <v/>
      </c>
      <c r="B1642" s="2">
        <f>HYPERLINK("https://camerareadycosmetics.com/products/kimchi-chic-beauty-rainbow-sharts-eyeshadow-palette", "https://camerareadycosmetics.com/products/kimchi-chic-beauty-rainbow-sharts-eyeshadow-palette")</f>
        <v/>
      </c>
      <c r="C1642" t="inlineStr">
        <is>
          <t>Rainbow Sharts Eyeshadow Palette</t>
        </is>
      </c>
      <c r="D1642" t="inlineStr">
        <is>
          <t>39 Color Rainbow Eyeshadow Palette - Professional Makeup Matte Metallic Shimmer Eye Shadow Palettes - Ultra Pigmented Powder Bright Vibrant Colors Shades Cosmetics Set</t>
        </is>
      </c>
      <c r="E1642" s="2">
        <f>HYPERLINK("https://www.amazon.com/Color-Rainbow-Eyeshadow-Palette-Professional/dp/B07X22X145/ref=sr_1_5?keywords=Rainbow+Sharts+Eyeshadow+Palette&amp;qid=1695565838&amp;sr=8-5", "https://www.amazon.com/Color-Rainbow-Eyeshadow-Palette-Professional/dp/B07X22X145/ref=sr_1_5?keywords=Rainbow+Sharts+Eyeshadow+Palette&amp;qid=1695565838&amp;sr=8-5")</f>
        <v/>
      </c>
      <c r="F1642" t="inlineStr">
        <is>
          <t>B07X22X145</t>
        </is>
      </c>
      <c r="G1642">
        <f>_xlfn.IMAGE("https://camerareadycosmetics.com/cdn/shop/products/kimchi-rainbow-sharts-eyeshadow-palette-RS_Opened_4_1000x_e3a2505f-60d1-4f93-8287-62a2991c92b2_50x.jpg?v=1688675644")</f>
        <v/>
      </c>
      <c r="H1642">
        <f>_xlfn.IMAGE("https://m.media-amazon.com/images/I/81XT8-hwB7L._AC_UL320_.jpg")</f>
        <v/>
      </c>
      <c r="K1642" t="inlineStr">
        <is>
          <t>28.0</t>
        </is>
      </c>
      <c r="L1642" t="n">
        <v>9.99</v>
      </c>
      <c r="M1642" s="1" t="inlineStr">
        <is>
          <t>-64.32%</t>
        </is>
      </c>
      <c r="N1642" t="n">
        <v>4.7</v>
      </c>
      <c r="O1642" t="n">
        <v>7156</v>
      </c>
      <c r="Q1642" t="inlineStr">
        <is>
          <t>InStock</t>
        </is>
      </c>
      <c r="R1642" t="inlineStr">
        <is>
          <t>undefined</t>
        </is>
      </c>
      <c r="S1642" t="inlineStr">
        <is>
          <t>7069854073017</t>
        </is>
      </c>
    </row>
    <row r="1643" ht="75" customHeight="1">
      <c r="A1643" s="2">
        <f>HYPERLINK("https://camerareadycosmetics.com/products/kimchi-chic-beauty-rainbow-sharts-eyeshadow-palette", "https://camerareadycosmetics.com/products/kimchi-chic-beauty-rainbow-sharts-eyeshadow-palette")</f>
        <v/>
      </c>
      <c r="B1643" s="2">
        <f>HYPERLINK("https://camerareadycosmetics.com/products/kimchi-chic-beauty-rainbow-sharts-eyeshadow-palette", "https://camerareadycosmetics.com/products/kimchi-chic-beauty-rainbow-sharts-eyeshadow-palette")</f>
        <v/>
      </c>
      <c r="C1643" t="inlineStr">
        <is>
          <t>Rainbow Sharts Eyeshadow Palette</t>
        </is>
      </c>
      <c r="D1643" t="inlineStr">
        <is>
          <t>Rainbow Eyeshadow Palette, Professional 35 Bright Colors Matte Shimmer Eyeshadow Makeup Pallete - Long lasting and Highly Pigment Silky Powder Eye Shadow Make up Kit,Cruelty- Free #35E</t>
        </is>
      </c>
      <c r="E1643" s="2">
        <f>HYPERLINK("https://www.amazon.com/Eyeshadow-Palette-Bright-Shimmer-Pallete/dp/B07C6N6RM6/ref=sr_1_8?keywords=Rainbow+Sharts+Eyeshadow+Palette&amp;qid=1695565838&amp;sr=8-8", "https://www.amazon.com/Eyeshadow-Palette-Bright-Shimmer-Pallete/dp/B07C6N6RM6/ref=sr_1_8?keywords=Rainbow+Sharts+Eyeshadow+Palette&amp;qid=1695565838&amp;sr=8-8")</f>
        <v/>
      </c>
      <c r="F1643" t="inlineStr">
        <is>
          <t>B07C6N6RM6</t>
        </is>
      </c>
      <c r="G1643">
        <f>_xlfn.IMAGE("https://camerareadycosmetics.com/cdn/shop/products/kimchi-rainbow-sharts-eyeshadow-palette-RS_Opened_4_1000x_e3a2505f-60d1-4f93-8287-62a2991c92b2_50x.jpg?v=1688675644")</f>
        <v/>
      </c>
      <c r="H1643">
        <f>_xlfn.IMAGE("https://m.media-amazon.com/images/I/71MqfZy0HtL._AC_UL320_.jpg")</f>
        <v/>
      </c>
      <c r="K1643" t="inlineStr">
        <is>
          <t>28.0</t>
        </is>
      </c>
      <c r="L1643" t="n">
        <v>9.99</v>
      </c>
      <c r="M1643" s="1" t="inlineStr">
        <is>
          <t>-64.32%</t>
        </is>
      </c>
      <c r="N1643" t="n">
        <v>4.4</v>
      </c>
      <c r="O1643" t="n">
        <v>5163</v>
      </c>
      <c r="Q1643" t="inlineStr">
        <is>
          <t>InStock</t>
        </is>
      </c>
      <c r="R1643" t="inlineStr">
        <is>
          <t>undefined</t>
        </is>
      </c>
      <c r="S1643" t="inlineStr">
        <is>
          <t>7069854073017</t>
        </is>
      </c>
    </row>
    <row r="1644" ht="75" customHeight="1">
      <c r="A1644" s="2">
        <f>HYPERLINK("https://camerareadycosmetics.com/products/kimchi-chic-beauty-rainbow-sharts-eyeshadow-palette", "https://camerareadycosmetics.com/products/kimchi-chic-beauty-rainbow-sharts-eyeshadow-palette")</f>
        <v/>
      </c>
      <c r="B1644" s="2">
        <f>HYPERLINK("https://camerareadycosmetics.com/products/kimchi-chic-beauty-rainbow-sharts-eyeshadow-palette", "https://camerareadycosmetics.com/products/kimchi-chic-beauty-rainbow-sharts-eyeshadow-palette")</f>
        <v/>
      </c>
      <c r="C1644" t="inlineStr">
        <is>
          <t>Rainbow Sharts Eyeshadow Palette</t>
        </is>
      </c>
      <c r="D1644" t="inlineStr">
        <is>
          <t>Fusang 35 Colors Colorful Eyeshadow Palette,Highly Pigmented Long Lasting Blendable Matte Shimmer Eye Shadow Palette Waterproof Rainbow Eyeshadow Pallet Professional Eyeshadow Makeup Palette Gift Kit</t>
        </is>
      </c>
      <c r="E1644" s="2">
        <f>HYPERLINK("https://www.amazon.com/Fusang-Eyeshadow-Pigmented-Waterproof-Professional/dp/B0BR7VWKV2/ref=sr_1_9?keywords=Rainbow+Sharts+Eyeshadow+Palette&amp;qid=1695565838&amp;sr=8-9", "https://www.amazon.com/Fusang-Eyeshadow-Pigmented-Waterproof-Professional/dp/B0BR7VWKV2/ref=sr_1_9?keywords=Rainbow+Sharts+Eyeshadow+Palette&amp;qid=1695565838&amp;sr=8-9")</f>
        <v/>
      </c>
      <c r="F1644" t="inlineStr">
        <is>
          <t>B0BR7VWKV2</t>
        </is>
      </c>
      <c r="G1644">
        <f>_xlfn.IMAGE("https://camerareadycosmetics.com/cdn/shop/products/kimchi-rainbow-sharts-eyeshadow-palette-RS_Opened_4_1000x_e3a2505f-60d1-4f93-8287-62a2991c92b2_50x.jpg?v=1688675644")</f>
        <v/>
      </c>
      <c r="H1644">
        <f>_xlfn.IMAGE("https://m.media-amazon.com/images/I/71zbKrf5qTL._AC_UL320_.jpg")</f>
        <v/>
      </c>
      <c r="K1644" t="inlineStr">
        <is>
          <t>28.0</t>
        </is>
      </c>
      <c r="L1644" t="n">
        <v>8.98</v>
      </c>
      <c r="M1644" s="1" t="inlineStr">
        <is>
          <t>-67.93%</t>
        </is>
      </c>
      <c r="N1644" t="n">
        <v>4.1</v>
      </c>
      <c r="O1644" t="n">
        <v>6</v>
      </c>
      <c r="Q1644" t="inlineStr">
        <is>
          <t>InStock</t>
        </is>
      </c>
      <c r="R1644" t="inlineStr">
        <is>
          <t>undefined</t>
        </is>
      </c>
      <c r="S1644" t="inlineStr">
        <is>
          <t>7069854073017</t>
        </is>
      </c>
    </row>
    <row r="1645" ht="75" customHeight="1">
      <c r="A1645" s="2">
        <f>HYPERLINK("https://camerareadycosmetics.com/products/kimchi-chic-beauty-rainbow-sharts-eyeshadow-palette", "https://camerareadycosmetics.com/products/kimchi-chic-beauty-rainbow-sharts-eyeshadow-palette")</f>
        <v/>
      </c>
      <c r="B1645" s="2">
        <f>HYPERLINK("https://camerareadycosmetics.com/products/kimchi-chic-beauty-rainbow-sharts-eyeshadow-palette", "https://camerareadycosmetics.com/products/kimchi-chic-beauty-rainbow-sharts-eyeshadow-palette")</f>
        <v/>
      </c>
      <c r="C1645" t="inlineStr">
        <is>
          <t>Rainbow Sharts Eyeshadow Palette</t>
        </is>
      </c>
      <c r="D1645" t="inlineStr">
        <is>
          <t>9Color Pink White Golden Brown Warm Glitter Colorful Eyeshadow Palette Makeup,Korean Natural Neutral Rainbow Eyeshadow palettes Highly Pigmented Naturing-Looking Long Lasting Waterproof Blendable</t>
        </is>
      </c>
      <c r="E1645" s="2">
        <f>HYPERLINK("https://www.amazon.com/Eyeshadow-Pigmented-Naturing-Looking-Waterproof-Blendable/dp/B0C8BZPJQ5/ref=sr_1_4?keywords=Rainbow+Sharts+Eyeshadow+Palette&amp;qid=1695565838&amp;sr=8-4", "https://www.amazon.com/Eyeshadow-Pigmented-Naturing-Looking-Waterproof-Blendable/dp/B0C8BZPJQ5/ref=sr_1_4?keywords=Rainbow+Sharts+Eyeshadow+Palette&amp;qid=1695565838&amp;sr=8-4")</f>
        <v/>
      </c>
      <c r="F1645" t="inlineStr">
        <is>
          <t>B0C8BZPJQ5</t>
        </is>
      </c>
      <c r="G1645">
        <f>_xlfn.IMAGE("https://camerareadycosmetics.com/cdn/shop/products/kimchi-rainbow-sharts-eyeshadow-palette-RS_Opened_4_1000x_e3a2505f-60d1-4f93-8287-62a2991c92b2_50x.jpg?v=1688675644")</f>
        <v/>
      </c>
      <c r="H1645">
        <f>_xlfn.IMAGE("https://m.media-amazon.com/images/I/71Sj2MGi7xL._AC_UL320_.jpg")</f>
        <v/>
      </c>
      <c r="K1645" t="inlineStr">
        <is>
          <t>28.0</t>
        </is>
      </c>
      <c r="L1645" t="n">
        <v>6.99</v>
      </c>
      <c r="M1645" s="1" t="inlineStr">
        <is>
          <t>-75.04%</t>
        </is>
      </c>
      <c r="N1645" t="n">
        <v>3.8</v>
      </c>
      <c r="O1645" t="n">
        <v>7</v>
      </c>
      <c r="Q1645" t="inlineStr">
        <is>
          <t>InStock</t>
        </is>
      </c>
      <c r="R1645" t="inlineStr">
        <is>
          <t>undefined</t>
        </is>
      </c>
      <c r="S1645" t="inlineStr">
        <is>
          <t>7069854073017</t>
        </is>
      </c>
    </row>
    <row r="1646" ht="75" customHeight="1">
      <c r="A1646" s="2">
        <f>HYPERLINK("https://camerareadycosmetics.com/products/kimchi-chic-beauty-rainbow-sharts-eyeshadow-palette", "https://camerareadycosmetics.com/products/kimchi-chic-beauty-rainbow-sharts-eyeshadow-palette")</f>
        <v/>
      </c>
      <c r="B1646" s="2">
        <f>HYPERLINK("https://camerareadycosmetics.com/products/kimchi-chic-beauty-rainbow-sharts-eyeshadow-palette", "https://camerareadycosmetics.com/products/kimchi-chic-beauty-rainbow-sharts-eyeshadow-palette")</f>
        <v/>
      </c>
      <c r="C1646" t="inlineStr">
        <is>
          <t>Rainbow Sharts Eyeshadow Palette</t>
        </is>
      </c>
      <c r="D1646" t="inlineStr">
        <is>
          <t>Brights Rainbow Eyeshadow Palatte, 9 Colors Longwearing Highly Pigmented Powder Palet,Ultimate Eye Shadow Palette, Eye Makeup, Paleta de sombras de ojos iridiscentes H2</t>
        </is>
      </c>
      <c r="E1646" s="2">
        <f>HYPERLINK("https://www.amazon.com/KARNAR-Eyeshadow-Longwearing-Pigmented-iridiscentes/dp/B0BXDC3LST/ref=sr_1_6?keywords=Rainbow+Sharts+Eyeshadow+Palette&amp;qid=1695565838&amp;sr=8-6", "https://www.amazon.com/KARNAR-Eyeshadow-Longwearing-Pigmented-iridiscentes/dp/B0BXDC3LST/ref=sr_1_6?keywords=Rainbow+Sharts+Eyeshadow+Palette&amp;qid=1695565838&amp;sr=8-6")</f>
        <v/>
      </c>
      <c r="F1646" t="inlineStr">
        <is>
          <t>B0BXDC3LST</t>
        </is>
      </c>
      <c r="G1646">
        <f>_xlfn.IMAGE("https://camerareadycosmetics.com/cdn/shop/products/kimchi-rainbow-sharts-eyeshadow-palette-RS_Opened_4_1000x_e3a2505f-60d1-4f93-8287-62a2991c92b2_50x.jpg?v=1688675644")</f>
        <v/>
      </c>
      <c r="H1646">
        <f>_xlfn.IMAGE("https://m.media-amazon.com/images/I/61XSzVwYVcL._AC_UL320_.jpg")</f>
        <v/>
      </c>
      <c r="K1646" t="inlineStr">
        <is>
          <t>28.0</t>
        </is>
      </c>
      <c r="L1646" t="n">
        <v>6.99</v>
      </c>
      <c r="M1646" s="1" t="inlineStr">
        <is>
          <t>-75.04%</t>
        </is>
      </c>
      <c r="N1646" t="n">
        <v>4</v>
      </c>
      <c r="O1646" t="n">
        <v>253</v>
      </c>
      <c r="Q1646" t="inlineStr">
        <is>
          <t>InStock</t>
        </is>
      </c>
      <c r="R1646" t="inlineStr">
        <is>
          <t>undefined</t>
        </is>
      </c>
      <c r="S1646" t="inlineStr">
        <is>
          <t>7069854073017</t>
        </is>
      </c>
    </row>
    <row r="1647" ht="75" customHeight="1">
      <c r="A1647" s="2">
        <f>HYPERLINK("https://camerareadycosmetics.com/products/kimchi-chic-beauty-rainbow-sharts-eyeshadow-palette", "https://camerareadycosmetics.com/products/kimchi-chic-beauty-rainbow-sharts-eyeshadow-palette")</f>
        <v/>
      </c>
      <c r="B1647" s="2">
        <f>HYPERLINK("https://camerareadycosmetics.com/products/kimchi-chic-beauty-rainbow-sharts-eyeshadow-palette", "https://camerareadycosmetics.com/products/kimchi-chic-beauty-rainbow-sharts-eyeshadow-palette")</f>
        <v/>
      </c>
      <c r="C1647" t="inlineStr">
        <is>
          <t>Rainbow Sharts Eyeshadow Palette</t>
        </is>
      </c>
      <c r="D1647" t="inlineStr">
        <is>
          <t>9 Colors Rainbow Eyeshadow Palette, High Pigmented Colorful Eyeshadow Makeup Palette, Bright Neon Eyeshadow Palette Lasting Waterproof Natural Eyeshadow Palette</t>
        </is>
      </c>
      <c r="E1647" s="2">
        <f>HYPERLINK("https://www.amazon.com/Yeweian-Eyeshadow-Colorful-Pigmented-Waterproof/dp/B09CM9V6LH/ref=sr_1_7?keywords=Rainbow+Sharts+Eyeshadow+Palette&amp;qid=1695565838&amp;sr=8-7", "https://www.amazon.com/Yeweian-Eyeshadow-Colorful-Pigmented-Waterproof/dp/B09CM9V6LH/ref=sr_1_7?keywords=Rainbow+Sharts+Eyeshadow+Palette&amp;qid=1695565838&amp;sr=8-7")</f>
        <v/>
      </c>
      <c r="F1647" t="inlineStr">
        <is>
          <t>B09CM9V6LH</t>
        </is>
      </c>
      <c r="G1647">
        <f>_xlfn.IMAGE("https://camerareadycosmetics.com/cdn/shop/products/kimchi-rainbow-sharts-eyeshadow-palette-RS_Opened_4_1000x_e3a2505f-60d1-4f93-8287-62a2991c92b2_50x.jpg?v=1688675644")</f>
        <v/>
      </c>
      <c r="H1647">
        <f>_xlfn.IMAGE("https://m.media-amazon.com/images/I/61kxUF-fI1L._AC_UL320_.jpg")</f>
        <v/>
      </c>
      <c r="K1647" t="inlineStr">
        <is>
          <t>28.0</t>
        </is>
      </c>
      <c r="L1647" t="n">
        <v>5.99</v>
      </c>
      <c r="M1647" s="1" t="inlineStr">
        <is>
          <t>-78.61%</t>
        </is>
      </c>
      <c r="N1647" t="n">
        <v>4.1</v>
      </c>
      <c r="O1647" t="n">
        <v>901</v>
      </c>
      <c r="Q1647" t="inlineStr">
        <is>
          <t>InStock</t>
        </is>
      </c>
      <c r="R1647" t="inlineStr">
        <is>
          <t>undefined</t>
        </is>
      </c>
      <c r="S1647" t="inlineStr">
        <is>
          <t>7069854073017</t>
        </is>
      </c>
    </row>
    <row r="1648" ht="75" customHeight="1">
      <c r="A1648" s="2">
        <f>HYPERLINK("https://camerareadycosmetics.com/products/kimchi-chic-beauty-rainbow-sharts-eyeshadow-palette", "https://camerareadycosmetics.com/products/kimchi-chic-beauty-rainbow-sharts-eyeshadow-palette")</f>
        <v/>
      </c>
      <c r="B1648" s="2">
        <f>HYPERLINK("https://camerareadycosmetics.com/products/kimchi-chic-beauty-rainbow-sharts-eyeshadow-palette", "https://camerareadycosmetics.com/products/kimchi-chic-beauty-rainbow-sharts-eyeshadow-palette")</f>
        <v/>
      </c>
      <c r="C1648" t="inlineStr">
        <is>
          <t>Rainbow Sharts Eyeshadow Palette</t>
        </is>
      </c>
      <c r="D1648" t="inlineStr">
        <is>
          <t>Rainbow Eyeshadow Palette High Pigment 35 Shades Matte Shimmer Eye Shadow Pallet Glitter Makeup Colorful</t>
        </is>
      </c>
      <c r="E1648" s="2">
        <f>HYPERLINK("https://www.amazon.com/ABELYN-Rainbow-Eyeshadow-Palette-Colorful/dp/B0C3JD1ZRC/ref=sr_1_3?keywords=Rainbow+Sharts+Eyeshadow+Palette&amp;qid=1695565838&amp;sr=8-3", "https://www.amazon.com/ABELYN-Rainbow-Eyeshadow-Palette-Colorful/dp/B0C3JD1ZRC/ref=sr_1_3?keywords=Rainbow+Sharts+Eyeshadow+Palette&amp;qid=1695565838&amp;sr=8-3")</f>
        <v/>
      </c>
      <c r="F1648" t="inlineStr">
        <is>
          <t>B0C3JD1ZRC</t>
        </is>
      </c>
      <c r="G1648">
        <f>_xlfn.IMAGE("https://camerareadycosmetics.com/cdn/shop/products/kimchi-rainbow-sharts-eyeshadow-palette-RS_Opened_4_1000x_e3a2505f-60d1-4f93-8287-62a2991c92b2_50x.jpg?v=1688675644")</f>
        <v/>
      </c>
      <c r="H1648">
        <f>_xlfn.IMAGE("https://m.media-amazon.com/images/I/71Zi85QHwzL._AC_UL320_.jpg")</f>
        <v/>
      </c>
      <c r="K1648" t="inlineStr">
        <is>
          <t>28.0</t>
        </is>
      </c>
      <c r="L1648" t="n">
        <v>13.95</v>
      </c>
      <c r="M1648" s="1" t="inlineStr">
        <is>
          <t>-50.18%</t>
        </is>
      </c>
      <c r="N1648" t="n">
        <v>4</v>
      </c>
      <c r="O1648" t="n">
        <v>2</v>
      </c>
      <c r="Q1648" t="inlineStr">
        <is>
          <t>InStock</t>
        </is>
      </c>
      <c r="R1648" t="inlineStr">
        <is>
          <t>undefined</t>
        </is>
      </c>
      <c r="S1648" t="inlineStr">
        <is>
          <t>7069854073017</t>
        </is>
      </c>
    </row>
    <row r="1649" ht="75" customHeight="1">
      <c r="A1649" s="2">
        <f>HYPERLINK("https://camerareadycosmetics.com/products/kimchi-chic-beauty-rainbow-sharts-eyeshadow-palette", "https://camerareadycosmetics.com/products/kimchi-chic-beauty-rainbow-sharts-eyeshadow-palette")</f>
        <v/>
      </c>
      <c r="B1649" s="2">
        <f>HYPERLINK("https://camerareadycosmetics.com/products/kimchi-chic-beauty-rainbow-sharts-eyeshadow-palette", "https://camerareadycosmetics.com/products/kimchi-chic-beauty-rainbow-sharts-eyeshadow-palette")</f>
        <v/>
      </c>
      <c r="C1649" t="inlineStr">
        <is>
          <t>Rainbow Sharts Eyeshadow Palette</t>
        </is>
      </c>
      <c r="D1649" t="inlineStr">
        <is>
          <t>39 Color Rainbow Eyeshadow Palette - Professional Makeup Matte Metallic Shimmer Eye Shadow Palettes - Ultra Pigmented Powder Bright Vibrant Colors Shades Cosmetics Set</t>
        </is>
      </c>
      <c r="E1649" s="2">
        <f>HYPERLINK("https://www.amazon.com/Color-Rainbow-Eyeshadow-Palette-Professional/dp/B07X22X145/ref=sr_1_5?keywords=Rainbow+Sharts+Eyeshadow+Palette&amp;qid=1695565838&amp;sr=8-5", "https://www.amazon.com/Color-Rainbow-Eyeshadow-Palette-Professional/dp/B07X22X145/ref=sr_1_5?keywords=Rainbow+Sharts+Eyeshadow+Palette&amp;qid=1695565838&amp;sr=8-5")</f>
        <v/>
      </c>
      <c r="F1649" t="inlineStr">
        <is>
          <t>B07X22X145</t>
        </is>
      </c>
      <c r="G1649">
        <f>_xlfn.IMAGE("https://camerareadycosmetics.com/cdn/shop/products/kimchi-rainbow-sharts-eyeshadow-palette-RS_Opened_4_1000x_e3a2505f-60d1-4f93-8287-62a2991c92b2_50x.jpg?v=1688675644")</f>
        <v/>
      </c>
      <c r="H1649">
        <f>_xlfn.IMAGE("https://m.media-amazon.com/images/I/81XT8-hwB7L._AC_UL320_.jpg")</f>
        <v/>
      </c>
      <c r="K1649" t="inlineStr">
        <is>
          <t>28.0</t>
        </is>
      </c>
      <c r="L1649" t="n">
        <v>9.99</v>
      </c>
      <c r="M1649" s="1" t="inlineStr">
        <is>
          <t>-64.32%</t>
        </is>
      </c>
      <c r="N1649" t="n">
        <v>4.7</v>
      </c>
      <c r="O1649" t="n">
        <v>7156</v>
      </c>
      <c r="Q1649" t="inlineStr">
        <is>
          <t>InStock</t>
        </is>
      </c>
      <c r="R1649" t="inlineStr">
        <is>
          <t>undefined</t>
        </is>
      </c>
      <c r="S1649" t="inlineStr">
        <is>
          <t>7069854073017</t>
        </is>
      </c>
    </row>
    <row r="1650" ht="75" customHeight="1">
      <c r="A1650" s="2">
        <f>HYPERLINK("https://camerareadycosmetics.com/products/kimchi-chic-beauty-rainbow-sharts-eyeshadow-palette", "https://camerareadycosmetics.com/products/kimchi-chic-beauty-rainbow-sharts-eyeshadow-palette")</f>
        <v/>
      </c>
      <c r="B1650" s="2">
        <f>HYPERLINK("https://camerareadycosmetics.com/products/kimchi-chic-beauty-rainbow-sharts-eyeshadow-palette", "https://camerareadycosmetics.com/products/kimchi-chic-beauty-rainbow-sharts-eyeshadow-palette")</f>
        <v/>
      </c>
      <c r="C1650" t="inlineStr">
        <is>
          <t>Rainbow Sharts Eyeshadow Palette</t>
        </is>
      </c>
      <c r="D1650" t="inlineStr">
        <is>
          <t>Rainbow Eyeshadow Palette, Professional 35 Bright Colors Matte Shimmer Eyeshadow Makeup Pallete - Long lasting and Highly Pigment Silky Powder Eye Shadow Make up Kit,Cruelty- Free #35E</t>
        </is>
      </c>
      <c r="E1650" s="2">
        <f>HYPERLINK("https://www.amazon.com/Eyeshadow-Palette-Bright-Shimmer-Pallete/dp/B07C6N6RM6/ref=sr_1_8?keywords=Rainbow+Sharts+Eyeshadow+Palette&amp;qid=1695565838&amp;sr=8-8", "https://www.amazon.com/Eyeshadow-Palette-Bright-Shimmer-Pallete/dp/B07C6N6RM6/ref=sr_1_8?keywords=Rainbow+Sharts+Eyeshadow+Palette&amp;qid=1695565838&amp;sr=8-8")</f>
        <v/>
      </c>
      <c r="F1650" t="inlineStr">
        <is>
          <t>B07C6N6RM6</t>
        </is>
      </c>
      <c r="G1650">
        <f>_xlfn.IMAGE("https://camerareadycosmetics.com/cdn/shop/products/kimchi-rainbow-sharts-eyeshadow-palette-RS_Opened_4_1000x_e3a2505f-60d1-4f93-8287-62a2991c92b2_50x.jpg?v=1688675644")</f>
        <v/>
      </c>
      <c r="H1650">
        <f>_xlfn.IMAGE("https://m.media-amazon.com/images/I/71MqfZy0HtL._AC_UL320_.jpg")</f>
        <v/>
      </c>
      <c r="K1650" t="inlineStr">
        <is>
          <t>28.0</t>
        </is>
      </c>
      <c r="L1650" t="n">
        <v>9.99</v>
      </c>
      <c r="M1650" s="1" t="inlineStr">
        <is>
          <t>-64.32%</t>
        </is>
      </c>
      <c r="N1650" t="n">
        <v>4.4</v>
      </c>
      <c r="O1650" t="n">
        <v>5163</v>
      </c>
      <c r="Q1650" t="inlineStr">
        <is>
          <t>InStock</t>
        </is>
      </c>
      <c r="R1650" t="inlineStr">
        <is>
          <t>undefined</t>
        </is>
      </c>
      <c r="S1650" t="inlineStr">
        <is>
          <t>7069854073017</t>
        </is>
      </c>
    </row>
    <row r="1651" ht="75" customHeight="1">
      <c r="A1651" s="2">
        <f>HYPERLINK("https://camerareadycosmetics.com/products/kimchi-chic-beauty-rainbow-sharts-eyeshadow-palette", "https://camerareadycosmetics.com/products/kimchi-chic-beauty-rainbow-sharts-eyeshadow-palette")</f>
        <v/>
      </c>
      <c r="B1651" s="2">
        <f>HYPERLINK("https://camerareadycosmetics.com/products/kimchi-chic-beauty-rainbow-sharts-eyeshadow-palette", "https://camerareadycosmetics.com/products/kimchi-chic-beauty-rainbow-sharts-eyeshadow-palette")</f>
        <v/>
      </c>
      <c r="C1651" t="inlineStr">
        <is>
          <t>Rainbow Sharts Eyeshadow Palette</t>
        </is>
      </c>
      <c r="D1651" t="inlineStr">
        <is>
          <t>Fusang 35 Colors Colorful Eyeshadow Palette,Highly Pigmented Long Lasting Blendable Matte Shimmer Eye Shadow Palette Waterproof Rainbow Eyeshadow Pallet Professional Eyeshadow Makeup Palette Gift Kit</t>
        </is>
      </c>
      <c r="E1651" s="2">
        <f>HYPERLINK("https://www.amazon.com/Fusang-Eyeshadow-Pigmented-Waterproof-Professional/dp/B0BR7VWKV2/ref=sr_1_9?keywords=Rainbow+Sharts+Eyeshadow+Palette&amp;qid=1695565838&amp;sr=8-9", "https://www.amazon.com/Fusang-Eyeshadow-Pigmented-Waterproof-Professional/dp/B0BR7VWKV2/ref=sr_1_9?keywords=Rainbow+Sharts+Eyeshadow+Palette&amp;qid=1695565838&amp;sr=8-9")</f>
        <v/>
      </c>
      <c r="F1651" t="inlineStr">
        <is>
          <t>B0BR7VWKV2</t>
        </is>
      </c>
      <c r="G1651">
        <f>_xlfn.IMAGE("https://camerareadycosmetics.com/cdn/shop/products/kimchi-rainbow-sharts-eyeshadow-palette-RS_Opened_4_1000x_e3a2505f-60d1-4f93-8287-62a2991c92b2_50x.jpg?v=1688675644")</f>
        <v/>
      </c>
      <c r="H1651">
        <f>_xlfn.IMAGE("https://m.media-amazon.com/images/I/71zbKrf5qTL._AC_UL320_.jpg")</f>
        <v/>
      </c>
      <c r="K1651" t="inlineStr">
        <is>
          <t>28.0</t>
        </is>
      </c>
      <c r="L1651" t="n">
        <v>8.98</v>
      </c>
      <c r="M1651" s="1" t="inlineStr">
        <is>
          <t>-67.93%</t>
        </is>
      </c>
      <c r="N1651" t="n">
        <v>4.1</v>
      </c>
      <c r="O1651" t="n">
        <v>6</v>
      </c>
      <c r="Q1651" t="inlineStr">
        <is>
          <t>InStock</t>
        </is>
      </c>
      <c r="R1651" t="inlineStr">
        <is>
          <t>undefined</t>
        </is>
      </c>
      <c r="S1651" t="inlineStr">
        <is>
          <t>7069854073017</t>
        </is>
      </c>
    </row>
    <row r="1652" ht="75" customHeight="1">
      <c r="A1652" s="2">
        <f>HYPERLINK("https://camerareadycosmetics.com/products/kimchi-chic-beauty-rainbow-sharts-eyeshadow-palette", "https://camerareadycosmetics.com/products/kimchi-chic-beauty-rainbow-sharts-eyeshadow-palette")</f>
        <v/>
      </c>
      <c r="B1652" s="2">
        <f>HYPERLINK("https://camerareadycosmetics.com/products/kimchi-chic-beauty-rainbow-sharts-eyeshadow-palette", "https://camerareadycosmetics.com/products/kimchi-chic-beauty-rainbow-sharts-eyeshadow-palette")</f>
        <v/>
      </c>
      <c r="C1652" t="inlineStr">
        <is>
          <t>Rainbow Sharts Eyeshadow Palette</t>
        </is>
      </c>
      <c r="D1652" t="inlineStr">
        <is>
          <t>9Color Pink White Golden Brown Warm Glitter Colorful Eyeshadow Palette Makeup,Korean Natural Neutral Rainbow Eyeshadow palettes Highly Pigmented Naturing-Looking Long Lasting Waterproof Blendable</t>
        </is>
      </c>
      <c r="E1652" s="2">
        <f>HYPERLINK("https://www.amazon.com/Eyeshadow-Pigmented-Naturing-Looking-Waterproof-Blendable/dp/B0C8BZPJQ5/ref=sr_1_4?keywords=Rainbow+Sharts+Eyeshadow+Palette&amp;qid=1695565838&amp;sr=8-4", "https://www.amazon.com/Eyeshadow-Pigmented-Naturing-Looking-Waterproof-Blendable/dp/B0C8BZPJQ5/ref=sr_1_4?keywords=Rainbow+Sharts+Eyeshadow+Palette&amp;qid=1695565838&amp;sr=8-4")</f>
        <v/>
      </c>
      <c r="F1652" t="inlineStr">
        <is>
          <t>B0C8BZPJQ5</t>
        </is>
      </c>
      <c r="G1652">
        <f>_xlfn.IMAGE("https://camerareadycosmetics.com/cdn/shop/products/kimchi-rainbow-sharts-eyeshadow-palette-RS_Opened_4_1000x_e3a2505f-60d1-4f93-8287-62a2991c92b2_50x.jpg?v=1688675644")</f>
        <v/>
      </c>
      <c r="H1652">
        <f>_xlfn.IMAGE("https://m.media-amazon.com/images/I/71Sj2MGi7xL._AC_UL320_.jpg")</f>
        <v/>
      </c>
      <c r="K1652" t="inlineStr">
        <is>
          <t>28.0</t>
        </is>
      </c>
      <c r="L1652" t="n">
        <v>6.99</v>
      </c>
      <c r="M1652" s="1" t="inlineStr">
        <is>
          <t>-75.04%</t>
        </is>
      </c>
      <c r="N1652" t="n">
        <v>3.8</v>
      </c>
      <c r="O1652" t="n">
        <v>7</v>
      </c>
      <c r="Q1652" t="inlineStr">
        <is>
          <t>InStock</t>
        </is>
      </c>
      <c r="R1652" t="inlineStr">
        <is>
          <t>undefined</t>
        </is>
      </c>
      <c r="S1652" t="inlineStr">
        <is>
          <t>7069854073017</t>
        </is>
      </c>
    </row>
    <row r="1653" ht="75" customHeight="1">
      <c r="A1653" s="2">
        <f>HYPERLINK("https://camerareadycosmetics.com/products/kimchi-chic-beauty-rainbow-sharts-eyeshadow-palette", "https://camerareadycosmetics.com/products/kimchi-chic-beauty-rainbow-sharts-eyeshadow-palette")</f>
        <v/>
      </c>
      <c r="B1653" s="2">
        <f>HYPERLINK("https://camerareadycosmetics.com/products/kimchi-chic-beauty-rainbow-sharts-eyeshadow-palette", "https://camerareadycosmetics.com/products/kimchi-chic-beauty-rainbow-sharts-eyeshadow-palette")</f>
        <v/>
      </c>
      <c r="C1653" t="inlineStr">
        <is>
          <t>Rainbow Sharts Eyeshadow Palette</t>
        </is>
      </c>
      <c r="D1653" t="inlineStr">
        <is>
          <t>Brights Rainbow Eyeshadow Palatte, 9 Colors Longwearing Highly Pigmented Powder Palet,Ultimate Eye Shadow Palette, Eye Makeup, Paleta de sombras de ojos iridiscentes H2</t>
        </is>
      </c>
      <c r="E1653" s="2">
        <f>HYPERLINK("https://www.amazon.com/KARNAR-Eyeshadow-Longwearing-Pigmented-iridiscentes/dp/B0BXDC3LST/ref=sr_1_6?keywords=Rainbow+Sharts+Eyeshadow+Palette&amp;qid=1695565838&amp;sr=8-6", "https://www.amazon.com/KARNAR-Eyeshadow-Longwearing-Pigmented-iridiscentes/dp/B0BXDC3LST/ref=sr_1_6?keywords=Rainbow+Sharts+Eyeshadow+Palette&amp;qid=1695565838&amp;sr=8-6")</f>
        <v/>
      </c>
      <c r="F1653" t="inlineStr">
        <is>
          <t>B0BXDC3LST</t>
        </is>
      </c>
      <c r="G1653">
        <f>_xlfn.IMAGE("https://camerareadycosmetics.com/cdn/shop/products/kimchi-rainbow-sharts-eyeshadow-palette-RS_Opened_4_1000x_e3a2505f-60d1-4f93-8287-62a2991c92b2_50x.jpg?v=1688675644")</f>
        <v/>
      </c>
      <c r="H1653">
        <f>_xlfn.IMAGE("https://m.media-amazon.com/images/I/61XSzVwYVcL._AC_UL320_.jpg")</f>
        <v/>
      </c>
      <c r="K1653" t="inlineStr">
        <is>
          <t>28.0</t>
        </is>
      </c>
      <c r="L1653" t="n">
        <v>6.99</v>
      </c>
      <c r="M1653" s="1" t="inlineStr">
        <is>
          <t>-75.04%</t>
        </is>
      </c>
      <c r="N1653" t="n">
        <v>4</v>
      </c>
      <c r="O1653" t="n">
        <v>253</v>
      </c>
      <c r="Q1653" t="inlineStr">
        <is>
          <t>InStock</t>
        </is>
      </c>
      <c r="R1653" t="inlineStr">
        <is>
          <t>undefined</t>
        </is>
      </c>
      <c r="S1653" t="inlineStr">
        <is>
          <t>7069854073017</t>
        </is>
      </c>
    </row>
    <row r="1654" ht="75" customHeight="1">
      <c r="A1654" s="2">
        <f>HYPERLINK("https://camerareadycosmetics.com/products/kimchi-chic-beauty-rainbow-sharts-eyeshadow-palette", "https://camerareadycosmetics.com/products/kimchi-chic-beauty-rainbow-sharts-eyeshadow-palette")</f>
        <v/>
      </c>
      <c r="B1654" s="2">
        <f>HYPERLINK("https://camerareadycosmetics.com/products/kimchi-chic-beauty-rainbow-sharts-eyeshadow-palette", "https://camerareadycosmetics.com/products/kimchi-chic-beauty-rainbow-sharts-eyeshadow-palette")</f>
        <v/>
      </c>
      <c r="C1654" t="inlineStr">
        <is>
          <t>Rainbow Sharts Eyeshadow Palette</t>
        </is>
      </c>
      <c r="D1654" t="inlineStr">
        <is>
          <t>9 Colors Rainbow Eyeshadow Palette, High Pigmented Colorful Eyeshadow Makeup Palette, Bright Neon Eyeshadow Palette Lasting Waterproof Natural Eyeshadow Palette</t>
        </is>
      </c>
      <c r="E1654" s="2">
        <f>HYPERLINK("https://www.amazon.com/Yeweian-Eyeshadow-Colorful-Pigmented-Waterproof/dp/B09CM9V6LH/ref=sr_1_7?keywords=Rainbow+Sharts+Eyeshadow+Palette&amp;qid=1695565838&amp;sr=8-7", "https://www.amazon.com/Yeweian-Eyeshadow-Colorful-Pigmented-Waterproof/dp/B09CM9V6LH/ref=sr_1_7?keywords=Rainbow+Sharts+Eyeshadow+Palette&amp;qid=1695565838&amp;sr=8-7")</f>
        <v/>
      </c>
      <c r="F1654" t="inlineStr">
        <is>
          <t>B09CM9V6LH</t>
        </is>
      </c>
      <c r="G1654">
        <f>_xlfn.IMAGE("https://camerareadycosmetics.com/cdn/shop/products/kimchi-rainbow-sharts-eyeshadow-palette-RS_Opened_4_1000x_e3a2505f-60d1-4f93-8287-62a2991c92b2_50x.jpg?v=1688675644")</f>
        <v/>
      </c>
      <c r="H1654">
        <f>_xlfn.IMAGE("https://m.media-amazon.com/images/I/61kxUF-fI1L._AC_UL320_.jpg")</f>
        <v/>
      </c>
      <c r="K1654" t="inlineStr">
        <is>
          <t>28.0</t>
        </is>
      </c>
      <c r="L1654" t="n">
        <v>5.99</v>
      </c>
      <c r="M1654" s="1" t="inlineStr">
        <is>
          <t>-78.61%</t>
        </is>
      </c>
      <c r="N1654" t="n">
        <v>4.1</v>
      </c>
      <c r="O1654" t="n">
        <v>901</v>
      </c>
      <c r="Q1654" t="inlineStr">
        <is>
          <t>InStock</t>
        </is>
      </c>
      <c r="R1654" t="inlineStr">
        <is>
          <t>undefined</t>
        </is>
      </c>
      <c r="S1654" t="inlineStr">
        <is>
          <t>7069854073017</t>
        </is>
      </c>
    </row>
    <row r="1655" ht="75" customHeight="1">
      <c r="A1655" s="2">
        <f>HYPERLINK("https://camerareadycosmetics.com/products/kimchi-chic-beauty-stage-proof-liquid-liner-felt-tip-black", "https://camerareadycosmetics.com/products/kimchi-chic-beauty-stage-proof-liquid-liner-felt-tip-black")</f>
        <v/>
      </c>
      <c r="B1655" s="2">
        <f>HYPERLINK("https://camerareadycosmetics.com/products/kimchi-chic-beauty-stage-proof-liquid-liner-felt-tip-black", "https://camerareadycosmetics.com/products/kimchi-chic-beauty-stage-proof-liquid-liner-felt-tip-black")</f>
        <v/>
      </c>
      <c r="C1655" t="inlineStr">
        <is>
          <t>Stage Proof Liquid Liner - Felt Tip Black</t>
        </is>
      </c>
      <c r="D1655" t="inlineStr">
        <is>
          <t>Jumbo Volume Liquid Black Eyeliner Set - 2 PCs Felt Tip Eye Liner for Perfectly Defined Winged Cat Eyes</t>
        </is>
      </c>
      <c r="E1655" s="2">
        <f>HYPERLINK("https://www.amazon.com/Jumbo-Liquid-Black-Eyeliner-Set/dp/B0B94MTG86/ref=sr_1_6?keywords=Stage+Proof+Liquid+Liner+-+Felt+Tip+Black&amp;qid=1695565652&amp;sr=8-6", "https://www.amazon.com/Jumbo-Liquid-Black-Eyeliner-Set/dp/B0B94MTG86/ref=sr_1_6?keywords=Stage+Proof+Liquid+Liner+-+Felt+Tip+Black&amp;qid=1695565652&amp;sr=8-6")</f>
        <v/>
      </c>
      <c r="F1655" t="inlineStr">
        <is>
          <t>B0B94MTG86</t>
        </is>
      </c>
      <c r="G1655">
        <f>_xlfn.IMAGE("https://camerareadycosmetics.com/cdn/shop/products/KimChi-Chic-Beauty-Stage-Proof-Liquid-Liner---Felt-Tip-Black_1000x_59f3d001-71bd-4b9c-8949-70e2d336503d_50x.jpg?v=1636065562")</f>
        <v/>
      </c>
      <c r="H1655">
        <f>_xlfn.IMAGE("https://m.media-amazon.com/images/I/51HZ4o9JpxL._AC_UL320_.jpg")</f>
        <v/>
      </c>
      <c r="K1655" t="inlineStr">
        <is>
          <t>10.0</t>
        </is>
      </c>
      <c r="L1655" t="n">
        <v>5.94</v>
      </c>
      <c r="M1655" s="1" t="inlineStr">
        <is>
          <t>-40.60%</t>
        </is>
      </c>
      <c r="N1655" t="n">
        <v>3.7</v>
      </c>
      <c r="O1655" t="n">
        <v>23</v>
      </c>
      <c r="Q1655" t="inlineStr">
        <is>
          <t>InStock</t>
        </is>
      </c>
      <c r="R1655" t="inlineStr">
        <is>
          <t>undefined</t>
        </is>
      </c>
      <c r="S1655" t="inlineStr">
        <is>
          <t>7069967745209</t>
        </is>
      </c>
    </row>
    <row r="1656" ht="75" customHeight="1">
      <c r="A1656" s="2">
        <f>HYPERLINK("https://camerareadycosmetics.com/products/kimchi-chic-beauty-stage-proof-matte-setting-spray", "https://camerareadycosmetics.com/products/kimchi-chic-beauty-stage-proof-matte-setting-spray")</f>
        <v/>
      </c>
      <c r="B1656" s="2">
        <f>HYPERLINK("https://camerareadycosmetics.com/products/kimchi-chic-beauty-stage-proof-matte-setting-spray", "https://camerareadycosmetics.com/products/kimchi-chic-beauty-stage-proof-matte-setting-spray")</f>
        <v/>
      </c>
      <c r="C1656" t="inlineStr">
        <is>
          <t>Stage Proof Matte Setting Spray</t>
        </is>
      </c>
      <c r="D1656" t="inlineStr">
        <is>
          <t>KimChi Chic Beauty Stage Proof Matte Setting Spray</t>
        </is>
      </c>
      <c r="E1656" s="2">
        <f>HYPERLINK("https://www.amazon.com/Kimchi-Chic-Beauty-Stage-Setting/dp/B0992WZV2H/ref=sr_1_1?keywords=Stage+Proof+Matte+Setting+Spray&amp;qid=1695565493&amp;sr=8-1", "https://www.amazon.com/Kimchi-Chic-Beauty-Stage-Setting/dp/B0992WZV2H/ref=sr_1_1?keywords=Stage+Proof+Matte+Setting+Spray&amp;qid=1695565493&amp;sr=8-1")</f>
        <v/>
      </c>
      <c r="F1656" t="inlineStr">
        <is>
          <t>B0992WZV2H</t>
        </is>
      </c>
      <c r="G1656">
        <f>_xlfn.IMAGE("https://camerareadycosmetics.com/cdn/shop/products/KimChi-Chic-Beauty-Stage-Proof-Matte-Setting-Spray_50x.jpg?v=1636137655")</f>
        <v/>
      </c>
      <c r="H1656">
        <f>_xlfn.IMAGE("https://m.media-amazon.com/images/I/61j2FdloFIS._AC_UL320_.jpg")</f>
        <v/>
      </c>
      <c r="K1656" t="inlineStr">
        <is>
          <t>16.0</t>
        </is>
      </c>
      <c r="L1656" t="n">
        <v>34.95</v>
      </c>
      <c r="M1656" s="1" t="inlineStr">
        <is>
          <t>118.44%</t>
        </is>
      </c>
      <c r="N1656" t="n">
        <v>4.3</v>
      </c>
      <c r="O1656" t="n">
        <v>49</v>
      </c>
      <c r="Q1656" t="inlineStr">
        <is>
          <t>OutOfStock</t>
        </is>
      </c>
      <c r="R1656" t="inlineStr">
        <is>
          <t>undefined</t>
        </is>
      </c>
      <c r="S1656" t="inlineStr">
        <is>
          <t>7071025660089</t>
        </is>
      </c>
    </row>
    <row r="1657" ht="75" customHeight="1">
      <c r="A1657" s="2">
        <f>HYPERLINK("https://camerareadycosmetics.com/products/kimchi-chic-beauty-that-white-powder-no-color-setting-powder", "https://camerareadycosmetics.com/products/kimchi-chic-beauty-that-white-powder-no-color-setting-powder")</f>
        <v/>
      </c>
      <c r="B1657" s="2">
        <f>HYPERLINK("https://camerareadycosmetics.com/products/kimchi-chic-beauty-that-white-powder-no-color-setting-powder", "https://camerareadycosmetics.com/products/kimchi-chic-beauty-that-white-powder-no-color-setting-powder")</f>
        <v/>
      </c>
      <c r="C1657" t="inlineStr">
        <is>
          <t>That White Powder No Color Setting Powder</t>
        </is>
      </c>
      <c r="D1657" t="inlineStr">
        <is>
          <t>Sacha BUTTERCUP No Color Setting Powder Makeup 1.75 Oz. Translucent Setting Powder for Oily Skin Finishing Powder Loose Powder Makeup Blurring Powder Blurs Fine Lines and Pores For All Skin Tones</t>
        </is>
      </c>
      <c r="E1657" s="2">
        <f>HYPERLINK("https://www.amazon.com/BUTTERCUP-COLOR-Translucent-Invisible-Tones-1-25/dp/B07CMFYLBX/ref=sr_1_1?keywords=That+White+Powder+No+Color+Setting+Powder&amp;qid=1695565566&amp;sr=8-1", "https://www.amazon.com/BUTTERCUP-COLOR-Translucent-Invisible-Tones-1-25/dp/B07CMFYLBX/ref=sr_1_1?keywords=That+White+Powder+No+Color+Setting+Powder&amp;qid=1695565566&amp;sr=8-1")</f>
        <v/>
      </c>
      <c r="F1657" t="inlineStr">
        <is>
          <t>B07CMFYLBX</t>
        </is>
      </c>
      <c r="G1657">
        <f>_xlfn.IMAGE("https://camerareadycosmetics.com/cdn/shop/products/KimChi-Chic-Beauty-Puff-Puff-Pass-Setting-Powder-no-color-PPP01_333_1000x_bda7cd04-dd39-480b-8259-8430cd13a3dc_50x.jpg?v=1636146223")</f>
        <v/>
      </c>
      <c r="H1657">
        <f>_xlfn.IMAGE("https://m.media-amazon.com/images/I/71c+hNgUiwL._AC_UL320_.jpg")</f>
        <v/>
      </c>
      <c r="K1657" t="inlineStr">
        <is>
          <t>19.0</t>
        </is>
      </c>
      <c r="L1657" t="n">
        <v>29.99</v>
      </c>
      <c r="M1657" s="1" t="inlineStr">
        <is>
          <t>57.84%</t>
        </is>
      </c>
      <c r="N1657" t="n">
        <v>4.6</v>
      </c>
      <c r="O1657" t="n">
        <v>17025</v>
      </c>
      <c r="Q1657" t="inlineStr">
        <is>
          <t>OutOfStock</t>
        </is>
      </c>
      <c r="R1657" t="inlineStr">
        <is>
          <t>undefined</t>
        </is>
      </c>
      <c r="S1657" t="inlineStr">
        <is>
          <t>7071122456761</t>
        </is>
      </c>
    </row>
    <row r="1658" ht="75" customHeight="1">
      <c r="A1658" s="2">
        <f>HYPERLINK("https://camerareadycosmetics.com/products/kimchi-chic-beauty-wet-with-plumper-lip-gloss", "https://camerareadycosmetics.com/products/kimchi-chic-beauty-wet-with-plumper-lip-gloss")</f>
        <v/>
      </c>
      <c r="B1658" s="2">
        <f>HYPERLINK("https://camerareadycosmetics.com/products/kimchi-chic-beauty-wet-with-plumper-lip-gloss", "https://camerareadycosmetics.com/products/kimchi-chic-beauty-wet-with-plumper-lip-gloss")</f>
        <v/>
      </c>
      <c r="C1658" t="inlineStr">
        <is>
          <t>Wet with Plumper Lip Gloss</t>
        </is>
      </c>
      <c r="D1658" t="inlineStr">
        <is>
          <t>Kosas Wet Lip Oil Gloss - Hydrating Lip Plumping Treatment with Hyaluronic Acid &amp; Peptides, Non-Sticky Finish (Exposed)</t>
        </is>
      </c>
      <c r="E1658" s="2">
        <f>HYPERLINK("https://www.amazon.com/Kosas-Plumping-Treatment-Gloss-Exposed/dp/B0BXLW6QV6/ref=sr_1_1?keywords=Wet+with+Plumper+Lip+Gloss&amp;qid=1695565694&amp;sr=8-1", "https://www.amazon.com/Kosas-Plumping-Treatment-Gloss-Exposed/dp/B0BXLW6QV6/ref=sr_1_1?keywords=Wet+with+Plumper+Lip+Gloss&amp;qid=1695565694&amp;sr=8-1")</f>
        <v/>
      </c>
      <c r="F1658" t="inlineStr">
        <is>
          <t>B0BXLW6QV6</t>
        </is>
      </c>
      <c r="G1658">
        <f>_xlfn.IMAGE("https://camerareadycosmetics.com/cdn/shop/products/manhattan-CircleSwatch_WG1_1000x_a67613ff-6392-461b-a3e0-8bdaa71d9b35_50x.jpg?v=1637602424")</f>
        <v/>
      </c>
      <c r="H1658">
        <f>_xlfn.IMAGE("https://m.media-amazon.com/images/I/61SQeSebWOL._AC_UL320_.jpg")</f>
        <v/>
      </c>
      <c r="K1658" t="inlineStr">
        <is>
          <t>10.0</t>
        </is>
      </c>
      <c r="L1658" t="n">
        <v>22</v>
      </c>
      <c r="M1658" s="1" t="inlineStr">
        <is>
          <t>120.00%</t>
        </is>
      </c>
      <c r="N1658" t="n">
        <v>4.1</v>
      </c>
      <c r="O1658" t="n">
        <v>254</v>
      </c>
      <c r="Q1658" t="inlineStr">
        <is>
          <t>InStock</t>
        </is>
      </c>
      <c r="R1658" t="inlineStr">
        <is>
          <t>undefined</t>
        </is>
      </c>
      <c r="S1658" t="inlineStr">
        <is>
          <t>7094725738681</t>
        </is>
      </c>
    </row>
    <row r="1659" ht="75" customHeight="1">
      <c r="A1659" s="2">
        <f>HYPERLINK("https://camerareadycosmetics.com/products/kimchi-chic-beauty-wet-with-plumper-lip-gloss", "https://camerareadycosmetics.com/products/kimchi-chic-beauty-wet-with-plumper-lip-gloss")</f>
        <v/>
      </c>
      <c r="B1659" s="2">
        <f>HYPERLINK("https://camerareadycosmetics.com/products/kimchi-chic-beauty-wet-with-plumper-lip-gloss", "https://camerareadycosmetics.com/products/kimchi-chic-beauty-wet-with-plumper-lip-gloss")</f>
        <v/>
      </c>
      <c r="C1659" t="inlineStr">
        <is>
          <t>Wet with Plumper Lip Gloss</t>
        </is>
      </c>
      <c r="D1659" t="inlineStr">
        <is>
          <t>MODE Lip Glaze RED HOT CINNAMON Flavored Lip Gloss Roll On Sheer Wet Shine with Hydrating Moisturizing Sweet Almond, Areni Noir &amp; Wild Rose Natural Skincare Fruit Oils – No Cruelty Vegan, NY Made 4ml</t>
        </is>
      </c>
      <c r="E1659" s="2">
        <f>HYPERLINK("https://www.amazon.com/Mode-Red-Hot-Cinnamon-Moisturizing/dp/B076PMG6NZ/ref=sr_1_6?keywords=Wet+with+Plumper+Lip+Gloss&amp;qid=1695565694&amp;sr=8-6", "https://www.amazon.com/Mode-Red-Hot-Cinnamon-Moisturizing/dp/B076PMG6NZ/ref=sr_1_6?keywords=Wet+with+Plumper+Lip+Gloss&amp;qid=1695565694&amp;sr=8-6")</f>
        <v/>
      </c>
      <c r="F1659" t="inlineStr">
        <is>
          <t>B076PMG6NZ</t>
        </is>
      </c>
      <c r="G1659">
        <f>_xlfn.IMAGE("https://camerareadycosmetics.com/cdn/shop/products/manhattan-CircleSwatch_WG1_1000x_a67613ff-6392-461b-a3e0-8bdaa71d9b35_50x.jpg?v=1637602424")</f>
        <v/>
      </c>
      <c r="H1659">
        <f>_xlfn.IMAGE("https://m.media-amazon.com/images/I/31emClE+ucL._AC_UL320_.jpg")</f>
        <v/>
      </c>
      <c r="K1659" t="inlineStr">
        <is>
          <t>10.0</t>
        </is>
      </c>
      <c r="L1659" t="n">
        <v>18</v>
      </c>
      <c r="M1659" s="1" t="inlineStr">
        <is>
          <t>80.00%</t>
        </is>
      </c>
      <c r="N1659" t="n">
        <v>4.2</v>
      </c>
      <c r="O1659" t="n">
        <v>579</v>
      </c>
      <c r="Q1659" t="inlineStr">
        <is>
          <t>InStock</t>
        </is>
      </c>
      <c r="R1659" t="inlineStr">
        <is>
          <t>undefined</t>
        </is>
      </c>
      <c r="S1659" t="inlineStr">
        <is>
          <t>7094725738681</t>
        </is>
      </c>
    </row>
    <row r="1660" ht="75" customHeight="1">
      <c r="A1660" s="2">
        <f>HYPERLINK("https://camerareadycosmetics.com/products/kimchi-chic-beauty-you-make-me-happy-eyeshadow-palette", "https://camerareadycosmetics.com/products/kimchi-chic-beauty-you-make-me-happy-eyeshadow-palette")</f>
        <v/>
      </c>
      <c r="B1660" s="2">
        <f>HYPERLINK("https://camerareadycosmetics.com/products/kimchi-chic-beauty-you-make-me-happy-eyeshadow-palette", "https://camerareadycosmetics.com/products/kimchi-chic-beauty-you-make-me-happy-eyeshadow-palette")</f>
        <v/>
      </c>
      <c r="C1660" t="inlineStr">
        <is>
          <t>You Make Me Happy Eyeshadow Palette</t>
        </is>
      </c>
      <c r="D1660" t="inlineStr">
        <is>
          <t>Kimchi Chic Beauty The Happy Palette - You Make Me Happy</t>
        </is>
      </c>
      <c r="E1660" s="2">
        <f>HYPERLINK("https://www.amazon.com/Kimchi-Chic-Beauty-Happy-Palette/dp/B0964BZWP7/ref=sr_1_1?keywords=You+Make+Me+Happy+Eyeshadow+Palette&amp;qid=1695565852&amp;sr=8-1", "https://www.amazon.com/Kimchi-Chic-Beauty-Happy-Palette/dp/B0964BZWP7/ref=sr_1_1?keywords=You+Make+Me+Happy+Eyeshadow+Palette&amp;qid=1695565852&amp;sr=8-1")</f>
        <v/>
      </c>
      <c r="F1660" t="inlineStr">
        <is>
          <t>B0964BZWP7</t>
        </is>
      </c>
      <c r="G1660">
        <f>_xlfn.IMAGE("https://camerareadycosmetics.com/cdn/shop/products/KimChiChicBeautyYouMakeMeHappyEyeshadowPalette-YMMH-01_1000x_93128261-8cd9-4c86-ae0d-f209c2401761_50x.jpg?v=1636063053")</f>
        <v/>
      </c>
      <c r="H1660">
        <f>_xlfn.IMAGE("https://m.media-amazon.com/images/I/71Cnk-htseS._AC_UL320_.jpg")</f>
        <v/>
      </c>
      <c r="K1660" t="inlineStr">
        <is>
          <t>28.0</t>
        </is>
      </c>
      <c r="L1660" t="n">
        <v>27.99</v>
      </c>
      <c r="M1660" s="1" t="inlineStr">
        <is>
          <t>-0.04%</t>
        </is>
      </c>
      <c r="N1660" t="n">
        <v>4.7</v>
      </c>
      <c r="O1660" t="n">
        <v>11</v>
      </c>
      <c r="Q1660" t="inlineStr">
        <is>
          <t>InStock</t>
        </is>
      </c>
      <c r="R1660" t="inlineStr">
        <is>
          <t>undefined</t>
        </is>
      </c>
      <c r="S1660" t="inlineStr">
        <is>
          <t>7069910368441</t>
        </is>
      </c>
    </row>
    <row r="1661" ht="75" customHeight="1">
      <c r="A1661" s="2">
        <f>HYPERLINK("https://camerareadycosmetics.com/products/kimchi-chic-beauty-you-make-me-happy-eyeshadow-palette", "https://camerareadycosmetics.com/products/kimchi-chic-beauty-you-make-me-happy-eyeshadow-palette")</f>
        <v/>
      </c>
      <c r="B1661" s="2">
        <f>HYPERLINK("https://camerareadycosmetics.com/products/kimchi-chic-beauty-you-make-me-happy-eyeshadow-palette", "https://camerareadycosmetics.com/products/kimchi-chic-beauty-you-make-me-happy-eyeshadow-palette")</f>
        <v/>
      </c>
      <c r="C1661" t="inlineStr">
        <is>
          <t>You Make Me Happy Eyeshadow Palette</t>
        </is>
      </c>
      <c r="D1661" t="inlineStr">
        <is>
          <t>Impress You Eyeshadow Palette, Highly Pigmented 35 Shades Matte and Shimmers Makeup Palette, Blendable Long Lasting Waterproof Eye Shadow, Vegan Stay Long Cruelty- Free Makeup Pallet, Full Face Eye Make Up for Beginners Smokey Eye</t>
        </is>
      </c>
      <c r="E1661" s="2">
        <f>HYPERLINK("https://www.amazon.com/Eyeshadow-Palette-Pigmented-Waterproof-Sweatproof/dp/B08R85W3VN/ref=sr_1_3?keywords=You+Make+Me+Happy+Eyeshadow+Palette&amp;qid=1695565852&amp;sr=8-3", "https://www.amazon.com/Eyeshadow-Palette-Pigmented-Waterproof-Sweatproof/dp/B08R85W3VN/ref=sr_1_3?keywords=You+Make+Me+Happy+Eyeshadow+Palette&amp;qid=1695565852&amp;sr=8-3")</f>
        <v/>
      </c>
      <c r="F1661" t="inlineStr">
        <is>
          <t>B08R85W3VN</t>
        </is>
      </c>
      <c r="G1661">
        <f>_xlfn.IMAGE("https://camerareadycosmetics.com/cdn/shop/products/KimChiChicBeautyYouMakeMeHappyEyeshadowPalette-YMMH-01_1000x_93128261-8cd9-4c86-ae0d-f209c2401761_50x.jpg?v=1636063053")</f>
        <v/>
      </c>
      <c r="H1661">
        <f>_xlfn.IMAGE("https://m.media-amazon.com/images/I/91HPkhhFp6L._AC_UL320_.jpg")</f>
        <v/>
      </c>
      <c r="K1661" t="inlineStr">
        <is>
          <t>28.0</t>
        </is>
      </c>
      <c r="L1661" t="n">
        <v>6.99</v>
      </c>
      <c r="M1661" s="1" t="inlineStr">
        <is>
          <t>-75.04%</t>
        </is>
      </c>
      <c r="N1661" t="n">
        <v>4.5</v>
      </c>
      <c r="O1661" t="n">
        <v>3773</v>
      </c>
      <c r="Q1661" t="inlineStr">
        <is>
          <t>InStock</t>
        </is>
      </c>
      <c r="R1661" t="inlineStr">
        <is>
          <t>undefined</t>
        </is>
      </c>
      <c r="S1661" t="inlineStr">
        <is>
          <t>7069910368441</t>
        </is>
      </c>
    </row>
    <row r="1662" ht="75" customHeight="1">
      <c r="A1662" s="2">
        <f>HYPERLINK("https://camerareadycosmetics.com/products/kimchi-chic-beauty-you-make-me-happy-eyeshadow-palette", "https://camerareadycosmetics.com/products/kimchi-chic-beauty-you-make-me-happy-eyeshadow-palette")</f>
        <v/>
      </c>
      <c r="B1662" s="2">
        <f>HYPERLINK("https://camerareadycosmetics.com/products/kimchi-chic-beauty-you-make-me-happy-eyeshadow-palette", "https://camerareadycosmetics.com/products/kimchi-chic-beauty-you-make-me-happy-eyeshadow-palette")</f>
        <v/>
      </c>
      <c r="C1662" t="inlineStr">
        <is>
          <t>You Make Me Happy Eyeshadow Palette</t>
        </is>
      </c>
      <c r="D1662" t="inlineStr">
        <is>
          <t>Impress You Eyeshadow Palette, Highly Pigmented 35 Shades Matte and Shimmers Makeup Palette, Blendable Long Lasting Waterproof Eye Shadow, Vegan Stay Long Cruelty- Free Makeup Pallet, Full Face Eye Make Up for Beginners Smokey Eye</t>
        </is>
      </c>
      <c r="E1662" s="2">
        <f>HYPERLINK("https://www.amazon.com/Eyeshadow-Palette-Pigmented-Waterproof-Sweatproof/dp/B08R85W3VN/ref=sr_1_3?keywords=You+Make+Me+Happy+Eyeshadow+Palette&amp;qid=1695565852&amp;sr=8-3", "https://www.amazon.com/Eyeshadow-Palette-Pigmented-Waterproof-Sweatproof/dp/B08R85W3VN/ref=sr_1_3?keywords=You+Make+Me+Happy+Eyeshadow+Palette&amp;qid=1695565852&amp;sr=8-3")</f>
        <v/>
      </c>
      <c r="F1662" t="inlineStr">
        <is>
          <t>B08R85W3VN</t>
        </is>
      </c>
      <c r="G1662">
        <f>_xlfn.IMAGE("https://camerareadycosmetics.com/cdn/shop/products/KimChiChicBeautyYouMakeMeHappyEyeshadowPalette-YMMH-01_1000x_93128261-8cd9-4c86-ae0d-f209c2401761_50x.jpg?v=1636063053")</f>
        <v/>
      </c>
      <c r="H1662">
        <f>_xlfn.IMAGE("https://m.media-amazon.com/images/I/91HPkhhFp6L._AC_UL320_.jpg")</f>
        <v/>
      </c>
      <c r="K1662" t="inlineStr">
        <is>
          <t>28.0</t>
        </is>
      </c>
      <c r="L1662" t="n">
        <v>6.99</v>
      </c>
      <c r="M1662" s="1" t="inlineStr">
        <is>
          <t>-75.04%</t>
        </is>
      </c>
      <c r="N1662" t="n">
        <v>4.5</v>
      </c>
      <c r="O1662" t="n">
        <v>3773</v>
      </c>
      <c r="Q1662" t="inlineStr">
        <is>
          <t>InStock</t>
        </is>
      </c>
      <c r="R1662" t="inlineStr">
        <is>
          <t>undefined</t>
        </is>
      </c>
      <c r="S1662" t="inlineStr">
        <is>
          <t>7069910368441</t>
        </is>
      </c>
    </row>
    <row r="1663" ht="75" customHeight="1">
      <c r="A1663" s="2">
        <f>HYPERLINK("https://camerareadycosmetics.com/products/koh-gen-do-maifanshi-aqua-foundation", "https://camerareadycosmetics.com/products/koh-gen-do-maifanshi-aqua-foundation")</f>
        <v/>
      </c>
      <c r="B1663" s="2">
        <f>HYPERLINK("https://camerareadycosmetics.com/products/koh-gen-do-maifanshi-aqua-foundation", "https://camerareadycosmetics.com/products/koh-gen-do-maifanshi-aqua-foundation")</f>
        <v/>
      </c>
      <c r="C1663" t="inlineStr">
        <is>
          <t>Maifanshi Aqua Foundation</t>
        </is>
      </c>
      <c r="D1663" t="inlineStr">
        <is>
          <t>Maifanshi Aqua Foundation</t>
        </is>
      </c>
      <c r="E1663" s="2">
        <f>HYPERLINK("https://www.amazon.com/Koh-Gen-Do-Foundation-Dark-Light/dp/B07CQ6CM3J/ref=sr_1_1?keywords=Maifanshi+Aqua+Foundation&amp;qid=1695565530&amp;sr=8-1", "https://www.amazon.com/Koh-Gen-Do-Foundation-Dark-Light/dp/B07CQ6CM3J/ref=sr_1_1?keywords=Maifanshi+Aqua+Foundation&amp;qid=1695565530&amp;sr=8-1")</f>
        <v/>
      </c>
      <c r="F1663" t="inlineStr">
        <is>
          <t>B07CQ6CM3J</t>
        </is>
      </c>
      <c r="G1663">
        <f>_xlfn.IMAGE("https://camerareadycosmetics.com/cdn/shop/products/Koh-Gen-Do-Aqua-Foundation-301_50x.jpg?v=1691123486")</f>
        <v/>
      </c>
      <c r="H1663">
        <f>_xlfn.IMAGE("https://m.media-amazon.com/images/I/51yCudCPznL._AC_UL320_.jpg")</f>
        <v/>
      </c>
      <c r="K1663" t="inlineStr">
        <is>
          <t>96.0</t>
        </is>
      </c>
      <c r="L1663" t="n">
        <v>96</v>
      </c>
      <c r="M1663" s="1" t="inlineStr">
        <is>
          <t>0.00%</t>
        </is>
      </c>
      <c r="N1663" t="n">
        <v>4.1</v>
      </c>
      <c r="O1663" t="n">
        <v>84</v>
      </c>
      <c r="Q1663" t="inlineStr">
        <is>
          <t>InStock</t>
        </is>
      </c>
      <c r="R1663" t="inlineStr">
        <is>
          <t>undefined</t>
        </is>
      </c>
      <c r="S1663" t="inlineStr">
        <is>
          <t>9027228039</t>
        </is>
      </c>
    </row>
    <row r="1664" ht="75" customHeight="1">
      <c r="A1664" s="2">
        <f>HYPERLINK("https://camerareadycosmetics.com/products/koh-gen-do-maifanshi-aqua-foundation-illuminator", "https://camerareadycosmetics.com/products/koh-gen-do-maifanshi-aqua-foundation-illuminator")</f>
        <v/>
      </c>
      <c r="B1664" s="2">
        <f>HYPERLINK("https://camerareadycosmetics.com/products/koh-gen-do-maifanshi-aqua-foundation-illuminator", "https://camerareadycosmetics.com/products/koh-gen-do-maifanshi-aqua-foundation-illuminator")</f>
        <v/>
      </c>
      <c r="C1664" t="inlineStr">
        <is>
          <t>Maifanshi Aqua Foundation Illuminator</t>
        </is>
      </c>
      <c r="D1664" t="inlineStr">
        <is>
          <t>Maifanshi Aqua Foundation</t>
        </is>
      </c>
      <c r="E1664" s="2">
        <f>HYPERLINK("https://www.amazon.com/Koh-Gen-Do-Foundation-Unscented/dp/B07D94XJ6D/ref=sr_1_1?keywords=Maifanshi+Aqua+Foundation+Illuminator&amp;qid=1695565699&amp;sr=8-1", "https://www.amazon.com/Koh-Gen-Do-Foundation-Unscented/dp/B07D94XJ6D/ref=sr_1_1?keywords=Maifanshi+Aqua+Foundation+Illuminator&amp;qid=1695565699&amp;sr=8-1")</f>
        <v/>
      </c>
      <c r="F1664" t="inlineStr">
        <is>
          <t>B07D94XJ6D</t>
        </is>
      </c>
      <c r="G1664">
        <f>_xlfn.IMAGE("https://camerareadycosmetics.com/cdn/shop/products/Koh-Gen-Do-Aqua-Foundation-Illuminator-Sheer-Beige_50x.jpg?v=1691123405")</f>
        <v/>
      </c>
      <c r="H1664">
        <f>_xlfn.IMAGE("https://m.media-amazon.com/images/I/61VcBv1-ATL._AC_UL320_.jpg")</f>
        <v/>
      </c>
      <c r="K1664" t="inlineStr">
        <is>
          <t>69.0</t>
        </is>
      </c>
      <c r="L1664" t="n">
        <v>96</v>
      </c>
      <c r="M1664" s="1" t="inlineStr">
        <is>
          <t>39.13%</t>
        </is>
      </c>
      <c r="N1664" t="n">
        <v>4.1</v>
      </c>
      <c r="O1664" t="n">
        <v>84</v>
      </c>
      <c r="Q1664" t="inlineStr">
        <is>
          <t>InStock</t>
        </is>
      </c>
      <c r="R1664" t="inlineStr">
        <is>
          <t>undefined</t>
        </is>
      </c>
      <c r="S1664" t="inlineStr">
        <is>
          <t>9026649031</t>
        </is>
      </c>
    </row>
    <row r="1665" ht="75" customHeight="1">
      <c r="A1665" s="2">
        <f>HYPERLINK("https://camerareadycosmetics.com/products/koh-gen-do-maifanshi-aqua-foundation-illuminator", "https://camerareadycosmetics.com/products/koh-gen-do-maifanshi-aqua-foundation-illuminator")</f>
        <v/>
      </c>
      <c r="B1665" s="2">
        <f>HYPERLINK("https://camerareadycosmetics.com/products/koh-gen-do-maifanshi-aqua-foundation-illuminator", "https://camerareadycosmetics.com/products/koh-gen-do-maifanshi-aqua-foundation-illuminator")</f>
        <v/>
      </c>
      <c r="C1665" t="inlineStr">
        <is>
          <t>Maifanshi Aqua Foundation Illuminator</t>
        </is>
      </c>
      <c r="D1665" t="inlineStr">
        <is>
          <t>Aqua Foundation Illuminator</t>
        </is>
      </c>
      <c r="E1665" s="2">
        <f>HYPERLINK("https://www.amazon.com/Koh-Gen-Do-Foundation-Illuminator/dp/B07D9DVCBC/ref=sr_1_3?keywords=Maifanshi+Aqua+Foundation+Illuminator&amp;qid=1695565699&amp;sr=8-3", "https://www.amazon.com/Koh-Gen-Do-Foundation-Illuminator/dp/B07D9DVCBC/ref=sr_1_3?keywords=Maifanshi+Aqua+Foundation+Illuminator&amp;qid=1695565699&amp;sr=8-3")</f>
        <v/>
      </c>
      <c r="F1665" t="inlineStr">
        <is>
          <t>B07D9DVCBC</t>
        </is>
      </c>
      <c r="G1665">
        <f>_xlfn.IMAGE("https://camerareadycosmetics.com/cdn/shop/products/Koh-Gen-Do-Aqua-Foundation-Illuminator-Sheer-Beige_50x.jpg?v=1691123405")</f>
        <v/>
      </c>
      <c r="H1665">
        <f>_xlfn.IMAGE("https://m.media-amazon.com/images/I/41KKvSxyROL._AC_UL320_.jpg")</f>
        <v/>
      </c>
      <c r="K1665" t="inlineStr">
        <is>
          <t>69.0</t>
        </is>
      </c>
      <c r="L1665" t="n">
        <v>47.53</v>
      </c>
      <c r="M1665" s="1" t="inlineStr">
        <is>
          <t>-31.12%</t>
        </is>
      </c>
      <c r="N1665" t="n">
        <v>3</v>
      </c>
      <c r="O1665" t="n">
        <v>8</v>
      </c>
      <c r="Q1665" t="inlineStr">
        <is>
          <t>InStock</t>
        </is>
      </c>
      <c r="R1665" t="inlineStr">
        <is>
          <t>undefined</t>
        </is>
      </c>
      <c r="S1665" t="inlineStr">
        <is>
          <t>9026649031</t>
        </is>
      </c>
    </row>
    <row r="1666" ht="75" customHeight="1">
      <c r="A1666" s="2">
        <f>HYPERLINK("https://camerareadycosmetics.com/products/koh-gen-do-maifanshi-brightening-moisture-powder", "https://camerareadycosmetics.com/products/koh-gen-do-maifanshi-brightening-moisture-powder")</f>
        <v/>
      </c>
      <c r="B1666" s="2">
        <f>HYPERLINK("https://camerareadycosmetics.com/products/koh-gen-do-maifanshi-brightening-moisture-powder", "https://camerareadycosmetics.com/products/koh-gen-do-maifanshi-brightening-moisture-powder")</f>
        <v/>
      </c>
      <c r="C1666" t="inlineStr">
        <is>
          <t>Maifanshi Brightening Moisture Powder</t>
        </is>
      </c>
      <c r="D1666" t="inlineStr">
        <is>
          <t>Koh Gen Do Brightening Moisture Powder, 1 oz.</t>
        </is>
      </c>
      <c r="E1666" s="2">
        <f>HYPERLINK("https://www.amazon.com/Koh-Gen-Do-Brightening-Moisture/dp/B08L21QT6X/ref=sr_1_1?keywords=Maifanshi+Brightening+Moisture+Powder&amp;qid=1695565783&amp;sr=8-1", "https://www.amazon.com/Koh-Gen-Do-Brightening-Moisture/dp/B08L21QT6X/ref=sr_1_1?keywords=Maifanshi+Brightening+Moisture+Powder&amp;qid=1695565783&amp;sr=8-1")</f>
        <v/>
      </c>
      <c r="F1666" t="inlineStr">
        <is>
          <t>B08L21QT6X</t>
        </is>
      </c>
      <c r="G1666">
        <f>_xlfn.IMAGE("https://camerareadycosmetics.com/cdn/shop/products/koh-gen-do-maifanshi-brightening-moisture-powder_50x.jpg?v=1600619557")</f>
        <v/>
      </c>
      <c r="H1666">
        <f>_xlfn.IMAGE("https://m.media-amazon.com/images/I/61NhJJVeoIL._AC_UL320_.jpg")</f>
        <v/>
      </c>
      <c r="K1666" t="inlineStr">
        <is>
          <t>78.0</t>
        </is>
      </c>
      <c r="L1666" t="n">
        <v>78</v>
      </c>
      <c r="M1666" s="1" t="inlineStr">
        <is>
          <t>0.00%</t>
        </is>
      </c>
      <c r="N1666" t="n">
        <v>4.8</v>
      </c>
      <c r="O1666" t="n">
        <v>11</v>
      </c>
      <c r="Q1666" t="inlineStr">
        <is>
          <t>InStock</t>
        </is>
      </c>
      <c r="R1666" t="inlineStr">
        <is>
          <t>undefined</t>
        </is>
      </c>
      <c r="S1666" t="inlineStr">
        <is>
          <t>4563648381039</t>
        </is>
      </c>
    </row>
    <row r="1667" ht="75" customHeight="1">
      <c r="A1667" s="2">
        <f>HYPERLINK("https://camerareadycosmetics.com/products/koh-gen-do-maifanshi-moisture-foundation", "https://camerareadycosmetics.com/products/koh-gen-do-maifanshi-moisture-foundation")</f>
        <v/>
      </c>
      <c r="B1667" s="2">
        <f>HYPERLINK("https://camerareadycosmetics.com/products/koh-gen-do-maifanshi-moisture-foundation", "https://camerareadycosmetics.com/products/koh-gen-do-maifanshi-moisture-foundation")</f>
        <v/>
      </c>
      <c r="C1667" t="inlineStr">
        <is>
          <t>Maifanshi Moisture Foundation</t>
        </is>
      </c>
      <c r="D1667" t="inlineStr">
        <is>
          <t>Koh Gen Do Maifanshi Moisture Foundation Cool 003, 1 oz.</t>
        </is>
      </c>
      <c r="E1667" s="2">
        <f>HYPERLINK("https://www.amazon.com/Koh-Gen-Do-Maifanshi-Foundation/dp/B08L22QJN9/ref=sr_1_10?keywords=Maifanshi+Moisture+Foundation&amp;qid=1695565530&amp;sr=8-10", "https://www.amazon.com/Koh-Gen-Do-Maifanshi-Foundation/dp/B08L22QJN9/ref=sr_1_10?keywords=Maifanshi+Moisture+Foundation&amp;qid=1695565530&amp;sr=8-10")</f>
        <v/>
      </c>
      <c r="F1667" t="inlineStr">
        <is>
          <t>B08L22QJN9</t>
        </is>
      </c>
      <c r="G1667">
        <f>_xlfn.IMAGE("https://camerareadycosmetics.com/cdn/shop/products/Koh-Gen-Do-Moisture-Foundation-023-Swatch_580x_2x_014f5ee5-cb27-4548-b1b6-1b3892643a2a_50x.jpg?v=1691123431")</f>
        <v/>
      </c>
      <c r="H1667">
        <f>_xlfn.IMAGE("https://m.media-amazon.com/images/I/61V3O7EGREL._AC_UL320_.jpg")</f>
        <v/>
      </c>
      <c r="K1667" t="inlineStr">
        <is>
          <t>99.0</t>
        </is>
      </c>
      <c r="L1667" t="n">
        <v>99</v>
      </c>
      <c r="M1667" s="1" t="inlineStr">
        <is>
          <t>0.00%</t>
        </is>
      </c>
      <c r="N1667" t="n">
        <v>5</v>
      </c>
      <c r="O1667" t="n">
        <v>1</v>
      </c>
      <c r="Q1667" t="inlineStr">
        <is>
          <t>InStock</t>
        </is>
      </c>
      <c r="R1667" t="inlineStr">
        <is>
          <t>undefined</t>
        </is>
      </c>
      <c r="S1667" t="inlineStr">
        <is>
          <t>9026985351</t>
        </is>
      </c>
    </row>
    <row r="1668" ht="75" customHeight="1">
      <c r="A1668" s="2">
        <f>HYPERLINK("https://camerareadycosmetics.com/products/koh-gen-do-maifanshi-moisture-foundation", "https://camerareadycosmetics.com/products/koh-gen-do-maifanshi-moisture-foundation")</f>
        <v/>
      </c>
      <c r="B1668" s="2">
        <f>HYPERLINK("https://camerareadycosmetics.com/products/koh-gen-do-maifanshi-moisture-foundation", "https://camerareadycosmetics.com/products/koh-gen-do-maifanshi-moisture-foundation")</f>
        <v/>
      </c>
      <c r="C1668" t="inlineStr">
        <is>
          <t>Maifanshi Moisture Foundation</t>
        </is>
      </c>
      <c r="D1668" t="inlineStr">
        <is>
          <t>Koh Gen Do Maifanshi Moisture Foundation Warm 123, 1 oz.</t>
        </is>
      </c>
      <c r="E1668" s="2">
        <f>HYPERLINK("https://www.amazon.com/Koh-Gen-Do-Maifanshi-Foundation/dp/B08L229Y7C/ref=sr_1_1?keywords=Maifanshi+Moisture+Foundation&amp;qid=1695565530&amp;sr=8-1", "https://www.amazon.com/Koh-Gen-Do-Maifanshi-Foundation/dp/B08L229Y7C/ref=sr_1_1?keywords=Maifanshi+Moisture+Foundation&amp;qid=1695565530&amp;sr=8-1")</f>
        <v/>
      </c>
      <c r="F1668" t="inlineStr">
        <is>
          <t>B08L229Y7C</t>
        </is>
      </c>
      <c r="G1668">
        <f>_xlfn.IMAGE("https://camerareadycosmetics.com/cdn/shop/products/Koh-Gen-Do-Moisture-Foundation-023-Swatch_580x_2x_014f5ee5-cb27-4548-b1b6-1b3892643a2a_50x.jpg?v=1691123431")</f>
        <v/>
      </c>
      <c r="H1668">
        <f>_xlfn.IMAGE("https://m.media-amazon.com/images/I/61V3O7EGREL._AC_UL320_.jpg")</f>
        <v/>
      </c>
      <c r="K1668" t="inlineStr">
        <is>
          <t>99.0</t>
        </is>
      </c>
      <c r="L1668" t="n">
        <v>99</v>
      </c>
      <c r="M1668" s="1" t="inlineStr">
        <is>
          <t>0.00%</t>
        </is>
      </c>
      <c r="N1668" t="n">
        <v>5</v>
      </c>
      <c r="O1668" t="n">
        <v>3</v>
      </c>
      <c r="Q1668" t="inlineStr">
        <is>
          <t>InStock</t>
        </is>
      </c>
      <c r="R1668" t="inlineStr">
        <is>
          <t>undefined</t>
        </is>
      </c>
      <c r="S1668" t="inlineStr">
        <is>
          <t>9026985351</t>
        </is>
      </c>
    </row>
    <row r="1669" ht="75" customHeight="1">
      <c r="A1669" s="2">
        <f>HYPERLINK("https://camerareadycosmetics.com/products/koh-gen-do-maifanshi-moisture-foundation", "https://camerareadycosmetics.com/products/koh-gen-do-maifanshi-moisture-foundation")</f>
        <v/>
      </c>
      <c r="B1669" s="2">
        <f>HYPERLINK("https://camerareadycosmetics.com/products/koh-gen-do-maifanshi-moisture-foundation", "https://camerareadycosmetics.com/products/koh-gen-do-maifanshi-moisture-foundation")</f>
        <v/>
      </c>
      <c r="C1669" t="inlineStr">
        <is>
          <t>Maifanshi Moisture Foundation</t>
        </is>
      </c>
      <c r="D1669" t="inlineStr">
        <is>
          <t>Koh Gen Do Maifanshi Moisture Foundation Nuetral Warm 213, 1 oz.</t>
        </is>
      </c>
      <c r="E1669" s="2">
        <f>HYPERLINK("https://www.amazon.com/Koh-Gen-Do-Maifanshi-Foundation/dp/B08L225GYL/ref=sr_1_2?keywords=Maifanshi+Moisture+Foundation&amp;qid=1695565530&amp;sr=8-2", "https://www.amazon.com/Koh-Gen-Do-Maifanshi-Foundation/dp/B08L225GYL/ref=sr_1_2?keywords=Maifanshi+Moisture+Foundation&amp;qid=1695565530&amp;sr=8-2")</f>
        <v/>
      </c>
      <c r="F1669" t="inlineStr">
        <is>
          <t>B08L225GYL</t>
        </is>
      </c>
      <c r="G1669">
        <f>_xlfn.IMAGE("https://camerareadycosmetics.com/cdn/shop/products/Koh-Gen-Do-Moisture-Foundation-023-Swatch_580x_2x_014f5ee5-cb27-4548-b1b6-1b3892643a2a_50x.jpg?v=1691123431")</f>
        <v/>
      </c>
      <c r="H1669">
        <f>_xlfn.IMAGE("https://m.media-amazon.com/images/I/61V3O7EGREL._AC_UL320_.jpg")</f>
        <v/>
      </c>
      <c r="K1669" t="inlineStr">
        <is>
          <t>99.0</t>
        </is>
      </c>
      <c r="L1669" t="n">
        <v>99</v>
      </c>
      <c r="M1669" s="1" t="inlineStr">
        <is>
          <t>0.00%</t>
        </is>
      </c>
      <c r="N1669" t="n">
        <v>4</v>
      </c>
      <c r="O1669" t="n">
        <v>1</v>
      </c>
      <c r="Q1669" t="inlineStr">
        <is>
          <t>InStock</t>
        </is>
      </c>
      <c r="R1669" t="inlineStr">
        <is>
          <t>undefined</t>
        </is>
      </c>
      <c r="S1669" t="inlineStr">
        <is>
          <t>9026985351</t>
        </is>
      </c>
    </row>
    <row r="1670" ht="75" customHeight="1">
      <c r="A1670" s="2">
        <f>HYPERLINK("https://camerareadycosmetics.com/products/koh-gen-do-maifanshi-moisture-foundation", "https://camerareadycosmetics.com/products/koh-gen-do-maifanshi-moisture-foundation")</f>
        <v/>
      </c>
      <c r="B1670" s="2">
        <f>HYPERLINK("https://camerareadycosmetics.com/products/koh-gen-do-maifanshi-moisture-foundation", "https://camerareadycosmetics.com/products/koh-gen-do-maifanshi-moisture-foundation")</f>
        <v/>
      </c>
      <c r="C1670" t="inlineStr">
        <is>
          <t>Maifanshi Moisture Foundation</t>
        </is>
      </c>
      <c r="D1670" t="inlineStr">
        <is>
          <t>Maifanshi Moisture Foundation</t>
        </is>
      </c>
      <c r="E1670" s="2">
        <f>HYPERLINK("https://www.amazon.com/Koh-Gen-Do-Maifanshi-Foundation/dp/B005K82WDK/ref=sr_1_3?keywords=Maifanshi+Moisture+Foundation&amp;qid=1695565530&amp;sr=8-3", "https://www.amazon.com/Koh-Gen-Do-Maifanshi-Foundation/dp/B005K82WDK/ref=sr_1_3?keywords=Maifanshi+Moisture+Foundation&amp;qid=1695565530&amp;sr=8-3")</f>
        <v/>
      </c>
      <c r="F1670" t="inlineStr">
        <is>
          <t>B005K82WDK</t>
        </is>
      </c>
      <c r="G1670">
        <f>_xlfn.IMAGE("https://camerareadycosmetics.com/cdn/shop/products/Koh-Gen-Do-Moisture-Foundation-023-Swatch_580x_2x_014f5ee5-cb27-4548-b1b6-1b3892643a2a_50x.jpg?v=1691123431")</f>
        <v/>
      </c>
      <c r="H1670">
        <f>_xlfn.IMAGE("https://m.media-amazon.com/images/I/718mdWdttZL._AC_UL320_.jpg")</f>
        <v/>
      </c>
      <c r="K1670" t="inlineStr">
        <is>
          <t>99.0</t>
        </is>
      </c>
      <c r="L1670" t="n">
        <v>99</v>
      </c>
      <c r="M1670" s="1" t="inlineStr">
        <is>
          <t>0.00%</t>
        </is>
      </c>
      <c r="N1670" t="n">
        <v>3.9</v>
      </c>
      <c r="O1670" t="n">
        <v>28</v>
      </c>
      <c r="Q1670" t="inlineStr">
        <is>
          <t>InStock</t>
        </is>
      </c>
      <c r="R1670" t="inlineStr">
        <is>
          <t>undefined</t>
        </is>
      </c>
      <c r="S1670" t="inlineStr">
        <is>
          <t>9026985351</t>
        </is>
      </c>
    </row>
    <row r="1671" ht="75" customHeight="1">
      <c r="A1671" s="2">
        <f>HYPERLINK("https://camerareadycosmetics.com/products/koh-gen-do-maifanshi-moisture-foundation", "https://camerareadycosmetics.com/products/koh-gen-do-maifanshi-moisture-foundation")</f>
        <v/>
      </c>
      <c r="B1671" s="2">
        <f>HYPERLINK("https://camerareadycosmetics.com/products/koh-gen-do-maifanshi-moisture-foundation", "https://camerareadycosmetics.com/products/koh-gen-do-maifanshi-moisture-foundation")</f>
        <v/>
      </c>
      <c r="C1671" t="inlineStr">
        <is>
          <t>Maifanshi Moisture Foundation</t>
        </is>
      </c>
      <c r="D1671" t="inlineStr">
        <is>
          <t>Koh Gen Do Maifanshi Moisture Foundation Cool 023, 1 oz.</t>
        </is>
      </c>
      <c r="E1671" s="2">
        <f>HYPERLINK("https://www.amazon.com/Koh-Gen-Do-Maifanshi-Foundation/dp/B08L22C7J2/ref=sr_1_4?keywords=Maifanshi+Moisture+Foundation&amp;qid=1695565530&amp;sr=8-4", "https://www.amazon.com/Koh-Gen-Do-Maifanshi-Foundation/dp/B08L22C7J2/ref=sr_1_4?keywords=Maifanshi+Moisture+Foundation&amp;qid=1695565530&amp;sr=8-4")</f>
        <v/>
      </c>
      <c r="F1671" t="inlineStr">
        <is>
          <t>B08L22C7J2</t>
        </is>
      </c>
      <c r="G1671">
        <f>_xlfn.IMAGE("https://camerareadycosmetics.com/cdn/shop/products/Koh-Gen-Do-Moisture-Foundation-023-Swatch_580x_2x_014f5ee5-cb27-4548-b1b6-1b3892643a2a_50x.jpg?v=1691123431")</f>
        <v/>
      </c>
      <c r="H1671">
        <f>_xlfn.IMAGE("https://m.media-amazon.com/images/I/61V3O7EGREL._AC_UL320_.jpg")</f>
        <v/>
      </c>
      <c r="K1671" t="inlineStr">
        <is>
          <t>99.0</t>
        </is>
      </c>
      <c r="L1671" t="n">
        <v>99</v>
      </c>
      <c r="M1671" s="1" t="inlineStr">
        <is>
          <t>0.00%</t>
        </is>
      </c>
      <c r="N1671" t="n">
        <v>5</v>
      </c>
      <c r="O1671" t="n">
        <v>2</v>
      </c>
      <c r="Q1671" t="inlineStr">
        <is>
          <t>InStock</t>
        </is>
      </c>
      <c r="R1671" t="inlineStr">
        <is>
          <t>undefined</t>
        </is>
      </c>
      <c r="S1671" t="inlineStr">
        <is>
          <t>9026985351</t>
        </is>
      </c>
    </row>
    <row r="1672" ht="75" customHeight="1">
      <c r="A1672" s="2">
        <f>HYPERLINK("https://camerareadycosmetics.com/products/koh-gen-do-maifanshi-moisture-foundation", "https://camerareadycosmetics.com/products/koh-gen-do-maifanshi-moisture-foundation")</f>
        <v/>
      </c>
      <c r="B1672" s="2">
        <f>HYPERLINK("https://camerareadycosmetics.com/products/koh-gen-do-maifanshi-moisture-foundation", "https://camerareadycosmetics.com/products/koh-gen-do-maifanshi-moisture-foundation")</f>
        <v/>
      </c>
      <c r="C1672" t="inlineStr">
        <is>
          <t>Maifanshi Moisture Foundation</t>
        </is>
      </c>
      <c r="D1672" t="inlineStr">
        <is>
          <t>Koh Gen Do Maifanshi Moisture Foundation Warm 113, 1 oz.</t>
        </is>
      </c>
      <c r="E1672" s="2">
        <f>HYPERLINK("https://www.amazon.com/Koh-Gen-Do-Maifanshi-Foundation/dp/B08L22JGW6/ref=sr_1_5?keywords=Maifanshi+Moisture+Foundation&amp;qid=1695565530&amp;sr=8-5", "https://www.amazon.com/Koh-Gen-Do-Maifanshi-Foundation/dp/B08L22JGW6/ref=sr_1_5?keywords=Maifanshi+Moisture+Foundation&amp;qid=1695565530&amp;sr=8-5")</f>
        <v/>
      </c>
      <c r="F1672" t="inlineStr">
        <is>
          <t>B08L22JGW6</t>
        </is>
      </c>
      <c r="G1672">
        <f>_xlfn.IMAGE("https://camerareadycosmetics.com/cdn/shop/products/Koh-Gen-Do-Moisture-Foundation-023-Swatch_580x_2x_014f5ee5-cb27-4548-b1b6-1b3892643a2a_50x.jpg?v=1691123431")</f>
        <v/>
      </c>
      <c r="H1672">
        <f>_xlfn.IMAGE("https://m.media-amazon.com/images/I/61V3O7EGREL._AC_UL320_.jpg")</f>
        <v/>
      </c>
      <c r="K1672" t="inlineStr">
        <is>
          <t>99.0</t>
        </is>
      </c>
      <c r="L1672" t="n">
        <v>99</v>
      </c>
      <c r="M1672" s="1" t="inlineStr">
        <is>
          <t>0.00%</t>
        </is>
      </c>
      <c r="N1672" t="n">
        <v>3.7</v>
      </c>
      <c r="O1672" t="n">
        <v>6</v>
      </c>
      <c r="Q1672" t="inlineStr">
        <is>
          <t>InStock</t>
        </is>
      </c>
      <c r="R1672" t="inlineStr">
        <is>
          <t>undefined</t>
        </is>
      </c>
      <c r="S1672" t="inlineStr">
        <is>
          <t>9026985351</t>
        </is>
      </c>
    </row>
    <row r="1673" ht="75" customHeight="1">
      <c r="A1673" s="2">
        <f>HYPERLINK("https://camerareadycosmetics.com/products/koh-gen-do-maifanshi-moisture-foundation", "https://camerareadycosmetics.com/products/koh-gen-do-maifanshi-moisture-foundation")</f>
        <v/>
      </c>
      <c r="B1673" s="2">
        <f>HYPERLINK("https://camerareadycosmetics.com/products/koh-gen-do-maifanshi-moisture-foundation", "https://camerareadycosmetics.com/products/koh-gen-do-maifanshi-moisture-foundation")</f>
        <v/>
      </c>
      <c r="C1673" t="inlineStr">
        <is>
          <t>Maifanshi Moisture Foundation</t>
        </is>
      </c>
      <c r="D1673" t="inlineStr">
        <is>
          <t>Koh Gen Do Maifanshi Moisture Foundation Warm 143, 1 oz.</t>
        </is>
      </c>
      <c r="E1673" s="2">
        <f>HYPERLINK("https://www.amazon.com/Koh-Gen-Do-Maifanshi-Foundation/dp/B08L22GFJ2/ref=sr_1_8?keywords=Maifanshi+Moisture+Foundation&amp;qid=1695565530&amp;sr=8-8", "https://www.amazon.com/Koh-Gen-Do-Maifanshi-Foundation/dp/B08L22GFJ2/ref=sr_1_8?keywords=Maifanshi+Moisture+Foundation&amp;qid=1695565530&amp;sr=8-8")</f>
        <v/>
      </c>
      <c r="F1673" t="inlineStr">
        <is>
          <t>B08L22GFJ2</t>
        </is>
      </c>
      <c r="G1673">
        <f>_xlfn.IMAGE("https://camerareadycosmetics.com/cdn/shop/products/Koh-Gen-Do-Moisture-Foundation-023-Swatch_580x_2x_014f5ee5-cb27-4548-b1b6-1b3892643a2a_50x.jpg?v=1691123431")</f>
        <v/>
      </c>
      <c r="H1673">
        <f>_xlfn.IMAGE("https://m.media-amazon.com/images/I/61V3O7EGREL._AC_UL320_.jpg")</f>
        <v/>
      </c>
      <c r="K1673" t="inlineStr">
        <is>
          <t>99.0</t>
        </is>
      </c>
      <c r="L1673" t="n">
        <v>99</v>
      </c>
      <c r="M1673" s="1" t="inlineStr">
        <is>
          <t>0.00%</t>
        </is>
      </c>
      <c r="N1673" t="n">
        <v>5</v>
      </c>
      <c r="O1673" t="n">
        <v>1</v>
      </c>
      <c r="Q1673" t="inlineStr">
        <is>
          <t>InStock</t>
        </is>
      </c>
      <c r="R1673" t="inlineStr">
        <is>
          <t>undefined</t>
        </is>
      </c>
      <c r="S1673" t="inlineStr">
        <is>
          <t>9026985351</t>
        </is>
      </c>
    </row>
    <row r="1674" ht="75" customHeight="1">
      <c r="A1674" s="2">
        <f>HYPERLINK("https://camerareadycosmetics.com/products/koh-gen-do-maifanshi-moisture-foundation", "https://camerareadycosmetics.com/products/koh-gen-do-maifanshi-moisture-foundation")</f>
        <v/>
      </c>
      <c r="B1674" s="2">
        <f>HYPERLINK("https://camerareadycosmetics.com/products/koh-gen-do-maifanshi-moisture-foundation", "https://camerareadycosmetics.com/products/koh-gen-do-maifanshi-moisture-foundation")</f>
        <v/>
      </c>
      <c r="C1674" t="inlineStr">
        <is>
          <t>Maifanshi Moisture Foundation</t>
        </is>
      </c>
      <c r="D1674" t="inlineStr">
        <is>
          <t>Koh Gen Do Maifanshi Moisture Foundation Cool 013, 1 oz.</t>
        </is>
      </c>
      <c r="E1674" s="2">
        <f>HYPERLINK("https://www.amazon.com/Koh-Gen-Do-Maifanshi-Foundation/dp/B08L22TLTF/ref=sr_1_9?keywords=Maifanshi+Moisture+Foundation&amp;qid=1695565530&amp;sr=8-9", "https://www.amazon.com/Koh-Gen-Do-Maifanshi-Foundation/dp/B08L22TLTF/ref=sr_1_9?keywords=Maifanshi+Moisture+Foundation&amp;qid=1695565530&amp;sr=8-9")</f>
        <v/>
      </c>
      <c r="F1674" t="inlineStr">
        <is>
          <t>B08L22TLTF</t>
        </is>
      </c>
      <c r="G1674">
        <f>_xlfn.IMAGE("https://camerareadycosmetics.com/cdn/shop/products/Koh-Gen-Do-Moisture-Foundation-023-Swatch_580x_2x_014f5ee5-cb27-4548-b1b6-1b3892643a2a_50x.jpg?v=1691123431")</f>
        <v/>
      </c>
      <c r="H1674">
        <f>_xlfn.IMAGE("https://m.media-amazon.com/images/I/61V3O7EGREL._AC_UL320_.jpg")</f>
        <v/>
      </c>
      <c r="K1674" t="inlineStr">
        <is>
          <t>99.0</t>
        </is>
      </c>
      <c r="L1674" t="n">
        <v>99</v>
      </c>
      <c r="M1674" s="1" t="inlineStr">
        <is>
          <t>0.00%</t>
        </is>
      </c>
      <c r="N1674" t="n">
        <v>4.4</v>
      </c>
      <c r="O1674" t="n">
        <v>4</v>
      </c>
      <c r="Q1674" t="inlineStr">
        <is>
          <t>InStock</t>
        </is>
      </c>
      <c r="R1674" t="inlineStr">
        <is>
          <t>undefined</t>
        </is>
      </c>
      <c r="S1674" t="inlineStr">
        <is>
          <t>9026985351</t>
        </is>
      </c>
    </row>
    <row r="1675" ht="75" customHeight="1">
      <c r="A1675" s="2">
        <f>HYPERLINK("https://camerareadycosmetics.com/products/koh-gen-do-maifanshi-natural-lighting-powder", "https://camerareadycosmetics.com/products/koh-gen-do-maifanshi-natural-lighting-powder")</f>
        <v/>
      </c>
      <c r="B1675" s="2">
        <f>HYPERLINK("https://camerareadycosmetics.com/products/koh-gen-do-maifanshi-natural-lighting-powder", "https://camerareadycosmetics.com/products/koh-gen-do-maifanshi-natural-lighting-powder")</f>
        <v/>
      </c>
      <c r="C1675" t="inlineStr">
        <is>
          <t>Maifanshi Natural Lighting Powder</t>
        </is>
      </c>
      <c r="D1675" t="inlineStr">
        <is>
          <t>Koh Gen Do MAIFANSHI NATURAL LIGHTING POWDER</t>
        </is>
      </c>
      <c r="E1675" s="2">
        <f>HYPERLINK("https://www.amazon.com/Koh-Gen-Do-Lighting-Unscented/dp/B005K82FOG/ref=sr_1_1?keywords=maifanshi+natural+lightening+powder&amp;qid=1695565731&amp;sr=8-1", "https://www.amazon.com/Koh-Gen-Do-Lighting-Unscented/dp/B005K82FOG/ref=sr_1_1?keywords=maifanshi+natural+lightening+powder&amp;qid=1695565731&amp;sr=8-1")</f>
        <v/>
      </c>
      <c r="F1675" t="inlineStr">
        <is>
          <t>B005K82FOG</t>
        </is>
      </c>
      <c r="G1675">
        <f>_xlfn.IMAGE("https://camerareadycosmetics.com/cdn/shop/products/natural_lighting_powder_1_50x.jpg?v=1694445078")</f>
        <v/>
      </c>
      <c r="H1675">
        <f>_xlfn.IMAGE("https://m.media-amazon.com/images/I/91wWCkcEHrL._AC_UL320_.jpg")</f>
        <v/>
      </c>
      <c r="K1675" t="inlineStr">
        <is>
          <t>73.0</t>
        </is>
      </c>
      <c r="L1675" t="n">
        <v>73</v>
      </c>
      <c r="M1675" s="1" t="inlineStr">
        <is>
          <t>0.00%</t>
        </is>
      </c>
      <c r="N1675" t="n">
        <v>4.2</v>
      </c>
      <c r="O1675" t="n">
        <v>97</v>
      </c>
      <c r="Q1675" t="inlineStr">
        <is>
          <t>InStock</t>
        </is>
      </c>
      <c r="R1675" t="inlineStr">
        <is>
          <t>undefined</t>
        </is>
      </c>
      <c r="S1675" t="inlineStr">
        <is>
          <t>10281935434</t>
        </is>
      </c>
    </row>
    <row r="1676" ht="75" customHeight="1">
      <c r="A1676" s="2">
        <f>HYPERLINK("https://camerareadycosmetics.com/products/koh-gen-do-maifanshi-translucent-face-powder", "https://camerareadycosmetics.com/products/koh-gen-do-maifanshi-translucent-face-powder")</f>
        <v/>
      </c>
      <c r="B1676" s="2">
        <f>HYPERLINK("https://camerareadycosmetics.com/products/koh-gen-do-maifanshi-translucent-face-powder", "https://camerareadycosmetics.com/products/koh-gen-do-maifanshi-translucent-face-powder")</f>
        <v/>
      </c>
      <c r="C1676" t="inlineStr">
        <is>
          <t>Maifanshi Translucent Face Powder</t>
        </is>
      </c>
      <c r="D1676" t="inlineStr">
        <is>
          <t>Koh Gen Do Maifanshi Face Powder</t>
        </is>
      </c>
      <c r="E1676" s="2">
        <f>HYPERLINK("https://www.amazon.com/Koh-Gen-Do-Translucent-Unscented/dp/B005K82GA4/ref=sr_1_5?keywords=Maifanshi+Translucent+Face+Powder&amp;qid=1695565829&amp;sr=8-5", "https://www.amazon.com/Koh-Gen-Do-Translucent-Unscented/dp/B005K82GA4/ref=sr_1_5?keywords=Maifanshi+Translucent+Face+Powder&amp;qid=1695565829&amp;sr=8-5")</f>
        <v/>
      </c>
      <c r="F1676" t="inlineStr">
        <is>
          <t>B005K82GA4</t>
        </is>
      </c>
      <c r="G1676">
        <f>_xlfn.IMAGE("https://camerareadycosmetics.com/cdn/shop/products/Koh-Gen-Do-Face-Powder-Swatch_50x.jpg?v=1613127060")</f>
        <v/>
      </c>
      <c r="H1676">
        <f>_xlfn.IMAGE("https://m.media-amazon.com/images/I/81gb9GKoVSL._AC_UL320_.jpg")</f>
        <v/>
      </c>
      <c r="K1676" t="inlineStr">
        <is>
          <t>73.0</t>
        </is>
      </c>
      <c r="L1676" t="n">
        <v>73</v>
      </c>
      <c r="M1676" s="1" t="inlineStr">
        <is>
          <t>0.00%</t>
        </is>
      </c>
      <c r="N1676" t="n">
        <v>4.1</v>
      </c>
      <c r="O1676" t="n">
        <v>222</v>
      </c>
      <c r="Q1676" t="inlineStr">
        <is>
          <t>InStock</t>
        </is>
      </c>
      <c r="R1676" t="inlineStr">
        <is>
          <t>73.0</t>
        </is>
      </c>
      <c r="S1676" t="inlineStr">
        <is>
          <t>6294925902009</t>
        </is>
      </c>
    </row>
    <row r="1677" ht="75" customHeight="1">
      <c r="A1677" s="2">
        <f>HYPERLINK("https://camerareadycosmetics.com/products/koh-gen-do-maifanshi-translucent-face-powder", "https://camerareadycosmetics.com/products/koh-gen-do-maifanshi-translucent-face-powder")</f>
        <v/>
      </c>
      <c r="B1677" s="2">
        <f>HYPERLINK("https://camerareadycosmetics.com/products/koh-gen-do-maifanshi-translucent-face-powder", "https://camerareadycosmetics.com/products/koh-gen-do-maifanshi-translucent-face-powder")</f>
        <v/>
      </c>
      <c r="C1677" t="inlineStr">
        <is>
          <t>Maifanshi Translucent Face Powder</t>
        </is>
      </c>
      <c r="D1677" t="inlineStr">
        <is>
          <t>Aesthetica Translucent Setting Powder – Matte Finishing Makeup Loose Setting Powder – Flash Friendly Translucent Powder Foundation - Loose Face Powder Includes Velour Puff</t>
        </is>
      </c>
      <c r="E1677" s="2">
        <f>HYPERLINK("https://www.amazon.com/Aesthetica-Translucent-Loose-Setting-Powder/dp/B01IE2KT8S/ref=sr_1_6?keywords=Maifanshi+Translucent+Face+Powder&amp;qid=1695565829&amp;sr=8-6", "https://www.amazon.com/Aesthetica-Translucent-Loose-Setting-Powder/dp/B01IE2KT8S/ref=sr_1_6?keywords=Maifanshi+Translucent+Face+Powder&amp;qid=1695565829&amp;sr=8-6")</f>
        <v/>
      </c>
      <c r="F1677" t="inlineStr">
        <is>
          <t>B01IE2KT8S</t>
        </is>
      </c>
      <c r="G1677">
        <f>_xlfn.IMAGE("https://camerareadycosmetics.com/cdn/shop/products/Koh-Gen-Do-Face-Powder-Swatch_50x.jpg?v=1613127060")</f>
        <v/>
      </c>
      <c r="H1677">
        <f>_xlfn.IMAGE("https://m.media-amazon.com/images/I/61pH3Su7A7L._AC_UL320_.jpg")</f>
        <v/>
      </c>
      <c r="K1677" t="inlineStr">
        <is>
          <t>73.0</t>
        </is>
      </c>
      <c r="L1677" t="n">
        <v>21.97</v>
      </c>
      <c r="M1677" s="1" t="inlineStr">
        <is>
          <t>-69.90%</t>
        </is>
      </c>
      <c r="N1677" t="n">
        <v>4.2</v>
      </c>
      <c r="O1677" t="n">
        <v>7335</v>
      </c>
      <c r="Q1677" t="inlineStr">
        <is>
          <t>InStock</t>
        </is>
      </c>
      <c r="R1677" t="inlineStr">
        <is>
          <t>73.0</t>
        </is>
      </c>
      <c r="S1677" t="inlineStr">
        <is>
          <t>6294925902009</t>
        </is>
      </c>
    </row>
    <row r="1678" ht="75" customHeight="1">
      <c r="A1678" s="2">
        <f>HYPERLINK("https://camerareadycosmetics.com/products/koh-gen-do-maifanshi-translucent-face-powder", "https://camerareadycosmetics.com/products/koh-gen-do-maifanshi-translucent-face-powder")</f>
        <v/>
      </c>
      <c r="B1678" s="2">
        <f>HYPERLINK("https://camerareadycosmetics.com/products/koh-gen-do-maifanshi-translucent-face-powder", "https://camerareadycosmetics.com/products/koh-gen-do-maifanshi-translucent-face-powder")</f>
        <v/>
      </c>
      <c r="C1678" t="inlineStr">
        <is>
          <t>Maifanshi Translucent Face Powder</t>
        </is>
      </c>
      <c r="D1678" t="inlineStr">
        <is>
          <t>Aesthetica Translucent Setting Powder – Matte Finishing Makeup Loose Setting Powder – Flash Friendly Translucent Powder Foundation - Loose Face Powder Includes Velour Puff</t>
        </is>
      </c>
      <c r="E1678" s="2">
        <f>HYPERLINK("https://www.amazon.com/Aesthetica-Translucent-Loose-Setting-Powder/dp/B01IE2KT8S/ref=sr_1_6?keywords=Maifanshi+Translucent+Face+Powder&amp;qid=1695565829&amp;sr=8-6", "https://www.amazon.com/Aesthetica-Translucent-Loose-Setting-Powder/dp/B01IE2KT8S/ref=sr_1_6?keywords=Maifanshi+Translucent+Face+Powder&amp;qid=1695565829&amp;sr=8-6")</f>
        <v/>
      </c>
      <c r="F1678" t="inlineStr">
        <is>
          <t>B01IE2KT8S</t>
        </is>
      </c>
      <c r="G1678">
        <f>_xlfn.IMAGE("https://camerareadycosmetics.com/cdn/shop/products/Koh-Gen-Do-Face-Powder-Swatch_50x.jpg?v=1613127060")</f>
        <v/>
      </c>
      <c r="H1678">
        <f>_xlfn.IMAGE("https://m.media-amazon.com/images/I/61pH3Su7A7L._AC_UL320_.jpg")</f>
        <v/>
      </c>
      <c r="K1678" t="inlineStr">
        <is>
          <t>73.0</t>
        </is>
      </c>
      <c r="L1678" t="n">
        <v>21.97</v>
      </c>
      <c r="M1678" s="1" t="inlineStr">
        <is>
          <t>-69.90%</t>
        </is>
      </c>
      <c r="N1678" t="n">
        <v>4.2</v>
      </c>
      <c r="O1678" t="n">
        <v>7335</v>
      </c>
      <c r="Q1678" t="inlineStr">
        <is>
          <t>InStock</t>
        </is>
      </c>
      <c r="R1678" t="inlineStr">
        <is>
          <t>73.0</t>
        </is>
      </c>
      <c r="S1678" t="inlineStr">
        <is>
          <t>6294925902009</t>
        </is>
      </c>
    </row>
    <row r="1679" ht="75" customHeight="1">
      <c r="A1679" s="2">
        <f>HYPERLINK("https://camerareadycosmetics.com/products/koh-gen-do-moisture-fit-concealer", "https://camerareadycosmetics.com/products/koh-gen-do-moisture-fit-concealer")</f>
        <v/>
      </c>
      <c r="B1679" s="2">
        <f>HYPERLINK("https://camerareadycosmetics.com/products/koh-gen-do-moisture-fit-concealer", "https://camerareadycosmetics.com/products/koh-gen-do-moisture-fit-concealer")</f>
        <v/>
      </c>
      <c r="C1679" t="inlineStr">
        <is>
          <t>Moisture Fit Concealer</t>
        </is>
      </c>
      <c r="D1679" t="inlineStr">
        <is>
          <t>Moisture Fit Concealer</t>
        </is>
      </c>
      <c r="E1679" s="2">
        <f>HYPERLINK("https://www.amazon.com/Koh-Gen-Do-Concealer-Unscented/dp/B072W7GJHJ/ref=sr_1_1?keywords=Moisture+Fit+Concealer&amp;qid=1695565694&amp;sr=8-1", "https://www.amazon.com/Koh-Gen-Do-Concealer-Unscented/dp/B072W7GJHJ/ref=sr_1_1?keywords=Moisture+Fit+Concealer&amp;qid=1695565694&amp;sr=8-1")</f>
        <v/>
      </c>
      <c r="F1679" t="inlineStr">
        <is>
          <t>B072W7GJHJ</t>
        </is>
      </c>
      <c r="G1679">
        <f>_xlfn.IMAGE("https://camerareadycosmetics.com/cdn/shop/products/Koh-Gen-Do-Moisture-Fit-Concealer-Tan_580x_2x_7e73d7a4-4223-4ad9-9c15-3d6586d93775_50x.jpg?v=1694445073")</f>
        <v/>
      </c>
      <c r="H1679">
        <f>_xlfn.IMAGE("https://m.media-amazon.com/images/I/61St5O4jT8L._AC_UL320_.jpg")</f>
        <v/>
      </c>
      <c r="K1679" t="inlineStr">
        <is>
          <t>63.0</t>
        </is>
      </c>
      <c r="L1679" t="n">
        <v>63</v>
      </c>
      <c r="M1679" s="1" t="inlineStr">
        <is>
          <t>0.00%</t>
        </is>
      </c>
      <c r="N1679" t="n">
        <v>4.2</v>
      </c>
      <c r="O1679" t="n">
        <v>29</v>
      </c>
      <c r="Q1679" t="inlineStr">
        <is>
          <t>InStock</t>
        </is>
      </c>
      <c r="R1679" t="inlineStr">
        <is>
          <t>undefined</t>
        </is>
      </c>
      <c r="S1679" t="inlineStr">
        <is>
          <t>10281869834</t>
        </is>
      </c>
    </row>
    <row r="1680" ht="75" customHeight="1">
      <c r="A1680" s="2">
        <f>HYPERLINK("https://camerareadycosmetics.com/products/kryolan-14-color-digital-complexion-cream-foundation-palette", "https://camerareadycosmetics.com/products/kryolan-14-color-digital-complexion-cream-foundation-palette")</f>
        <v/>
      </c>
      <c r="B1680" s="2">
        <f>HYPERLINK("https://camerareadycosmetics.com/products/kryolan-14-color-digital-complexion-cream-foundation-palette", "https://camerareadycosmetics.com/products/kryolan-14-color-digital-complexion-cream-foundation-palette")</f>
        <v/>
      </c>
      <c r="C1680" t="inlineStr">
        <is>
          <t>14 Color Digital Complexion Cream Foundation Palette</t>
        </is>
      </c>
      <c r="D1680" t="inlineStr">
        <is>
          <t>DE'LANCI Concealer Palette, 18 Color Cream Contour Makeup Palette for Foundation, Full Coverage True Complexion Contour Palette Professional Natural with Waterproof &amp; Malleability Performance Christmas Makeup</t>
        </is>
      </c>
      <c r="E1680" s="2">
        <f>HYPERLINK("https://www.amazon.com/Foundation-Complexion-Professional-Malleability-Performance/dp/B0BDQCQBSL/ref=sr_1_7?keywords=14+Color+Digital+Complexion+Cream+Foundation+Palette&amp;qid=1695565710&amp;sr=8-7", "https://www.amazon.com/Foundation-Complexion-Professional-Malleability-Performance/dp/B0BDQCQBSL/ref=sr_1_7?keywords=14+Color+Digital+Complexion+Cream+Foundation+Palette&amp;qid=1695565710&amp;sr=8-7")</f>
        <v/>
      </c>
      <c r="F1680" t="inlineStr">
        <is>
          <t>B0BDQCQBSL</t>
        </is>
      </c>
      <c r="G1680">
        <f>_xlfn.IMAGE("https://camerareadycosmetics.com/cdn/shop/files/11008_00_prod_Digital1_960_50x.jpg?v=1683860133")</f>
        <v/>
      </c>
      <c r="H1680">
        <f>_xlfn.IMAGE("https://m.media-amazon.com/images/I/71nEJ7b3s9L._AC_UL320_.jpg")</f>
        <v/>
      </c>
      <c r="K1680" t="inlineStr">
        <is>
          <t>69.95</t>
        </is>
      </c>
      <c r="L1680" t="n">
        <v>13.99</v>
      </c>
      <c r="M1680" s="1" t="inlineStr">
        <is>
          <t>-80.00%</t>
        </is>
      </c>
      <c r="N1680" t="n">
        <v>4.7</v>
      </c>
      <c r="O1680" t="n">
        <v>9</v>
      </c>
      <c r="Q1680" t="inlineStr">
        <is>
          <t>InStock</t>
        </is>
      </c>
      <c r="R1680" t="inlineStr">
        <is>
          <t>undefined</t>
        </is>
      </c>
      <c r="S1680" t="inlineStr">
        <is>
          <t>7590790561977</t>
        </is>
      </c>
    </row>
    <row r="1681" ht="75" customHeight="1">
      <c r="A1681" s="2">
        <f>HYPERLINK("https://camerareadycosmetics.com/products/kryolan-14-color-digital-complexion-cream-foundation-palette", "https://camerareadycosmetics.com/products/kryolan-14-color-digital-complexion-cream-foundation-palette")</f>
        <v/>
      </c>
      <c r="B1681" s="2">
        <f>HYPERLINK("https://camerareadycosmetics.com/products/kryolan-14-color-digital-complexion-cream-foundation-palette", "https://camerareadycosmetics.com/products/kryolan-14-color-digital-complexion-cream-foundation-palette")</f>
        <v/>
      </c>
      <c r="C1681" t="inlineStr">
        <is>
          <t>14 Color Digital Complexion Cream Foundation Palette</t>
        </is>
      </c>
      <c r="D1681" t="inlineStr">
        <is>
          <t>DE'LANCI Concealer Palette, 18 Color Cream Contour Makeup Palette for Foundation, Full Coverage True Complexion Contour Palette Professional Natural with Waterproof &amp; Malleability Performance Christmas Makeup</t>
        </is>
      </c>
      <c r="E1681" s="2">
        <f>HYPERLINK("https://www.amazon.com/Foundation-Complexion-Professional-Malleability-Performance/dp/B0BDQCQBSL/ref=sr_1_7?keywords=14+Color+Digital+Complexion+Cream+Foundation+Palette&amp;qid=1695565710&amp;sr=8-7", "https://www.amazon.com/Foundation-Complexion-Professional-Malleability-Performance/dp/B0BDQCQBSL/ref=sr_1_7?keywords=14+Color+Digital+Complexion+Cream+Foundation+Palette&amp;qid=1695565710&amp;sr=8-7")</f>
        <v/>
      </c>
      <c r="F1681" t="inlineStr">
        <is>
          <t>B0BDQCQBSL</t>
        </is>
      </c>
      <c r="G1681">
        <f>_xlfn.IMAGE("https://camerareadycosmetics.com/cdn/shop/files/11008_00_prod_Digital1_960_50x.jpg?v=1683860133")</f>
        <v/>
      </c>
      <c r="H1681">
        <f>_xlfn.IMAGE("https://m.media-amazon.com/images/I/71nEJ7b3s9L._AC_UL320_.jpg")</f>
        <v/>
      </c>
      <c r="K1681" t="inlineStr">
        <is>
          <t>69.95</t>
        </is>
      </c>
      <c r="L1681" t="n">
        <v>13.99</v>
      </c>
      <c r="M1681" s="1" t="inlineStr">
        <is>
          <t>-80.00%</t>
        </is>
      </c>
      <c r="N1681" t="n">
        <v>4.7</v>
      </c>
      <c r="O1681" t="n">
        <v>9</v>
      </c>
      <c r="Q1681" t="inlineStr">
        <is>
          <t>InStock</t>
        </is>
      </c>
      <c r="R1681" t="inlineStr">
        <is>
          <t>undefined</t>
        </is>
      </c>
      <c r="S1681" t="inlineStr">
        <is>
          <t>7590790561977</t>
        </is>
      </c>
    </row>
    <row r="1682" ht="75" customHeight="1">
      <c r="A1682" s="2">
        <f>HYPERLINK("https://camerareadycosmetics.com/products/kryolan-anti-shine-powder", "https://camerareadycosmetics.com/products/kryolan-anti-shine-powder")</f>
        <v/>
      </c>
      <c r="B1682" s="2">
        <f>HYPERLINK("https://camerareadycosmetics.com/products/kryolan-anti-shine-powder", "https://camerareadycosmetics.com/products/kryolan-anti-shine-powder")</f>
        <v/>
      </c>
      <c r="C1682" t="inlineStr">
        <is>
          <t>Anti-Shine Powder 30g</t>
        </is>
      </c>
      <c r="D1682" t="inlineStr">
        <is>
          <t>Menaji HDPV Anti-Shine Powder | Anti-Shine Face Make-Up for Men | High-Definition Face Powder | Skin-Friendly Face Powder for Men | All-Occasion Face Powder | Contains Vitamin C &amp; E</t>
        </is>
      </c>
      <c r="E1682" s="2">
        <f>HYPERLINK("https://www.amazon.com/M%C3%ABnaji-HDPV-Anti-Shine-Powder-Medium/dp/B004TW7TTA/ref=sr_1_1?keywords=Anti-Shine+Powder+30g&amp;qid=1695565480&amp;sr=8-1", "https://www.amazon.com/M%C3%ABnaji-HDPV-Anti-Shine-Powder-Medium/dp/B004TW7TTA/ref=sr_1_1?keywords=Anti-Shine+Powder+30g&amp;qid=1695565480&amp;sr=8-1")</f>
        <v/>
      </c>
      <c r="F1682" t="inlineStr">
        <is>
          <t>B004TW7TTA</t>
        </is>
      </c>
      <c r="G1682">
        <f>_xlfn.IMAGE("https://camerareadycosmetics.com/cdn/shop/files/05705_00_prod_Anti-Shine_Puder_offen_60_50x.jpg?v=1687199838")</f>
        <v/>
      </c>
      <c r="H1682">
        <f>_xlfn.IMAGE("https://m.media-amazon.com/images/I/51dkFr7Fc-L._AC_UL320_.jpg")</f>
        <v/>
      </c>
      <c r="K1682" t="inlineStr">
        <is>
          <t>27.9</t>
        </is>
      </c>
      <c r="L1682" t="n">
        <v>38</v>
      </c>
      <c r="M1682" s="1" t="inlineStr">
        <is>
          <t>36.20%</t>
        </is>
      </c>
      <c r="N1682" t="n">
        <v>4.2</v>
      </c>
      <c r="O1682" t="n">
        <v>361</v>
      </c>
      <c r="Q1682" t="inlineStr">
        <is>
          <t>InStock</t>
        </is>
      </c>
      <c r="R1682" t="inlineStr">
        <is>
          <t>undefined</t>
        </is>
      </c>
      <c r="S1682" t="inlineStr">
        <is>
          <t>10897079370</t>
        </is>
      </c>
    </row>
    <row r="1683" ht="75" customHeight="1">
      <c r="A1683" s="2">
        <f>HYPERLINK("https://camerareadycosmetics.com/products/kryolan-anti-shine-powder", "https://camerareadycosmetics.com/products/kryolan-anti-shine-powder")</f>
        <v/>
      </c>
      <c r="B1683" s="2">
        <f>HYPERLINK("https://camerareadycosmetics.com/products/kryolan-anti-shine-powder", "https://camerareadycosmetics.com/products/kryolan-anti-shine-powder")</f>
        <v/>
      </c>
      <c r="C1683" t="inlineStr">
        <is>
          <t>Anti-Shine Powder 30g</t>
        </is>
      </c>
      <c r="D1683" t="inlineStr">
        <is>
          <t>War Paint For Men Anti-Shine Powder - Vegan Friendly &amp; Cruelty-Free - Natural Matte Finish Makeup Product For Men - 10g</t>
        </is>
      </c>
      <c r="E1683" s="2">
        <f>HYPERLINK("https://www.amazon.com/Paint-Anti-Shine-Powder-Matte-Finish/dp/B07RPMZCWW/ref=sr_1_3?keywords=Anti-Shine+Powder+30g&amp;qid=1695565480&amp;sr=8-3", "https://www.amazon.com/Paint-Anti-Shine-Powder-Matte-Finish/dp/B07RPMZCWW/ref=sr_1_3?keywords=Anti-Shine+Powder+30g&amp;qid=1695565480&amp;sr=8-3")</f>
        <v/>
      </c>
      <c r="F1683" t="inlineStr">
        <is>
          <t>B07RPMZCWW</t>
        </is>
      </c>
      <c r="G1683">
        <f>_xlfn.IMAGE("https://camerareadycosmetics.com/cdn/shop/files/05705_00_prod_Anti-Shine_Puder_offen_60_50x.jpg?v=1687199838")</f>
        <v/>
      </c>
      <c r="H1683">
        <f>_xlfn.IMAGE("https://m.media-amazon.com/images/I/61RdnS2aomL._AC_UL320_.jpg")</f>
        <v/>
      </c>
      <c r="K1683" t="inlineStr">
        <is>
          <t>27.9</t>
        </is>
      </c>
      <c r="L1683" t="n">
        <v>25</v>
      </c>
      <c r="M1683" s="1" t="inlineStr">
        <is>
          <t>-10.39%</t>
        </is>
      </c>
      <c r="N1683" t="n">
        <v>4</v>
      </c>
      <c r="O1683" t="n">
        <v>343</v>
      </c>
      <c r="Q1683" t="inlineStr">
        <is>
          <t>InStock</t>
        </is>
      </c>
      <c r="R1683" t="inlineStr">
        <is>
          <t>undefined</t>
        </is>
      </c>
      <c r="S1683" t="inlineStr">
        <is>
          <t>10897079370</t>
        </is>
      </c>
    </row>
    <row r="1684" ht="75" customHeight="1">
      <c r="A1684" s="2">
        <f>HYPERLINK("https://camerareadycosmetics.com/products/kryolan-cake-eyeliner", "https://camerareadycosmetics.com/products/kryolan-cake-eyeliner")</f>
        <v/>
      </c>
      <c r="B1684" s="2">
        <f>HYPERLINK("https://camerareadycosmetics.com/products/kryolan-cake-eyeliner", "https://camerareadycosmetics.com/products/kryolan-cake-eyeliner")</f>
        <v/>
      </c>
      <c r="C1684" t="inlineStr">
        <is>
          <t>Cake Eyeliner</t>
        </is>
      </c>
      <c r="D1684" t="inlineStr">
        <is>
          <t>Michael Marcus Cake Eyeliner &amp; Brush - 2 Piece Water Activated Dry Pressed Eyeliner &amp; Professional Brush - Long-Lasting, Vibrant Color, Smudge Resistant - Cruelty Free Paraben Free (Espresso)</t>
        </is>
      </c>
      <c r="E1684" s="2">
        <f>HYPERLINK("https://www.amazon.com/Michael-Marcus-Eyeliner-Brush-Espresso/dp/B07B7QQW9Q/ref=sr_1_7?keywords=Cake+Eyeliner&amp;qid=1695565584&amp;sr=8-7", "https://www.amazon.com/Michael-Marcus-Eyeliner-Brush-Espresso/dp/B07B7QQW9Q/ref=sr_1_7?keywords=Cake+Eyeliner&amp;qid=1695565584&amp;sr=8-7")</f>
        <v/>
      </c>
      <c r="F1684" t="inlineStr">
        <is>
          <t>B07B7QQW9Q</t>
        </is>
      </c>
      <c r="G1684">
        <f>_xlfn.IMAGE("https://camerareadycosmetics.com/cdn/shop/files/05321_00_prod_black-brown_50x.jpg?v=1687201470")</f>
        <v/>
      </c>
      <c r="H1684">
        <f>_xlfn.IMAGE("https://m.media-amazon.com/images/I/515ZC0-xG1L._AC_UL320_.jpg")</f>
        <v/>
      </c>
      <c r="K1684" t="inlineStr">
        <is>
          <t>14.9</t>
        </is>
      </c>
      <c r="L1684" t="n">
        <v>38</v>
      </c>
      <c r="M1684" s="1" t="inlineStr">
        <is>
          <t>155.03%</t>
        </is>
      </c>
      <c r="N1684" t="n">
        <v>4.1</v>
      </c>
      <c r="O1684" t="n">
        <v>284</v>
      </c>
      <c r="Q1684" t="inlineStr">
        <is>
          <t>InStock</t>
        </is>
      </c>
      <c r="R1684" t="inlineStr">
        <is>
          <t>undefined</t>
        </is>
      </c>
      <c r="S1684" t="inlineStr">
        <is>
          <t>12145380618</t>
        </is>
      </c>
    </row>
    <row r="1685" ht="75" customHeight="1">
      <c r="A1685" s="2">
        <f>HYPERLINK("https://camerareadycosmetics.com/products/kryolan-cake-eyeliner", "https://camerareadycosmetics.com/products/kryolan-cake-eyeliner")</f>
        <v/>
      </c>
      <c r="B1685" s="2">
        <f>HYPERLINK("https://camerareadycosmetics.com/products/kryolan-cake-eyeliner", "https://camerareadycosmetics.com/products/kryolan-cake-eyeliner")</f>
        <v/>
      </c>
      <c r="C1685" t="inlineStr">
        <is>
          <t>Cake Eyeliner</t>
        </is>
      </c>
      <c r="D1685" t="inlineStr">
        <is>
          <t>Jolie Extra Long-Wear Cake Eyeliner (Black-Brown)</t>
        </is>
      </c>
      <c r="E1685" s="2">
        <f>HYPERLINK("https://www.amazon.com/Jolie-Extra-Long-Wear-Eyeliner-Black-Brown/dp/B01N2QZO3F/ref=sr_1_6?keywords=Cake+Eyeliner&amp;qid=1695565584&amp;sr=8-6", "https://www.amazon.com/Jolie-Extra-Long-Wear-Eyeliner-Black-Brown/dp/B01N2QZO3F/ref=sr_1_6?keywords=Cake+Eyeliner&amp;qid=1695565584&amp;sr=8-6")</f>
        <v/>
      </c>
      <c r="F1685" t="inlineStr">
        <is>
          <t>B01N2QZO3F</t>
        </is>
      </c>
      <c r="G1685">
        <f>_xlfn.IMAGE("https://camerareadycosmetics.com/cdn/shop/files/05321_00_prod_black-brown_50x.jpg?v=1687201470")</f>
        <v/>
      </c>
      <c r="H1685">
        <f>_xlfn.IMAGE("https://m.media-amazon.com/images/I/81GMo3z9ZRL._AC_UL320_.jpg")</f>
        <v/>
      </c>
      <c r="K1685" t="inlineStr">
        <is>
          <t>14.9</t>
        </is>
      </c>
      <c r="L1685" t="n">
        <v>24</v>
      </c>
      <c r="M1685" s="1" t="inlineStr">
        <is>
          <t>61.07%</t>
        </is>
      </c>
      <c r="N1685" t="n">
        <v>4</v>
      </c>
      <c r="O1685" t="n">
        <v>281</v>
      </c>
      <c r="Q1685" t="inlineStr">
        <is>
          <t>InStock</t>
        </is>
      </c>
      <c r="R1685" t="inlineStr">
        <is>
          <t>undefined</t>
        </is>
      </c>
      <c r="S1685" t="inlineStr">
        <is>
          <t>12145380618</t>
        </is>
      </c>
    </row>
    <row r="1686" ht="75" customHeight="1">
      <c r="A1686" s="2">
        <f>HYPERLINK("https://camerareadycosmetics.com/products/kryolan-cake-eyeliner", "https://camerareadycosmetics.com/products/kryolan-cake-eyeliner")</f>
        <v/>
      </c>
      <c r="B1686" s="2">
        <f>HYPERLINK("https://camerareadycosmetics.com/products/kryolan-cake-eyeliner", "https://camerareadycosmetics.com/products/kryolan-cake-eyeliner")</f>
        <v/>
      </c>
      <c r="C1686" t="inlineStr">
        <is>
          <t>Cake Eyeliner</t>
        </is>
      </c>
      <c r="D1686" t="inlineStr">
        <is>
          <t>michael marcus Cake Eyeliner - Water Activated Dry Pressed Eyeliner - Long-Lasting, Vibrant Color, Smudge Resistant - Cruelty Free Paraben Free (Kohl)</t>
        </is>
      </c>
      <c r="E1686" s="2">
        <f>HYPERLINK("https://www.amazon.com/michael-marcus-Cake-Eyeliner-Long-Lasting/dp/B0B5NLM1ND/ref=sr_1_5?keywords=Cake+Eyeliner&amp;qid=1695565584&amp;sr=8-5", "https://www.amazon.com/michael-marcus-Cake-Eyeliner-Long-Lasting/dp/B0B5NLM1ND/ref=sr_1_5?keywords=Cake+Eyeliner&amp;qid=1695565584&amp;sr=8-5")</f>
        <v/>
      </c>
      <c r="F1686" t="inlineStr">
        <is>
          <t>B0B5NLM1ND</t>
        </is>
      </c>
      <c r="G1686">
        <f>_xlfn.IMAGE("https://camerareadycosmetics.com/cdn/shop/files/05321_00_prod_black-brown_50x.jpg?v=1687201470")</f>
        <v/>
      </c>
      <c r="H1686">
        <f>_xlfn.IMAGE("https://m.media-amazon.com/images/I/51VMTEC-T7L._AC_UL320_.jpg")</f>
        <v/>
      </c>
      <c r="K1686" t="inlineStr">
        <is>
          <t>14.9</t>
        </is>
      </c>
      <c r="L1686" t="n">
        <v>23</v>
      </c>
      <c r="M1686" s="1" t="inlineStr">
        <is>
          <t>54.36%</t>
        </is>
      </c>
      <c r="N1686" t="n">
        <v>4.1</v>
      </c>
      <c r="O1686" t="n">
        <v>94</v>
      </c>
      <c r="Q1686" t="inlineStr">
        <is>
          <t>InStock</t>
        </is>
      </c>
      <c r="R1686" t="inlineStr">
        <is>
          <t>undefined</t>
        </is>
      </c>
      <c r="S1686" t="inlineStr">
        <is>
          <t>12145380618</t>
        </is>
      </c>
    </row>
    <row r="1687" ht="75" customHeight="1">
      <c r="A1687" s="2">
        <f>HYPERLINK("https://camerareadycosmetics.com/products/kryolan-cake-eyeliner", "https://camerareadycosmetics.com/products/kryolan-cake-eyeliner")</f>
        <v/>
      </c>
      <c r="B1687" s="2">
        <f>HYPERLINK("https://camerareadycosmetics.com/products/kryolan-cake-eyeliner", "https://camerareadycosmetics.com/products/kryolan-cake-eyeliner")</f>
        <v/>
      </c>
      <c r="C1687" t="inlineStr">
        <is>
          <t>Cake Eyeliner</t>
        </is>
      </c>
      <c r="D1687" t="inlineStr">
        <is>
          <t>Addictive Cosmetics Matte Black Eyeliner- Cake Eyeliner with Applicator Brush - Water Activated Dry Pressed Eyeliner - Long-Lasting, Vibrant Color, Smudge Resistant - Vegan Cruelty Free Paraben Free (Matte Black)</t>
        </is>
      </c>
      <c r="E1687" s="2">
        <f>HYPERLINK("https://www.amazon.com/Addictive-Cosmetics-Eyeliner-Eyeliner-Applicator/dp/B0BJ6B2J2F/ref=sr_1_1?keywords=Cake+Eyeliner&amp;qid=1695565584&amp;sr=8-1", "https://www.amazon.com/Addictive-Cosmetics-Eyeliner-Eyeliner-Applicator/dp/B0BJ6B2J2F/ref=sr_1_1?keywords=Cake+Eyeliner&amp;qid=1695565584&amp;sr=8-1")</f>
        <v/>
      </c>
      <c r="F1687" t="inlineStr">
        <is>
          <t>B0BJ6B2J2F</t>
        </is>
      </c>
      <c r="G1687">
        <f>_xlfn.IMAGE("https://camerareadycosmetics.com/cdn/shop/files/05321_00_prod_black-brown_50x.jpg?v=1687201470")</f>
        <v/>
      </c>
      <c r="H1687">
        <f>_xlfn.IMAGE("https://m.media-amazon.com/images/I/718xjK5-rkL._AC_UL320_.jpg")</f>
        <v/>
      </c>
      <c r="K1687" t="inlineStr">
        <is>
          <t>14.9</t>
        </is>
      </c>
      <c r="L1687" t="n">
        <v>19.99</v>
      </c>
      <c r="M1687" s="1" t="inlineStr">
        <is>
          <t>34.16%</t>
        </is>
      </c>
      <c r="N1687" t="n">
        <v>4.5</v>
      </c>
      <c r="O1687" t="n">
        <v>92</v>
      </c>
      <c r="Q1687" t="inlineStr">
        <is>
          <t>InStock</t>
        </is>
      </c>
      <c r="R1687" t="inlineStr">
        <is>
          <t>undefined</t>
        </is>
      </c>
      <c r="S1687" t="inlineStr">
        <is>
          <t>12145380618</t>
        </is>
      </c>
    </row>
    <row r="1688" ht="75" customHeight="1">
      <c r="A1688" s="2">
        <f>HYPERLINK("https://camerareadycosmetics.com/products/kryolan-cake-eyeliner", "https://camerareadycosmetics.com/products/kryolan-cake-eyeliner")</f>
        <v/>
      </c>
      <c r="B1688" s="2">
        <f>HYPERLINK("https://camerareadycosmetics.com/products/kryolan-cake-eyeliner", "https://camerareadycosmetics.com/products/kryolan-cake-eyeliner")</f>
        <v/>
      </c>
      <c r="C1688" t="inlineStr">
        <is>
          <t>Cake Eyeliner</t>
        </is>
      </c>
      <c r="D1688" t="inlineStr">
        <is>
          <t>Femme Couture Mineral Effects Baked Cake Eyeliner (Navy)</t>
        </is>
      </c>
      <c r="E1688" s="2">
        <f>HYPERLINK("https://www.amazon.com/Femme-Couture-Mineral-Effects-Eyeliner/dp/B003Z65F0G/ref=sr_1_10?keywords=Cake+Eyeliner&amp;qid=1695565584&amp;sr=8-10", "https://www.amazon.com/Femme-Couture-Mineral-Effects-Eyeliner/dp/B003Z65F0G/ref=sr_1_10?keywords=Cake+Eyeliner&amp;qid=1695565584&amp;sr=8-10")</f>
        <v/>
      </c>
      <c r="F1688" t="inlineStr">
        <is>
          <t>B003Z65F0G</t>
        </is>
      </c>
      <c r="G1688">
        <f>_xlfn.IMAGE("https://camerareadycosmetics.com/cdn/shop/files/05321_00_prod_black-brown_50x.jpg?v=1687201470")</f>
        <v/>
      </c>
      <c r="H1688">
        <f>_xlfn.IMAGE("https://m.media-amazon.com/images/I/71bSFzfikKL._AC_UL320_.jpg")</f>
        <v/>
      </c>
      <c r="K1688" t="inlineStr">
        <is>
          <t>14.9</t>
        </is>
      </c>
      <c r="L1688" t="n">
        <v>16.49</v>
      </c>
      <c r="M1688" s="1" t="inlineStr">
        <is>
          <t>10.67%</t>
        </is>
      </c>
      <c r="N1688" t="n">
        <v>4.4</v>
      </c>
      <c r="O1688" t="n">
        <v>32</v>
      </c>
      <c r="Q1688" t="inlineStr">
        <is>
          <t>InStock</t>
        </is>
      </c>
      <c r="R1688" t="inlineStr">
        <is>
          <t>undefined</t>
        </is>
      </c>
      <c r="S1688" t="inlineStr">
        <is>
          <t>12145380618</t>
        </is>
      </c>
    </row>
    <row r="1689" ht="75" customHeight="1">
      <c r="A1689" s="2">
        <f>HYPERLINK("https://camerareadycosmetics.com/products/kryolan-cake-eyeliner", "https://camerareadycosmetics.com/products/kryolan-cake-eyeliner")</f>
        <v/>
      </c>
      <c r="B1689" s="2">
        <f>HYPERLINK("https://camerareadycosmetics.com/products/kryolan-cake-eyeliner", "https://camerareadycosmetics.com/products/kryolan-cake-eyeliner")</f>
        <v/>
      </c>
      <c r="C1689" t="inlineStr">
        <is>
          <t>Cake Eyeliner</t>
        </is>
      </c>
      <c r="D1689" t="inlineStr">
        <is>
          <t>Graftobian Professional HD Cake Eyeliner (Espresso Brown) Get Precise Lines, Water-Activated Pressed Powder Eyeliner, Long-Lasting Wear, For Bold Graphic Liner Or Subtle Tightline Effect, Made in USA</t>
        </is>
      </c>
      <c r="E1689" s="2">
        <f>HYPERLINK("https://www.amazon.com/Graftobian-Professional-Hd-Cake-Eyeliner/dp/B004LOX7F6/ref=sr_1_3?keywords=Cake+Eyeliner&amp;qid=1695565584&amp;sr=8-3", "https://www.amazon.com/Graftobian-Professional-Hd-Cake-Eyeliner/dp/B004LOX7F6/ref=sr_1_3?keywords=Cake+Eyeliner&amp;qid=1695565584&amp;sr=8-3")</f>
        <v/>
      </c>
      <c r="F1689" t="inlineStr">
        <is>
          <t>B004LOX7F6</t>
        </is>
      </c>
      <c r="G1689">
        <f>_xlfn.IMAGE("https://camerareadycosmetics.com/cdn/shop/files/05321_00_prod_black-brown_50x.jpg?v=1687201470")</f>
        <v/>
      </c>
      <c r="H1689">
        <f>_xlfn.IMAGE("https://m.media-amazon.com/images/I/71OqE5aXJnL._AC_UL320_.jpg")</f>
        <v/>
      </c>
      <c r="K1689" t="inlineStr">
        <is>
          <t>14.9</t>
        </is>
      </c>
      <c r="L1689" t="n">
        <v>14.4</v>
      </c>
      <c r="M1689" s="1" t="inlineStr">
        <is>
          <t>-3.36%</t>
        </is>
      </c>
      <c r="N1689" t="n">
        <v>4.2</v>
      </c>
      <c r="O1689" t="n">
        <v>806</v>
      </c>
      <c r="Q1689" t="inlineStr">
        <is>
          <t>InStock</t>
        </is>
      </c>
      <c r="R1689" t="inlineStr">
        <is>
          <t>undefined</t>
        </is>
      </c>
      <c r="S1689" t="inlineStr">
        <is>
          <t>12145380618</t>
        </is>
      </c>
    </row>
    <row r="1690" ht="75" customHeight="1">
      <c r="A1690" s="2">
        <f>HYPERLINK("https://camerareadycosmetics.com/products/kryolan-cake-eyeliner", "https://camerareadycosmetics.com/products/kryolan-cake-eyeliner")</f>
        <v/>
      </c>
      <c r="B1690" s="2">
        <f>HYPERLINK("https://camerareadycosmetics.com/products/kryolan-cake-eyeliner", "https://camerareadycosmetics.com/products/kryolan-cake-eyeliner")</f>
        <v/>
      </c>
      <c r="C1690" t="inlineStr">
        <is>
          <t>Cake Eyeliner</t>
        </is>
      </c>
      <c r="D1690" t="inlineStr">
        <is>
          <t>Pure Zivaª Black Matte Cake Eyeliner &amp; Eyeshadow, Water Activated Pressed Powder; Gluten &amp; Cruelty Free</t>
        </is>
      </c>
      <c r="E1690" s="2">
        <f>HYPERLINK("https://www.amazon.com/Pure-Ziva-Pressed-Eyeliner-Eyeshadow/dp/B00XQ6J3RG/ref=sr_1_2?keywords=Cake+Eyeliner&amp;qid=1695565584&amp;sr=8-2", "https://www.amazon.com/Pure-Ziva-Pressed-Eyeliner-Eyeshadow/dp/B00XQ6J3RG/ref=sr_1_2?keywords=Cake+Eyeliner&amp;qid=1695565584&amp;sr=8-2")</f>
        <v/>
      </c>
      <c r="F1690" t="inlineStr">
        <is>
          <t>B00XQ6J3RG</t>
        </is>
      </c>
      <c r="G1690">
        <f>_xlfn.IMAGE("https://camerareadycosmetics.com/cdn/shop/files/05321_00_prod_black-brown_50x.jpg?v=1687201470")</f>
        <v/>
      </c>
      <c r="H1690">
        <f>_xlfn.IMAGE("https://m.media-amazon.com/images/I/81hq8IkcRRL._AC_UL320_.jpg")</f>
        <v/>
      </c>
      <c r="K1690" t="inlineStr">
        <is>
          <t>14.9</t>
        </is>
      </c>
      <c r="L1690" t="n">
        <v>13.99</v>
      </c>
      <c r="M1690" s="1" t="inlineStr">
        <is>
          <t>-6.11%</t>
        </is>
      </c>
      <c r="N1690" t="n">
        <v>4.1</v>
      </c>
      <c r="O1690" t="n">
        <v>1204</v>
      </c>
      <c r="Q1690" t="inlineStr">
        <is>
          <t>InStock</t>
        </is>
      </c>
      <c r="R1690" t="inlineStr">
        <is>
          <t>undefined</t>
        </is>
      </c>
      <c r="S1690" t="inlineStr">
        <is>
          <t>12145380618</t>
        </is>
      </c>
    </row>
    <row r="1691" ht="75" customHeight="1">
      <c r="A1691" s="2">
        <f>HYPERLINK("https://camerareadycosmetics.com/products/kryolan-cake-eye-liner-sealer", "https://camerareadycosmetics.com/products/kryolan-cake-eye-liner-sealer")</f>
        <v/>
      </c>
      <c r="B1691" s="2">
        <f>HYPERLINK("https://camerareadycosmetics.com/products/kryolan-cake-eye-liner-sealer", "https://camerareadycosmetics.com/products/kryolan-cake-eye-liner-sealer")</f>
        <v/>
      </c>
      <c r="C1691" t="inlineStr">
        <is>
          <t>Cake Eye Liner Sealer</t>
        </is>
      </c>
      <c r="D1691" t="inlineStr">
        <is>
          <t>michael marcus Cake Eyeliner - Water Activated Dry Pressed Eyeliner - Long-Lasting, Vibrant Color, Smudge Resistant - Cruelty Free Paraben Free (Kohl)</t>
        </is>
      </c>
      <c r="E1691" s="2">
        <f>HYPERLINK("https://www.amazon.com/michael-marcus-Cake-Eyeliner-Long-Lasting/dp/B0B5NLM1ND/ref=sr_1_9?keywords=Cake+Eye+Liner+Sealer&amp;qid=1695565491&amp;sr=8-9", "https://www.amazon.com/michael-marcus-Cake-Eyeliner-Long-Lasting/dp/B0B5NLM1ND/ref=sr_1_9?keywords=Cake+Eye+Liner+Sealer&amp;qid=1695565491&amp;sr=8-9")</f>
        <v/>
      </c>
      <c r="F1691" t="inlineStr">
        <is>
          <t>B0B5NLM1ND</t>
        </is>
      </c>
      <c r="G1691">
        <f>_xlfn.IMAGE("https://camerareadycosmetics.com/cdn/shop/files/05322_00_prod_Cake-Eye-Liner-Sealer_50x.jpg?v=1687199833")</f>
        <v/>
      </c>
      <c r="H1691">
        <f>_xlfn.IMAGE("https://m.media-amazon.com/images/I/51VMTEC-T7L._AC_UL320_.jpg")</f>
        <v/>
      </c>
      <c r="K1691" t="inlineStr">
        <is>
          <t>14.9</t>
        </is>
      </c>
      <c r="L1691" t="n">
        <v>23</v>
      </c>
      <c r="M1691" s="1" t="inlineStr">
        <is>
          <t>54.36%</t>
        </is>
      </c>
      <c r="N1691" t="n">
        <v>4.1</v>
      </c>
      <c r="O1691" t="n">
        <v>94</v>
      </c>
      <c r="Q1691" t="inlineStr">
        <is>
          <t>InStock</t>
        </is>
      </c>
      <c r="R1691" t="inlineStr">
        <is>
          <t>14.9</t>
        </is>
      </c>
      <c r="S1691" t="inlineStr">
        <is>
          <t>10897021194</t>
        </is>
      </c>
    </row>
    <row r="1692" ht="75" customHeight="1">
      <c r="A1692" s="2">
        <f>HYPERLINK("https://camerareadycosmetics.com/products/kryolan-cake-eye-liner-sealer", "https://camerareadycosmetics.com/products/kryolan-cake-eye-liner-sealer")</f>
        <v/>
      </c>
      <c r="B1692" s="2">
        <f>HYPERLINK("https://camerareadycosmetics.com/products/kryolan-cake-eye-liner-sealer", "https://camerareadycosmetics.com/products/kryolan-cake-eye-liner-sealer")</f>
        <v/>
      </c>
      <c r="C1692" t="inlineStr">
        <is>
          <t>Cake Eye Liner Sealer</t>
        </is>
      </c>
      <c r="D1692" t="inlineStr">
        <is>
          <t>Jolie Keep It On Eyeliner Sealer</t>
        </is>
      </c>
      <c r="E1692" s="2" t="n"/>
      <c r="F1692" t="inlineStr">
        <is>
          <t>B07Q58NV8Z</t>
        </is>
      </c>
      <c r="G1692">
        <f>_xlfn.IMAGE("https://camerareadycosmetics.com/cdn/shop/files/05322_00_prod_Cake-Eye-Liner-Sealer_50x.jpg?v=1687199833")</f>
        <v/>
      </c>
      <c r="H1692">
        <f>_xlfn.IMAGE("https://m.media-amazon.com/images/I/61d0mio3cbL._AC_UL320_.jpg")</f>
        <v/>
      </c>
      <c r="K1692" t="inlineStr">
        <is>
          <t>14.9</t>
        </is>
      </c>
      <c r="L1692" t="n">
        <v>21.99</v>
      </c>
      <c r="M1692" s="1" t="inlineStr">
        <is>
          <t>47.58%</t>
        </is>
      </c>
      <c r="N1692" t="n">
        <v>4.3</v>
      </c>
      <c r="O1692" t="n">
        <v>36</v>
      </c>
      <c r="Q1692" t="inlineStr">
        <is>
          <t>InStock</t>
        </is>
      </c>
      <c r="R1692" t="inlineStr">
        <is>
          <t>14.9</t>
        </is>
      </c>
      <c r="S1692" t="inlineStr">
        <is>
          <t>10897021194</t>
        </is>
      </c>
    </row>
    <row r="1693" ht="75" customHeight="1">
      <c r="A1693" s="2">
        <f>HYPERLINK("https://camerareadycosmetics.com/products/kryolan-cake-eye-liner-sealer", "https://camerareadycosmetics.com/products/kryolan-cake-eye-liner-sealer")</f>
        <v/>
      </c>
      <c r="B1693" s="2">
        <f>HYPERLINK("https://camerareadycosmetics.com/products/kryolan-cake-eye-liner-sealer", "https://camerareadycosmetics.com/products/kryolan-cake-eye-liner-sealer")</f>
        <v/>
      </c>
      <c r="C1693" t="inlineStr">
        <is>
          <t>Cake Eye Liner Sealer</t>
        </is>
      </c>
      <c r="D1693" t="inlineStr">
        <is>
          <t>Jolie Keep It On Eyeliner Sealer</t>
        </is>
      </c>
      <c r="E1693" s="2">
        <f>HYPERLINK("https://www.amazon.com/Jolie-Keep-Eyeliner-Sealer/dp/B07Q58NV8Z/ref=sr_1_7?keywords=Cake+Eye+Liner+Sealer&amp;qid=1695565491&amp;sr=8-7", "https://www.amazon.com/Jolie-Keep-Eyeliner-Sealer/dp/B07Q58NV8Z/ref=sr_1_7?keywords=Cake+Eye+Liner+Sealer&amp;qid=1695565491&amp;sr=8-7")</f>
        <v/>
      </c>
      <c r="F1693" t="inlineStr">
        <is>
          <t>B07Q58NV8Z</t>
        </is>
      </c>
      <c r="G1693">
        <f>_xlfn.IMAGE("https://camerareadycosmetics.com/cdn/shop/files/05322_00_prod_Cake-Eye-Liner-Sealer_50x.jpg?v=1687199833")</f>
        <v/>
      </c>
      <c r="H1693">
        <f>_xlfn.IMAGE("https://m.media-amazon.com/images/I/61d0mio3cbL._AC_UL320_.jpg")</f>
        <v/>
      </c>
      <c r="K1693" t="inlineStr">
        <is>
          <t>14.9</t>
        </is>
      </c>
      <c r="L1693" t="n">
        <v>21.99</v>
      </c>
      <c r="M1693" s="1" t="inlineStr">
        <is>
          <t>47.58%</t>
        </is>
      </c>
      <c r="N1693" t="n">
        <v>4.3</v>
      </c>
      <c r="O1693" t="n">
        <v>36</v>
      </c>
      <c r="Q1693" t="inlineStr">
        <is>
          <t>InStock</t>
        </is>
      </c>
      <c r="R1693" t="inlineStr">
        <is>
          <t>14.9</t>
        </is>
      </c>
      <c r="S1693" t="inlineStr">
        <is>
          <t>10897021194</t>
        </is>
      </c>
    </row>
    <row r="1694" ht="75" customHeight="1">
      <c r="A1694" s="2">
        <f>HYPERLINK("https://camerareadycosmetics.com/products/kryolan-cake-eye-liner-sealer", "https://camerareadycosmetics.com/products/kryolan-cake-eye-liner-sealer")</f>
        <v/>
      </c>
      <c r="B1694" s="2">
        <f>HYPERLINK("https://camerareadycosmetics.com/products/kryolan-cake-eye-liner-sealer", "https://camerareadycosmetics.com/products/kryolan-cake-eye-liner-sealer")</f>
        <v/>
      </c>
      <c r="C1694" t="inlineStr">
        <is>
          <t>Cake Eye Liner Sealer</t>
        </is>
      </c>
      <c r="D1694" t="inlineStr">
        <is>
          <t>Jolie Cosmetics Cake Eyeliner Sealant 1 oz.</t>
        </is>
      </c>
      <c r="E1694" s="2">
        <f>HYPERLINK("https://www.amazon.com/Jolie-Cosmetics-Cake-Eyeliner-Sealant/dp/B01AINX6CW/ref=sr_1_5?keywords=Cake+Eye+Liner+Sealer&amp;qid=1695565491&amp;sr=8-5", "https://www.amazon.com/Jolie-Cosmetics-Cake-Eyeliner-Sealant/dp/B01AINX6CW/ref=sr_1_5?keywords=Cake+Eye+Liner+Sealer&amp;qid=1695565491&amp;sr=8-5")</f>
        <v/>
      </c>
      <c r="F1694" t="inlineStr">
        <is>
          <t>B01AINX6CW</t>
        </is>
      </c>
      <c r="G1694">
        <f>_xlfn.IMAGE("https://camerareadycosmetics.com/cdn/shop/files/05322_00_prod_Cake-Eye-Liner-Sealer_50x.jpg?v=1687199833")</f>
        <v/>
      </c>
      <c r="H1694">
        <f>_xlfn.IMAGE("https://m.media-amazon.com/images/I/31WyDPL4YBL._AC_UL320_.jpg")</f>
        <v/>
      </c>
      <c r="K1694" t="inlineStr">
        <is>
          <t>14.9</t>
        </is>
      </c>
      <c r="L1694" t="n">
        <v>18.99</v>
      </c>
      <c r="M1694" s="1" t="inlineStr">
        <is>
          <t>27.45%</t>
        </is>
      </c>
      <c r="N1694" t="n">
        <v>3.9</v>
      </c>
      <c r="O1694" t="n">
        <v>80</v>
      </c>
      <c r="Q1694" t="inlineStr">
        <is>
          <t>InStock</t>
        </is>
      </c>
      <c r="R1694" t="inlineStr">
        <is>
          <t>14.9</t>
        </is>
      </c>
      <c r="S1694" t="inlineStr">
        <is>
          <t>10897021194</t>
        </is>
      </c>
    </row>
    <row r="1695" ht="75" customHeight="1">
      <c r="A1695" s="2">
        <f>HYPERLINK("https://camerareadycosmetics.com/products/kryolan-concealer-circle", "https://camerareadycosmetics.com/products/kryolan-concealer-circle")</f>
        <v/>
      </c>
      <c r="B1695" s="2">
        <f>HYPERLINK("https://camerareadycosmetics.com/products/kryolan-concealer-circle", "https://camerareadycosmetics.com/products/kryolan-concealer-circle")</f>
        <v/>
      </c>
      <c r="C1695" t="inlineStr">
        <is>
          <t>Kryolan Concealer Circle</t>
        </is>
      </c>
      <c r="D1695" t="inlineStr">
        <is>
          <t>KRYOLAN CONCEALER CIRCLE (NR.2)</t>
        </is>
      </c>
      <c r="E1695" s="2">
        <f>HYPERLINK("https://www.amazon.com/Kryolan-4041762658487-KRYOLAN-CONCEALER-CIRCLE/dp/B01MG26IL0/ref=sr_1_2?keywords=Kryolan+Concealer+Circle&amp;qid=1695565425&amp;sr=8-2", "https://www.amazon.com/Kryolan-4041762658487-KRYOLAN-CONCEALER-CIRCLE/dp/B01MG26IL0/ref=sr_1_2?keywords=Kryolan+Concealer+Circle&amp;qid=1695565425&amp;sr=8-2")</f>
        <v/>
      </c>
      <c r="F1695" t="inlineStr">
        <is>
          <t>B01MG26IL0</t>
        </is>
      </c>
      <c r="G1695">
        <f>_xlfn.IMAGE("https://camerareadycosmetics.com/cdn/shop/products/dark_concealer_circle_50x.jpg?v=1691126037")</f>
        <v/>
      </c>
      <c r="H1695">
        <f>_xlfn.IMAGE("https://m.media-amazon.com/images/I/718LChhBr5S._AC_UL320_.jpg")</f>
        <v/>
      </c>
      <c r="K1695" t="inlineStr">
        <is>
          <t>39.9</t>
        </is>
      </c>
      <c r="L1695" t="n">
        <v>49.99</v>
      </c>
      <c r="M1695" s="1" t="inlineStr">
        <is>
          <t>25.29%</t>
        </is>
      </c>
      <c r="N1695" t="n">
        <v>5</v>
      </c>
      <c r="O1695" t="n">
        <v>5</v>
      </c>
      <c r="Q1695" t="inlineStr">
        <is>
          <t>InStock</t>
        </is>
      </c>
      <c r="R1695" t="inlineStr">
        <is>
          <t>undefined</t>
        </is>
      </c>
      <c r="S1695" t="inlineStr">
        <is>
          <t>9732734666</t>
        </is>
      </c>
    </row>
    <row r="1696" ht="75" customHeight="1">
      <c r="A1696" s="2">
        <f>HYPERLINK("https://camerareadycosmetics.com/products/kryolan-concealer-circle", "https://camerareadycosmetics.com/products/kryolan-concealer-circle")</f>
        <v/>
      </c>
      <c r="B1696" s="2">
        <f>HYPERLINK("https://camerareadycosmetics.com/products/kryolan-concealer-circle", "https://camerareadycosmetics.com/products/kryolan-concealer-circle")</f>
        <v/>
      </c>
      <c r="C1696" t="inlineStr">
        <is>
          <t>Kryolan Concealer Circle</t>
        </is>
      </c>
      <c r="D1696" t="inlineStr">
        <is>
          <t>Kryolan Concealer Circle 09086 No 3</t>
        </is>
      </c>
      <c r="E1696" s="2">
        <f>HYPERLINK("https://www.amazon.com/Kryolan-Concealer-Circle-09086-No/dp/B07LDKV54W/ref=sr_1_1?keywords=Kryolan+Concealer+Circle&amp;qid=1695565425&amp;sr=8-1", "https://www.amazon.com/Kryolan-Concealer-Circle-09086-No/dp/B07LDKV54W/ref=sr_1_1?keywords=Kryolan+Concealer+Circle&amp;qid=1695565425&amp;sr=8-1")</f>
        <v/>
      </c>
      <c r="F1696" t="inlineStr">
        <is>
          <t>B07LDKV54W</t>
        </is>
      </c>
      <c r="G1696">
        <f>_xlfn.IMAGE("https://camerareadycosmetics.com/cdn/shop/products/dark_concealer_circle_50x.jpg?v=1691126037")</f>
        <v/>
      </c>
      <c r="H1696">
        <f>_xlfn.IMAGE("https://m.media-amazon.com/images/I/61a69dzdPoL._AC_UL320_.jpg")</f>
        <v/>
      </c>
      <c r="K1696" t="inlineStr">
        <is>
          <t>39.9</t>
        </is>
      </c>
      <c r="L1696" t="n">
        <v>38</v>
      </c>
      <c r="M1696" s="1" t="inlineStr">
        <is>
          <t>-4.76%</t>
        </is>
      </c>
      <c r="N1696" t="n">
        <v>4.3</v>
      </c>
      <c r="O1696" t="n">
        <v>36</v>
      </c>
      <c r="Q1696" t="inlineStr">
        <is>
          <t>InStock</t>
        </is>
      </c>
      <c r="R1696" t="inlineStr">
        <is>
          <t>undefined</t>
        </is>
      </c>
      <c r="S1696" t="inlineStr">
        <is>
          <t>9732734666</t>
        </is>
      </c>
    </row>
    <row r="1697" ht="75" customHeight="1">
      <c r="A1697" s="2">
        <f>HYPERLINK("https://camerareadycosmetics.com/products/kryolan-dermacolor-camouflage-creme-30g", "https://camerareadycosmetics.com/products/kryolan-dermacolor-camouflage-creme-30g")</f>
        <v/>
      </c>
      <c r="B1697" s="2">
        <f>HYPERLINK("https://camerareadycosmetics.com/products/kryolan-dermacolor-camouflage-creme-30g", "https://camerareadycosmetics.com/products/kryolan-dermacolor-camouflage-creme-30g")</f>
        <v/>
      </c>
      <c r="C1697" t="inlineStr">
        <is>
          <t>Dermacolor Camouflage Creme 30G</t>
        </is>
      </c>
      <c r="D1697" t="inlineStr">
        <is>
          <t>Dermacolor Camouflage Creme 30g - Colour D4</t>
        </is>
      </c>
      <c r="E1697" s="2">
        <f>HYPERLINK("https://www.amazon.com/Dermacolour-Camouflage-Cream-30g-Color/dp/B003BK3U26/ref=sr_1_1?keywords=Dermacolor+Camouflage+Creme+30G&amp;qid=1695565449&amp;sr=8-1", "https://www.amazon.com/Dermacolour-Camouflage-Cream-30g-Color/dp/B003BK3U26/ref=sr_1_1?keywords=Dermacolor+Camouflage+Creme+30G&amp;qid=1695565449&amp;sr=8-1")</f>
        <v/>
      </c>
      <c r="F1697" t="inlineStr">
        <is>
          <t>B003BK3U26</t>
        </is>
      </c>
      <c r="G1697">
        <f>_xlfn.IMAGE("https://camerareadycosmetics.com/cdn/shop/products/main-dermacolor_fba1300a-7df5-4926-aebb-adf119589590_50x.jpg?v=1694446480")</f>
        <v/>
      </c>
      <c r="H1697">
        <f>_xlfn.IMAGE("https://m.media-amazon.com/images/I/51Gn+1moXBL._AC_UL320_.jpg")</f>
        <v/>
      </c>
      <c r="K1697" t="inlineStr">
        <is>
          <t>34.7</t>
        </is>
      </c>
      <c r="L1697" t="n">
        <v>57.97</v>
      </c>
      <c r="M1697" s="1" t="inlineStr">
        <is>
          <t>67.06%</t>
        </is>
      </c>
      <c r="N1697" t="n">
        <v>4.3</v>
      </c>
      <c r="O1697" t="n">
        <v>15</v>
      </c>
      <c r="Q1697" t="inlineStr">
        <is>
          <t>InStock</t>
        </is>
      </c>
      <c r="R1697" t="inlineStr">
        <is>
          <t>undefined</t>
        </is>
      </c>
      <c r="S1697" t="inlineStr">
        <is>
          <t>10375756170</t>
        </is>
      </c>
    </row>
    <row r="1698" ht="75" customHeight="1">
      <c r="A1698" s="2">
        <f>HYPERLINK("https://camerareadycosmetics.com/products/kryolan-dermacolor-camouflage-creme-30g", "https://camerareadycosmetics.com/products/kryolan-dermacolor-camouflage-creme-30g")</f>
        <v/>
      </c>
      <c r="B1698" s="2">
        <f>HYPERLINK("https://camerareadycosmetics.com/products/kryolan-dermacolor-camouflage-creme-30g", "https://camerareadycosmetics.com/products/kryolan-dermacolor-camouflage-creme-30g")</f>
        <v/>
      </c>
      <c r="C1698" t="inlineStr">
        <is>
          <t>Dermacolor Camouflage Creme 30G</t>
        </is>
      </c>
      <c r="D1698" t="inlineStr">
        <is>
          <t>Kryolan DermaColor Camouflage Creme (71007) H</t>
        </is>
      </c>
      <c r="E1698" s="2">
        <f>HYPERLINK("https://www.amazon.com/Kryolan-DermaColor-Camouflage-Creme-71007/dp/B00D13I25I/ref=sr_1_5?keywords=Dermacolor+Camouflage+Creme+30G&amp;qid=1695565449&amp;sr=8-5", "https://www.amazon.com/Kryolan-DermaColor-Camouflage-Creme-71007/dp/B00D13I25I/ref=sr_1_5?keywords=Dermacolor+Camouflage+Creme+30G&amp;qid=1695565449&amp;sr=8-5")</f>
        <v/>
      </c>
      <c r="F1698" t="inlineStr">
        <is>
          <t>B00D13I25I</t>
        </is>
      </c>
      <c r="G1698">
        <f>_xlfn.IMAGE("https://camerareadycosmetics.com/cdn/shop/products/main-dermacolor_fba1300a-7df5-4926-aebb-adf119589590_50x.jpg?v=1694446480")</f>
        <v/>
      </c>
      <c r="H1698">
        <f>_xlfn.IMAGE("https://m.media-amazon.com/images/I/31d9Pr1WQoL._AC_UL320_.jpg")</f>
        <v/>
      </c>
      <c r="K1698" t="inlineStr">
        <is>
          <t>34.7</t>
        </is>
      </c>
      <c r="L1698" t="n">
        <v>43.99</v>
      </c>
      <c r="M1698" s="1" t="inlineStr">
        <is>
          <t>26.77%</t>
        </is>
      </c>
      <c r="N1698" t="n">
        <v>5</v>
      </c>
      <c r="O1698" t="n">
        <v>2</v>
      </c>
      <c r="Q1698" t="inlineStr">
        <is>
          <t>InStock</t>
        </is>
      </c>
      <c r="R1698" t="inlineStr">
        <is>
          <t>undefined</t>
        </is>
      </c>
      <c r="S1698" t="inlineStr">
        <is>
          <t>10375756170</t>
        </is>
      </c>
    </row>
    <row r="1699" ht="75" customHeight="1">
      <c r="A1699" s="2">
        <f>HYPERLINK("https://camerareadycosmetics.com/products/kryolan-dermacolor-camouflage-creme-30g", "https://camerareadycosmetics.com/products/kryolan-dermacolor-camouflage-creme-30g")</f>
        <v/>
      </c>
      <c r="B1699" s="2">
        <f>HYPERLINK("https://camerareadycosmetics.com/products/kryolan-dermacolor-camouflage-creme-30g", "https://camerareadycosmetics.com/products/kryolan-dermacolor-camouflage-creme-30g")</f>
        <v/>
      </c>
      <c r="C1699" t="inlineStr">
        <is>
          <t>Dermacolor Camouflage Creme 30G</t>
        </is>
      </c>
      <c r="D1699" t="inlineStr">
        <is>
          <t>Kryolan DermaColor Camouflage Creme 71007 M</t>
        </is>
      </c>
      <c r="E1699" s="2">
        <f>HYPERLINK("https://www.amazon.com/Kryolan-DermaColor-Camouflage-Creme-71007/dp/B0066DC28S/ref=sr_1_3?keywords=Dermacolor+Camouflage+Creme+30G&amp;qid=1695565449&amp;sr=8-3", "https://www.amazon.com/Kryolan-DermaColor-Camouflage-Creme-71007/dp/B0066DC28S/ref=sr_1_3?keywords=Dermacolor+Camouflage+Creme+30G&amp;qid=1695565449&amp;sr=8-3")</f>
        <v/>
      </c>
      <c r="F1699" t="inlineStr">
        <is>
          <t>B0066DC28S</t>
        </is>
      </c>
      <c r="G1699">
        <f>_xlfn.IMAGE("https://camerareadycosmetics.com/cdn/shop/products/main-dermacolor_fba1300a-7df5-4926-aebb-adf119589590_50x.jpg?v=1694446480")</f>
        <v/>
      </c>
      <c r="H1699">
        <f>_xlfn.IMAGE("https://m.media-amazon.com/images/I/81byT5STI1L._AC_UL320_.jpg")</f>
        <v/>
      </c>
      <c r="K1699" t="inlineStr">
        <is>
          <t>34.7</t>
        </is>
      </c>
      <c r="L1699" t="n">
        <v>42</v>
      </c>
      <c r="M1699" s="1" t="inlineStr">
        <is>
          <t>21.04%</t>
        </is>
      </c>
      <c r="N1699" t="n">
        <v>4.2</v>
      </c>
      <c r="O1699" t="n">
        <v>76</v>
      </c>
      <c r="Q1699" t="inlineStr">
        <is>
          <t>InStock</t>
        </is>
      </c>
      <c r="R1699" t="inlineStr">
        <is>
          <t>undefined</t>
        </is>
      </c>
      <c r="S1699" t="inlineStr">
        <is>
          <t>10375756170</t>
        </is>
      </c>
    </row>
    <row r="1700" ht="75" customHeight="1">
      <c r="A1700" s="2">
        <f>HYPERLINK("https://camerareadycosmetics.com/products/kryolan-dermacolor-camouflage-creme-30g", "https://camerareadycosmetics.com/products/kryolan-dermacolor-camouflage-creme-30g")</f>
        <v/>
      </c>
      <c r="B1700" s="2">
        <f>HYPERLINK("https://camerareadycosmetics.com/products/kryolan-dermacolor-camouflage-creme-30g", "https://camerareadycosmetics.com/products/kryolan-dermacolor-camouflage-creme-30g")</f>
        <v/>
      </c>
      <c r="C1700" t="inlineStr">
        <is>
          <t>Dermacolor Camouflage Creme 30G</t>
        </is>
      </c>
      <c r="D1700" t="inlineStr">
        <is>
          <t>Kryolan 75001 Dermacolor Camouflage Creme Foundation Makeup 30g (Multiple Color Options) (D 3 1/2)</t>
        </is>
      </c>
      <c r="E1700" s="2">
        <f>HYPERLINK("https://www.amazon.com/Kryolan-Dermacolor-Camouflage-Foundation-Multiple/dp/B01BL03AEU/ref=sr_1_2?keywords=Dermacolor+Camouflage+Creme+30G&amp;qid=1695565449&amp;sr=8-2", "https://www.amazon.com/Kryolan-Dermacolor-Camouflage-Foundation-Multiple/dp/B01BL03AEU/ref=sr_1_2?keywords=Dermacolor+Camouflage+Creme+30G&amp;qid=1695565449&amp;sr=8-2")</f>
        <v/>
      </c>
      <c r="F1700" t="inlineStr">
        <is>
          <t>B01BL03AEU</t>
        </is>
      </c>
      <c r="G1700">
        <f>_xlfn.IMAGE("https://camerareadycosmetics.com/cdn/shop/products/main-dermacolor_fba1300a-7df5-4926-aebb-adf119589590_50x.jpg?v=1694446480")</f>
        <v/>
      </c>
      <c r="H1700">
        <f>_xlfn.IMAGE("https://m.media-amazon.com/images/I/31ylkhai5GL._AC_UL320_.jpg")</f>
        <v/>
      </c>
      <c r="K1700" t="inlineStr">
        <is>
          <t>34.7</t>
        </is>
      </c>
      <c r="L1700" t="n">
        <v>39</v>
      </c>
      <c r="M1700" s="1" t="inlineStr">
        <is>
          <t>12.39%</t>
        </is>
      </c>
      <c r="N1700" t="n">
        <v>5</v>
      </c>
      <c r="O1700" t="n">
        <v>1</v>
      </c>
      <c r="Q1700" t="inlineStr">
        <is>
          <t>InStock</t>
        </is>
      </c>
      <c r="R1700" t="inlineStr">
        <is>
          <t>undefined</t>
        </is>
      </c>
      <c r="S1700" t="inlineStr">
        <is>
          <t>10375756170</t>
        </is>
      </c>
    </row>
    <row r="1701" ht="75" customHeight="1">
      <c r="A1701" s="2">
        <f>HYPERLINK("https://camerareadycosmetics.com/products/kryolan-dermacolor-camouflage-creme-4g", "https://camerareadycosmetics.com/products/kryolan-dermacolor-camouflage-creme-4g")</f>
        <v/>
      </c>
      <c r="B1701" s="2">
        <f>HYPERLINK("https://camerareadycosmetics.com/products/kryolan-dermacolor-camouflage-creme-4g", "https://camerareadycosmetics.com/products/kryolan-dermacolor-camouflage-creme-4g")</f>
        <v/>
      </c>
      <c r="C1701" t="inlineStr">
        <is>
          <t>Dermacolor Camouflage Creme 4G</t>
        </is>
      </c>
      <c r="D1701" t="inlineStr">
        <is>
          <t>Kryolan Dermacolor Camouflage Creme 30g - Colour D4</t>
        </is>
      </c>
      <c r="E1701" s="2">
        <f>HYPERLINK("https://www.amazon.com/Dermacolour-Camouflage-Cream-30g-Color/dp/B003BK3U26/ref=sr_1_1?keywords=Dermacolor+Camouflage+Creme+4G&amp;qid=1695565436&amp;sr=8-1", "https://www.amazon.com/Dermacolour-Camouflage-Cream-30g-Color/dp/B003BK3U26/ref=sr_1_1?keywords=Dermacolor+Camouflage+Creme+4G&amp;qid=1695565436&amp;sr=8-1")</f>
        <v/>
      </c>
      <c r="F1701" t="inlineStr">
        <is>
          <t>B003BK3U26</t>
        </is>
      </c>
      <c r="G1701">
        <f>_xlfn.IMAGE("https://camerareadycosmetics.com/cdn/shop/products/main-dermacolor_50x.jpg?v=1694444783")</f>
        <v/>
      </c>
      <c r="H1701">
        <f>_xlfn.IMAGE("https://m.media-amazon.com/images/I/51Gn+1moXBL._AC_UL320_.jpg")</f>
        <v/>
      </c>
      <c r="K1701" t="inlineStr">
        <is>
          <t>19.5</t>
        </is>
      </c>
      <c r="L1701" t="n">
        <v>57.97</v>
      </c>
      <c r="M1701" s="1" t="inlineStr">
        <is>
          <t>197.28%</t>
        </is>
      </c>
      <c r="N1701" t="n">
        <v>4.3</v>
      </c>
      <c r="O1701" t="n">
        <v>15</v>
      </c>
      <c r="Q1701" t="inlineStr">
        <is>
          <t>InStock</t>
        </is>
      </c>
      <c r="R1701" t="inlineStr">
        <is>
          <t>undefined</t>
        </is>
      </c>
      <c r="S1701" t="inlineStr">
        <is>
          <t>10242373258</t>
        </is>
      </c>
    </row>
    <row r="1702" ht="75" customHeight="1">
      <c r="A1702" s="2">
        <f>HYPERLINK("https://camerareadycosmetics.com/products/kryolan-dermacolor-camouflage-creme-4g", "https://camerareadycosmetics.com/products/kryolan-dermacolor-camouflage-creme-4g")</f>
        <v/>
      </c>
      <c r="B1702" s="2">
        <f>HYPERLINK("https://camerareadycosmetics.com/products/kryolan-dermacolor-camouflage-creme-4g", "https://camerareadycosmetics.com/products/kryolan-dermacolor-camouflage-creme-4g")</f>
        <v/>
      </c>
      <c r="C1702" t="inlineStr">
        <is>
          <t>Dermacolor Camouflage Creme 4G</t>
        </is>
      </c>
      <c r="D1702" t="inlineStr">
        <is>
          <t>KRYOLAN DERMACOLOR CAMOUFLAGE CREME PALETTE (H)</t>
        </is>
      </c>
      <c r="E1702" s="2">
        <f>HYPERLINK("https://www.amazon.com/KRYOLAN-DERMACOLOR-CAMOUFLAGE-CREME-PALETTE/dp/B00AYOROXI/ref=sr_1_10?keywords=Dermacolor+Camouflage+Creme+4G&amp;qid=1695565436&amp;sr=8-10", "https://www.amazon.com/KRYOLAN-DERMACOLOR-CAMOUFLAGE-CREME-PALETTE/dp/B00AYOROXI/ref=sr_1_10?keywords=Dermacolor+Camouflage+Creme+4G&amp;qid=1695565436&amp;sr=8-10")</f>
        <v/>
      </c>
      <c r="F1702" t="inlineStr">
        <is>
          <t>B00AYOROXI</t>
        </is>
      </c>
      <c r="G1702">
        <f>_xlfn.IMAGE("https://camerareadycosmetics.com/cdn/shop/products/main-dermacolor_50x.jpg?v=1694444783")</f>
        <v/>
      </c>
      <c r="H1702">
        <f>_xlfn.IMAGE("https://m.media-amazon.com/images/I/81pAD-bvmeL._AC_UL320_.jpg")</f>
        <v/>
      </c>
      <c r="K1702" t="inlineStr">
        <is>
          <t>19.5</t>
        </is>
      </c>
      <c r="L1702" t="n">
        <v>49</v>
      </c>
      <c r="M1702" s="1" t="inlineStr">
        <is>
          <t>151.28%</t>
        </is>
      </c>
      <c r="N1702" t="n">
        <v>4.3</v>
      </c>
      <c r="O1702" t="n">
        <v>16</v>
      </c>
      <c r="Q1702" t="inlineStr">
        <is>
          <t>InStock</t>
        </is>
      </c>
      <c r="R1702" t="inlineStr">
        <is>
          <t>undefined</t>
        </is>
      </c>
      <c r="S1702" t="inlineStr">
        <is>
          <t>10242373258</t>
        </is>
      </c>
    </row>
    <row r="1703" ht="75" customHeight="1">
      <c r="A1703" s="2">
        <f>HYPERLINK("https://camerareadycosmetics.com/products/kryolan-dermacolor-camouflage-creme-4g", "https://camerareadycosmetics.com/products/kryolan-dermacolor-camouflage-creme-4g")</f>
        <v/>
      </c>
      <c r="B1703" s="2">
        <f>HYPERLINK("https://camerareadycosmetics.com/products/kryolan-dermacolor-camouflage-creme-4g", "https://camerareadycosmetics.com/products/kryolan-dermacolor-camouflage-creme-4g")</f>
        <v/>
      </c>
      <c r="C1703" t="inlineStr">
        <is>
          <t>Dermacolor Camouflage Creme 4G</t>
        </is>
      </c>
      <c r="D1703" t="inlineStr">
        <is>
          <t>Kryolan DermaColor Camouflage Creme (71007) H</t>
        </is>
      </c>
      <c r="E1703" s="2">
        <f>HYPERLINK("https://www.amazon.com/Kryolan-DermaColor-Camouflage-Creme-71007/dp/B00D13I25I/ref=sr_1_5?keywords=Dermacolor+Camouflage+Creme+4G&amp;qid=1695565436&amp;sr=8-5", "https://www.amazon.com/Kryolan-DermaColor-Camouflage-Creme-71007/dp/B00D13I25I/ref=sr_1_5?keywords=Dermacolor+Camouflage+Creme+4G&amp;qid=1695565436&amp;sr=8-5")</f>
        <v/>
      </c>
      <c r="F1703" t="inlineStr">
        <is>
          <t>B00D13I25I</t>
        </is>
      </c>
      <c r="G1703">
        <f>_xlfn.IMAGE("https://camerareadycosmetics.com/cdn/shop/products/main-dermacolor_50x.jpg?v=1694444783")</f>
        <v/>
      </c>
      <c r="H1703">
        <f>_xlfn.IMAGE("https://m.media-amazon.com/images/I/31d9Pr1WQoL._AC_UL320_.jpg")</f>
        <v/>
      </c>
      <c r="K1703" t="inlineStr">
        <is>
          <t>19.5</t>
        </is>
      </c>
      <c r="L1703" t="n">
        <v>43.99</v>
      </c>
      <c r="M1703" s="1" t="inlineStr">
        <is>
          <t>125.59%</t>
        </is>
      </c>
      <c r="N1703" t="n">
        <v>5</v>
      </c>
      <c r="O1703" t="n">
        <v>2</v>
      </c>
      <c r="Q1703" t="inlineStr">
        <is>
          <t>InStock</t>
        </is>
      </c>
      <c r="R1703" t="inlineStr">
        <is>
          <t>undefined</t>
        </is>
      </c>
      <c r="S1703" t="inlineStr">
        <is>
          <t>10242373258</t>
        </is>
      </c>
    </row>
    <row r="1704" ht="75" customHeight="1">
      <c r="A1704" s="2">
        <f>HYPERLINK("https://camerareadycosmetics.com/products/kryolan-dermacolor-camouflage-creme-4g", "https://camerareadycosmetics.com/products/kryolan-dermacolor-camouflage-creme-4g")</f>
        <v/>
      </c>
      <c r="B1704" s="2">
        <f>HYPERLINK("https://camerareadycosmetics.com/products/kryolan-dermacolor-camouflage-creme-4g", "https://camerareadycosmetics.com/products/kryolan-dermacolor-camouflage-creme-4g")</f>
        <v/>
      </c>
      <c r="C1704" t="inlineStr">
        <is>
          <t>Dermacolor Camouflage Creme 4G</t>
        </is>
      </c>
      <c r="D1704" t="inlineStr">
        <is>
          <t>Kryolan DermaColor Camouflage Creme 71007 M</t>
        </is>
      </c>
      <c r="E1704" s="2">
        <f>HYPERLINK("https://www.amazon.com/Kryolan-DermaColor-Camouflage-Creme-71007/dp/B0066DC28S/ref=sr_1_2?keywords=Dermacolor+Camouflage+Creme+4G&amp;qid=1695565436&amp;sr=8-2", "https://www.amazon.com/Kryolan-DermaColor-Camouflage-Creme-71007/dp/B0066DC28S/ref=sr_1_2?keywords=Dermacolor+Camouflage+Creme+4G&amp;qid=1695565436&amp;sr=8-2")</f>
        <v/>
      </c>
      <c r="F1704" t="inlineStr">
        <is>
          <t>B0066DC28S</t>
        </is>
      </c>
      <c r="G1704">
        <f>_xlfn.IMAGE("https://camerareadycosmetics.com/cdn/shop/products/main-dermacolor_50x.jpg?v=1694444783")</f>
        <v/>
      </c>
      <c r="H1704">
        <f>_xlfn.IMAGE("https://m.media-amazon.com/images/I/81byT5STI1L._AC_UL320_.jpg")</f>
        <v/>
      </c>
      <c r="K1704" t="inlineStr">
        <is>
          <t>19.5</t>
        </is>
      </c>
      <c r="L1704" t="n">
        <v>42</v>
      </c>
      <c r="M1704" s="1" t="inlineStr">
        <is>
          <t>115.38%</t>
        </is>
      </c>
      <c r="N1704" t="n">
        <v>4.2</v>
      </c>
      <c r="O1704" t="n">
        <v>76</v>
      </c>
      <c r="Q1704" t="inlineStr">
        <is>
          <t>InStock</t>
        </is>
      </c>
      <c r="R1704" t="inlineStr">
        <is>
          <t>undefined</t>
        </is>
      </c>
      <c r="S1704" t="inlineStr">
        <is>
          <t>10242373258</t>
        </is>
      </c>
    </row>
    <row r="1705" ht="75" customHeight="1">
      <c r="A1705" s="2">
        <f>HYPERLINK("https://camerareadycosmetics.com/products/kryolan-dermacolor-camouflage-creme-4g", "https://camerareadycosmetics.com/products/kryolan-dermacolor-camouflage-creme-4g")</f>
        <v/>
      </c>
      <c r="B1705" s="2">
        <f>HYPERLINK("https://camerareadycosmetics.com/products/kryolan-dermacolor-camouflage-creme-4g", "https://camerareadycosmetics.com/products/kryolan-dermacolor-camouflage-creme-4g")</f>
        <v/>
      </c>
      <c r="C1705" t="inlineStr">
        <is>
          <t>Dermacolor Camouflage Creme 4G</t>
        </is>
      </c>
      <c r="D1705" t="inlineStr">
        <is>
          <t>Kryolan 75001 Dermacolor Camouflage Creme Foundation Makeup 30g (Multiple Color Options) (D 3 1/2)</t>
        </is>
      </c>
      <c r="E1705" s="2">
        <f>HYPERLINK("https://www.amazon.com/Kryolan-Dermacolor-Camouflage-Foundation-Multiple/dp/B01BL03AEU/ref=sr_1_3?keywords=Dermacolor+Camouflage+Creme+4G&amp;qid=1695565436&amp;sr=8-3", "https://www.amazon.com/Kryolan-Dermacolor-Camouflage-Foundation-Multiple/dp/B01BL03AEU/ref=sr_1_3?keywords=Dermacolor+Camouflage+Creme+4G&amp;qid=1695565436&amp;sr=8-3")</f>
        <v/>
      </c>
      <c r="F1705" t="inlineStr">
        <is>
          <t>B01BL03AEU</t>
        </is>
      </c>
      <c r="G1705">
        <f>_xlfn.IMAGE("https://camerareadycosmetics.com/cdn/shop/products/main-dermacolor_50x.jpg?v=1694444783")</f>
        <v/>
      </c>
      <c r="H1705">
        <f>_xlfn.IMAGE("https://m.media-amazon.com/images/I/31ylkhai5GL._AC_UL320_.jpg")</f>
        <v/>
      </c>
      <c r="K1705" t="inlineStr">
        <is>
          <t>19.5</t>
        </is>
      </c>
      <c r="L1705" t="n">
        <v>39</v>
      </c>
      <c r="M1705" s="1" t="inlineStr">
        <is>
          <t>100.00%</t>
        </is>
      </c>
      <c r="N1705" t="n">
        <v>5</v>
      </c>
      <c r="O1705" t="n">
        <v>1</v>
      </c>
      <c r="Q1705" t="inlineStr">
        <is>
          <t>InStock</t>
        </is>
      </c>
      <c r="R1705" t="inlineStr">
        <is>
          <t>undefined</t>
        </is>
      </c>
      <c r="S1705" t="inlineStr">
        <is>
          <t>10242373258</t>
        </is>
      </c>
    </row>
    <row r="1706" ht="75" customHeight="1">
      <c r="A1706" s="2">
        <f>HYPERLINK("https://camerareadycosmetics.com/products/kryolan-dermacolor-camouflage-creme-palette-12-colors", "https://camerareadycosmetics.com/products/kryolan-dermacolor-camouflage-creme-palette-12-colors")</f>
        <v/>
      </c>
      <c r="B1706" s="2">
        <f>HYPERLINK("https://camerareadycosmetics.com/products/kryolan-dermacolor-camouflage-creme-palette-12-colors", "https://camerareadycosmetics.com/products/kryolan-dermacolor-camouflage-creme-palette-12-colors")</f>
        <v/>
      </c>
      <c r="C1706" t="inlineStr">
        <is>
          <t>Dermacolor Camouflage Creme Palette 12 Colors - (A)</t>
        </is>
      </c>
      <c r="D1706" t="inlineStr">
        <is>
          <t>Kryolan Dermacolor Camouflage 12 Color Palette 75004 C</t>
        </is>
      </c>
      <c r="E1706" s="2">
        <f>HYPERLINK("https://www.amazon.com/Kryolan-Dermacolor-Camouflage-Palette-75004/dp/B007BF6X6M/ref=sr_1_3?keywords=Dermacolor+Camouflage+Creme+Palette+12+Colors+-+%28A%29&amp;qid=1695565498&amp;sr=8-3", "https://www.amazon.com/Kryolan-Dermacolor-Camouflage-Palette-75004/dp/B007BF6X6M/ref=sr_1_3?keywords=Dermacolor+Camouflage+Creme+Palette+12+Colors+-+%28A%29&amp;qid=1695565498&amp;sr=8-3")</f>
        <v/>
      </c>
      <c r="F1706" t="inlineStr">
        <is>
          <t>B007BF6X6M</t>
        </is>
      </c>
      <c r="G1706">
        <f>_xlfn.IMAGE("https://camerareadycosmetics.com/cdn/shop/products/A_1_50x.jpg?v=1694444686")</f>
        <v/>
      </c>
      <c r="H1706">
        <f>_xlfn.IMAGE("https://m.media-amazon.com/images/I/41C6G2Y5AJL._AC_UL320_.jpg")</f>
        <v/>
      </c>
      <c r="K1706" t="inlineStr">
        <is>
          <t>71.6</t>
        </is>
      </c>
      <c r="L1706" t="n">
        <v>89</v>
      </c>
      <c r="M1706" s="1" t="inlineStr">
        <is>
          <t>24.30%</t>
        </is>
      </c>
      <c r="N1706" t="n">
        <v>4.5</v>
      </c>
      <c r="O1706" t="n">
        <v>3</v>
      </c>
      <c r="Q1706" t="inlineStr">
        <is>
          <t>InStock</t>
        </is>
      </c>
      <c r="R1706" t="inlineStr">
        <is>
          <t>undefined</t>
        </is>
      </c>
      <c r="S1706" t="inlineStr">
        <is>
          <t>10241561738</t>
        </is>
      </c>
    </row>
    <row r="1707" ht="75" customHeight="1">
      <c r="A1707" s="2">
        <f>HYPERLINK("https://camerareadycosmetics.com/products/kryolan-dermacolor-camouflage-creme-palette-12-colors", "https://camerareadycosmetics.com/products/kryolan-dermacolor-camouflage-creme-palette-12-colors")</f>
        <v/>
      </c>
      <c r="B1707" s="2">
        <f>HYPERLINK("https://camerareadycosmetics.com/products/kryolan-dermacolor-camouflage-creme-palette-12-colors", "https://camerareadycosmetics.com/products/kryolan-dermacolor-camouflage-creme-palette-12-colors")</f>
        <v/>
      </c>
      <c r="C1707" t="inlineStr">
        <is>
          <t>Dermacolor Camouflage Creme Palette 12 Colors - (A)</t>
        </is>
      </c>
      <c r="D1707" t="inlineStr">
        <is>
          <t>KRYOLAN DERMACOLOR CAMOUFLAGE CREME PALETTE (H)</t>
        </is>
      </c>
      <c r="E1707" s="2">
        <f>HYPERLINK("https://www.amazon.com/KRYOLAN-DERMACOLOR-CAMOUFLAGE-CREME-PALETTE/dp/B00AYOROXI/ref=sr_1_2?keywords=Dermacolor+Camouflage+Creme+Palette+12+Colors+-+%28A%29&amp;qid=1695565498&amp;sr=8-2", "https://www.amazon.com/KRYOLAN-DERMACOLOR-CAMOUFLAGE-CREME-PALETTE/dp/B00AYOROXI/ref=sr_1_2?keywords=Dermacolor+Camouflage+Creme+Palette+12+Colors+-+%28A%29&amp;qid=1695565498&amp;sr=8-2")</f>
        <v/>
      </c>
      <c r="F1707" t="inlineStr">
        <is>
          <t>B00AYOROXI</t>
        </is>
      </c>
      <c r="G1707">
        <f>_xlfn.IMAGE("https://camerareadycosmetics.com/cdn/shop/products/A_1_50x.jpg?v=1694444686")</f>
        <v/>
      </c>
      <c r="H1707">
        <f>_xlfn.IMAGE("https://m.media-amazon.com/images/I/81pAD-bvmeL._AC_UL320_.jpg")</f>
        <v/>
      </c>
      <c r="K1707" t="inlineStr">
        <is>
          <t>71.6</t>
        </is>
      </c>
      <c r="L1707" t="n">
        <v>49</v>
      </c>
      <c r="M1707" s="1" t="inlineStr">
        <is>
          <t>-31.56%</t>
        </is>
      </c>
      <c r="N1707" t="n">
        <v>4.3</v>
      </c>
      <c r="O1707" t="n">
        <v>16</v>
      </c>
      <c r="Q1707" t="inlineStr">
        <is>
          <t>InStock</t>
        </is>
      </c>
      <c r="R1707" t="inlineStr">
        <is>
          <t>undefined</t>
        </is>
      </c>
      <c r="S1707" t="inlineStr">
        <is>
          <t>10241561738</t>
        </is>
      </c>
    </row>
    <row r="1708" ht="75" customHeight="1">
      <c r="A1708" s="2">
        <f>HYPERLINK("https://camerareadycosmetics.com/products/kryolan-dermacolor-camouflage-creme-palette-12-colors-c", "https://camerareadycosmetics.com/products/kryolan-dermacolor-camouflage-creme-palette-12-colors-c")</f>
        <v/>
      </c>
      <c r="B1708" s="2">
        <f>HYPERLINK("https://camerareadycosmetics.com/products/kryolan-dermacolor-camouflage-creme-palette-12-colors-c", "https://camerareadycosmetics.com/products/kryolan-dermacolor-camouflage-creme-palette-12-colors-c")</f>
        <v/>
      </c>
      <c r="C1708" t="inlineStr">
        <is>
          <t>Dermacolor Camouflage Creme Palette 12 Colors - (C)</t>
        </is>
      </c>
      <c r="D1708" t="inlineStr">
        <is>
          <t>Kryolan Dermacolor Camouflage 12 Color Palette 75004 C</t>
        </is>
      </c>
      <c r="E1708" s="2">
        <f>HYPERLINK("https://www.amazon.com/Kryolan-Dermacolor-Camouflage-Palette-75004/dp/B007BF6X6M/ref=sr_1_1?keywords=Dermacolor+Camouflage+Creme+Palette+12+Colors+-+%28C%29&amp;qid=1695565580&amp;sr=8-1", "https://www.amazon.com/Kryolan-Dermacolor-Camouflage-Palette-75004/dp/B007BF6X6M/ref=sr_1_1?keywords=Dermacolor+Camouflage+Creme+Palette+12+Colors+-+%28C%29&amp;qid=1695565580&amp;sr=8-1")</f>
        <v/>
      </c>
      <c r="F1708" t="inlineStr">
        <is>
          <t>B007BF6X6M</t>
        </is>
      </c>
      <c r="G1708">
        <f>_xlfn.IMAGE("https://camerareadycosmetics.com/cdn/shop/products/C_1_50x.JPG?v=1694444694")</f>
        <v/>
      </c>
      <c r="H1708">
        <f>_xlfn.IMAGE("https://m.media-amazon.com/images/I/41C6G2Y5AJL._AC_UL320_.jpg")</f>
        <v/>
      </c>
      <c r="K1708" t="inlineStr">
        <is>
          <t>71.6</t>
        </is>
      </c>
      <c r="L1708" t="n">
        <v>89</v>
      </c>
      <c r="M1708" s="1" t="inlineStr">
        <is>
          <t>24.30%</t>
        </is>
      </c>
      <c r="N1708" t="n">
        <v>4.5</v>
      </c>
      <c r="O1708" t="n">
        <v>3</v>
      </c>
      <c r="Q1708" t="inlineStr">
        <is>
          <t>InStock</t>
        </is>
      </c>
      <c r="R1708" t="inlineStr">
        <is>
          <t>undefined</t>
        </is>
      </c>
      <c r="S1708" t="inlineStr">
        <is>
          <t>10241798922</t>
        </is>
      </c>
    </row>
    <row r="1709" ht="75" customHeight="1">
      <c r="A1709" s="2">
        <f>HYPERLINK("https://camerareadycosmetics.com/products/kryolan-dermacolor-camouflage-creme-palette-12-colors-c", "https://camerareadycosmetics.com/products/kryolan-dermacolor-camouflage-creme-palette-12-colors-c")</f>
        <v/>
      </c>
      <c r="B1709" s="2">
        <f>HYPERLINK("https://camerareadycosmetics.com/products/kryolan-dermacolor-camouflage-creme-palette-12-colors-c", "https://camerareadycosmetics.com/products/kryolan-dermacolor-camouflage-creme-palette-12-colors-c")</f>
        <v/>
      </c>
      <c r="C1709" t="inlineStr">
        <is>
          <t>Dermacolor Camouflage Creme Palette 12 Colors - (C)</t>
        </is>
      </c>
      <c r="D1709" t="inlineStr">
        <is>
          <t>KRYOLAN DERMACOLOR CAMOUFLAGE CREME PALETTE (H)</t>
        </is>
      </c>
      <c r="E1709" s="2">
        <f>HYPERLINK("https://www.amazon.com/KRYOLAN-DERMACOLOR-CAMOUFLAGE-CREME-PALETTE/dp/B00AYOROXI/ref=sr_1_3?keywords=Dermacolor+Camouflage+Creme+Palette+12+Colors+-+%28C%29&amp;qid=1695565580&amp;sr=8-3", "https://www.amazon.com/KRYOLAN-DERMACOLOR-CAMOUFLAGE-CREME-PALETTE/dp/B00AYOROXI/ref=sr_1_3?keywords=Dermacolor+Camouflage+Creme+Palette+12+Colors+-+%28C%29&amp;qid=1695565580&amp;sr=8-3")</f>
        <v/>
      </c>
      <c r="F1709" t="inlineStr">
        <is>
          <t>B00AYOROXI</t>
        </is>
      </c>
      <c r="G1709">
        <f>_xlfn.IMAGE("https://camerareadycosmetics.com/cdn/shop/products/C_1_50x.JPG?v=1694444694")</f>
        <v/>
      </c>
      <c r="H1709">
        <f>_xlfn.IMAGE("https://m.media-amazon.com/images/I/81pAD-bvmeL._AC_UL320_.jpg")</f>
        <v/>
      </c>
      <c r="K1709" t="inlineStr">
        <is>
          <t>71.6</t>
        </is>
      </c>
      <c r="L1709" t="n">
        <v>49</v>
      </c>
      <c r="M1709" s="1" t="inlineStr">
        <is>
          <t>-31.56%</t>
        </is>
      </c>
      <c r="N1709" t="n">
        <v>4.3</v>
      </c>
      <c r="O1709" t="n">
        <v>16</v>
      </c>
      <c r="Q1709" t="inlineStr">
        <is>
          <t>InStock</t>
        </is>
      </c>
      <c r="R1709" t="inlineStr">
        <is>
          <t>undefined</t>
        </is>
      </c>
      <c r="S1709" t="inlineStr">
        <is>
          <t>10241798922</t>
        </is>
      </c>
    </row>
    <row r="1710" ht="75" customHeight="1">
      <c r="A1710" s="2">
        <f>HYPERLINK("https://camerareadycosmetics.com/products/kryolan-dermacolor-camouflage-creme-refill", "https://camerareadycosmetics.com/products/kryolan-dermacolor-camouflage-creme-refill")</f>
        <v/>
      </c>
      <c r="B1710" s="2">
        <f>HYPERLINK("https://camerareadycosmetics.com/products/kryolan-dermacolor-camouflage-creme-refill", "https://camerareadycosmetics.com/products/kryolan-dermacolor-camouflage-creme-refill")</f>
        <v/>
      </c>
      <c r="C1710" t="inlineStr">
        <is>
          <t>Dermacolor Camouflage Creme Refill</t>
        </is>
      </c>
      <c r="D1710" t="inlineStr">
        <is>
          <t>Dermacolor Camouflage Creme 30g - Colour D4</t>
        </is>
      </c>
      <c r="E1710" s="2">
        <f>HYPERLINK("https://www.amazon.com/Dermacolour-Camouflage-Cream-30g-Color/dp/B003BK3U26/ref=sr_1_3?keywords=Dermacolor+Camouflage+Creme+Refill&amp;qid=1695565420&amp;sr=8-3", "https://www.amazon.com/Dermacolour-Camouflage-Cream-30g-Color/dp/B003BK3U26/ref=sr_1_3?keywords=Dermacolor+Camouflage+Creme+Refill&amp;qid=1695565420&amp;sr=8-3")</f>
        <v/>
      </c>
      <c r="F1710" t="inlineStr">
        <is>
          <t>B003BK3U26</t>
        </is>
      </c>
      <c r="G1710">
        <f>_xlfn.IMAGE("https://camerareadycosmetics.com/cdn/shop/files/75005_00_prod_D_201_50x.jpg?v=1687200739")</f>
        <v/>
      </c>
      <c r="H1710">
        <f>_xlfn.IMAGE("https://m.media-amazon.com/images/I/51Gn+1moXBL._AC_UL320_.jpg")</f>
        <v/>
      </c>
      <c r="K1710" t="inlineStr">
        <is>
          <t>7.1</t>
        </is>
      </c>
      <c r="L1710" t="n">
        <v>57.97</v>
      </c>
      <c r="M1710" s="1" t="inlineStr">
        <is>
          <t>716.48%</t>
        </is>
      </c>
      <c r="N1710" t="n">
        <v>4.3</v>
      </c>
      <c r="O1710" t="n">
        <v>15</v>
      </c>
      <c r="Q1710" t="inlineStr">
        <is>
          <t>InStock</t>
        </is>
      </c>
      <c r="R1710" t="inlineStr">
        <is>
          <t>undefined</t>
        </is>
      </c>
      <c r="S1710" t="inlineStr">
        <is>
          <t>11843206282</t>
        </is>
      </c>
    </row>
    <row r="1711" ht="75" customHeight="1">
      <c r="A1711" s="2">
        <f>HYPERLINK("https://camerareadycosmetics.com/products/kryolan-dermacolor-camouflage-creme-refill", "https://camerareadycosmetics.com/products/kryolan-dermacolor-camouflage-creme-refill")</f>
        <v/>
      </c>
      <c r="B1711" s="2">
        <f>HYPERLINK("https://camerareadycosmetics.com/products/kryolan-dermacolor-camouflage-creme-refill", "https://camerareadycosmetics.com/products/kryolan-dermacolor-camouflage-creme-refill")</f>
        <v/>
      </c>
      <c r="C1711" t="inlineStr">
        <is>
          <t>Dermacolor Camouflage Creme Refill</t>
        </is>
      </c>
      <c r="D1711" t="inlineStr">
        <is>
          <t>Kryolan DermaColor Camouflage Creme (71007) H</t>
        </is>
      </c>
      <c r="E1711" s="2">
        <f>HYPERLINK("https://www.amazon.com/Kryolan-DermaColor-Camouflage-Creme-71007/dp/B00D13I25I/ref=sr_1_8?keywords=Dermacolor+Camouflage+Creme+Refill&amp;qid=1695565420&amp;sr=8-8", "https://www.amazon.com/Kryolan-DermaColor-Camouflage-Creme-71007/dp/B00D13I25I/ref=sr_1_8?keywords=Dermacolor+Camouflage+Creme+Refill&amp;qid=1695565420&amp;sr=8-8")</f>
        <v/>
      </c>
      <c r="F1711" t="inlineStr">
        <is>
          <t>B00D13I25I</t>
        </is>
      </c>
      <c r="G1711">
        <f>_xlfn.IMAGE("https://camerareadycosmetics.com/cdn/shop/files/75005_00_prod_D_201_50x.jpg?v=1687200739")</f>
        <v/>
      </c>
      <c r="H1711">
        <f>_xlfn.IMAGE("https://m.media-amazon.com/images/I/31d9Pr1WQoL._AC_UL320_.jpg")</f>
        <v/>
      </c>
      <c r="K1711" t="inlineStr">
        <is>
          <t>7.1</t>
        </is>
      </c>
      <c r="L1711" t="n">
        <v>43.99</v>
      </c>
      <c r="M1711" s="1" t="inlineStr">
        <is>
          <t>519.58%</t>
        </is>
      </c>
      <c r="N1711" t="n">
        <v>5</v>
      </c>
      <c r="O1711" t="n">
        <v>2</v>
      </c>
      <c r="Q1711" t="inlineStr">
        <is>
          <t>InStock</t>
        </is>
      </c>
      <c r="R1711" t="inlineStr">
        <is>
          <t>undefined</t>
        </is>
      </c>
      <c r="S1711" t="inlineStr">
        <is>
          <t>11843206282</t>
        </is>
      </c>
    </row>
    <row r="1712" ht="75" customHeight="1">
      <c r="A1712" s="2">
        <f>HYPERLINK("https://camerareadycosmetics.com/products/kryolan-dermacolor-camouflage-creme-refill", "https://camerareadycosmetics.com/products/kryolan-dermacolor-camouflage-creme-refill")</f>
        <v/>
      </c>
      <c r="B1712" s="2">
        <f>HYPERLINK("https://camerareadycosmetics.com/products/kryolan-dermacolor-camouflage-creme-refill", "https://camerareadycosmetics.com/products/kryolan-dermacolor-camouflage-creme-refill")</f>
        <v/>
      </c>
      <c r="C1712" t="inlineStr">
        <is>
          <t>Dermacolor Camouflage Creme Refill</t>
        </is>
      </c>
      <c r="D1712" t="inlineStr">
        <is>
          <t>Kryolan DermaColor Camouflage Creme 71007 M</t>
        </is>
      </c>
      <c r="E1712" s="2">
        <f>HYPERLINK("https://www.amazon.com/Kryolan-DermaColor-Camouflage-Creme-71007/dp/B0066DC28S/ref=sr_1_1?keywords=Dermacolor+Camouflage+Creme+Refill&amp;qid=1695565420&amp;sr=8-1", "https://www.amazon.com/Kryolan-DermaColor-Camouflage-Creme-71007/dp/B0066DC28S/ref=sr_1_1?keywords=Dermacolor+Camouflage+Creme+Refill&amp;qid=1695565420&amp;sr=8-1")</f>
        <v/>
      </c>
      <c r="F1712" t="inlineStr">
        <is>
          <t>B0066DC28S</t>
        </is>
      </c>
      <c r="G1712">
        <f>_xlfn.IMAGE("https://camerareadycosmetics.com/cdn/shop/files/75005_00_prod_D_201_50x.jpg?v=1687200739")</f>
        <v/>
      </c>
      <c r="H1712">
        <f>_xlfn.IMAGE("https://m.media-amazon.com/images/I/81byT5STI1L._AC_UL320_.jpg")</f>
        <v/>
      </c>
      <c r="K1712" t="inlineStr">
        <is>
          <t>7.1</t>
        </is>
      </c>
      <c r="L1712" t="n">
        <v>42</v>
      </c>
      <c r="M1712" s="1" t="inlineStr">
        <is>
          <t>491.55%</t>
        </is>
      </c>
      <c r="N1712" t="n">
        <v>4.2</v>
      </c>
      <c r="O1712" t="n">
        <v>76</v>
      </c>
      <c r="Q1712" t="inlineStr">
        <is>
          <t>InStock</t>
        </is>
      </c>
      <c r="R1712" t="inlineStr">
        <is>
          <t>undefined</t>
        </is>
      </c>
      <c r="S1712" t="inlineStr">
        <is>
          <t>11843206282</t>
        </is>
      </c>
    </row>
    <row r="1713" ht="75" customHeight="1">
      <c r="A1713" s="2">
        <f>HYPERLINK("https://camerareadycosmetics.com/products/kryolan-dermacolor-camouflage-creme-refill", "https://camerareadycosmetics.com/products/kryolan-dermacolor-camouflage-creme-refill")</f>
        <v/>
      </c>
      <c r="B1713" s="2">
        <f>HYPERLINK("https://camerareadycosmetics.com/products/kryolan-dermacolor-camouflage-creme-refill", "https://camerareadycosmetics.com/products/kryolan-dermacolor-camouflage-creme-refill")</f>
        <v/>
      </c>
      <c r="C1713" t="inlineStr">
        <is>
          <t>Dermacolor Camouflage Creme Refill</t>
        </is>
      </c>
      <c r="D1713" t="inlineStr">
        <is>
          <t>Kryolan 75001 Dermacolor Camouflage Creme Foundation Makeup 30g (Multiple Color Options) (D 3 1/2)</t>
        </is>
      </c>
      <c r="E1713" s="2">
        <f>HYPERLINK("https://www.amazon.com/Kryolan-Dermacolor-Camouflage-Foundation-Multiple/dp/B01BL03AEU/ref=sr_1_6?keywords=Dermacolor+Camouflage+Creme+Refill&amp;qid=1695565420&amp;sr=8-6", "https://www.amazon.com/Kryolan-Dermacolor-Camouflage-Foundation-Multiple/dp/B01BL03AEU/ref=sr_1_6?keywords=Dermacolor+Camouflage+Creme+Refill&amp;qid=1695565420&amp;sr=8-6")</f>
        <v/>
      </c>
      <c r="F1713" t="inlineStr">
        <is>
          <t>B01BL03AEU</t>
        </is>
      </c>
      <c r="G1713">
        <f>_xlfn.IMAGE("https://camerareadycosmetics.com/cdn/shop/files/75005_00_prod_D_201_50x.jpg?v=1687200739")</f>
        <v/>
      </c>
      <c r="H1713">
        <f>_xlfn.IMAGE("https://m.media-amazon.com/images/I/31ylkhai5GL._AC_UL320_.jpg")</f>
        <v/>
      </c>
      <c r="K1713" t="inlineStr">
        <is>
          <t>7.1</t>
        </is>
      </c>
      <c r="L1713" t="n">
        <v>39</v>
      </c>
      <c r="M1713" s="1" t="inlineStr">
        <is>
          <t>449.30%</t>
        </is>
      </c>
      <c r="N1713" t="n">
        <v>5</v>
      </c>
      <c r="O1713" t="n">
        <v>1</v>
      </c>
      <c r="Q1713" t="inlineStr">
        <is>
          <t>InStock</t>
        </is>
      </c>
      <c r="R1713" t="inlineStr">
        <is>
          <t>undefined</t>
        </is>
      </c>
      <c r="S1713" t="inlineStr">
        <is>
          <t>11843206282</t>
        </is>
      </c>
    </row>
    <row r="1714" ht="75" customHeight="1">
      <c r="A1714" s="2">
        <f>HYPERLINK("https://camerareadycosmetics.com/products/kryolan-dermacolor-camouflage-creme-refill", "https://camerareadycosmetics.com/products/kryolan-dermacolor-camouflage-creme-refill")</f>
        <v/>
      </c>
      <c r="B1714" s="2">
        <f>HYPERLINK("https://camerareadycosmetics.com/products/kryolan-dermacolor-camouflage-creme-refill", "https://camerareadycosmetics.com/products/kryolan-dermacolor-camouflage-creme-refill")</f>
        <v/>
      </c>
      <c r="C1714" t="inlineStr">
        <is>
          <t>Dermacolor Camouflage Creme Refill</t>
        </is>
      </c>
      <c r="D1714" t="inlineStr">
        <is>
          <t>Kryolan Dermacolor Camouflage Cream Refill- 4gm ALL SHADES {Cover Tattoos/Birthmark/Vitiligo Scar Makeup} Concealer (D65)</t>
        </is>
      </c>
      <c r="E1714" s="2">
        <f>HYPERLINK("https://www.amazon.com/Kryolan-Dermacolor-Camouflage-Birthmark-Concealer/dp/B006STFHLY/ref=sr_1_5?keywords=Dermacolor+Camouflage+Creme+Refill&amp;qid=1695565420&amp;sr=8-5", "https://www.amazon.com/Kryolan-Dermacolor-Camouflage-Birthmark-Concealer/dp/B006STFHLY/ref=sr_1_5?keywords=Dermacolor+Camouflage+Creme+Refill&amp;qid=1695565420&amp;sr=8-5")</f>
        <v/>
      </c>
      <c r="F1714" t="inlineStr">
        <is>
          <t>B006STFHLY</t>
        </is>
      </c>
      <c r="G1714">
        <f>_xlfn.IMAGE("https://camerareadycosmetics.com/cdn/shop/files/75005_00_prod_D_201_50x.jpg?v=1687200739")</f>
        <v/>
      </c>
      <c r="H1714">
        <f>_xlfn.IMAGE("https://m.media-amazon.com/images/I/61Sgk1UuqQL._AC_UL320_.jpg")</f>
        <v/>
      </c>
      <c r="K1714" t="inlineStr">
        <is>
          <t>7.1</t>
        </is>
      </c>
      <c r="L1714" t="n">
        <v>22</v>
      </c>
      <c r="M1714" s="1" t="inlineStr">
        <is>
          <t>209.86%</t>
        </is>
      </c>
      <c r="N1714" t="n">
        <v>2.6</v>
      </c>
      <c r="O1714" t="n">
        <v>2</v>
      </c>
      <c r="Q1714" t="inlineStr">
        <is>
          <t>InStock</t>
        </is>
      </c>
      <c r="R1714" t="inlineStr">
        <is>
          <t>undefined</t>
        </is>
      </c>
      <c r="S1714" t="inlineStr">
        <is>
          <t>11843206282</t>
        </is>
      </c>
    </row>
    <row r="1715" ht="75" customHeight="1">
      <c r="A1715" s="2">
        <f>HYPERLINK("https://camerareadycosmetics.com/products/kryolan-dermacolor-fixing-powder-20-g", "https://camerareadycosmetics.com/products/kryolan-dermacolor-fixing-powder-20-g")</f>
        <v/>
      </c>
      <c r="B1715" s="2">
        <f>HYPERLINK("https://camerareadycosmetics.com/products/kryolan-dermacolor-fixing-powder-20-g", "https://camerareadycosmetics.com/products/kryolan-dermacolor-fixing-powder-20-g")</f>
        <v/>
      </c>
      <c r="C1715" t="inlineStr">
        <is>
          <t>Dermacolor Fixing Powder 20 G</t>
        </is>
      </c>
      <c r="D1715" t="inlineStr">
        <is>
          <t>KRYOLAN DERMACOLOR Fixing Powder (P2)</t>
        </is>
      </c>
      <c r="E1715" s="2">
        <f>HYPERLINK("https://www.amazon.com/KRYOLAN-DERMACOLOR-Fixing-Powder-P2/dp/B01FO9OTRQ/ref=sr_1_1?keywords=Dermacolor+Fixing+Powder+20+G&amp;qid=1695565445&amp;sr=8-1", "https://www.amazon.com/KRYOLAN-DERMACOLOR-Fixing-Powder-P2/dp/B01FO9OTRQ/ref=sr_1_1?keywords=Dermacolor+Fixing+Powder+20+G&amp;qid=1695565445&amp;sr=8-1")</f>
        <v/>
      </c>
      <c r="F1715" t="inlineStr">
        <is>
          <t>B01FO9OTRQ</t>
        </is>
      </c>
      <c r="G1715">
        <f>_xlfn.IMAGE("https://camerareadycosmetics.com/cdn/shop/files/75700_00_prod_P_2_06571dd5-f61b-4d79-9a63-d363337d9a26_50x.jpg?v=1687200008")</f>
        <v/>
      </c>
      <c r="H1715">
        <f>_xlfn.IMAGE("https://m.media-amazon.com/images/I/41Bw64Wt9lL._AC_UL320_.jpg")</f>
        <v/>
      </c>
      <c r="K1715" t="inlineStr">
        <is>
          <t>18.9</t>
        </is>
      </c>
      <c r="L1715" t="n">
        <v>29</v>
      </c>
      <c r="M1715" s="1" t="inlineStr">
        <is>
          <t>53.44%</t>
        </is>
      </c>
      <c r="N1715" t="n">
        <v>3.1</v>
      </c>
      <c r="O1715" t="n">
        <v>2</v>
      </c>
      <c r="Q1715" t="inlineStr">
        <is>
          <t>InStock</t>
        </is>
      </c>
      <c r="R1715" t="inlineStr">
        <is>
          <t>undefined</t>
        </is>
      </c>
      <c r="S1715" t="inlineStr">
        <is>
          <t>10904477642</t>
        </is>
      </c>
    </row>
    <row r="1716" ht="75" customHeight="1">
      <c r="A1716" s="2">
        <f>HYPERLINK("https://camerareadycosmetics.com/products/kryolan-dermacolor-fixing-powder-20-g", "https://camerareadycosmetics.com/products/kryolan-dermacolor-fixing-powder-20-g")</f>
        <v/>
      </c>
      <c r="B1716" s="2">
        <f>HYPERLINK("https://camerareadycosmetics.com/products/kryolan-dermacolor-fixing-powder-20-g", "https://camerareadycosmetics.com/products/kryolan-dermacolor-fixing-powder-20-g")</f>
        <v/>
      </c>
      <c r="C1716" t="inlineStr">
        <is>
          <t>Dermacolor Fixing Powder 20 G</t>
        </is>
      </c>
      <c r="D1716" t="inlineStr">
        <is>
          <t>KRYOLAN DERMACOLOR FIXING POWDER colour P1)</t>
        </is>
      </c>
      <c r="E1716" s="2">
        <f>HYPERLINK("https://www.amazon.com/KRYOLAN-DERMACOLOR-FIXING-POWDER-colour/dp/B07HL5PBCF/ref=sr_1_fkmr0_1?keywords=Dermacolor+Fixing+Powder+20+G&amp;qid=1695565445&amp;sr=8-1-fkmr0", "https://www.amazon.com/KRYOLAN-DERMACOLOR-FIXING-POWDER-colour/dp/B07HL5PBCF/ref=sr_1_fkmr0_1?keywords=Dermacolor+Fixing+Powder+20+G&amp;qid=1695565445&amp;sr=8-1-fkmr0")</f>
        <v/>
      </c>
      <c r="F1716" t="inlineStr">
        <is>
          <t>B07HL5PBCF</t>
        </is>
      </c>
      <c r="G1716">
        <f>_xlfn.IMAGE("https://camerareadycosmetics.com/cdn/shop/files/75700_00_prod_P_2_06571dd5-f61b-4d79-9a63-d363337d9a26_50x.jpg?v=1687200008")</f>
        <v/>
      </c>
      <c r="H1716">
        <f>_xlfn.IMAGE("https://m.media-amazon.com/images/I/81MevHGKhPL._AC_UL320_.jpg")</f>
        <v/>
      </c>
      <c r="K1716" t="inlineStr">
        <is>
          <t>18.9</t>
        </is>
      </c>
      <c r="L1716" t="n">
        <v>29</v>
      </c>
      <c r="M1716" s="1" t="inlineStr">
        <is>
          <t>53.44%</t>
        </is>
      </c>
      <c r="N1716" t="n">
        <v>5</v>
      </c>
      <c r="O1716" t="n">
        <v>1</v>
      </c>
      <c r="Q1716" t="inlineStr">
        <is>
          <t>InStock</t>
        </is>
      </c>
      <c r="R1716" t="inlineStr">
        <is>
          <t>undefined</t>
        </is>
      </c>
      <c r="S1716" t="inlineStr">
        <is>
          <t>10904477642</t>
        </is>
      </c>
    </row>
    <row r="1717" ht="75" customHeight="1">
      <c r="A1717" s="2">
        <f>HYPERLINK("https://camerareadycosmetics.com/products/kryolan-dermacolor-fixing-powder-60-g", "https://camerareadycosmetics.com/products/kryolan-dermacolor-fixing-powder-60-g")</f>
        <v/>
      </c>
      <c r="B1717" s="2">
        <f>HYPERLINK("https://camerareadycosmetics.com/products/kryolan-dermacolor-fixing-powder-60-g", "https://camerareadycosmetics.com/products/kryolan-dermacolor-fixing-powder-60-g")</f>
        <v/>
      </c>
      <c r="C1717" t="inlineStr">
        <is>
          <t>Dermacolor Fixing Powder 60 G</t>
        </is>
      </c>
      <c r="D1717" t="inlineStr">
        <is>
          <t>KRYOLAN DERMACOLOR - FIXING POWDER 20G-P4</t>
        </is>
      </c>
      <c r="E1717" s="2">
        <f>HYPERLINK("https://www.amazon.com/KRYOLAN-DERMACOLOR-FIXING-POWDER-20G-P4/dp/B00750EWBQ/ref=sr_1_1?keywords=Dermacolor+Fixing+Powder+60+G&amp;qid=1695565491&amp;sr=8-1", "https://www.amazon.com/KRYOLAN-DERMACOLOR-FIXING-POWDER-20G-P4/dp/B00750EWBQ/ref=sr_1_1?keywords=Dermacolor+Fixing+Powder+60+G&amp;qid=1695565491&amp;sr=8-1")</f>
        <v/>
      </c>
      <c r="F1717" t="inlineStr">
        <is>
          <t>B00750EWBQ</t>
        </is>
      </c>
      <c r="G1717">
        <f>_xlfn.IMAGE("https://camerareadycosmetics.com/cdn/shop/products/Kryolan-Dermacolor-Fixing-Powder_5f074bf1-0c82-4440-98ee-ebc086bb0532_50x.jpg?v=1597777943")</f>
        <v/>
      </c>
      <c r="H1717">
        <f>_xlfn.IMAGE("https://m.media-amazon.com/images/I/41R1FlCJOuL._AC_UL320_.jpg")</f>
        <v/>
      </c>
      <c r="K1717" t="inlineStr">
        <is>
          <t>33.9</t>
        </is>
      </c>
      <c r="L1717" t="n">
        <v>29</v>
      </c>
      <c r="M1717" s="1" t="inlineStr">
        <is>
          <t>-14.45%</t>
        </is>
      </c>
      <c r="N1717" t="n">
        <v>4.2</v>
      </c>
      <c r="O1717" t="n">
        <v>13</v>
      </c>
      <c r="Q1717" t="inlineStr">
        <is>
          <t>InStock</t>
        </is>
      </c>
      <c r="R1717" t="inlineStr">
        <is>
          <t>undefined</t>
        </is>
      </c>
      <c r="S1717" t="inlineStr">
        <is>
          <t>219056963594</t>
        </is>
      </c>
    </row>
    <row r="1718" ht="75" customHeight="1">
      <c r="A1718" s="2">
        <f>HYPERLINK("https://camerareadycosmetics.com/products/kryolan-dermacolor-fixing-powder-60-g", "https://camerareadycosmetics.com/products/kryolan-dermacolor-fixing-powder-60-g")</f>
        <v/>
      </c>
      <c r="B1718" s="2">
        <f>HYPERLINK("https://camerareadycosmetics.com/products/kryolan-dermacolor-fixing-powder-60-g", "https://camerareadycosmetics.com/products/kryolan-dermacolor-fixing-powder-60-g")</f>
        <v/>
      </c>
      <c r="C1718" t="inlineStr">
        <is>
          <t>Dermacolor Fixing Powder 60 G</t>
        </is>
      </c>
      <c r="D1718" t="inlineStr">
        <is>
          <t>KRYOLAN DERMACOLOR Fixing Powder (P2)</t>
        </is>
      </c>
      <c r="E1718" s="2">
        <f>HYPERLINK("https://www.amazon.com/KRYOLAN-DERMACOLOR-Fixing-Powder-P2/dp/B01FO9OTRQ/ref=sr_1_3?keywords=Dermacolor+Fixing+Powder+60+G&amp;qid=1695565491&amp;sr=8-3", "https://www.amazon.com/KRYOLAN-DERMACOLOR-Fixing-Powder-P2/dp/B01FO9OTRQ/ref=sr_1_3?keywords=Dermacolor+Fixing+Powder+60+G&amp;qid=1695565491&amp;sr=8-3")</f>
        <v/>
      </c>
      <c r="F1718" t="inlineStr">
        <is>
          <t>B01FO9OTRQ</t>
        </is>
      </c>
      <c r="G1718">
        <f>_xlfn.IMAGE("https://camerareadycosmetics.com/cdn/shop/products/Kryolan-Dermacolor-Fixing-Powder_5f074bf1-0c82-4440-98ee-ebc086bb0532_50x.jpg?v=1597777943")</f>
        <v/>
      </c>
      <c r="H1718">
        <f>_xlfn.IMAGE("https://m.media-amazon.com/images/I/41Bw64Wt9lL._AC_UL320_.jpg")</f>
        <v/>
      </c>
      <c r="K1718" t="inlineStr">
        <is>
          <t>33.9</t>
        </is>
      </c>
      <c r="L1718" t="n">
        <v>29</v>
      </c>
      <c r="M1718" s="1" t="inlineStr">
        <is>
          <t>-14.45%</t>
        </is>
      </c>
      <c r="N1718" t="n">
        <v>3.1</v>
      </c>
      <c r="O1718" t="n">
        <v>2</v>
      </c>
      <c r="Q1718" t="inlineStr">
        <is>
          <t>InStock</t>
        </is>
      </c>
      <c r="R1718" t="inlineStr">
        <is>
          <t>undefined</t>
        </is>
      </c>
      <c r="S1718" t="inlineStr">
        <is>
          <t>219056963594</t>
        </is>
      </c>
    </row>
    <row r="1719" ht="75" customHeight="1">
      <c r="A1719" s="2">
        <f>HYPERLINK("https://camerareadycosmetics.com/products/kryolan-dermacolor-fixing-powder-60-g", "https://camerareadycosmetics.com/products/kryolan-dermacolor-fixing-powder-60-g")</f>
        <v/>
      </c>
      <c r="B1719" s="2">
        <f>HYPERLINK("https://camerareadycosmetics.com/products/kryolan-dermacolor-fixing-powder-60-g", "https://camerareadycosmetics.com/products/kryolan-dermacolor-fixing-powder-60-g")</f>
        <v/>
      </c>
      <c r="C1719" t="inlineStr">
        <is>
          <t>Dermacolor Fixing Powder 60 G</t>
        </is>
      </c>
      <c r="D1719" t="inlineStr">
        <is>
          <t>KRYOLAN DERMACOLOR FIXING POWDER colour P1)</t>
        </is>
      </c>
      <c r="E1719" s="2">
        <f>HYPERLINK("https://www.amazon.com/KRYOLAN-DERMACOLOR-FIXING-POWDER-colour/dp/B07HL5PBCF/ref=sr_1_fkmr0_1?keywords=Dermacolor+Fixing+Powder+60+G&amp;qid=1695565491&amp;sr=8-1-fkmr0", "https://www.amazon.com/KRYOLAN-DERMACOLOR-FIXING-POWDER-colour/dp/B07HL5PBCF/ref=sr_1_fkmr0_1?keywords=Dermacolor+Fixing+Powder+60+G&amp;qid=1695565491&amp;sr=8-1-fkmr0")</f>
        <v/>
      </c>
      <c r="F1719" t="inlineStr">
        <is>
          <t>B07HL5PBCF</t>
        </is>
      </c>
      <c r="G1719">
        <f>_xlfn.IMAGE("https://camerareadycosmetics.com/cdn/shop/products/Kryolan-Dermacolor-Fixing-Powder_5f074bf1-0c82-4440-98ee-ebc086bb0532_50x.jpg?v=1597777943")</f>
        <v/>
      </c>
      <c r="H1719">
        <f>_xlfn.IMAGE("https://m.media-amazon.com/images/I/81MevHGKhPL._AC_UL320_.jpg")</f>
        <v/>
      </c>
      <c r="K1719" t="inlineStr">
        <is>
          <t>33.9</t>
        </is>
      </c>
      <c r="L1719" t="n">
        <v>29</v>
      </c>
      <c r="M1719" s="1" t="inlineStr">
        <is>
          <t>-14.45%</t>
        </is>
      </c>
      <c r="N1719" t="n">
        <v>5</v>
      </c>
      <c r="O1719" t="n">
        <v>1</v>
      </c>
      <c r="Q1719" t="inlineStr">
        <is>
          <t>InStock</t>
        </is>
      </c>
      <c r="R1719" t="inlineStr">
        <is>
          <t>undefined</t>
        </is>
      </c>
      <c r="S1719" t="inlineStr">
        <is>
          <t>219056963594</t>
        </is>
      </c>
    </row>
    <row r="1720" ht="75" customHeight="1">
      <c r="A1720" s="2">
        <f>HYPERLINK("https://camerareadycosmetics.com/products/kryolan-eyebrow-plastic", "https://camerareadycosmetics.com/products/kryolan-eyebrow-plastic")</f>
        <v/>
      </c>
      <c r="B1720" s="2">
        <f>HYPERLINK("https://camerareadycosmetics.com/products/kryolan-eyebrow-plastic", "https://camerareadycosmetics.com/products/kryolan-eyebrow-plastic")</f>
        <v/>
      </c>
      <c r="C1720" t="inlineStr">
        <is>
          <t>Eyebrow Plastic</t>
        </is>
      </c>
      <c r="D1720" t="inlineStr">
        <is>
          <t>1300 Ft [ 400 M ] Superior Preservative Film – Microblading Wrap for Lip Blush, Eyebrow Lamination Tint Kit &amp; Lash Lift – PMU Plastic Wrap &amp; PMU Supplies - Microblading Kit - 1 Pack</t>
        </is>
      </c>
      <c r="E1720" s="2">
        <f>HYPERLINK("https://www.amazon.com/BRAWNA-400m-Superior-Preservative-Film/dp/B08L46ZYTF/ref=sr_1_5?keywords=Eyebrow+Plastic&amp;qid=1695565520&amp;sr=8-5", "https://www.amazon.com/BRAWNA-400m-Superior-Preservative-Film/dp/B08L46ZYTF/ref=sr_1_5?keywords=Eyebrow+Plastic&amp;qid=1695565520&amp;sr=8-5")</f>
        <v/>
      </c>
      <c r="F1720" t="inlineStr">
        <is>
          <t>B08L46ZYTF</t>
        </is>
      </c>
      <c r="G1720">
        <f>_xlfn.IMAGE("https://camerareadycosmetics.com/cdn/shop/files/01420_00_prod_0_50x.jpg?v=1687199820")</f>
        <v/>
      </c>
      <c r="H1720">
        <f>_xlfn.IMAGE("https://m.media-amazon.com/images/I/71s2I00llbL._AC_UL320_.jpg")</f>
        <v/>
      </c>
      <c r="K1720" t="inlineStr">
        <is>
          <t>10.8</t>
        </is>
      </c>
      <c r="L1720" t="n">
        <v>11.99</v>
      </c>
      <c r="M1720" s="1" t="inlineStr">
        <is>
          <t>11.02%</t>
        </is>
      </c>
      <c r="N1720" t="n">
        <v>4.6</v>
      </c>
      <c r="O1720" t="n">
        <v>473</v>
      </c>
      <c r="Q1720" t="inlineStr">
        <is>
          <t>InStock</t>
        </is>
      </c>
      <c r="R1720" t="inlineStr">
        <is>
          <t>undefined</t>
        </is>
      </c>
      <c r="S1720" t="inlineStr">
        <is>
          <t>10885910794</t>
        </is>
      </c>
    </row>
    <row r="1721" ht="75" customHeight="1">
      <c r="A1721" s="2">
        <f>HYPERLINK("https://camerareadycosmetics.com/products/kryolan-eyebrow-plastic", "https://camerareadycosmetics.com/products/kryolan-eyebrow-plastic")</f>
        <v/>
      </c>
      <c r="B1721" s="2">
        <f>HYPERLINK("https://camerareadycosmetics.com/products/kryolan-eyebrow-plastic", "https://camerareadycosmetics.com/products/kryolan-eyebrow-plastic")</f>
        <v/>
      </c>
      <c r="C1721" t="inlineStr">
        <is>
          <t>Eyebrow Plastic</t>
        </is>
      </c>
      <c r="D1721" t="inlineStr">
        <is>
          <t>Parallel Products – Premium Preservative Film - Plastic Wrap for Brow and Lash PMU – For Use with Lamination, Microblading or Tint Kit – For use on Eyebrows and Eyelashes – BPA Free – 300 Meters</t>
        </is>
      </c>
      <c r="E1721" s="2">
        <f>HYPERLINK("https://www.amazon.com/Parallel-Products-Preservative-Microblading-Professional/dp/B07VXM2X5T/ref=sr_1_10?keywords=Eyebrow+Plastic&amp;qid=1695565520&amp;sr=8-10", "https://www.amazon.com/Parallel-Products-Preservative-Microblading-Professional/dp/B07VXM2X5T/ref=sr_1_10?keywords=Eyebrow+Plastic&amp;qid=1695565520&amp;sr=8-10")</f>
        <v/>
      </c>
      <c r="F1721" t="inlineStr">
        <is>
          <t>B07VXM2X5T</t>
        </is>
      </c>
      <c r="G1721">
        <f>_xlfn.IMAGE("https://camerareadycosmetics.com/cdn/shop/files/01420_00_prod_0_50x.jpg?v=1687199820")</f>
        <v/>
      </c>
      <c r="H1721">
        <f>_xlfn.IMAGE("https://m.media-amazon.com/images/I/71PdWFUuPQL._AC_UL320_.jpg")</f>
        <v/>
      </c>
      <c r="K1721" t="inlineStr">
        <is>
          <t>10.8</t>
        </is>
      </c>
      <c r="L1721" t="n">
        <v>11.99</v>
      </c>
      <c r="M1721" s="1" t="inlineStr">
        <is>
          <t>11.02%</t>
        </is>
      </c>
      <c r="N1721" t="n">
        <v>4.6</v>
      </c>
      <c r="O1721" t="n">
        <v>1549</v>
      </c>
      <c r="Q1721" t="inlineStr">
        <is>
          <t>InStock</t>
        </is>
      </c>
      <c r="R1721" t="inlineStr">
        <is>
          <t>undefined</t>
        </is>
      </c>
      <c r="S1721" t="inlineStr">
        <is>
          <t>10885910794</t>
        </is>
      </c>
    </row>
    <row r="1722" ht="75" customHeight="1">
      <c r="A1722" s="2">
        <f>HYPERLINK("https://camerareadycosmetics.com/products/kryolan-eyebrow-plastic", "https://camerareadycosmetics.com/products/kryolan-eyebrow-plastic")</f>
        <v/>
      </c>
      <c r="B1722" s="2">
        <f>HYPERLINK("https://camerareadycosmetics.com/products/kryolan-eyebrow-plastic", "https://camerareadycosmetics.com/products/kryolan-eyebrow-plastic")</f>
        <v/>
      </c>
      <c r="C1722" t="inlineStr">
        <is>
          <t>Eyebrow Plastic</t>
        </is>
      </c>
      <c r="D1722" t="inlineStr">
        <is>
          <t>Kridzisw 16G Clear Plastic Curved Barbells Eyebrow Ring Snake Eyes Tongue Rings Acrylic Bioflex Cartilage Helix Tragus Earrings Nipple Belly Lip Ring Piercing Retainer Length 6mm 8mm 10mm 12mm 36pcs</t>
        </is>
      </c>
      <c r="E1722" s="2">
        <f>HYPERLINK("https://www.amazon.com/Kridzisw-Bioflex-Acrylic-Piercing-Retainer/dp/B07S8PSZ1J/ref=sr_1_7?keywords=Eyebrow+Plastic&amp;qid=1695565520&amp;sr=8-7", "https://www.amazon.com/Kridzisw-Bioflex-Acrylic-Piercing-Retainer/dp/B07S8PSZ1J/ref=sr_1_7?keywords=Eyebrow+Plastic&amp;qid=1695565520&amp;sr=8-7")</f>
        <v/>
      </c>
      <c r="F1722" t="inlineStr">
        <is>
          <t>B07S8PSZ1J</t>
        </is>
      </c>
      <c r="G1722">
        <f>_xlfn.IMAGE("https://camerareadycosmetics.com/cdn/shop/files/01420_00_prod_0_50x.jpg?v=1687199820")</f>
        <v/>
      </c>
      <c r="H1722">
        <f>_xlfn.IMAGE("https://m.media-amazon.com/images/I/714CwH+c2fL._AC_UL320_.jpg")</f>
        <v/>
      </c>
      <c r="K1722" t="inlineStr">
        <is>
          <t>10.8</t>
        </is>
      </c>
      <c r="L1722" t="n">
        <v>9.99</v>
      </c>
      <c r="M1722" s="1" t="inlineStr">
        <is>
          <t>-7.50%</t>
        </is>
      </c>
      <c r="N1722" t="n">
        <v>4</v>
      </c>
      <c r="O1722" t="n">
        <v>396</v>
      </c>
      <c r="Q1722" t="inlineStr">
        <is>
          <t>InStock</t>
        </is>
      </c>
      <c r="R1722" t="inlineStr">
        <is>
          <t>undefined</t>
        </is>
      </c>
      <c r="S1722" t="inlineStr">
        <is>
          <t>10885910794</t>
        </is>
      </c>
    </row>
    <row r="1723" ht="75" customHeight="1">
      <c r="A1723" s="2">
        <f>HYPERLINK("https://camerareadycosmetics.com/products/kryolan-eyebrow-plastic", "https://camerareadycosmetics.com/products/kryolan-eyebrow-plastic")</f>
        <v/>
      </c>
      <c r="B1723" s="2">
        <f>HYPERLINK("https://camerareadycosmetics.com/products/kryolan-eyebrow-plastic", "https://camerareadycosmetics.com/products/kryolan-eyebrow-plastic")</f>
        <v/>
      </c>
      <c r="C1723" t="inlineStr">
        <is>
          <t>Eyebrow Plastic</t>
        </is>
      </c>
      <c r="D1723" t="inlineStr">
        <is>
          <t>Charme Princesse 2 Pack Disposable Eyebrow Tattoo Plastic Wrap 300 Meters Preservative Film Permanent Eyebrow Makeup Supplies for Eyebrow Lips TA628-2</t>
        </is>
      </c>
      <c r="E1723" s="2">
        <f>HYPERLINK("https://www.amazon.com/Charme-Princesse-Disposable-Preservative-Permanent/dp/B0B3MCYMLS/ref=sr_1_1?keywords=Eyebrow+Plastic&amp;qid=1695565520&amp;sr=8-1", "https://www.amazon.com/Charme-Princesse-Disposable-Preservative-Permanent/dp/B0B3MCYMLS/ref=sr_1_1?keywords=Eyebrow+Plastic&amp;qid=1695565520&amp;sr=8-1")</f>
        <v/>
      </c>
      <c r="F1723" t="inlineStr">
        <is>
          <t>B0B3MCYMLS</t>
        </is>
      </c>
      <c r="G1723">
        <f>_xlfn.IMAGE("https://camerareadycosmetics.com/cdn/shop/files/01420_00_prod_0_50x.jpg?v=1687199820")</f>
        <v/>
      </c>
      <c r="H1723">
        <f>_xlfn.IMAGE("https://m.media-amazon.com/images/I/61usQrwuWDL._AC_UL320_.jpg")</f>
        <v/>
      </c>
      <c r="K1723" t="inlineStr">
        <is>
          <t>10.8</t>
        </is>
      </c>
      <c r="L1723" t="n">
        <v>9.99</v>
      </c>
      <c r="M1723" s="1" t="inlineStr">
        <is>
          <t>-7.50%</t>
        </is>
      </c>
      <c r="N1723" t="n">
        <v>4.6</v>
      </c>
      <c r="O1723" t="n">
        <v>111</v>
      </c>
      <c r="Q1723" t="inlineStr">
        <is>
          <t>InStock</t>
        </is>
      </c>
      <c r="R1723" t="inlineStr">
        <is>
          <t>undefined</t>
        </is>
      </c>
      <c r="S1723" t="inlineStr">
        <is>
          <t>10885910794</t>
        </is>
      </c>
    </row>
    <row r="1724" ht="75" customHeight="1">
      <c r="A1724" s="2">
        <f>HYPERLINK("https://camerareadycosmetics.com/products/kryolan-eyebrow-plastic", "https://camerareadycosmetics.com/products/kryolan-eyebrow-plastic")</f>
        <v/>
      </c>
      <c r="B1724" s="2">
        <f>HYPERLINK("https://camerareadycosmetics.com/products/kryolan-eyebrow-plastic", "https://camerareadycosmetics.com/products/kryolan-eyebrow-plastic")</f>
        <v/>
      </c>
      <c r="C1724" t="inlineStr">
        <is>
          <t>Eyebrow Plastic</t>
        </is>
      </c>
      <c r="D1724" t="inlineStr">
        <is>
          <t>3 Pack Disposable Eyebrow Plastic Wrap Preservative Film, Make Up Supplies Wrap Cover Tape Roll - 600 Meters</t>
        </is>
      </c>
      <c r="E1724" s="2">
        <f>HYPERLINK("https://www.amazon.com/Disposable-Eyebrow-Plastic-Preservative-Supplies/dp/B074J6DJ4V/ref=sr_1_4?keywords=Eyebrow+Plastic&amp;qid=1695565520&amp;sr=8-4", "https://www.amazon.com/Disposable-Eyebrow-Plastic-Preservative-Supplies/dp/B074J6DJ4V/ref=sr_1_4?keywords=Eyebrow+Plastic&amp;qid=1695565520&amp;sr=8-4")</f>
        <v/>
      </c>
      <c r="F1724" t="inlineStr">
        <is>
          <t>B074J6DJ4V</t>
        </is>
      </c>
      <c r="G1724">
        <f>_xlfn.IMAGE("https://camerareadycosmetics.com/cdn/shop/files/01420_00_prod_0_50x.jpg?v=1687199820")</f>
        <v/>
      </c>
      <c r="H1724">
        <f>_xlfn.IMAGE("https://m.media-amazon.com/images/I/4188x5OsD-L._AC_UL320_.jpg")</f>
        <v/>
      </c>
      <c r="K1724" t="inlineStr">
        <is>
          <t>10.8</t>
        </is>
      </c>
      <c r="L1724" t="n">
        <v>9.99</v>
      </c>
      <c r="M1724" s="1" t="inlineStr">
        <is>
          <t>-7.50%</t>
        </is>
      </c>
      <c r="N1724" t="n">
        <v>4.7</v>
      </c>
      <c r="O1724" t="n">
        <v>1213</v>
      </c>
      <c r="Q1724" t="inlineStr">
        <is>
          <t>InStock</t>
        </is>
      </c>
      <c r="R1724" t="inlineStr">
        <is>
          <t>undefined</t>
        </is>
      </c>
      <c r="S1724" t="inlineStr">
        <is>
          <t>10885910794</t>
        </is>
      </c>
    </row>
    <row r="1725" ht="75" customHeight="1">
      <c r="A1725" s="2">
        <f>HYPERLINK("https://camerareadycosmetics.com/products/kryolan-eyebrow-plastic", "https://camerareadycosmetics.com/products/kryolan-eyebrow-plastic")</f>
        <v/>
      </c>
      <c r="B1725" s="2">
        <f>HYPERLINK("https://camerareadycosmetics.com/products/kryolan-eyebrow-plastic", "https://camerareadycosmetics.com/products/kryolan-eyebrow-plastic")</f>
        <v/>
      </c>
      <c r="C1725" t="inlineStr">
        <is>
          <t>Eyebrow Plastic</t>
        </is>
      </c>
      <c r="D1725" t="inlineStr">
        <is>
          <t>4 PCS Disposable Eyebrow Tattoo Plastic Wrap Preservative Film For Professional Eyebrow Lips Permanent Make Up Supplies Wrap Cover Tape Roll (4 Rolls Preservative Film)</t>
        </is>
      </c>
      <c r="E1725" s="2">
        <f>HYPERLINK("https://www.amazon.com/Disposable-Preservative-Professional-Permanent-Supplies/dp/B08CMTGTZS/ref=sr_1_6?keywords=Eyebrow+Plastic&amp;qid=1695565520&amp;sr=8-6", "https://www.amazon.com/Disposable-Preservative-Professional-Permanent-Supplies/dp/B08CMTGTZS/ref=sr_1_6?keywords=Eyebrow+Plastic&amp;qid=1695565520&amp;sr=8-6")</f>
        <v/>
      </c>
      <c r="F1725" t="inlineStr">
        <is>
          <t>B08CMTGTZS</t>
        </is>
      </c>
      <c r="G1725">
        <f>_xlfn.IMAGE("https://camerareadycosmetics.com/cdn/shop/files/01420_00_prod_0_50x.jpg?v=1687199820")</f>
        <v/>
      </c>
      <c r="H1725">
        <f>_xlfn.IMAGE("https://m.media-amazon.com/images/I/71i86DucSnL._AC_UL320_.jpg")</f>
        <v/>
      </c>
      <c r="K1725" t="inlineStr">
        <is>
          <t>10.8</t>
        </is>
      </c>
      <c r="L1725" t="n">
        <v>8.99</v>
      </c>
      <c r="M1725" s="1" t="inlineStr">
        <is>
          <t>-16.76%</t>
        </is>
      </c>
      <c r="N1725" t="n">
        <v>4.6</v>
      </c>
      <c r="O1725" t="n">
        <v>463</v>
      </c>
      <c r="Q1725" t="inlineStr">
        <is>
          <t>InStock</t>
        </is>
      </c>
      <c r="R1725" t="inlineStr">
        <is>
          <t>undefined</t>
        </is>
      </c>
      <c r="S1725" t="inlineStr">
        <is>
          <t>10885910794</t>
        </is>
      </c>
    </row>
    <row r="1726" ht="75" customHeight="1">
      <c r="A1726" s="2">
        <f>HYPERLINK("https://camerareadycosmetics.com/products/kryolan-eyebrow-plastic", "https://camerareadycosmetics.com/products/kryolan-eyebrow-plastic")</f>
        <v/>
      </c>
      <c r="B1726" s="2">
        <f>HYPERLINK("https://camerareadycosmetics.com/products/kryolan-eyebrow-plastic", "https://camerareadycosmetics.com/products/kryolan-eyebrow-plastic")</f>
        <v/>
      </c>
      <c r="C1726" t="inlineStr">
        <is>
          <t>Eyebrow Plastic</t>
        </is>
      </c>
      <c r="D1726" t="inlineStr">
        <is>
          <t>4 PCS Disposable Eyebrow Tattoo Plastic Wrap Preservative Film Make Up Supplies Wrap Cover Tape Roll, 42mm x 200m</t>
        </is>
      </c>
      <c r="E1726" s="2">
        <f>HYPERLINK("https://www.amazon.com/S-Q-Disposable-Eyebrow-Preservative-Supplies/dp/B0963RWXQ7/ref=sr_1_3?keywords=Eyebrow+Plastic&amp;qid=1695565520&amp;sr=8-3", "https://www.amazon.com/S-Q-Disposable-Eyebrow-Preservative-Supplies/dp/B0963RWXQ7/ref=sr_1_3?keywords=Eyebrow+Plastic&amp;qid=1695565520&amp;sr=8-3")</f>
        <v/>
      </c>
      <c r="F1726" t="inlineStr">
        <is>
          <t>B0963RWXQ7</t>
        </is>
      </c>
      <c r="G1726">
        <f>_xlfn.IMAGE("https://camerareadycosmetics.com/cdn/shop/files/01420_00_prod_0_50x.jpg?v=1687199820")</f>
        <v/>
      </c>
      <c r="H1726">
        <f>_xlfn.IMAGE("https://m.media-amazon.com/images/I/71xdEz9-5IS._AC_UL320_.jpg")</f>
        <v/>
      </c>
      <c r="K1726" t="inlineStr">
        <is>
          <t>10.8</t>
        </is>
      </c>
      <c r="L1726" t="n">
        <v>7.99</v>
      </c>
      <c r="M1726" s="1" t="inlineStr">
        <is>
          <t>-26.02%</t>
        </is>
      </c>
      <c r="N1726" t="n">
        <v>4.6</v>
      </c>
      <c r="O1726" t="n">
        <v>70</v>
      </c>
      <c r="Q1726" t="inlineStr">
        <is>
          <t>InStock</t>
        </is>
      </c>
      <c r="R1726" t="inlineStr">
        <is>
          <t>undefined</t>
        </is>
      </c>
      <c r="S1726" t="inlineStr">
        <is>
          <t>10885910794</t>
        </is>
      </c>
    </row>
    <row r="1727" ht="75" customHeight="1">
      <c r="A1727" s="2">
        <f>HYPERLINK("https://camerareadycosmetics.com/products/kryolan-eyebrow-plastic", "https://camerareadycosmetics.com/products/kryolan-eyebrow-plastic")</f>
        <v/>
      </c>
      <c r="B1727" s="2">
        <f>HYPERLINK("https://camerareadycosmetics.com/products/kryolan-eyebrow-plastic", "https://camerareadycosmetics.com/products/kryolan-eyebrow-plastic")</f>
        <v/>
      </c>
      <c r="C1727" t="inlineStr">
        <is>
          <t>Eyebrow Plastic</t>
        </is>
      </c>
      <c r="D1727" t="inlineStr">
        <is>
          <t>2 Packs Preservative Film Disposable Eyebrow Plastic Wrap with Microblading For Professional Eyebrow Lips Permanent Make Up Supplies Wrap Cover Tape Roll</t>
        </is>
      </c>
      <c r="E1727" s="2">
        <f>HYPERLINK("https://www.amazon.com/Preservative-Disposable-Microblading-Professional-Permanent/dp/B09VRXV87B/ref=sr_1_8?keywords=Eyebrow+Plastic&amp;qid=1695565520&amp;sr=8-8", "https://www.amazon.com/Preservative-Disposable-Microblading-Professional-Permanent/dp/B09VRXV87B/ref=sr_1_8?keywords=Eyebrow+Plastic&amp;qid=1695565520&amp;sr=8-8")</f>
        <v/>
      </c>
      <c r="F1727" t="inlineStr">
        <is>
          <t>B09VRXV87B</t>
        </is>
      </c>
      <c r="G1727">
        <f>_xlfn.IMAGE("https://camerareadycosmetics.com/cdn/shop/files/01420_00_prod_0_50x.jpg?v=1687199820")</f>
        <v/>
      </c>
      <c r="H1727">
        <f>_xlfn.IMAGE("https://m.media-amazon.com/images/I/61JSS1wmSJL._AC_UL320_.jpg")</f>
        <v/>
      </c>
      <c r="K1727" t="inlineStr">
        <is>
          <t>10.8</t>
        </is>
      </c>
      <c r="L1727" t="n">
        <v>6.99</v>
      </c>
      <c r="M1727" s="1" t="inlineStr">
        <is>
          <t>-35.28%</t>
        </is>
      </c>
      <c r="N1727" t="n">
        <v>4.6</v>
      </c>
      <c r="O1727" t="n">
        <v>121</v>
      </c>
      <c r="Q1727" t="inlineStr">
        <is>
          <t>InStock</t>
        </is>
      </c>
      <c r="R1727" t="inlineStr">
        <is>
          <t>undefined</t>
        </is>
      </c>
      <c r="S1727" t="inlineStr">
        <is>
          <t>10885910794</t>
        </is>
      </c>
    </row>
    <row r="1728" ht="75" customHeight="1">
      <c r="A1728" s="2">
        <f>HYPERLINK("https://camerareadycosmetics.com/products/kryolan-eyebrow-plastic", "https://camerareadycosmetics.com/products/kryolan-eyebrow-plastic")</f>
        <v/>
      </c>
      <c r="B1728" s="2">
        <f>HYPERLINK("https://camerareadycosmetics.com/products/kryolan-eyebrow-plastic", "https://camerareadycosmetics.com/products/kryolan-eyebrow-plastic")</f>
        <v/>
      </c>
      <c r="C1728" t="inlineStr">
        <is>
          <t>Eyebrow Plastic</t>
        </is>
      </c>
      <c r="D1728" t="inlineStr">
        <is>
          <t>Disposable Eyebrow Tattoo Plastic Wrap Preservative Film with Microblading Kit for Lip Blush, Eyebrow Lamination Lash Lift Permanent Make Up Cling Cover Tape Roll Transparent 2 Pack</t>
        </is>
      </c>
      <c r="E1728" s="2">
        <f>HYPERLINK("https://www.amazon.com/AIYUENCICI-Disposable-Eyebrow-Plastic-Wrap-Preservative-Film-Microblading-Kit-Transparent/dp/B0BY92F9MS/ref=sr_1_9?keywords=Eyebrow+Plastic&amp;qid=1695565520&amp;sr=8-9", "https://www.amazon.com/AIYUENCICI-Disposable-Eyebrow-Plastic-Wrap-Preservative-Film-Microblading-Kit-Transparent/dp/B0BY92F9MS/ref=sr_1_9?keywords=Eyebrow+Plastic&amp;qid=1695565520&amp;sr=8-9")</f>
        <v/>
      </c>
      <c r="F1728" t="inlineStr">
        <is>
          <t>B0BY92F9MS</t>
        </is>
      </c>
      <c r="G1728">
        <f>_xlfn.IMAGE("https://camerareadycosmetics.com/cdn/shop/files/01420_00_prod_0_50x.jpg?v=1687199820")</f>
        <v/>
      </c>
      <c r="H1728">
        <f>_xlfn.IMAGE("https://m.media-amazon.com/images/I/51VQQKazLIL._AC_UL320_.jpg")</f>
        <v/>
      </c>
      <c r="K1728" t="inlineStr">
        <is>
          <t>10.8</t>
        </is>
      </c>
      <c r="L1728" t="n">
        <v>5.99</v>
      </c>
      <c r="M1728" s="1" t="inlineStr">
        <is>
          <t>-44.54%</t>
        </is>
      </c>
      <c r="N1728" t="n">
        <v>4.6</v>
      </c>
      <c r="O1728" t="n">
        <v>27</v>
      </c>
      <c r="Q1728" t="inlineStr">
        <is>
          <t>InStock</t>
        </is>
      </c>
      <c r="R1728" t="inlineStr">
        <is>
          <t>undefined</t>
        </is>
      </c>
      <c r="S1728" t="inlineStr">
        <is>
          <t>10885910794</t>
        </is>
      </c>
    </row>
    <row r="1729" ht="75" customHeight="1">
      <c r="A1729" s="2">
        <f>HYPERLINK("https://camerareadycosmetics.com/products/kryolan-eyebrow-plastic", "https://camerareadycosmetics.com/products/kryolan-eyebrow-plastic")</f>
        <v/>
      </c>
      <c r="B1729" s="2">
        <f>HYPERLINK("https://camerareadycosmetics.com/products/kryolan-eyebrow-plastic", "https://camerareadycosmetics.com/products/kryolan-eyebrow-plastic")</f>
        <v/>
      </c>
      <c r="C1729" t="inlineStr">
        <is>
          <t>Eyebrow Plastic</t>
        </is>
      </c>
      <c r="D1729" t="inlineStr">
        <is>
          <t>Disposable Eyebrow Tattoo Plastic Wrap Preservative Saran Barrier Film Microblading Supplies Lips Permanent Make Up Cling Wrap Cover Tape Roll Transparent 2 PCS</t>
        </is>
      </c>
      <c r="E1729" s="2">
        <f>HYPERLINK("https://www.amazon.com/CICITOYWO-Disposable-Preservative-Microblading-Transparent/dp/B08ZKKWC44/ref=sr_1_2?keywords=Eyebrow+Plastic&amp;qid=1695565520&amp;sr=8-2", "https://www.amazon.com/CICITOYWO-Disposable-Preservative-Microblading-Transparent/dp/B08ZKKWC44/ref=sr_1_2?keywords=Eyebrow+Plastic&amp;qid=1695565520&amp;sr=8-2")</f>
        <v/>
      </c>
      <c r="F1729" t="inlineStr">
        <is>
          <t>B08ZKKWC44</t>
        </is>
      </c>
      <c r="G1729">
        <f>_xlfn.IMAGE("https://camerareadycosmetics.com/cdn/shop/files/01420_00_prod_0_50x.jpg?v=1687199820")</f>
        <v/>
      </c>
      <c r="H1729">
        <f>_xlfn.IMAGE("https://m.media-amazon.com/images/I/51ETXrLd0KL._AC_UL320_.jpg")</f>
        <v/>
      </c>
      <c r="K1729" t="inlineStr">
        <is>
          <t>10.8</t>
        </is>
      </c>
      <c r="L1729" t="n">
        <v>5.98</v>
      </c>
      <c r="M1729" s="1" t="inlineStr">
        <is>
          <t>-44.63%</t>
        </is>
      </c>
      <c r="N1729" t="n">
        <v>4.4</v>
      </c>
      <c r="O1729" t="n">
        <v>215</v>
      </c>
      <c r="Q1729" t="inlineStr">
        <is>
          <t>InStock</t>
        </is>
      </c>
      <c r="R1729" t="inlineStr">
        <is>
          <t>undefined</t>
        </is>
      </c>
      <c r="S1729" t="inlineStr">
        <is>
          <t>10885910794</t>
        </is>
      </c>
    </row>
    <row r="1730" ht="75" customHeight="1">
      <c r="A1730" s="2">
        <f>HYPERLINK("https://camerareadycosmetics.com/products/kryolan-eyebrow-powder-palette-5-colors", "https://camerareadycosmetics.com/products/kryolan-eyebrow-powder-palette-5-colors")</f>
        <v/>
      </c>
      <c r="B1730" s="2">
        <f>HYPERLINK("https://camerareadycosmetics.com/products/kryolan-eyebrow-powder-palette-5-colors", "https://camerareadycosmetics.com/products/kryolan-eyebrow-powder-palette-5-colors")</f>
        <v/>
      </c>
      <c r="C1730" t="inlineStr">
        <is>
          <t>Eyebrow Powder Palette 5 Colors</t>
        </is>
      </c>
      <c r="D1730" t="inlineStr">
        <is>
          <t>Aesthetica Brow Contour Kit 16-Piece Eyebrow Makeup Palette Set 6 Eyebrow Powders, 5 Eyebrow Stencils, Spoolie/Brush Duo, Tweezers, Eye Brow Wax, Highlighter - Unique Gifts For Women For Her Birthday</t>
        </is>
      </c>
      <c r="E1730" s="2">
        <f>HYPERLINK("https://www.amazon.com/Aesthetica-16-Piece-Stencils-Tweezers-Highlighter/dp/B018UPHLU8/ref=sr_1_5?keywords=Eyebrow+Powder+Palette+5+Colors&amp;qid=1695565705&amp;sr=8-5", "https://www.amazon.com/Aesthetica-16-Piece-Stencils-Tweezers-Highlighter/dp/B018UPHLU8/ref=sr_1_5?keywords=Eyebrow+Powder+Palette+5+Colors&amp;qid=1695565705&amp;sr=8-5")</f>
        <v/>
      </c>
      <c r="F1730" t="inlineStr">
        <is>
          <t>B018UPHLU8</t>
        </is>
      </c>
      <c r="G1730">
        <f>_xlfn.IMAGE("https://camerareadycosmetics.com/cdn/shop/files/05355_00_prod_Eyebrow-Powder-5-Farben_50x.jpg?v=1687199829")</f>
        <v/>
      </c>
      <c r="H1730">
        <f>_xlfn.IMAGE("https://m.media-amazon.com/images/I/61AC+EndktL._AC_UL320_.jpg")</f>
        <v/>
      </c>
      <c r="K1730" t="inlineStr">
        <is>
          <t>39.9</t>
        </is>
      </c>
      <c r="L1730" t="n">
        <v>29.95</v>
      </c>
      <c r="M1730" s="1" t="inlineStr">
        <is>
          <t>-24.94%</t>
        </is>
      </c>
      <c r="N1730" t="n">
        <v>4.3</v>
      </c>
      <c r="O1730" t="n">
        <v>7616</v>
      </c>
      <c r="Q1730" t="inlineStr">
        <is>
          <t>InStock</t>
        </is>
      </c>
      <c r="R1730" t="inlineStr">
        <is>
          <t>undefined</t>
        </is>
      </c>
      <c r="S1730" t="inlineStr">
        <is>
          <t>10896970698</t>
        </is>
      </c>
    </row>
    <row r="1731" ht="75" customHeight="1">
      <c r="A1731" s="2">
        <f>HYPERLINK("https://camerareadycosmetics.com/products/kryolan-eyebrow-powder-palette-5-colors", "https://camerareadycosmetics.com/products/kryolan-eyebrow-powder-palette-5-colors")</f>
        <v/>
      </c>
      <c r="B1731" s="2">
        <f>HYPERLINK("https://camerareadycosmetics.com/products/kryolan-eyebrow-powder-palette-5-colors", "https://camerareadycosmetics.com/products/kryolan-eyebrow-powder-palette-5-colors")</f>
        <v/>
      </c>
      <c r="C1731" t="inlineStr">
        <is>
          <t>Eyebrow Powder Palette 5 Colors</t>
        </is>
      </c>
      <c r="D1731" t="inlineStr">
        <is>
          <t>Youngfocus Eye Makeup Brow Contour Kit, 6 Waterproof Eyebrow Powders Palette Set, 5 Eyebrow Stencils,14 Highly Pigmented Eyeshadows, 3 Highlighter Contour Powders, Spoolie/Brush Duo, Eye Brow Wax - Best Gift</t>
        </is>
      </c>
      <c r="E1731" s="2">
        <f>HYPERLINK("https://www.amazon.com/Youngfocus-Waterproof-Stencils-Coloration-Eyeshadow/dp/B0B2DD1CNT/ref=sr_1_10?keywords=Eyebrow+Powder+Palette+5+Colors&amp;qid=1695565705&amp;sr=8-10", "https://www.amazon.com/Youngfocus-Waterproof-Stencils-Coloration-Eyeshadow/dp/B0B2DD1CNT/ref=sr_1_10?keywords=Eyebrow+Powder+Palette+5+Colors&amp;qid=1695565705&amp;sr=8-10")</f>
        <v/>
      </c>
      <c r="F1731" t="inlineStr">
        <is>
          <t>B0B2DD1CNT</t>
        </is>
      </c>
      <c r="G1731">
        <f>_xlfn.IMAGE("https://camerareadycosmetics.com/cdn/shop/files/05355_00_prod_Eyebrow-Powder-5-Farben_50x.jpg?v=1687199829")</f>
        <v/>
      </c>
      <c r="H1731">
        <f>_xlfn.IMAGE("https://m.media-amazon.com/images/I/71XKUYnoyDL._AC_UL320_.jpg")</f>
        <v/>
      </c>
      <c r="K1731" t="inlineStr">
        <is>
          <t>39.9</t>
        </is>
      </c>
      <c r="L1731" t="n">
        <v>17.99</v>
      </c>
      <c r="M1731" s="1" t="inlineStr">
        <is>
          <t>-54.91%</t>
        </is>
      </c>
      <c r="N1731" t="n">
        <v>4.2</v>
      </c>
      <c r="O1731" t="n">
        <v>590</v>
      </c>
      <c r="Q1731" t="inlineStr">
        <is>
          <t>InStock</t>
        </is>
      </c>
      <c r="R1731" t="inlineStr">
        <is>
          <t>undefined</t>
        </is>
      </c>
      <c r="S1731" t="inlineStr">
        <is>
          <t>10896970698</t>
        </is>
      </c>
    </row>
    <row r="1732" ht="75" customHeight="1">
      <c r="A1732" s="2">
        <f>HYPERLINK("https://camerareadycosmetics.com/products/kryolan-eyebrow-powder-palette-5-colors", "https://camerareadycosmetics.com/products/kryolan-eyebrow-powder-palette-5-colors")</f>
        <v/>
      </c>
      <c r="B1732" s="2">
        <f>HYPERLINK("https://camerareadycosmetics.com/products/kryolan-eyebrow-powder-palette-5-colors", "https://camerareadycosmetics.com/products/kryolan-eyebrow-powder-palette-5-colors")</f>
        <v/>
      </c>
      <c r="C1732" t="inlineStr">
        <is>
          <t>Eyebrow Powder Palette 5 Colors</t>
        </is>
      </c>
      <c r="D1732" t="inlineStr">
        <is>
          <t>MAEPEOR Eye Brow Kit 25 Piece Waterproof Eyebrow Palette Set 12 Colors Eyebrow Powder 5 Colors Brow Wax 4 Eyebrow Stencils 3 Brushes 1 Eyebrow Pencil for Novice and Professional (25 Piece Set)</t>
        </is>
      </c>
      <c r="E1732" s="2">
        <f>HYPERLINK("https://www.amazon.com/MAEPEOR-Eyebrow-Waterproof-Stencils-Professional/dp/B0BBLVGCXV/ref=sr_1_2?keywords=Eyebrow+Powder+Palette+5+Colors&amp;qid=1695565705&amp;sr=8-2", "https://www.amazon.com/MAEPEOR-Eyebrow-Waterproof-Stencils-Professional/dp/B0BBLVGCXV/ref=sr_1_2?keywords=Eyebrow+Powder+Palette+5+Colors&amp;qid=1695565705&amp;sr=8-2")</f>
        <v/>
      </c>
      <c r="F1732" t="inlineStr">
        <is>
          <t>B0BBLVGCXV</t>
        </is>
      </c>
      <c r="G1732">
        <f>_xlfn.IMAGE("https://camerareadycosmetics.com/cdn/shop/files/05355_00_prod_Eyebrow-Powder-5-Farben_50x.jpg?v=1687199829")</f>
        <v/>
      </c>
      <c r="H1732">
        <f>_xlfn.IMAGE("https://m.media-amazon.com/images/I/61nb2kmhu1L._AC_UL320_.jpg")</f>
        <v/>
      </c>
      <c r="K1732" t="inlineStr">
        <is>
          <t>39.9</t>
        </is>
      </c>
      <c r="L1732" t="n">
        <v>12.89</v>
      </c>
      <c r="M1732" s="1" t="inlineStr">
        <is>
          <t>-67.69%</t>
        </is>
      </c>
      <c r="N1732" t="n">
        <v>4.1</v>
      </c>
      <c r="O1732" t="n">
        <v>80</v>
      </c>
      <c r="Q1732" t="inlineStr">
        <is>
          <t>InStock</t>
        </is>
      </c>
      <c r="R1732" t="inlineStr">
        <is>
          <t>undefined</t>
        </is>
      </c>
      <c r="S1732" t="inlineStr">
        <is>
          <t>10896970698</t>
        </is>
      </c>
    </row>
    <row r="1733" ht="75" customHeight="1">
      <c r="A1733" s="2">
        <f>HYPERLINK("https://camerareadycosmetics.com/products/kryolan-eyebrow-powder-palette-5-colors", "https://camerareadycosmetics.com/products/kryolan-eyebrow-powder-palette-5-colors")</f>
        <v/>
      </c>
      <c r="B1733" s="2">
        <f>HYPERLINK("https://camerareadycosmetics.com/products/kryolan-eyebrow-powder-palette-5-colors", "https://camerareadycosmetics.com/products/kryolan-eyebrow-powder-palette-5-colors")</f>
        <v/>
      </c>
      <c r="C1733" t="inlineStr">
        <is>
          <t>Eyebrow Powder Palette 5 Colors</t>
        </is>
      </c>
      <c r="D1733" t="inlineStr">
        <is>
          <t>Eyebrow Powder Kit-3 colors Exoticism Brow Tinted Powder Palette, Longlasting Waterproof Brow Definer Powder Eyebrow Filler, Fill &amp; Sculpt Brow for Women Eye Makeup, With Brow Tool- Light Brown Series</t>
        </is>
      </c>
      <c r="E1733" s="2">
        <f>HYPERLINK("https://www.amazon.com/Eyebrow-Exoticism-Palette-Longlasting-Waterproof/dp/B0CF2LNLC1/ref=sr_1_6?keywords=Eyebrow+Powder+Palette+5+Colors&amp;qid=1695565705&amp;sr=8-6", "https://www.amazon.com/Eyebrow-Exoticism-Palette-Longlasting-Waterproof/dp/B0CF2LNLC1/ref=sr_1_6?keywords=Eyebrow+Powder+Palette+5+Colors&amp;qid=1695565705&amp;sr=8-6")</f>
        <v/>
      </c>
      <c r="F1733" t="inlineStr">
        <is>
          <t>B0CF2LNLC1</t>
        </is>
      </c>
      <c r="G1733">
        <f>_xlfn.IMAGE("https://camerareadycosmetics.com/cdn/shop/files/05355_00_prod_Eyebrow-Powder-5-Farben_50x.jpg?v=1687199829")</f>
        <v/>
      </c>
      <c r="H1733">
        <f>_xlfn.IMAGE("https://m.media-amazon.com/images/I/81SBxxjpBkL._AC_UL320_.jpg")</f>
        <v/>
      </c>
      <c r="K1733" t="inlineStr">
        <is>
          <t>39.9</t>
        </is>
      </c>
      <c r="L1733" t="n">
        <v>9.99</v>
      </c>
      <c r="M1733" s="1" t="inlineStr">
        <is>
          <t>-74.96%</t>
        </is>
      </c>
      <c r="N1733" t="n">
        <v>4.5</v>
      </c>
      <c r="O1733" t="n">
        <v>34</v>
      </c>
      <c r="Q1733" t="inlineStr">
        <is>
          <t>InStock</t>
        </is>
      </c>
      <c r="R1733" t="inlineStr">
        <is>
          <t>undefined</t>
        </is>
      </c>
      <c r="S1733" t="inlineStr">
        <is>
          <t>10896970698</t>
        </is>
      </c>
    </row>
    <row r="1734" ht="75" customHeight="1">
      <c r="A1734" s="2">
        <f>HYPERLINK("https://camerareadycosmetics.com/products/kryolan-eyebrow-powder-palette-5-colors", "https://camerareadycosmetics.com/products/kryolan-eyebrow-powder-palette-5-colors")</f>
        <v/>
      </c>
      <c r="B1734" s="2">
        <f>HYPERLINK("https://camerareadycosmetics.com/products/kryolan-eyebrow-powder-palette-5-colors", "https://camerareadycosmetics.com/products/kryolan-eyebrow-powder-palette-5-colors")</f>
        <v/>
      </c>
      <c r="C1734" t="inlineStr">
        <is>
          <t>Eyebrow Powder Palette 5 Colors</t>
        </is>
      </c>
      <c r="D1734" t="inlineStr">
        <is>
          <t>NewBang Eyebrow Palette Kit 5 Colors Brow Wax,12 Colors Eyebrow Powder,Eyebrow Stamp Stencil Kit Waterproof Eye Makeup with Stencils/Brush/Eyebrow Pencil/Soft Bristle&amp;Powder Brush/Sponge Applicator</t>
        </is>
      </c>
      <c r="E1734" s="2">
        <f>HYPERLINK("https://www.amazon.com/NewBang-Eyebrow-Waterproof-Stencils-Applicator/dp/B0BFDCHGLX/ref=sr_1_3?keywords=Eyebrow+Powder+Palette+5+Colors&amp;qid=1695565705&amp;sr=8-3", "https://www.amazon.com/NewBang-Eyebrow-Waterproof-Stencils-Applicator/dp/B0BFDCHGLX/ref=sr_1_3?keywords=Eyebrow+Powder+Palette+5+Colors&amp;qid=1695565705&amp;sr=8-3")</f>
        <v/>
      </c>
      <c r="F1734" t="inlineStr">
        <is>
          <t>B0BFDCHGLX</t>
        </is>
      </c>
      <c r="G1734">
        <f>_xlfn.IMAGE("https://camerareadycosmetics.com/cdn/shop/files/05355_00_prod_Eyebrow-Powder-5-Farben_50x.jpg?v=1687199829")</f>
        <v/>
      </c>
      <c r="H1734">
        <f>_xlfn.IMAGE("https://m.media-amazon.com/images/I/712qurRRtML._AC_UL320_.jpg")</f>
        <v/>
      </c>
      <c r="K1734" t="inlineStr">
        <is>
          <t>39.9</t>
        </is>
      </c>
      <c r="L1734" t="n">
        <v>9.99</v>
      </c>
      <c r="M1734" s="1" t="inlineStr">
        <is>
          <t>-74.96%</t>
        </is>
      </c>
      <c r="N1734" t="n">
        <v>3.7</v>
      </c>
      <c r="O1734" t="n">
        <v>24</v>
      </c>
      <c r="Q1734" t="inlineStr">
        <is>
          <t>InStock</t>
        </is>
      </c>
      <c r="R1734" t="inlineStr">
        <is>
          <t>undefined</t>
        </is>
      </c>
      <c r="S1734" t="inlineStr">
        <is>
          <t>10896970698</t>
        </is>
      </c>
    </row>
    <row r="1735" ht="75" customHeight="1">
      <c r="A1735" s="2">
        <f>HYPERLINK("https://camerareadycosmetics.com/products/kryolan-eyebrow-powder-palette-5-colors", "https://camerareadycosmetics.com/products/kryolan-eyebrow-powder-palette-5-colors")</f>
        <v/>
      </c>
      <c r="B1735" s="2">
        <f>HYPERLINK("https://camerareadycosmetics.com/products/kryolan-eyebrow-powder-palette-5-colors", "https://camerareadycosmetics.com/products/kryolan-eyebrow-powder-palette-5-colors")</f>
        <v/>
      </c>
      <c r="C1735" t="inlineStr">
        <is>
          <t>Eyebrow Powder Palette 5 Colors</t>
        </is>
      </c>
      <c r="D1735" t="inlineStr">
        <is>
          <t>AMIIR 5 Colors Brow Powder Compact Eye Brow Tinted Dye Sculpt Light to Dark Coloring w/Double-Ended Brush Cute Little Makeup Palette Kit</t>
        </is>
      </c>
      <c r="E1735" s="2">
        <f>HYPERLINK("https://www.amazon.com/AMIIR-Eyebrow-Palette-Professional-Palettes/dp/B09N97MB19/ref=sr_1_4?keywords=Eyebrow+Powder+Palette+5+Colors&amp;qid=1695565705&amp;sr=8-4", "https://www.amazon.com/AMIIR-Eyebrow-Palette-Professional-Palettes/dp/B09N97MB19/ref=sr_1_4?keywords=Eyebrow+Powder+Palette+5+Colors&amp;qid=1695565705&amp;sr=8-4")</f>
        <v/>
      </c>
      <c r="F1735" t="inlineStr">
        <is>
          <t>B09N97MB19</t>
        </is>
      </c>
      <c r="G1735">
        <f>_xlfn.IMAGE("https://camerareadycosmetics.com/cdn/shop/files/05355_00_prod_Eyebrow-Powder-5-Farben_50x.jpg?v=1687199829")</f>
        <v/>
      </c>
      <c r="H1735">
        <f>_xlfn.IMAGE("https://m.media-amazon.com/images/I/51K3VbcpepL._AC_UL320_.jpg")</f>
        <v/>
      </c>
      <c r="K1735" t="inlineStr">
        <is>
          <t>39.9</t>
        </is>
      </c>
      <c r="L1735" t="n">
        <v>8.99</v>
      </c>
      <c r="M1735" s="1" t="inlineStr">
        <is>
          <t>-77.47%</t>
        </is>
      </c>
      <c r="N1735" t="n">
        <v>4.3</v>
      </c>
      <c r="O1735" t="n">
        <v>103</v>
      </c>
      <c r="Q1735" t="inlineStr">
        <is>
          <t>InStock</t>
        </is>
      </c>
      <c r="R1735" t="inlineStr">
        <is>
          <t>undefined</t>
        </is>
      </c>
      <c r="S1735" t="inlineStr">
        <is>
          <t>10896970698</t>
        </is>
      </c>
    </row>
    <row r="1736" ht="75" customHeight="1">
      <c r="A1736" s="2">
        <f>HYPERLINK("https://camerareadycosmetics.com/products/kryolan-eyebrow-powder-palette-5-colors", "https://camerareadycosmetics.com/products/kryolan-eyebrow-powder-palette-5-colors")</f>
        <v/>
      </c>
      <c r="B1736" s="2">
        <f>HYPERLINK("https://camerareadycosmetics.com/products/kryolan-eyebrow-powder-palette-5-colors", "https://camerareadycosmetics.com/products/kryolan-eyebrow-powder-palette-5-colors")</f>
        <v/>
      </c>
      <c r="C1736" t="inlineStr">
        <is>
          <t>Eyebrow Powder Palette 5 Colors</t>
        </is>
      </c>
      <c r="D1736" t="inlineStr">
        <is>
          <t>SNOVO Professional eyebrow Palette Eyebrow makeup is available in 5 colors (04# Taupe)</t>
        </is>
      </c>
      <c r="E1736" s="2">
        <f>HYPERLINK("https://www.amazon.com/SNOVO-Professional-eyebrow-Palette-available/dp/B09FTH1CJB/ref=sr_1_7?keywords=Eyebrow+Powder+Palette+5+Colors&amp;qid=1695565705&amp;sr=8-7", "https://www.amazon.com/SNOVO-Professional-eyebrow-Palette-available/dp/B09FTH1CJB/ref=sr_1_7?keywords=Eyebrow+Powder+Palette+5+Colors&amp;qid=1695565705&amp;sr=8-7")</f>
        <v/>
      </c>
      <c r="F1736" t="inlineStr">
        <is>
          <t>B09FTH1CJB</t>
        </is>
      </c>
      <c r="G1736">
        <f>_xlfn.IMAGE("https://camerareadycosmetics.com/cdn/shop/files/05355_00_prod_Eyebrow-Powder-5-Farben_50x.jpg?v=1687199829")</f>
        <v/>
      </c>
      <c r="H1736">
        <f>_xlfn.IMAGE("https://m.media-amazon.com/images/I/51MQMPjSblL._AC_UL320_.jpg")</f>
        <v/>
      </c>
      <c r="K1736" t="inlineStr">
        <is>
          <t>39.9</t>
        </is>
      </c>
      <c r="L1736" t="n">
        <v>5.99</v>
      </c>
      <c r="M1736" s="1" t="inlineStr">
        <is>
          <t>-84.99%</t>
        </is>
      </c>
      <c r="N1736" t="n">
        <v>4.1</v>
      </c>
      <c r="O1736" t="n">
        <v>371</v>
      </c>
      <c r="Q1736" t="inlineStr">
        <is>
          <t>InStock</t>
        </is>
      </c>
      <c r="R1736" t="inlineStr">
        <is>
          <t>undefined</t>
        </is>
      </c>
      <c r="S1736" t="inlineStr">
        <is>
          <t>10896970698</t>
        </is>
      </c>
    </row>
    <row r="1737" ht="75" customHeight="1">
      <c r="A1737" s="2">
        <f>HYPERLINK("https://camerareadycosmetics.com/products/kryolan-eyebrow-powder-palette-5-colors", "https://camerareadycosmetics.com/products/kryolan-eyebrow-powder-palette-5-colors")</f>
        <v/>
      </c>
      <c r="B1737" s="2">
        <f>HYPERLINK("https://camerareadycosmetics.com/products/kryolan-eyebrow-powder-palette-5-colors", "https://camerareadycosmetics.com/products/kryolan-eyebrow-powder-palette-5-colors")</f>
        <v/>
      </c>
      <c r="C1737" t="inlineStr">
        <is>
          <t>Eyebrow Powder Palette 5 Colors</t>
        </is>
      </c>
      <c r="D1737" t="inlineStr">
        <is>
          <t>YOUNG VISION Eyebrow Powders Palette With Mirror, 6 Brows Colors With Stencils, Highlighter Powder, Cream Concealer, Styling Wax, Eyebrow Trimmer, And Brow Brush &amp; Spoolie Duo</t>
        </is>
      </c>
      <c r="E1737" s="2">
        <f>HYPERLINK("https://www.amazon.com/YOUNG-VISION-Stencils-Highlighter-Concealer/dp/B09Y3F33W8/ref=sr_1_9?keywords=Eyebrow+Powder+Palette+5+Colors&amp;qid=1695565705&amp;sr=8-9", "https://www.amazon.com/YOUNG-VISION-Stencils-Highlighter-Concealer/dp/B09Y3F33W8/ref=sr_1_9?keywords=Eyebrow+Powder+Palette+5+Colors&amp;qid=1695565705&amp;sr=8-9")</f>
        <v/>
      </c>
      <c r="F1737" t="inlineStr">
        <is>
          <t>B09Y3F33W8</t>
        </is>
      </c>
      <c r="G1737">
        <f>_xlfn.IMAGE("https://camerareadycosmetics.com/cdn/shop/files/05355_00_prod_Eyebrow-Powder-5-Farben_50x.jpg?v=1687199829")</f>
        <v/>
      </c>
      <c r="H1737">
        <f>_xlfn.IMAGE("https://m.media-amazon.com/images/I/71ezgtSG2mL._AC_UL320_.jpg")</f>
        <v/>
      </c>
      <c r="K1737" t="inlineStr">
        <is>
          <t>39.9</t>
        </is>
      </c>
      <c r="L1737" t="n">
        <v>3.99</v>
      </c>
      <c r="M1737" s="1" t="inlineStr">
        <is>
          <t>-90.00%</t>
        </is>
      </c>
      <c r="N1737" t="n">
        <v>4.3</v>
      </c>
      <c r="O1737" t="n">
        <v>49</v>
      </c>
      <c r="Q1737" t="inlineStr">
        <is>
          <t>InStock</t>
        </is>
      </c>
      <c r="R1737" t="inlineStr">
        <is>
          <t>undefined</t>
        </is>
      </c>
      <c r="S1737" t="inlineStr">
        <is>
          <t>10896970698</t>
        </is>
      </c>
    </row>
    <row r="1738" ht="75" customHeight="1">
      <c r="A1738" s="2">
        <f>HYPERLINK("https://camerareadycosmetics.com/products/kryolan-eyebrow-powder-palette-5-colors", "https://camerareadycosmetics.com/products/kryolan-eyebrow-powder-palette-5-colors")</f>
        <v/>
      </c>
      <c r="B1738" s="2">
        <f>HYPERLINK("https://camerareadycosmetics.com/products/kryolan-eyebrow-powder-palette-5-colors", "https://camerareadycosmetics.com/products/kryolan-eyebrow-powder-palette-5-colors")</f>
        <v/>
      </c>
      <c r="C1738" t="inlineStr">
        <is>
          <t>Eyebrow Powder Palette 5 Colors</t>
        </is>
      </c>
      <c r="D1738" t="inlineStr">
        <is>
          <t>Youngfocus Eye Makeup Brow Contour Kit, 6 Waterproof Eyebrow Powders Palette Set, 5 Eyebrow Stencils,14 Highly Pigmented Eyeshadows, 3 Highlighter Contour Powders, Spoolie/Brush Duo, Eye Brow Wax - Best Gift</t>
        </is>
      </c>
      <c r="E1738" s="2">
        <f>HYPERLINK("https://www.amazon.com/Youngfocus-Waterproof-Stencils-Coloration-Eyeshadow/dp/B0B2DD1CNT/ref=sr_1_10?keywords=Eyebrow+Powder+Palette+5+Colors&amp;qid=1695565705&amp;sr=8-10", "https://www.amazon.com/Youngfocus-Waterproof-Stencils-Coloration-Eyeshadow/dp/B0B2DD1CNT/ref=sr_1_10?keywords=Eyebrow+Powder+Palette+5+Colors&amp;qid=1695565705&amp;sr=8-10")</f>
        <v/>
      </c>
      <c r="F1738" t="inlineStr">
        <is>
          <t>B0B2DD1CNT</t>
        </is>
      </c>
      <c r="G1738">
        <f>_xlfn.IMAGE("https://camerareadycosmetics.com/cdn/shop/files/05355_00_prod_Eyebrow-Powder-5-Farben_50x.jpg?v=1687199829")</f>
        <v/>
      </c>
      <c r="H1738">
        <f>_xlfn.IMAGE("https://m.media-amazon.com/images/I/71XKUYnoyDL._AC_UL320_.jpg")</f>
        <v/>
      </c>
      <c r="K1738" t="inlineStr">
        <is>
          <t>39.9</t>
        </is>
      </c>
      <c r="L1738" t="n">
        <v>17.99</v>
      </c>
      <c r="M1738" s="1" t="inlineStr">
        <is>
          <t>-54.91%</t>
        </is>
      </c>
      <c r="N1738" t="n">
        <v>4.2</v>
      </c>
      <c r="O1738" t="n">
        <v>590</v>
      </c>
      <c r="Q1738" t="inlineStr">
        <is>
          <t>InStock</t>
        </is>
      </c>
      <c r="R1738" t="inlineStr">
        <is>
          <t>undefined</t>
        </is>
      </c>
      <c r="S1738" t="inlineStr">
        <is>
          <t>10896970698</t>
        </is>
      </c>
    </row>
    <row r="1739" ht="75" customHeight="1">
      <c r="A1739" s="2">
        <f>HYPERLINK("https://camerareadycosmetics.com/products/kryolan-eyebrow-powder-palette-5-colors", "https://camerareadycosmetics.com/products/kryolan-eyebrow-powder-palette-5-colors")</f>
        <v/>
      </c>
      <c r="B1739" s="2">
        <f>HYPERLINK("https://camerareadycosmetics.com/products/kryolan-eyebrow-powder-palette-5-colors", "https://camerareadycosmetics.com/products/kryolan-eyebrow-powder-palette-5-colors")</f>
        <v/>
      </c>
      <c r="C1739" t="inlineStr">
        <is>
          <t>Eyebrow Powder Palette 5 Colors</t>
        </is>
      </c>
      <c r="D1739" t="inlineStr">
        <is>
          <t>MAEPEOR Eye Brow Kit 25 Piece Waterproof Eyebrow Palette Set 12 Colors Eyebrow Powder 5 Colors Brow Wax 4 Eyebrow Stencils 3 Brushes 1 Eyebrow Pencil for Novice and Professional (25 Piece Set)</t>
        </is>
      </c>
      <c r="E1739" s="2">
        <f>HYPERLINK("https://www.amazon.com/MAEPEOR-Eyebrow-Waterproof-Stencils-Professional/dp/B0BBLVGCXV/ref=sr_1_2?keywords=Eyebrow+Powder+Palette+5+Colors&amp;qid=1695565705&amp;sr=8-2", "https://www.amazon.com/MAEPEOR-Eyebrow-Waterproof-Stencils-Professional/dp/B0BBLVGCXV/ref=sr_1_2?keywords=Eyebrow+Powder+Palette+5+Colors&amp;qid=1695565705&amp;sr=8-2")</f>
        <v/>
      </c>
      <c r="F1739" t="inlineStr">
        <is>
          <t>B0BBLVGCXV</t>
        </is>
      </c>
      <c r="G1739">
        <f>_xlfn.IMAGE("https://camerareadycosmetics.com/cdn/shop/files/05355_00_prod_Eyebrow-Powder-5-Farben_50x.jpg?v=1687199829")</f>
        <v/>
      </c>
      <c r="H1739">
        <f>_xlfn.IMAGE("https://m.media-amazon.com/images/I/61nb2kmhu1L._AC_UL320_.jpg")</f>
        <v/>
      </c>
      <c r="K1739" t="inlineStr">
        <is>
          <t>39.9</t>
        </is>
      </c>
      <c r="L1739" t="n">
        <v>12.89</v>
      </c>
      <c r="M1739" s="1" t="inlineStr">
        <is>
          <t>-67.69%</t>
        </is>
      </c>
      <c r="N1739" t="n">
        <v>4.1</v>
      </c>
      <c r="O1739" t="n">
        <v>80</v>
      </c>
      <c r="Q1739" t="inlineStr">
        <is>
          <t>InStock</t>
        </is>
      </c>
      <c r="R1739" t="inlineStr">
        <is>
          <t>undefined</t>
        </is>
      </c>
      <c r="S1739" t="inlineStr">
        <is>
          <t>10896970698</t>
        </is>
      </c>
    </row>
    <row r="1740" ht="75" customHeight="1">
      <c r="A1740" s="2">
        <f>HYPERLINK("https://camerareadycosmetics.com/products/kryolan-eyebrow-powder-palette-5-colors", "https://camerareadycosmetics.com/products/kryolan-eyebrow-powder-palette-5-colors")</f>
        <v/>
      </c>
      <c r="B1740" s="2">
        <f>HYPERLINK("https://camerareadycosmetics.com/products/kryolan-eyebrow-powder-palette-5-colors", "https://camerareadycosmetics.com/products/kryolan-eyebrow-powder-palette-5-colors")</f>
        <v/>
      </c>
      <c r="C1740" t="inlineStr">
        <is>
          <t>Eyebrow Powder Palette 5 Colors</t>
        </is>
      </c>
      <c r="D1740" t="inlineStr">
        <is>
          <t>Eyebrow Powder Kit-3 colors Exoticism Brow Tinted Powder Palette, Longlasting Waterproof Brow Definer Powder Eyebrow Filler, Fill &amp; Sculpt Brow for Women Eye Makeup, With Brow Tool- Light Brown Series</t>
        </is>
      </c>
      <c r="E1740" s="2">
        <f>HYPERLINK("https://www.amazon.com/Eyebrow-Exoticism-Palette-Longlasting-Waterproof/dp/B0CF2LNLC1/ref=sr_1_6?keywords=Eyebrow+Powder+Palette+5+Colors&amp;qid=1695565705&amp;sr=8-6", "https://www.amazon.com/Eyebrow-Exoticism-Palette-Longlasting-Waterproof/dp/B0CF2LNLC1/ref=sr_1_6?keywords=Eyebrow+Powder+Palette+5+Colors&amp;qid=1695565705&amp;sr=8-6")</f>
        <v/>
      </c>
      <c r="F1740" t="inlineStr">
        <is>
          <t>B0CF2LNLC1</t>
        </is>
      </c>
      <c r="G1740">
        <f>_xlfn.IMAGE("https://camerareadycosmetics.com/cdn/shop/files/05355_00_prod_Eyebrow-Powder-5-Farben_50x.jpg?v=1687199829")</f>
        <v/>
      </c>
      <c r="H1740">
        <f>_xlfn.IMAGE("https://m.media-amazon.com/images/I/81SBxxjpBkL._AC_UL320_.jpg")</f>
        <v/>
      </c>
      <c r="K1740" t="inlineStr">
        <is>
          <t>39.9</t>
        </is>
      </c>
      <c r="L1740" t="n">
        <v>9.99</v>
      </c>
      <c r="M1740" s="1" t="inlineStr">
        <is>
          <t>-74.96%</t>
        </is>
      </c>
      <c r="N1740" t="n">
        <v>4.5</v>
      </c>
      <c r="O1740" t="n">
        <v>34</v>
      </c>
      <c r="Q1740" t="inlineStr">
        <is>
          <t>InStock</t>
        </is>
      </c>
      <c r="R1740" t="inlineStr">
        <is>
          <t>undefined</t>
        </is>
      </c>
      <c r="S1740" t="inlineStr">
        <is>
          <t>10896970698</t>
        </is>
      </c>
    </row>
    <row r="1741" ht="75" customHeight="1">
      <c r="A1741" s="2">
        <f>HYPERLINK("https://camerareadycosmetics.com/products/kryolan-eyebrow-powder-palette-5-colors", "https://camerareadycosmetics.com/products/kryolan-eyebrow-powder-palette-5-colors")</f>
        <v/>
      </c>
      <c r="B1741" s="2">
        <f>HYPERLINK("https://camerareadycosmetics.com/products/kryolan-eyebrow-powder-palette-5-colors", "https://camerareadycosmetics.com/products/kryolan-eyebrow-powder-palette-5-colors")</f>
        <v/>
      </c>
      <c r="C1741" t="inlineStr">
        <is>
          <t>Eyebrow Powder Palette 5 Colors</t>
        </is>
      </c>
      <c r="D1741" t="inlineStr">
        <is>
          <t>NewBang Eyebrow Palette Kit 5 Colors Brow Wax,12 Colors Eyebrow Powder,Eyebrow Stamp Stencil Kit Waterproof Eye Makeup with Stencils/Brush/Eyebrow Pencil/Soft Bristle&amp;Powder Brush/Sponge Applicator</t>
        </is>
      </c>
      <c r="E1741" s="2">
        <f>HYPERLINK("https://www.amazon.com/NewBang-Eyebrow-Waterproof-Stencils-Applicator/dp/B0BFDCHGLX/ref=sr_1_3?keywords=Eyebrow+Powder+Palette+5+Colors&amp;qid=1695565705&amp;sr=8-3", "https://www.amazon.com/NewBang-Eyebrow-Waterproof-Stencils-Applicator/dp/B0BFDCHGLX/ref=sr_1_3?keywords=Eyebrow+Powder+Palette+5+Colors&amp;qid=1695565705&amp;sr=8-3")</f>
        <v/>
      </c>
      <c r="F1741" t="inlineStr">
        <is>
          <t>B0BFDCHGLX</t>
        </is>
      </c>
      <c r="G1741">
        <f>_xlfn.IMAGE("https://camerareadycosmetics.com/cdn/shop/files/05355_00_prod_Eyebrow-Powder-5-Farben_50x.jpg?v=1687199829")</f>
        <v/>
      </c>
      <c r="H1741">
        <f>_xlfn.IMAGE("https://m.media-amazon.com/images/I/712qurRRtML._AC_UL320_.jpg")</f>
        <v/>
      </c>
      <c r="K1741" t="inlineStr">
        <is>
          <t>39.9</t>
        </is>
      </c>
      <c r="L1741" t="n">
        <v>9.99</v>
      </c>
      <c r="M1741" s="1" t="inlineStr">
        <is>
          <t>-74.96%</t>
        </is>
      </c>
      <c r="N1741" t="n">
        <v>3.7</v>
      </c>
      <c r="O1741" t="n">
        <v>24</v>
      </c>
      <c r="Q1741" t="inlineStr">
        <is>
          <t>InStock</t>
        </is>
      </c>
      <c r="R1741" t="inlineStr">
        <is>
          <t>undefined</t>
        </is>
      </c>
      <c r="S1741" t="inlineStr">
        <is>
          <t>10896970698</t>
        </is>
      </c>
    </row>
    <row r="1742" ht="75" customHeight="1">
      <c r="A1742" s="2">
        <f>HYPERLINK("https://camerareadycosmetics.com/products/kryolan-eyebrow-powder-palette-5-colors", "https://camerareadycosmetics.com/products/kryolan-eyebrow-powder-palette-5-colors")</f>
        <v/>
      </c>
      <c r="B1742" s="2">
        <f>HYPERLINK("https://camerareadycosmetics.com/products/kryolan-eyebrow-powder-palette-5-colors", "https://camerareadycosmetics.com/products/kryolan-eyebrow-powder-palette-5-colors")</f>
        <v/>
      </c>
      <c r="C1742" t="inlineStr">
        <is>
          <t>Eyebrow Powder Palette 5 Colors</t>
        </is>
      </c>
      <c r="D1742" t="inlineStr">
        <is>
          <t>AMIIR 5 Colors Brow Powder Compact Eye Brow Tinted Dye Sculpt Light to Dark Coloring w/Double-Ended Brush Cute Little Makeup Palette Kit</t>
        </is>
      </c>
      <c r="E1742" s="2">
        <f>HYPERLINK("https://www.amazon.com/AMIIR-Eyebrow-Palette-Professional-Palettes/dp/B09N97MB19/ref=sr_1_4?keywords=Eyebrow+Powder+Palette+5+Colors&amp;qid=1695565705&amp;sr=8-4", "https://www.amazon.com/AMIIR-Eyebrow-Palette-Professional-Palettes/dp/B09N97MB19/ref=sr_1_4?keywords=Eyebrow+Powder+Palette+5+Colors&amp;qid=1695565705&amp;sr=8-4")</f>
        <v/>
      </c>
      <c r="F1742" t="inlineStr">
        <is>
          <t>B09N97MB19</t>
        </is>
      </c>
      <c r="G1742">
        <f>_xlfn.IMAGE("https://camerareadycosmetics.com/cdn/shop/files/05355_00_prod_Eyebrow-Powder-5-Farben_50x.jpg?v=1687199829")</f>
        <v/>
      </c>
      <c r="H1742">
        <f>_xlfn.IMAGE("https://m.media-amazon.com/images/I/51K3VbcpepL._AC_UL320_.jpg")</f>
        <v/>
      </c>
      <c r="K1742" t="inlineStr">
        <is>
          <t>39.9</t>
        </is>
      </c>
      <c r="L1742" t="n">
        <v>8.99</v>
      </c>
      <c r="M1742" s="1" t="inlineStr">
        <is>
          <t>-77.47%</t>
        </is>
      </c>
      <c r="N1742" t="n">
        <v>4.3</v>
      </c>
      <c r="O1742" t="n">
        <v>103</v>
      </c>
      <c r="Q1742" t="inlineStr">
        <is>
          <t>InStock</t>
        </is>
      </c>
      <c r="R1742" t="inlineStr">
        <is>
          <t>undefined</t>
        </is>
      </c>
      <c r="S1742" t="inlineStr">
        <is>
          <t>10896970698</t>
        </is>
      </c>
    </row>
    <row r="1743" ht="75" customHeight="1">
      <c r="A1743" s="2">
        <f>HYPERLINK("https://camerareadycosmetics.com/products/kryolan-eyebrow-powder-palette-5-colors", "https://camerareadycosmetics.com/products/kryolan-eyebrow-powder-palette-5-colors")</f>
        <v/>
      </c>
      <c r="B1743" s="2">
        <f>HYPERLINK("https://camerareadycosmetics.com/products/kryolan-eyebrow-powder-palette-5-colors", "https://camerareadycosmetics.com/products/kryolan-eyebrow-powder-palette-5-colors")</f>
        <v/>
      </c>
      <c r="C1743" t="inlineStr">
        <is>
          <t>Eyebrow Powder Palette 5 Colors</t>
        </is>
      </c>
      <c r="D1743" t="inlineStr">
        <is>
          <t>SNOVO Professional eyebrow Palette Eyebrow makeup is available in 5 colors (04# Taupe)</t>
        </is>
      </c>
      <c r="E1743" s="2">
        <f>HYPERLINK("https://www.amazon.com/SNOVO-Professional-eyebrow-Palette-available/dp/B09FTH1CJB/ref=sr_1_7?keywords=Eyebrow+Powder+Palette+5+Colors&amp;qid=1695565705&amp;sr=8-7", "https://www.amazon.com/SNOVO-Professional-eyebrow-Palette-available/dp/B09FTH1CJB/ref=sr_1_7?keywords=Eyebrow+Powder+Palette+5+Colors&amp;qid=1695565705&amp;sr=8-7")</f>
        <v/>
      </c>
      <c r="F1743" t="inlineStr">
        <is>
          <t>B09FTH1CJB</t>
        </is>
      </c>
      <c r="G1743">
        <f>_xlfn.IMAGE("https://camerareadycosmetics.com/cdn/shop/files/05355_00_prod_Eyebrow-Powder-5-Farben_50x.jpg?v=1687199829")</f>
        <v/>
      </c>
      <c r="H1743">
        <f>_xlfn.IMAGE("https://m.media-amazon.com/images/I/51MQMPjSblL._AC_UL320_.jpg")</f>
        <v/>
      </c>
      <c r="K1743" t="inlineStr">
        <is>
          <t>39.9</t>
        </is>
      </c>
      <c r="L1743" t="n">
        <v>5.99</v>
      </c>
      <c r="M1743" s="1" t="inlineStr">
        <is>
          <t>-84.99%</t>
        </is>
      </c>
      <c r="N1743" t="n">
        <v>4.1</v>
      </c>
      <c r="O1743" t="n">
        <v>371</v>
      </c>
      <c r="Q1743" t="inlineStr">
        <is>
          <t>InStock</t>
        </is>
      </c>
      <c r="R1743" t="inlineStr">
        <is>
          <t>undefined</t>
        </is>
      </c>
      <c r="S1743" t="inlineStr">
        <is>
          <t>10896970698</t>
        </is>
      </c>
    </row>
    <row r="1744" ht="75" customHeight="1">
      <c r="A1744" s="2">
        <f>HYPERLINK("https://camerareadycosmetics.com/products/kryolan-eyebrow-powder-palette-5-colors", "https://camerareadycosmetics.com/products/kryolan-eyebrow-powder-palette-5-colors")</f>
        <v/>
      </c>
      <c r="B1744" s="2">
        <f>HYPERLINK("https://camerareadycosmetics.com/products/kryolan-eyebrow-powder-palette-5-colors", "https://camerareadycosmetics.com/products/kryolan-eyebrow-powder-palette-5-colors")</f>
        <v/>
      </c>
      <c r="C1744" t="inlineStr">
        <is>
          <t>Eyebrow Powder Palette 5 Colors</t>
        </is>
      </c>
      <c r="D1744" t="inlineStr">
        <is>
          <t>YOUNG VISION Eyebrow Powders Palette With Mirror, 6 Brows Colors With Stencils, Highlighter Powder, Cream Concealer, Styling Wax, Eyebrow Trimmer, And Brow Brush &amp; Spoolie Duo</t>
        </is>
      </c>
      <c r="E1744" s="2">
        <f>HYPERLINK("https://www.amazon.com/YOUNG-VISION-Stencils-Highlighter-Concealer/dp/B09Y3F33W8/ref=sr_1_9?keywords=Eyebrow+Powder+Palette+5+Colors&amp;qid=1695565705&amp;sr=8-9", "https://www.amazon.com/YOUNG-VISION-Stencils-Highlighter-Concealer/dp/B09Y3F33W8/ref=sr_1_9?keywords=Eyebrow+Powder+Palette+5+Colors&amp;qid=1695565705&amp;sr=8-9")</f>
        <v/>
      </c>
      <c r="F1744" t="inlineStr">
        <is>
          <t>B09Y3F33W8</t>
        </is>
      </c>
      <c r="G1744">
        <f>_xlfn.IMAGE("https://camerareadycosmetics.com/cdn/shop/files/05355_00_prod_Eyebrow-Powder-5-Farben_50x.jpg?v=1687199829")</f>
        <v/>
      </c>
      <c r="H1744">
        <f>_xlfn.IMAGE("https://m.media-amazon.com/images/I/71ezgtSG2mL._AC_UL320_.jpg")</f>
        <v/>
      </c>
      <c r="K1744" t="inlineStr">
        <is>
          <t>39.9</t>
        </is>
      </c>
      <c r="L1744" t="n">
        <v>3.99</v>
      </c>
      <c r="M1744" s="1" t="inlineStr">
        <is>
          <t>-90.00%</t>
        </is>
      </c>
      <c r="N1744" t="n">
        <v>4.3</v>
      </c>
      <c r="O1744" t="n">
        <v>49</v>
      </c>
      <c r="Q1744" t="inlineStr">
        <is>
          <t>InStock</t>
        </is>
      </c>
      <c r="R1744" t="inlineStr">
        <is>
          <t>undefined</t>
        </is>
      </c>
      <c r="S1744" t="inlineStr">
        <is>
          <t>10896970698</t>
        </is>
      </c>
    </row>
    <row r="1745" ht="75" customHeight="1">
      <c r="A1745" s="2">
        <f>HYPERLINK("https://camerareadycosmetics.com/products/kryolan-eye-shadow-primer", "https://camerareadycosmetics.com/products/kryolan-eye-shadow-primer")</f>
        <v/>
      </c>
      <c r="B1745" s="2">
        <f>HYPERLINK("https://camerareadycosmetics.com/products/kryolan-eye-shadow-primer", "https://camerareadycosmetics.com/products/kryolan-eye-shadow-primer")</f>
        <v/>
      </c>
      <c r="C1745" t="inlineStr">
        <is>
          <t>Eye Shadow Primer</t>
        </is>
      </c>
      <c r="D1745" t="inlineStr">
        <is>
          <t>Elizabeth Mott Thank Me Later Eye Primer for Long-Lasting Power Grip Eye Makeup, Eyeshadow Base to Control Oil, Prevent Creasing for All-Day Eye Makeup Wear 10g</t>
        </is>
      </c>
      <c r="E1745" s="2">
        <f>HYPERLINK("https://www.amazon.com/Elizabeth-Mott-Long-Lasting-Waterproof-Eyeshadow/dp/B018JDMD4K/ref=sr_1_4?keywords=Eye+Shadow+Primer&amp;qid=1695565569&amp;sr=8-4", "https://www.amazon.com/Elizabeth-Mott-Long-Lasting-Waterproof-Eyeshadow/dp/B018JDMD4K/ref=sr_1_4?keywords=Eye+Shadow+Primer&amp;qid=1695565569&amp;sr=8-4")</f>
        <v/>
      </c>
      <c r="F1745" t="inlineStr">
        <is>
          <t>B018JDMD4K</t>
        </is>
      </c>
      <c r="G1745">
        <f>_xlfn.IMAGE("https://camerareadycosmetics.com/cdn/shop/files/09096-Eye-Shadow-Primer-1-flat_0_50x.jpg?v=1687199853")</f>
        <v/>
      </c>
      <c r="H1745">
        <f>_xlfn.IMAGE("https://m.media-amazon.com/images/I/41IcbLGgpFL._AC_UL320_.jpg")</f>
        <v/>
      </c>
      <c r="K1745" t="inlineStr">
        <is>
          <t>15.9</t>
        </is>
      </c>
      <c r="L1745" t="n">
        <v>13.99</v>
      </c>
      <c r="M1745" s="1" t="inlineStr">
        <is>
          <t>-12.01%</t>
        </is>
      </c>
      <c r="N1745" t="n">
        <v>4.4</v>
      </c>
      <c r="O1745" t="n">
        <v>20704</v>
      </c>
      <c r="Q1745" t="inlineStr">
        <is>
          <t>InStock</t>
        </is>
      </c>
      <c r="R1745" t="inlineStr">
        <is>
          <t>undefined</t>
        </is>
      </c>
      <c r="S1745" t="inlineStr">
        <is>
          <t>10897219594</t>
        </is>
      </c>
    </row>
    <row r="1746" ht="75" customHeight="1">
      <c r="A1746" s="2">
        <f>HYPERLINK("https://camerareadycosmetics.com/products/kryolan-eye-shadow-primer", "https://camerareadycosmetics.com/products/kryolan-eye-shadow-primer")</f>
        <v/>
      </c>
      <c r="B1746" s="2">
        <f>HYPERLINK("https://camerareadycosmetics.com/products/kryolan-eye-shadow-primer", "https://camerareadycosmetics.com/products/kryolan-eye-shadow-primer")</f>
        <v/>
      </c>
      <c r="C1746" t="inlineStr">
        <is>
          <t>Eye Shadow Primer</t>
        </is>
      </c>
      <c r="D1746" t="inlineStr">
        <is>
          <t>Urban Decay Eyeshadow Primer Potion, Original - Award-Winning Nude Eye Primer for Crease-Free Eyeshadow &amp; Makeup Looks - Lasts All Day - Great for Oily Lids</t>
        </is>
      </c>
      <c r="E1746" s="2">
        <f>HYPERLINK("https://www.amazon.com/Travel-Size-Eyeshadow-Primer-Potion/dp/B01H4EX6FA/ref=sr_1_5?keywords=Eye+Shadow+Primer&amp;qid=1695565569&amp;sr=8-5", "https://www.amazon.com/Travel-Size-Eyeshadow-Primer-Potion/dp/B01H4EX6FA/ref=sr_1_5?keywords=Eye+Shadow+Primer&amp;qid=1695565569&amp;sr=8-5")</f>
        <v/>
      </c>
      <c r="F1746" t="inlineStr">
        <is>
          <t>B01H4EX6FA</t>
        </is>
      </c>
      <c r="G1746">
        <f>_xlfn.IMAGE("https://camerareadycosmetics.com/cdn/shop/files/09096-Eye-Shadow-Primer-1-flat_0_50x.jpg?v=1687199853")</f>
        <v/>
      </c>
      <c r="H1746">
        <f>_xlfn.IMAGE("https://m.media-amazon.com/images/I/71LFwLgDLHL._AC_UL320_.jpg")</f>
        <v/>
      </c>
      <c r="K1746" t="inlineStr">
        <is>
          <t>15.9</t>
        </is>
      </c>
      <c r="L1746" t="n">
        <v>13.6</v>
      </c>
      <c r="M1746" s="1" t="inlineStr">
        <is>
          <t>-14.47%</t>
        </is>
      </c>
      <c r="N1746" t="n">
        <v>4.6</v>
      </c>
      <c r="O1746" t="n">
        <v>3304</v>
      </c>
      <c r="Q1746" t="inlineStr">
        <is>
          <t>InStock</t>
        </is>
      </c>
      <c r="R1746" t="inlineStr">
        <is>
          <t>undefined</t>
        </is>
      </c>
      <c r="S1746" t="inlineStr">
        <is>
          <t>10897219594</t>
        </is>
      </c>
    </row>
    <row r="1747" ht="75" customHeight="1">
      <c r="A1747" s="2">
        <f>HYPERLINK("https://camerareadycosmetics.com/products/kryolan-eye-shadow-primer", "https://camerareadycosmetics.com/products/kryolan-eye-shadow-primer")</f>
        <v/>
      </c>
      <c r="B1747" s="2">
        <f>HYPERLINK("https://camerareadycosmetics.com/products/kryolan-eye-shadow-primer", "https://camerareadycosmetics.com/products/kryolan-eye-shadow-primer")</f>
        <v/>
      </c>
      <c r="C1747" t="inlineStr">
        <is>
          <t>Eye Shadow Primer</t>
        </is>
      </c>
      <c r="D1747" t="inlineStr">
        <is>
          <t>COVERGIRL Lid Lock Up Eyeshadow Primer, Clear, All-Day, Dries Quickly, .06 Pound, Crease-Proof, Shadow Security, Maximizes the Wear and Intensity of Shadow, Preps Lids for All-Day Wear</t>
        </is>
      </c>
      <c r="E1747" s="2">
        <f>HYPERLINK("https://www.amazon.com/COVERGIRL-Eyeshadow-Primer-Clear-packaging/dp/B0779Q4BHQ/ref=sr_1_3?keywords=Eye+Shadow+Primer&amp;qid=1695565569&amp;sr=8-3", "https://www.amazon.com/COVERGIRL-Eyeshadow-Primer-Clear-packaging/dp/B0779Q4BHQ/ref=sr_1_3?keywords=Eye+Shadow+Primer&amp;qid=1695565569&amp;sr=8-3")</f>
        <v/>
      </c>
      <c r="F1747" t="inlineStr">
        <is>
          <t>B0779Q4BHQ</t>
        </is>
      </c>
      <c r="G1747">
        <f>_xlfn.IMAGE("https://camerareadycosmetics.com/cdn/shop/files/09096-Eye-Shadow-Primer-1-flat_0_50x.jpg?v=1687199853")</f>
        <v/>
      </c>
      <c r="H1747">
        <f>_xlfn.IMAGE("https://m.media-amazon.com/images/I/61OIPHVEEkL._AC_UL320_.jpg")</f>
        <v/>
      </c>
      <c r="K1747" t="inlineStr">
        <is>
          <t>15.9</t>
        </is>
      </c>
      <c r="L1747" t="n">
        <v>7.99</v>
      </c>
      <c r="M1747" s="1" t="inlineStr">
        <is>
          <t>-49.75%</t>
        </is>
      </c>
      <c r="N1747" t="n">
        <v>4.3</v>
      </c>
      <c r="O1747" t="n">
        <v>2273</v>
      </c>
      <c r="Q1747" t="inlineStr">
        <is>
          <t>InStock</t>
        </is>
      </c>
      <c r="R1747" t="inlineStr">
        <is>
          <t>undefined</t>
        </is>
      </c>
      <c r="S1747" t="inlineStr">
        <is>
          <t>10897219594</t>
        </is>
      </c>
    </row>
    <row r="1748" ht="75" customHeight="1">
      <c r="A1748" s="2">
        <f>HYPERLINK("https://camerareadycosmetics.com/products/kryolan-eye-shadow-primer", "https://camerareadycosmetics.com/products/kryolan-eye-shadow-primer")</f>
        <v/>
      </c>
      <c r="B1748" s="2">
        <f>HYPERLINK("https://camerareadycosmetics.com/products/kryolan-eye-shadow-primer", "https://camerareadycosmetics.com/products/kryolan-eye-shadow-primer")</f>
        <v/>
      </c>
      <c r="C1748" t="inlineStr">
        <is>
          <t>Eye Shadow Primer</t>
        </is>
      </c>
      <c r="D1748" t="inlineStr">
        <is>
          <t>Milani Eyeshadow Primer - Nude (0.3 Fl. Oz.)</t>
        </is>
      </c>
      <c r="E1748" s="2">
        <f>HYPERLINK("https://www.amazon.com/Milani-Eyeshadow-Primer-Fluid-Ounce/dp/B00DNK6R1U/ref=sr_1_1?keywords=Eye+Shadow+Primer&amp;qid=1695565569&amp;sr=8-1", "https://www.amazon.com/Milani-Eyeshadow-Primer-Fluid-Ounce/dp/B00DNK6R1U/ref=sr_1_1?keywords=Eye+Shadow+Primer&amp;qid=1695565569&amp;sr=8-1")</f>
        <v/>
      </c>
      <c r="F1748" t="inlineStr">
        <is>
          <t>B00DNK6R1U</t>
        </is>
      </c>
      <c r="G1748">
        <f>_xlfn.IMAGE("https://camerareadycosmetics.com/cdn/shop/files/09096-Eye-Shadow-Primer-1-flat_0_50x.jpg?v=1687199853")</f>
        <v/>
      </c>
      <c r="H1748">
        <f>_xlfn.IMAGE("https://m.media-amazon.com/images/I/61B2ImhYo4L._AC_UL320_.jpg")</f>
        <v/>
      </c>
      <c r="K1748" t="inlineStr">
        <is>
          <t>15.9</t>
        </is>
      </c>
      <c r="L1748" t="n">
        <v>7.97</v>
      </c>
      <c r="M1748" s="1" t="inlineStr">
        <is>
          <t>-49.87%</t>
        </is>
      </c>
      <c r="N1748" t="n">
        <v>4.3</v>
      </c>
      <c r="O1748" t="n">
        <v>7690</v>
      </c>
      <c r="Q1748" t="inlineStr">
        <is>
          <t>InStock</t>
        </is>
      </c>
      <c r="R1748" t="inlineStr">
        <is>
          <t>undefined</t>
        </is>
      </c>
      <c r="S1748" t="inlineStr">
        <is>
          <t>10897219594</t>
        </is>
      </c>
    </row>
    <row r="1749" ht="75" customHeight="1">
      <c r="A1749" s="2">
        <f>HYPERLINK("https://camerareadycosmetics.com/products/kryolan-eye-shadow-primer", "https://camerareadycosmetics.com/products/kryolan-eye-shadow-primer")</f>
        <v/>
      </c>
      <c r="B1749" s="2">
        <f>HYPERLINK("https://camerareadycosmetics.com/products/kryolan-eye-shadow-primer", "https://camerareadycosmetics.com/products/kryolan-eye-shadow-primer")</f>
        <v/>
      </c>
      <c r="C1749" t="inlineStr">
        <is>
          <t>Eye Shadow Primer</t>
        </is>
      </c>
      <c r="D1749" t="inlineStr">
        <is>
          <t>SAUBZEAN Light Gold Eyeshadow Stick Makeup, Highlighter Matte Cream Eye Shadow Pencil, Waterproof Hypoallergenic Long Lasting Crayon, Glitter Primer Palette Shimmer Eyeliner Pen wiht Soft Brush</t>
        </is>
      </c>
      <c r="E1749" s="2">
        <f>HYPERLINK("https://www.amazon.com/SAUBZEAN-Eyeshadow-Highlighter-Waterproof-Hypoallergenic/dp/B0C4QH22KB/ref=sr_1_10?keywords=Eye+Shadow+Primer&amp;qid=1695565569&amp;sr=8-10", "https://www.amazon.com/SAUBZEAN-Eyeshadow-Highlighter-Waterproof-Hypoallergenic/dp/B0C4QH22KB/ref=sr_1_10?keywords=Eye+Shadow+Primer&amp;qid=1695565569&amp;sr=8-10")</f>
        <v/>
      </c>
      <c r="F1749" t="inlineStr">
        <is>
          <t>B0C4QH22KB</t>
        </is>
      </c>
      <c r="G1749">
        <f>_xlfn.IMAGE("https://camerareadycosmetics.com/cdn/shop/files/09096-Eye-Shadow-Primer-1-flat_0_50x.jpg?v=1687199853")</f>
        <v/>
      </c>
      <c r="H1749">
        <f>_xlfn.IMAGE("https://m.media-amazon.com/images/I/71MvDA2bJyL._AC_UL320_.jpg")</f>
        <v/>
      </c>
      <c r="K1749" t="inlineStr">
        <is>
          <t>15.9</t>
        </is>
      </c>
      <c r="L1749" t="n">
        <v>6.98</v>
      </c>
      <c r="M1749" s="1" t="inlineStr">
        <is>
          <t>-56.10%</t>
        </is>
      </c>
      <c r="N1749" t="n">
        <v>3.8</v>
      </c>
      <c r="O1749" t="n">
        <v>52</v>
      </c>
      <c r="Q1749" t="inlineStr">
        <is>
          <t>InStock</t>
        </is>
      </c>
      <c r="R1749" t="inlineStr">
        <is>
          <t>undefined</t>
        </is>
      </c>
      <c r="S1749" t="inlineStr">
        <is>
          <t>10897219594</t>
        </is>
      </c>
    </row>
    <row r="1750" ht="75" customHeight="1">
      <c r="A1750" s="2">
        <f>HYPERLINK("https://camerareadycosmetics.com/products/kryolan-eye-shadow-primer", "https://camerareadycosmetics.com/products/kryolan-eye-shadow-primer")</f>
        <v/>
      </c>
      <c r="B1750" s="2">
        <f>HYPERLINK("https://camerareadycosmetics.com/products/kryolan-eye-shadow-primer", "https://camerareadycosmetics.com/products/kryolan-eye-shadow-primer")</f>
        <v/>
      </c>
      <c r="C1750" t="inlineStr">
        <is>
          <t>Eye Shadow Primer</t>
        </is>
      </c>
      <c r="D1750" t="inlineStr">
        <is>
          <t>Too Faced Shadow Insurance Champagne Eye Shadow Primer, 0.17 fl oz travel size</t>
        </is>
      </c>
      <c r="E1750" s="2">
        <f>HYPERLINK("https://www.amazon.com/Too-Faced-Shadow-Insurance-Champagne/dp/B00JDI2Q20/ref=sr_1_7?keywords=Eye+Shadow+Primer&amp;qid=1695565569&amp;sr=8-7", "https://www.amazon.com/Too-Faced-Shadow-Insurance-Champagne/dp/B00JDI2Q20/ref=sr_1_7?keywords=Eye+Shadow+Primer&amp;qid=1695565569&amp;sr=8-7")</f>
        <v/>
      </c>
      <c r="F1750" t="inlineStr">
        <is>
          <t>B00JDI2Q20</t>
        </is>
      </c>
      <c r="G1750">
        <f>_xlfn.IMAGE("https://camerareadycosmetics.com/cdn/shop/files/09096-Eye-Shadow-Primer-1-flat_0_50x.jpg?v=1687199853")</f>
        <v/>
      </c>
      <c r="H1750">
        <f>_xlfn.IMAGE("https://m.media-amazon.com/images/I/31f8wi4wgkL._AC_UL320_.jpg")</f>
        <v/>
      </c>
      <c r="K1750" t="inlineStr">
        <is>
          <t>15.9</t>
        </is>
      </c>
      <c r="L1750" t="n">
        <v>6.4</v>
      </c>
      <c r="M1750" s="1" t="inlineStr">
        <is>
          <t>-59.75%</t>
        </is>
      </c>
      <c r="N1750" t="n">
        <v>4.3</v>
      </c>
      <c r="O1750" t="n">
        <v>1073</v>
      </c>
      <c r="Q1750" t="inlineStr">
        <is>
          <t>InStock</t>
        </is>
      </c>
      <c r="R1750" t="inlineStr">
        <is>
          <t>undefined</t>
        </is>
      </c>
      <c r="S1750" t="inlineStr">
        <is>
          <t>10897219594</t>
        </is>
      </c>
    </row>
    <row r="1751" ht="75" customHeight="1">
      <c r="A1751" s="2">
        <f>HYPERLINK("https://camerareadycosmetics.com/products/kryolan-eye-shadow-primer", "https://camerareadycosmetics.com/products/kryolan-eye-shadow-primer")</f>
        <v/>
      </c>
      <c r="B1751" s="2">
        <f>HYPERLINK("https://camerareadycosmetics.com/products/kryolan-eye-shadow-primer", "https://camerareadycosmetics.com/products/kryolan-eye-shadow-primer")</f>
        <v/>
      </c>
      <c r="C1751" t="inlineStr">
        <is>
          <t>Eye Shadow Primer</t>
        </is>
      </c>
      <c r="D1751" t="inlineStr">
        <is>
          <t>Wet n Wild Megalast Eyeshadow Primer</t>
        </is>
      </c>
      <c r="E1751" s="2">
        <f>HYPERLINK("https://www.amazon.com/Wet-Wild-Megalast-Eyeshadow-Primer/dp/B0BQWYLTZX/ref=sr_1_2?keywords=Eye+Shadow+Primer&amp;qid=1695565569&amp;sr=8-2", "https://www.amazon.com/Wet-Wild-Megalast-Eyeshadow-Primer/dp/B0BQWYLTZX/ref=sr_1_2?keywords=Eye+Shadow+Primer&amp;qid=1695565569&amp;sr=8-2")</f>
        <v/>
      </c>
      <c r="F1751" t="inlineStr">
        <is>
          <t>B0BQWYLTZX</t>
        </is>
      </c>
      <c r="G1751">
        <f>_xlfn.IMAGE("https://camerareadycosmetics.com/cdn/shop/files/09096-Eye-Shadow-Primer-1-flat_0_50x.jpg?v=1687199853")</f>
        <v/>
      </c>
      <c r="H1751">
        <f>_xlfn.IMAGE("https://m.media-amazon.com/images/I/61ecyLY9J+L._AC_UL320_.jpg")</f>
        <v/>
      </c>
      <c r="K1751" t="inlineStr">
        <is>
          <t>15.9</t>
        </is>
      </c>
      <c r="L1751" t="n">
        <v>4.98</v>
      </c>
      <c r="M1751" s="1" t="inlineStr">
        <is>
          <t>-68.68%</t>
        </is>
      </c>
      <c r="N1751" t="n">
        <v>4.1</v>
      </c>
      <c r="O1751" t="n">
        <v>428</v>
      </c>
      <c r="Q1751" t="inlineStr">
        <is>
          <t>InStock</t>
        </is>
      </c>
      <c r="R1751" t="inlineStr">
        <is>
          <t>undefined</t>
        </is>
      </c>
      <c r="S1751" t="inlineStr">
        <is>
          <t>10897219594</t>
        </is>
      </c>
    </row>
    <row r="1752" ht="75" customHeight="1">
      <c r="A1752" s="2">
        <f>HYPERLINK("https://camerareadycosmetics.com/products/kryolan-eye-shadow-primer", "https://camerareadycosmetics.com/products/kryolan-eye-shadow-primer")</f>
        <v/>
      </c>
      <c r="B1752" s="2">
        <f>HYPERLINK("https://camerareadycosmetics.com/products/kryolan-eye-shadow-primer", "https://camerareadycosmetics.com/products/kryolan-eye-shadow-primer")</f>
        <v/>
      </c>
      <c r="C1752" t="inlineStr">
        <is>
          <t>Eye Shadow Primer</t>
        </is>
      </c>
      <c r="D1752" t="inlineStr">
        <is>
          <t>COVERGIRL Lid Lock Up Eyeshadow Primer, Clear, All-Day, Dries Quickly, .06 Pound, Crease-Proof, Shadow Security, Maximizes the Wear and Intensity of Shadow, Preps Lids for All-Day Wear</t>
        </is>
      </c>
      <c r="E1752" s="2">
        <f>HYPERLINK("https://www.amazon.com/COVERGIRL-Eyeshadow-Primer-Clear-packaging/dp/B0779Q4BHQ/ref=sr_1_3?keywords=Eye+Shadow+Primer&amp;qid=1695565569&amp;sr=8-3", "https://www.amazon.com/COVERGIRL-Eyeshadow-Primer-Clear-packaging/dp/B0779Q4BHQ/ref=sr_1_3?keywords=Eye+Shadow+Primer&amp;qid=1695565569&amp;sr=8-3")</f>
        <v/>
      </c>
      <c r="F1752" t="inlineStr">
        <is>
          <t>B0779Q4BHQ</t>
        </is>
      </c>
      <c r="G1752">
        <f>_xlfn.IMAGE("https://camerareadycosmetics.com/cdn/shop/files/09096-Eye-Shadow-Primer-1-flat_0_50x.jpg?v=1687199853")</f>
        <v/>
      </c>
      <c r="H1752">
        <f>_xlfn.IMAGE("https://m.media-amazon.com/images/I/61OIPHVEEkL._AC_UL320_.jpg")</f>
        <v/>
      </c>
      <c r="K1752" t="inlineStr">
        <is>
          <t>15.9</t>
        </is>
      </c>
      <c r="L1752" t="n">
        <v>7.99</v>
      </c>
      <c r="M1752" s="1" t="inlineStr">
        <is>
          <t>-49.75%</t>
        </is>
      </c>
      <c r="N1752" t="n">
        <v>4.3</v>
      </c>
      <c r="O1752" t="n">
        <v>2273</v>
      </c>
      <c r="Q1752" t="inlineStr">
        <is>
          <t>InStock</t>
        </is>
      </c>
      <c r="R1752" t="inlineStr">
        <is>
          <t>undefined</t>
        </is>
      </c>
      <c r="S1752" t="inlineStr">
        <is>
          <t>10897219594</t>
        </is>
      </c>
    </row>
    <row r="1753" ht="75" customHeight="1">
      <c r="A1753" s="2">
        <f>HYPERLINK("https://camerareadycosmetics.com/products/kryolan-eye-shadow-primer", "https://camerareadycosmetics.com/products/kryolan-eye-shadow-primer")</f>
        <v/>
      </c>
      <c r="B1753" s="2">
        <f>HYPERLINK("https://camerareadycosmetics.com/products/kryolan-eye-shadow-primer", "https://camerareadycosmetics.com/products/kryolan-eye-shadow-primer")</f>
        <v/>
      </c>
      <c r="C1753" t="inlineStr">
        <is>
          <t>Eye Shadow Primer</t>
        </is>
      </c>
      <c r="D1753" t="inlineStr">
        <is>
          <t>Milani Eyeshadow Primer - Nude (0.3 Fl. Oz.)</t>
        </is>
      </c>
      <c r="E1753" s="2">
        <f>HYPERLINK("https://www.amazon.com/Milani-Eyeshadow-Primer-Fluid-Ounce/dp/B00DNK6R1U/ref=sr_1_1?keywords=Eye+Shadow+Primer&amp;qid=1695565569&amp;sr=8-1", "https://www.amazon.com/Milani-Eyeshadow-Primer-Fluid-Ounce/dp/B00DNK6R1U/ref=sr_1_1?keywords=Eye+Shadow+Primer&amp;qid=1695565569&amp;sr=8-1")</f>
        <v/>
      </c>
      <c r="F1753" t="inlineStr">
        <is>
          <t>B00DNK6R1U</t>
        </is>
      </c>
      <c r="G1753">
        <f>_xlfn.IMAGE("https://camerareadycosmetics.com/cdn/shop/files/09096-Eye-Shadow-Primer-1-flat_0_50x.jpg?v=1687199853")</f>
        <v/>
      </c>
      <c r="H1753">
        <f>_xlfn.IMAGE("https://m.media-amazon.com/images/I/61B2ImhYo4L._AC_UL320_.jpg")</f>
        <v/>
      </c>
      <c r="K1753" t="inlineStr">
        <is>
          <t>15.9</t>
        </is>
      </c>
      <c r="L1753" t="n">
        <v>7.97</v>
      </c>
      <c r="M1753" s="1" t="inlineStr">
        <is>
          <t>-49.87%</t>
        </is>
      </c>
      <c r="N1753" t="n">
        <v>4.3</v>
      </c>
      <c r="O1753" t="n">
        <v>7690</v>
      </c>
      <c r="Q1753" t="inlineStr">
        <is>
          <t>InStock</t>
        </is>
      </c>
      <c r="R1753" t="inlineStr">
        <is>
          <t>undefined</t>
        </is>
      </c>
      <c r="S1753" t="inlineStr">
        <is>
          <t>10897219594</t>
        </is>
      </c>
    </row>
    <row r="1754" ht="75" customHeight="1">
      <c r="A1754" s="2">
        <f>HYPERLINK("https://camerareadycosmetics.com/products/kryolan-eye-shadow-primer", "https://camerareadycosmetics.com/products/kryolan-eye-shadow-primer")</f>
        <v/>
      </c>
      <c r="B1754" s="2">
        <f>HYPERLINK("https://camerareadycosmetics.com/products/kryolan-eye-shadow-primer", "https://camerareadycosmetics.com/products/kryolan-eye-shadow-primer")</f>
        <v/>
      </c>
      <c r="C1754" t="inlineStr">
        <is>
          <t>Eye Shadow Primer</t>
        </is>
      </c>
      <c r="D1754" t="inlineStr">
        <is>
          <t>SAUBZEAN Light Gold Eyeshadow Stick Makeup, Highlighter Matte Cream Eye Shadow Pencil, Waterproof Hypoallergenic Long Lasting Crayon, Glitter Primer Palette Shimmer Eyeliner Pen wiht Soft Brush</t>
        </is>
      </c>
      <c r="E1754" s="2">
        <f>HYPERLINK("https://www.amazon.com/SAUBZEAN-Eyeshadow-Highlighter-Waterproof-Hypoallergenic/dp/B0C4QH22KB/ref=sr_1_10?keywords=Eye+Shadow+Primer&amp;qid=1695565569&amp;sr=8-10", "https://www.amazon.com/SAUBZEAN-Eyeshadow-Highlighter-Waterproof-Hypoallergenic/dp/B0C4QH22KB/ref=sr_1_10?keywords=Eye+Shadow+Primer&amp;qid=1695565569&amp;sr=8-10")</f>
        <v/>
      </c>
      <c r="F1754" t="inlineStr">
        <is>
          <t>B0C4QH22KB</t>
        </is>
      </c>
      <c r="G1754">
        <f>_xlfn.IMAGE("https://camerareadycosmetics.com/cdn/shop/files/09096-Eye-Shadow-Primer-1-flat_0_50x.jpg?v=1687199853")</f>
        <v/>
      </c>
      <c r="H1754">
        <f>_xlfn.IMAGE("https://m.media-amazon.com/images/I/71MvDA2bJyL._AC_UL320_.jpg")</f>
        <v/>
      </c>
      <c r="K1754" t="inlineStr">
        <is>
          <t>15.9</t>
        </is>
      </c>
      <c r="L1754" t="n">
        <v>6.98</v>
      </c>
      <c r="M1754" s="1" t="inlineStr">
        <is>
          <t>-56.10%</t>
        </is>
      </c>
      <c r="N1754" t="n">
        <v>3.8</v>
      </c>
      <c r="O1754" t="n">
        <v>52</v>
      </c>
      <c r="Q1754" t="inlineStr">
        <is>
          <t>InStock</t>
        </is>
      </c>
      <c r="R1754" t="inlineStr">
        <is>
          <t>undefined</t>
        </is>
      </c>
      <c r="S1754" t="inlineStr">
        <is>
          <t>10897219594</t>
        </is>
      </c>
    </row>
    <row r="1755" ht="75" customHeight="1">
      <c r="A1755" s="2">
        <f>HYPERLINK("https://camerareadycosmetics.com/products/kryolan-eye-shadow-primer", "https://camerareadycosmetics.com/products/kryolan-eye-shadow-primer")</f>
        <v/>
      </c>
      <c r="B1755" s="2">
        <f>HYPERLINK("https://camerareadycosmetics.com/products/kryolan-eye-shadow-primer", "https://camerareadycosmetics.com/products/kryolan-eye-shadow-primer")</f>
        <v/>
      </c>
      <c r="C1755" t="inlineStr">
        <is>
          <t>Eye Shadow Primer</t>
        </is>
      </c>
      <c r="D1755" t="inlineStr">
        <is>
          <t>Too Faced Shadow Insurance Champagne Eye Shadow Primer, 0.17 fl oz travel size</t>
        </is>
      </c>
      <c r="E1755" s="2">
        <f>HYPERLINK("https://www.amazon.com/Too-Faced-Shadow-Insurance-Champagne/dp/B00JDI2Q20/ref=sr_1_7?keywords=Eye+Shadow+Primer&amp;qid=1695565569&amp;sr=8-7", "https://www.amazon.com/Too-Faced-Shadow-Insurance-Champagne/dp/B00JDI2Q20/ref=sr_1_7?keywords=Eye+Shadow+Primer&amp;qid=1695565569&amp;sr=8-7")</f>
        <v/>
      </c>
      <c r="F1755" t="inlineStr">
        <is>
          <t>B00JDI2Q20</t>
        </is>
      </c>
      <c r="G1755">
        <f>_xlfn.IMAGE("https://camerareadycosmetics.com/cdn/shop/files/09096-Eye-Shadow-Primer-1-flat_0_50x.jpg?v=1687199853")</f>
        <v/>
      </c>
      <c r="H1755">
        <f>_xlfn.IMAGE("https://m.media-amazon.com/images/I/31f8wi4wgkL._AC_UL320_.jpg")</f>
        <v/>
      </c>
      <c r="K1755" t="inlineStr">
        <is>
          <t>15.9</t>
        </is>
      </c>
      <c r="L1755" t="n">
        <v>6.4</v>
      </c>
      <c r="M1755" s="1" t="inlineStr">
        <is>
          <t>-59.75%</t>
        </is>
      </c>
      <c r="N1755" t="n">
        <v>4.3</v>
      </c>
      <c r="O1755" t="n">
        <v>1073</v>
      </c>
      <c r="Q1755" t="inlineStr">
        <is>
          <t>InStock</t>
        </is>
      </c>
      <c r="R1755" t="inlineStr">
        <is>
          <t>undefined</t>
        </is>
      </c>
      <c r="S1755" t="inlineStr">
        <is>
          <t>10897219594</t>
        </is>
      </c>
    </row>
    <row r="1756" ht="75" customHeight="1">
      <c r="A1756" s="2">
        <f>HYPERLINK("https://camerareadycosmetics.com/products/kryolan-eye-shadow-primer", "https://camerareadycosmetics.com/products/kryolan-eye-shadow-primer")</f>
        <v/>
      </c>
      <c r="B1756" s="2">
        <f>HYPERLINK("https://camerareadycosmetics.com/products/kryolan-eye-shadow-primer", "https://camerareadycosmetics.com/products/kryolan-eye-shadow-primer")</f>
        <v/>
      </c>
      <c r="C1756" t="inlineStr">
        <is>
          <t>Eye Shadow Primer</t>
        </is>
      </c>
      <c r="D1756" t="inlineStr">
        <is>
          <t>Wet n Wild Megalast Eyeshadow Primer</t>
        </is>
      </c>
      <c r="E1756" s="2">
        <f>HYPERLINK("https://www.amazon.com/Wet-Wild-Megalast-Eyeshadow-Primer/dp/B0BQWYLTZX/ref=sr_1_2?keywords=Eye+Shadow+Primer&amp;qid=1695565569&amp;sr=8-2", "https://www.amazon.com/Wet-Wild-Megalast-Eyeshadow-Primer/dp/B0BQWYLTZX/ref=sr_1_2?keywords=Eye+Shadow+Primer&amp;qid=1695565569&amp;sr=8-2")</f>
        <v/>
      </c>
      <c r="F1756" t="inlineStr">
        <is>
          <t>B0BQWYLTZX</t>
        </is>
      </c>
      <c r="G1756">
        <f>_xlfn.IMAGE("https://camerareadycosmetics.com/cdn/shop/files/09096-Eye-Shadow-Primer-1-flat_0_50x.jpg?v=1687199853")</f>
        <v/>
      </c>
      <c r="H1756">
        <f>_xlfn.IMAGE("https://m.media-amazon.com/images/I/61ecyLY9J+L._AC_UL320_.jpg")</f>
        <v/>
      </c>
      <c r="K1756" t="inlineStr">
        <is>
          <t>15.9</t>
        </is>
      </c>
      <c r="L1756" t="n">
        <v>4.98</v>
      </c>
      <c r="M1756" s="1" t="inlineStr">
        <is>
          <t>-68.68%</t>
        </is>
      </c>
      <c r="N1756" t="n">
        <v>4.1</v>
      </c>
      <c r="O1756" t="n">
        <v>428</v>
      </c>
      <c r="Q1756" t="inlineStr">
        <is>
          <t>InStock</t>
        </is>
      </c>
      <c r="R1756" t="inlineStr">
        <is>
          <t>undefined</t>
        </is>
      </c>
      <c r="S1756" t="inlineStr">
        <is>
          <t>10897219594</t>
        </is>
      </c>
    </row>
    <row r="1757" ht="75" customHeight="1">
      <c r="A1757" s="2">
        <f>HYPERLINK("https://camerareadycosmetics.com/products/kryolan-eye-shadow-variety-18-color-palettes", "https://camerareadycosmetics.com/products/kryolan-eye-shadow-variety-18-color-palettes")</f>
        <v/>
      </c>
      <c r="B1757" s="2">
        <f>HYPERLINK("https://camerareadycosmetics.com/products/kryolan-eye-shadow-variety-18-color-palettes", "https://camerareadycosmetics.com/products/kryolan-eye-shadow-variety-18-color-palettes")</f>
        <v/>
      </c>
      <c r="C1757" t="inlineStr">
        <is>
          <t>Eye Shadow Variety 18 Color Palettes</t>
        </is>
      </c>
      <c r="D1757" t="inlineStr">
        <is>
          <t>18 Colors Pigmented The New Nude Eyeshadow Palette Blendable Long Lasting Eye Shadow Palettes Neutrals Smoky Multi Reflective Shimmer Matte Glitter Pressed Pearls Eye Shadow Makeup palette Cosmetics</t>
        </is>
      </c>
      <c r="E1757" s="2">
        <f>HYPERLINK("https://www.amazon.com/Pigmented-Eyeshadow-Blendable-Reflective-Cosmetics/dp/B08PP2KVFW/ref=sr_1_2?keywords=Eye+Shadow+Variety+18+Color+Palettes&amp;qid=1695565606&amp;sr=8-2", "https://www.amazon.com/Pigmented-Eyeshadow-Blendable-Reflective-Cosmetics/dp/B08PP2KVFW/ref=sr_1_2?keywords=Eye+Shadow+Variety+18+Color+Palettes&amp;qid=1695565606&amp;sr=8-2")</f>
        <v/>
      </c>
      <c r="F1757" t="inlineStr">
        <is>
          <t>B08PP2KVFW</t>
        </is>
      </c>
      <c r="G1757">
        <f>_xlfn.IMAGE("https://camerareadycosmetics.com/cdn/shop/files/EYE_SHADOW_PALETTES_50x.jpg?v=1687199890")</f>
        <v/>
      </c>
      <c r="H1757">
        <f>_xlfn.IMAGE("https://m.media-amazon.com/images/I/51GuAaI8+vL._AC_UL320_.jpg")</f>
        <v/>
      </c>
      <c r="K1757" t="inlineStr">
        <is>
          <t>69.95</t>
        </is>
      </c>
      <c r="L1757" t="n">
        <v>8.99</v>
      </c>
      <c r="M1757" s="1" t="inlineStr">
        <is>
          <t>-87.15%</t>
        </is>
      </c>
      <c r="N1757" t="n">
        <v>4.4</v>
      </c>
      <c r="O1757" t="n">
        <v>1563</v>
      </c>
      <c r="Q1757" t="inlineStr">
        <is>
          <t>InStock</t>
        </is>
      </c>
      <c r="R1757" t="inlineStr">
        <is>
          <t>undefined</t>
        </is>
      </c>
      <c r="S1757" t="inlineStr">
        <is>
          <t>10899322506</t>
        </is>
      </c>
    </row>
    <row r="1758" ht="75" customHeight="1">
      <c r="A1758" s="2">
        <f>HYPERLINK("https://camerareadycosmetics.com/products/kryolan-eye-shadow-variety-18-color-palettes", "https://camerareadycosmetics.com/products/kryolan-eye-shadow-variety-18-color-palettes")</f>
        <v/>
      </c>
      <c r="B1758" s="2">
        <f>HYPERLINK("https://camerareadycosmetics.com/products/kryolan-eye-shadow-variety-18-color-palettes", "https://camerareadycosmetics.com/products/kryolan-eye-shadow-variety-18-color-palettes")</f>
        <v/>
      </c>
      <c r="C1758" t="inlineStr">
        <is>
          <t>Eye Shadow Variety 18 Color Palettes</t>
        </is>
      </c>
      <c r="D1758" t="inlineStr">
        <is>
          <t>18 Colors Pigmented The New Nude Eyeshadow Palette Blendable Long Lasting Eye Shadow Palettes Neutrals Smoky Multi Reflective Shimmer Matte Glitter Pressed Pearls Eye Shadow Makeup palette Cosmetics</t>
        </is>
      </c>
      <c r="E1758" s="2">
        <f>HYPERLINK("https://www.amazon.com/Pigmented-Eyeshadow-Blendable-Reflective-Cosmetics/dp/B08PP2KVFW/ref=sr_1_2?keywords=Eye+Shadow+Variety+18+Color+Palettes&amp;qid=1695565606&amp;sr=8-2", "https://www.amazon.com/Pigmented-Eyeshadow-Blendable-Reflective-Cosmetics/dp/B08PP2KVFW/ref=sr_1_2?keywords=Eye+Shadow+Variety+18+Color+Palettes&amp;qid=1695565606&amp;sr=8-2")</f>
        <v/>
      </c>
      <c r="F1758" t="inlineStr">
        <is>
          <t>B08PP2KVFW</t>
        </is>
      </c>
      <c r="G1758">
        <f>_xlfn.IMAGE("https://camerareadycosmetics.com/cdn/shop/files/EYE_SHADOW_PALETTES_50x.jpg?v=1687199890")</f>
        <v/>
      </c>
      <c r="H1758">
        <f>_xlfn.IMAGE("https://m.media-amazon.com/images/I/51GuAaI8+vL._AC_UL320_.jpg")</f>
        <v/>
      </c>
      <c r="K1758" t="inlineStr">
        <is>
          <t>69.95</t>
        </is>
      </c>
      <c r="L1758" t="n">
        <v>8.99</v>
      </c>
      <c r="M1758" s="1" t="inlineStr">
        <is>
          <t>-87.15%</t>
        </is>
      </c>
      <c r="N1758" t="n">
        <v>4.4</v>
      </c>
      <c r="O1758" t="n">
        <v>1563</v>
      </c>
      <c r="Q1758" t="inlineStr">
        <is>
          <t>InStock</t>
        </is>
      </c>
      <c r="R1758" t="inlineStr">
        <is>
          <t>undefined</t>
        </is>
      </c>
      <c r="S1758" t="inlineStr">
        <is>
          <t>10899322506</t>
        </is>
      </c>
    </row>
    <row r="1759" ht="75" customHeight="1">
      <c r="A1759" s="2">
        <f>HYPERLINK("https://camerareadycosmetics.com/products/kryolan-fixing-spray", "https://camerareadycosmetics.com/products/kryolan-fixing-spray")</f>
        <v/>
      </c>
      <c r="B1759" s="2">
        <f>HYPERLINK("https://camerareadycosmetics.com/products/kryolan-fixing-spray", "https://camerareadycosmetics.com/products/kryolan-fixing-spray")</f>
        <v/>
      </c>
      <c r="C1759" t="inlineStr">
        <is>
          <t>Fixing Spray</t>
        </is>
      </c>
      <c r="D1759" t="inlineStr">
        <is>
          <t>Ultra Last2 Fixing Spray</t>
        </is>
      </c>
      <c r="E1759" s="2">
        <f>HYPERLINK("https://www.amazon.com/Catrice-4059729358073-Ultra-Last2-Fixing/dp/B09GGBV5D2/ref=sr_1_2?keywords=Fixing+Spray&amp;qid=1695565413&amp;sr=8-2", "https://www.amazon.com/Catrice-4059729358073-Ultra-Last2-Fixing/dp/B09GGBV5D2/ref=sr_1_2?keywords=Fixing+Spray&amp;qid=1695565413&amp;sr=8-2")</f>
        <v/>
      </c>
      <c r="F1759" t="inlineStr">
        <is>
          <t>B09GGBV5D2</t>
        </is>
      </c>
      <c r="G1759">
        <f>_xlfn.IMAGE("https://camerareadycosmetics.com/cdn/shop/products/kryolan-fixing-spray-300ml_50x.jpg?v=1595930336")</f>
        <v/>
      </c>
      <c r="H1759">
        <f>_xlfn.IMAGE("https://m.media-amazon.com/images/I/61yXe0qao5L._AC_UL320_.jpg")</f>
        <v/>
      </c>
      <c r="K1759" t="inlineStr">
        <is>
          <t>13.5</t>
        </is>
      </c>
      <c r="L1759" t="n">
        <v>8</v>
      </c>
      <c r="M1759" s="1" t="inlineStr">
        <is>
          <t>-40.74%</t>
        </is>
      </c>
      <c r="N1759" t="n">
        <v>3.6</v>
      </c>
      <c r="O1759" t="n">
        <v>116</v>
      </c>
      <c r="Q1759" t="inlineStr">
        <is>
          <t>OutOfStock</t>
        </is>
      </c>
      <c r="R1759" t="inlineStr">
        <is>
          <t>undefined</t>
        </is>
      </c>
      <c r="S1759" t="inlineStr">
        <is>
          <t>11198794122</t>
        </is>
      </c>
    </row>
    <row r="1760" ht="75" customHeight="1">
      <c r="A1760" s="2">
        <f>HYPERLINK("https://camerareadycosmetics.com/products/kryolan-fixing-spray", "https://camerareadycosmetics.com/products/kryolan-fixing-spray")</f>
        <v/>
      </c>
      <c r="B1760" s="2">
        <f>HYPERLINK("https://camerareadycosmetics.com/products/kryolan-fixing-spray", "https://camerareadycosmetics.com/products/kryolan-fixing-spray")</f>
        <v/>
      </c>
      <c r="C1760" t="inlineStr">
        <is>
          <t>Fixing Spray</t>
        </is>
      </c>
      <c r="D1760" t="inlineStr">
        <is>
          <t>Catrice | Prime &amp; Fine Illuminating Dewy Glow Spray | Transparent and Fast Drying Fixing Spray| Paraben Free &amp; Vegan | Cruelty Free (Pack of 1)</t>
        </is>
      </c>
      <c r="E1760" s="2">
        <f>HYPERLINK("https://www.amazon.com/Catrice-Prime-Transparent-Fast-Drying-Fixing/dp/B079LCFGDJ/ref=sr_1_5?keywords=Fixing+Spray&amp;qid=1695565413&amp;sr=8-5", "https://www.amazon.com/Catrice-Prime-Transparent-Fast-Drying-Fixing/dp/B079LCFGDJ/ref=sr_1_5?keywords=Fixing+Spray&amp;qid=1695565413&amp;sr=8-5")</f>
        <v/>
      </c>
      <c r="F1760" t="inlineStr">
        <is>
          <t>B079LCFGDJ</t>
        </is>
      </c>
      <c r="G1760">
        <f>_xlfn.IMAGE("https://camerareadycosmetics.com/cdn/shop/products/kryolan-fixing-spray-300ml_50x.jpg?v=1595930336")</f>
        <v/>
      </c>
      <c r="H1760">
        <f>_xlfn.IMAGE("https://m.media-amazon.com/images/I/71r4AbLzl4L._AC_UL320_.jpg")</f>
        <v/>
      </c>
      <c r="K1760" t="inlineStr">
        <is>
          <t>13.5</t>
        </is>
      </c>
      <c r="L1760" t="n">
        <v>8</v>
      </c>
      <c r="M1760" s="1" t="inlineStr">
        <is>
          <t>-40.74%</t>
        </is>
      </c>
      <c r="N1760" t="n">
        <v>4.3</v>
      </c>
      <c r="O1760" t="n">
        <v>3751</v>
      </c>
      <c r="Q1760" t="inlineStr">
        <is>
          <t>OutOfStock</t>
        </is>
      </c>
      <c r="R1760" t="inlineStr">
        <is>
          <t>undefined</t>
        </is>
      </c>
      <c r="S1760" t="inlineStr">
        <is>
          <t>11198794122</t>
        </is>
      </c>
    </row>
    <row r="1761" ht="75" customHeight="1">
      <c r="A1761" s="2">
        <f>HYPERLINK("https://camerareadycosmetics.com/products/kryolan-fixing-spray-non-aerosol", "https://camerareadycosmetics.com/products/kryolan-fixing-spray-non-aerosol")</f>
        <v/>
      </c>
      <c r="B1761" s="2">
        <f>HYPERLINK("https://camerareadycosmetics.com/products/kryolan-fixing-spray-non-aerosol", "https://camerareadycosmetics.com/products/kryolan-fixing-spray-non-aerosol")</f>
        <v/>
      </c>
      <c r="C1761" t="inlineStr">
        <is>
          <t>Fixing Spray Non Aerosol</t>
        </is>
      </c>
      <c r="D1761" t="inlineStr">
        <is>
          <t>White Rain Non-Aerosol Hair Spray Unscented Extra Hold 7 oz (Pack of 2)</t>
        </is>
      </c>
      <c r="E1761" s="2">
        <f>HYPERLINK("https://www.amazon.com/White-Rain-Non-Aerosol-Spray-Unscented/dp/B01IA9CPFK/ref=sr_1_4?keywords=Fixing+Spray+Non+Aerosol&amp;qid=1695565529&amp;sr=8-4", "https://www.amazon.com/White-Rain-Non-Aerosol-Spray-Unscented/dp/B01IA9CPFK/ref=sr_1_4?keywords=Fixing+Spray+Non+Aerosol&amp;qid=1695565529&amp;sr=8-4")</f>
        <v/>
      </c>
      <c r="F1761" t="inlineStr">
        <is>
          <t>B01IA9CPFK</t>
        </is>
      </c>
      <c r="G1761">
        <f>_xlfn.IMAGE("https://camerareadycosmetics.com/cdn/shop/files/Kryolan_Fixing_Spray_100_37a3daec-2d49-4163-96dc-c10826a752af_50x.jpg?v=1687203756")</f>
        <v/>
      </c>
      <c r="H1761">
        <f>_xlfn.IMAGE("https://m.media-amazon.com/images/I/51lNS6wBt-L._AC_UL320_.jpg")</f>
        <v/>
      </c>
      <c r="K1761" t="inlineStr">
        <is>
          <t>15.8</t>
        </is>
      </c>
      <c r="L1761" t="n">
        <v>12.44</v>
      </c>
      <c r="M1761" s="1" t="inlineStr">
        <is>
          <t>-21.27%</t>
        </is>
      </c>
      <c r="N1761" t="n">
        <v>4.5</v>
      </c>
      <c r="O1761" t="n">
        <v>1741</v>
      </c>
      <c r="Q1761" t="inlineStr">
        <is>
          <t>InStock</t>
        </is>
      </c>
      <c r="R1761" t="inlineStr">
        <is>
          <t>undefined</t>
        </is>
      </c>
      <c r="S1761" t="inlineStr">
        <is>
          <t>7104534053049</t>
        </is>
      </c>
    </row>
    <row r="1762" ht="75" customHeight="1">
      <c r="A1762" s="2">
        <f>HYPERLINK("https://camerareadycosmetics.com/products/kryolan-fixing-spray-non-aerosol", "https://camerareadycosmetics.com/products/kryolan-fixing-spray-non-aerosol")</f>
        <v/>
      </c>
      <c r="B1762" s="2">
        <f>HYPERLINK("https://camerareadycosmetics.com/products/kryolan-fixing-spray-non-aerosol", "https://camerareadycosmetics.com/products/kryolan-fixing-spray-non-aerosol")</f>
        <v/>
      </c>
      <c r="C1762" t="inlineStr">
        <is>
          <t>Fixing Spray Non Aerosol</t>
        </is>
      </c>
      <c r="D1762" t="inlineStr">
        <is>
          <t>Garnier Fructis Style Full Control Anti-Humidity Hairspray, Non-Aerosol, 8.5 Fl Oz, 1 Count (Packaging May Vary)</t>
        </is>
      </c>
      <c r="E1762" s="2">
        <f>HYPERLINK("https://www.amazon.com/Garnier-Fructis-Control-Anti-Humidity-Hairspray/dp/B003JTC7FA/ref=sr_1_3?keywords=Fixing+Spray+Non+Aerosol&amp;qid=1695565529&amp;sr=8-3", "https://www.amazon.com/Garnier-Fructis-Control-Anti-Humidity-Hairspray/dp/B003JTC7FA/ref=sr_1_3?keywords=Fixing+Spray+Non+Aerosol&amp;qid=1695565529&amp;sr=8-3")</f>
        <v/>
      </c>
      <c r="F1762" t="inlineStr">
        <is>
          <t>B003JTC7FA</t>
        </is>
      </c>
      <c r="G1762">
        <f>_xlfn.IMAGE("https://camerareadycosmetics.com/cdn/shop/files/Kryolan_Fixing_Spray_100_37a3daec-2d49-4163-96dc-c10826a752af_50x.jpg?v=1687203756")</f>
        <v/>
      </c>
      <c r="H1762">
        <f>_xlfn.IMAGE("https://m.media-amazon.com/images/I/71zEcmX6rZL._AC_UL320_.jpg")</f>
        <v/>
      </c>
      <c r="K1762" t="inlineStr">
        <is>
          <t>15.8</t>
        </is>
      </c>
      <c r="L1762" t="n">
        <v>4.49</v>
      </c>
      <c r="M1762" s="1" t="inlineStr">
        <is>
          <t>-71.58%</t>
        </is>
      </c>
      <c r="N1762" t="n">
        <v>4.5</v>
      </c>
      <c r="O1762" t="n">
        <v>6039</v>
      </c>
      <c r="Q1762" t="inlineStr">
        <is>
          <t>InStock</t>
        </is>
      </c>
      <c r="R1762" t="inlineStr">
        <is>
          <t>undefined</t>
        </is>
      </c>
      <c r="S1762" t="inlineStr">
        <is>
          <t>7104534053049</t>
        </is>
      </c>
    </row>
    <row r="1763" ht="75" customHeight="1">
      <c r="A1763" s="2">
        <f>HYPERLINK("https://camerareadycosmetics.com/products/kryolan-fixing-spray-non-aerosol", "https://camerareadycosmetics.com/products/kryolan-fixing-spray-non-aerosol")</f>
        <v/>
      </c>
      <c r="B1763" s="2">
        <f>HYPERLINK("https://camerareadycosmetics.com/products/kryolan-fixing-spray-non-aerosol", "https://camerareadycosmetics.com/products/kryolan-fixing-spray-non-aerosol")</f>
        <v/>
      </c>
      <c r="C1763" t="inlineStr">
        <is>
          <t>Fixing Spray Non Aerosol</t>
        </is>
      </c>
      <c r="D1763" t="inlineStr">
        <is>
          <t>Garnier Fructis Style Full Control Anti-Humidity Hairspray, Non-Aerosol, 8.5 Fl Oz, 1 Count (Packaging May Vary)</t>
        </is>
      </c>
      <c r="E1763" s="2">
        <f>HYPERLINK("https://www.amazon.com/Garnier-Fructis-Control-Anti-Humidity-Hairspray/dp/B003JTC7FA/ref=sr_1_3?keywords=Fixing+Spray+Non+Aerosol&amp;qid=1695565529&amp;sr=8-3", "https://www.amazon.com/Garnier-Fructis-Control-Anti-Humidity-Hairspray/dp/B003JTC7FA/ref=sr_1_3?keywords=Fixing+Spray+Non+Aerosol&amp;qid=1695565529&amp;sr=8-3")</f>
        <v/>
      </c>
      <c r="F1763" t="inlineStr">
        <is>
          <t>B003JTC7FA</t>
        </is>
      </c>
      <c r="G1763">
        <f>_xlfn.IMAGE("https://camerareadycosmetics.com/cdn/shop/files/Kryolan_Fixing_Spray_100_37a3daec-2d49-4163-96dc-c10826a752af_50x.jpg?v=1687203756")</f>
        <v/>
      </c>
      <c r="H1763">
        <f>_xlfn.IMAGE("https://m.media-amazon.com/images/I/71zEcmX6rZL._AC_UL320_.jpg")</f>
        <v/>
      </c>
      <c r="K1763" t="inlineStr">
        <is>
          <t>15.8</t>
        </is>
      </c>
      <c r="L1763" t="n">
        <v>4.49</v>
      </c>
      <c r="M1763" s="1" t="inlineStr">
        <is>
          <t>-71.58%</t>
        </is>
      </c>
      <c r="N1763" t="n">
        <v>4.5</v>
      </c>
      <c r="O1763" t="n">
        <v>6039</v>
      </c>
      <c r="Q1763" t="inlineStr">
        <is>
          <t>InStock</t>
        </is>
      </c>
      <c r="R1763" t="inlineStr">
        <is>
          <t>undefined</t>
        </is>
      </c>
      <c r="S1763" t="inlineStr">
        <is>
          <t>7104534053049</t>
        </is>
      </c>
    </row>
    <row r="1764" ht="75" customHeight="1">
      <c r="A1764" s="2">
        <f>HYPERLINK("https://camerareadycosmetics.com/products/kryolan-hd-micro-primer", "https://camerareadycosmetics.com/products/kryolan-hd-micro-primer")</f>
        <v/>
      </c>
      <c r="B1764" s="2">
        <f>HYPERLINK("https://camerareadycosmetics.com/products/kryolan-hd-micro-primer", "https://camerareadycosmetics.com/products/kryolan-hd-micro-primer")</f>
        <v/>
      </c>
      <c r="C1764" t="inlineStr">
        <is>
          <t>HD Micro Primer</t>
        </is>
      </c>
      <c r="D1764" t="inlineStr">
        <is>
          <t>Kryolan HD Micro Primer 30ml</t>
        </is>
      </c>
      <c r="E1764" s="2">
        <f>HYPERLINK("https://www.amazon.com/Kryolan-HD-Micro-Primer-30ml/dp/B00AGAE1HW/ref=sr_1_1?keywords=HD+Micro+Primer&amp;qid=1695565556&amp;sr=8-1", "https://www.amazon.com/Kryolan-HD-Micro-Primer-30ml/dp/B00AGAE1HW/ref=sr_1_1?keywords=HD+Micro+Primer&amp;qid=1695565556&amp;sr=8-1")</f>
        <v/>
      </c>
      <c r="F1764" t="inlineStr">
        <is>
          <t>B00AGAE1HW</t>
        </is>
      </c>
      <c r="G1764">
        <f>_xlfn.IMAGE("https://camerareadycosmetics.com/cdn/shop/files/19098_00_prod_HD-micro-primer-flat_50x.jpg?v=1687199849")</f>
        <v/>
      </c>
      <c r="H1764">
        <f>_xlfn.IMAGE("https://m.media-amazon.com/images/I/71amBSRTXgL._AC_UL320_.jpg")</f>
        <v/>
      </c>
      <c r="K1764" t="inlineStr">
        <is>
          <t>33.6</t>
        </is>
      </c>
      <c r="L1764" t="n">
        <v>36.99</v>
      </c>
      <c r="M1764" s="1" t="inlineStr">
        <is>
          <t>10.09%</t>
        </is>
      </c>
      <c r="N1764" t="n">
        <v>4.4</v>
      </c>
      <c r="O1764" t="n">
        <v>54</v>
      </c>
      <c r="Q1764" t="inlineStr">
        <is>
          <t>InStock</t>
        </is>
      </c>
      <c r="R1764" t="inlineStr">
        <is>
          <t>undefined</t>
        </is>
      </c>
      <c r="S1764" t="inlineStr">
        <is>
          <t>10897179722</t>
        </is>
      </c>
    </row>
    <row r="1765" ht="75" customHeight="1">
      <c r="A1765" s="2">
        <f>HYPERLINK("https://camerareadycosmetics.com/products/kryolan-illusion-cream", "https://camerareadycosmetics.com/products/kryolan-illusion-cream")</f>
        <v/>
      </c>
      <c r="B1765" s="2">
        <f>HYPERLINK("https://camerareadycosmetics.com/products/kryolan-illusion-cream", "https://camerareadycosmetics.com/products/kryolan-illusion-cream")</f>
        <v/>
      </c>
      <c r="C1765" t="inlineStr">
        <is>
          <t>Illusion Cream</t>
        </is>
      </c>
      <c r="D1765" t="inlineStr">
        <is>
          <t>Nearly Natural 1104-CR Single Phalaenopsis Liquid Illusion Silk Flower Arrangement, Cream</t>
        </is>
      </c>
      <c r="E1765" s="2">
        <f>HYPERLINK("https://www.amazon.com/Nearly-Natural-1104-CR-Phalaenopsis-Arrangement/dp/B0012C67GG/ref=sr_1_2?keywords=Illusion+Cream&amp;qid=1695565663&amp;sr=8-2", "https://www.amazon.com/Nearly-Natural-1104-CR-Phalaenopsis-Arrangement/dp/B0012C67GG/ref=sr_1_2?keywords=Illusion+Cream&amp;qid=1695565663&amp;sr=8-2")</f>
        <v/>
      </c>
      <c r="F1765" t="inlineStr">
        <is>
          <t>B0012C67GG</t>
        </is>
      </c>
      <c r="G1765">
        <f>_xlfn.IMAGE("https://camerareadycosmetics.com/cdn/shop/files/Kryolan_Illusion_Cream_NAPPA2_50x.jpg?v=1687200535")</f>
        <v/>
      </c>
      <c r="H1765">
        <f>_xlfn.IMAGE("https://m.media-amazon.com/images/I/51xi2U5LjfL._AC_UL320_.jpg")</f>
        <v/>
      </c>
      <c r="K1765" t="inlineStr">
        <is>
          <t>20.6</t>
        </is>
      </c>
      <c r="L1765" t="n">
        <v>54.3</v>
      </c>
      <c r="M1765" s="1" t="inlineStr">
        <is>
          <t>163.59%</t>
        </is>
      </c>
      <c r="N1765" t="n">
        <v>4.6</v>
      </c>
      <c r="O1765" t="n">
        <v>17</v>
      </c>
      <c r="Q1765" t="inlineStr">
        <is>
          <t>InStock</t>
        </is>
      </c>
      <c r="R1765" t="inlineStr">
        <is>
          <t>undefined</t>
        </is>
      </c>
      <c r="S1765" t="inlineStr">
        <is>
          <t>11210893642</t>
        </is>
      </c>
    </row>
    <row r="1766" ht="75" customHeight="1">
      <c r="A1766" s="2">
        <f>HYPERLINK("https://camerareadycosmetics.com/products/kryolan-illusion-cream", "https://camerareadycosmetics.com/products/kryolan-illusion-cream")</f>
        <v/>
      </c>
      <c r="B1766" s="2">
        <f>HYPERLINK("https://camerareadycosmetics.com/products/kryolan-illusion-cream", "https://camerareadycosmetics.com/products/kryolan-illusion-cream")</f>
        <v/>
      </c>
      <c r="C1766" t="inlineStr">
        <is>
          <t>Illusion Cream</t>
        </is>
      </c>
      <c r="D1766" t="inlineStr">
        <is>
          <t>Nearly Natural 1118-CR Calla Lilly Liquid Illusion Silk Flower Arrangement, Cream,6.75" x 6.75" x 22.5"</t>
        </is>
      </c>
      <c r="E1766" s="2">
        <f>HYPERLINK("https://www.amazon.com/Nearly-Natural-1118-CR-Illusion-Arrangement/dp/B004XWDGNE/ref=sr_1_3?keywords=Illusion+Cream&amp;qid=1695565663&amp;sr=8-3", "https://www.amazon.com/Nearly-Natural-1118-CR-Illusion-Arrangement/dp/B004XWDGNE/ref=sr_1_3?keywords=Illusion+Cream&amp;qid=1695565663&amp;sr=8-3")</f>
        <v/>
      </c>
      <c r="F1766" t="inlineStr">
        <is>
          <t>B004XWDGNE</t>
        </is>
      </c>
      <c r="G1766">
        <f>_xlfn.IMAGE("https://camerareadycosmetics.com/cdn/shop/files/Kryolan_Illusion_Cream_NAPPA2_50x.jpg?v=1687200535")</f>
        <v/>
      </c>
      <c r="H1766">
        <f>_xlfn.IMAGE("https://m.media-amazon.com/images/I/51a2L89QPzL._AC_UL320_.jpg")</f>
        <v/>
      </c>
      <c r="K1766" t="inlineStr">
        <is>
          <t>20.6</t>
        </is>
      </c>
      <c r="L1766" t="n">
        <v>35.79</v>
      </c>
      <c r="M1766" s="1" t="inlineStr">
        <is>
          <t>73.74%</t>
        </is>
      </c>
      <c r="N1766" t="n">
        <v>4.1</v>
      </c>
      <c r="O1766" t="n">
        <v>141</v>
      </c>
      <c r="Q1766" t="inlineStr">
        <is>
          <t>InStock</t>
        </is>
      </c>
      <c r="R1766" t="inlineStr">
        <is>
          <t>undefined</t>
        </is>
      </c>
      <c r="S1766" t="inlineStr">
        <is>
          <t>11210893642</t>
        </is>
      </c>
    </row>
    <row r="1767" ht="75" customHeight="1">
      <c r="A1767" s="2">
        <f>HYPERLINK("https://camerareadycosmetics.com/products/kryolan-illusion-cream", "https://camerareadycosmetics.com/products/kryolan-illusion-cream")</f>
        <v/>
      </c>
      <c r="B1767" s="2">
        <f>HYPERLINK("https://camerareadycosmetics.com/products/kryolan-illusion-cream", "https://camerareadycosmetics.com/products/kryolan-illusion-cream")</f>
        <v/>
      </c>
      <c r="C1767" t="inlineStr">
        <is>
          <t>Illusion Cream</t>
        </is>
      </c>
      <c r="D1767" t="inlineStr">
        <is>
          <t>LUREME Multicolor Irregular Freshwater Pearl Cream and Black Multilayer Strand Illusion Necklace for Women (01000555-PARENT)</t>
        </is>
      </c>
      <c r="E1767" s="2">
        <f>HYPERLINK("https://www.amazon.com/LUREME-Multicolor-Freshwater-Multilayer-100555/dp/B00FGOFB0E/ref=sr_1_1?keywords=Illusion+Cream&amp;qid=1695565663&amp;sr=8-1", "https://www.amazon.com/LUREME-Multicolor-Freshwater-Multilayer-100555/dp/B00FGOFB0E/ref=sr_1_1?keywords=Illusion+Cream&amp;qid=1695565663&amp;sr=8-1")</f>
        <v/>
      </c>
      <c r="F1767" t="inlineStr">
        <is>
          <t>B00FGOFB0E</t>
        </is>
      </c>
      <c r="G1767">
        <f>_xlfn.IMAGE("https://camerareadycosmetics.com/cdn/shop/files/Kryolan_Illusion_Cream_NAPPA2_50x.jpg?v=1687200535")</f>
        <v/>
      </c>
      <c r="H1767">
        <f>_xlfn.IMAGE("https://m.media-amazon.com/images/I/51O0ZnkP4TL._AC_UL320_.jpg")</f>
        <v/>
      </c>
      <c r="K1767" t="inlineStr">
        <is>
          <t>20.6</t>
        </is>
      </c>
      <c r="L1767" t="n">
        <v>18.99</v>
      </c>
      <c r="M1767" s="1" t="inlineStr">
        <is>
          <t>-7.82%</t>
        </is>
      </c>
      <c r="N1767" t="n">
        <v>4.1</v>
      </c>
      <c r="O1767" t="n">
        <v>84</v>
      </c>
      <c r="Q1767" t="inlineStr">
        <is>
          <t>InStock</t>
        </is>
      </c>
      <c r="R1767" t="inlineStr">
        <is>
          <t>undefined</t>
        </is>
      </c>
      <c r="S1767" t="inlineStr">
        <is>
          <t>11210893642</t>
        </is>
      </c>
    </row>
    <row r="1768" ht="75" customHeight="1">
      <c r="A1768" s="2">
        <f>HYPERLINK("https://camerareadycosmetics.com/products/kryolan-kajal-pencil", "https://camerareadycosmetics.com/products/kryolan-kajal-pencil")</f>
        <v/>
      </c>
      <c r="B1768" s="2">
        <f>HYPERLINK("https://camerareadycosmetics.com/products/kryolan-kajal-pencil", "https://camerareadycosmetics.com/products/kryolan-kajal-pencil")</f>
        <v/>
      </c>
      <c r="C1768" t="inlineStr">
        <is>
          <t>Kajal Pencil</t>
        </is>
      </c>
      <c r="D1768" t="inlineStr">
        <is>
          <t>LAURA GELLER NEW YORK Kajal Longwear Kohl Eyeliner Pencil with Caffeine, Smooth &amp; Blendable Makeup, Deep Charcoal</t>
        </is>
      </c>
      <c r="E1768" s="2" t="n"/>
      <c r="F1768" t="inlineStr">
        <is>
          <t>B086FXJ2MV</t>
        </is>
      </c>
      <c r="G1768">
        <f>_xlfn.IMAGE("https://camerareadycosmetics.com/cdn/shop/files/KAJAL_PENCIL_50x.jpg?v=1687199937")</f>
        <v/>
      </c>
      <c r="H1768">
        <f>_xlfn.IMAGE("https://m.media-amazon.com/images/I/71CMx0ZFHQL._AC_UL320_.jpg")</f>
        <v/>
      </c>
      <c r="K1768" t="inlineStr">
        <is>
          <t>10.5</t>
        </is>
      </c>
      <c r="L1768" t="n">
        <v>22</v>
      </c>
      <c r="M1768" s="1" t="inlineStr">
        <is>
          <t>109.52%</t>
        </is>
      </c>
      <c r="N1768" t="n">
        <v>4.3</v>
      </c>
      <c r="O1768" t="n">
        <v>2131</v>
      </c>
      <c r="Q1768" t="inlineStr">
        <is>
          <t>InStock</t>
        </is>
      </c>
      <c r="R1768" t="inlineStr">
        <is>
          <t>undefined</t>
        </is>
      </c>
      <c r="S1768" t="inlineStr">
        <is>
          <t>10903703754</t>
        </is>
      </c>
    </row>
    <row r="1769" ht="75" customHeight="1">
      <c r="A1769" s="2">
        <f>HYPERLINK("https://camerareadycosmetics.com/products/kryolan-kajal-pencil", "https://camerareadycosmetics.com/products/kryolan-kajal-pencil")</f>
        <v/>
      </c>
      <c r="B1769" s="2">
        <f>HYPERLINK("https://camerareadycosmetics.com/products/kryolan-kajal-pencil", "https://camerareadycosmetics.com/products/kryolan-kajal-pencil")</f>
        <v/>
      </c>
      <c r="C1769" t="inlineStr">
        <is>
          <t>Kajal Pencil</t>
        </is>
      </c>
      <c r="D1769" t="inlineStr">
        <is>
          <t>VASANTI Kajal Waterline Eyeliner Pencil - Long-lasting, Waterproof, Smudge-proof, Safe for Sensitive Eyes, Waterline Eye Liner - Opthalmologist Approved and Tested (Intense Black)</t>
        </is>
      </c>
      <c r="E1769" s="2" t="n"/>
      <c r="F1769" t="inlineStr">
        <is>
          <t>B01GW09XRW</t>
        </is>
      </c>
      <c r="G1769">
        <f>_xlfn.IMAGE("https://camerareadycosmetics.com/cdn/shop/files/KAJAL_PENCIL_50x.jpg?v=1687199937")</f>
        <v/>
      </c>
      <c r="H1769">
        <f>_xlfn.IMAGE("https://m.media-amazon.com/images/I/61djA5bUFvL._AC_UL320_.jpg")</f>
        <v/>
      </c>
      <c r="K1769" t="inlineStr">
        <is>
          <t>10.5</t>
        </is>
      </c>
      <c r="L1769" t="n">
        <v>19</v>
      </c>
      <c r="M1769" s="1" t="inlineStr">
        <is>
          <t>80.95%</t>
        </is>
      </c>
      <c r="N1769" t="n">
        <v>4.2</v>
      </c>
      <c r="O1769" t="n">
        <v>3794</v>
      </c>
      <c r="Q1769" t="inlineStr">
        <is>
          <t>InStock</t>
        </is>
      </c>
      <c r="R1769" t="inlineStr">
        <is>
          <t>undefined</t>
        </is>
      </c>
      <c r="S1769" t="inlineStr">
        <is>
          <t>10903703754</t>
        </is>
      </c>
    </row>
    <row r="1770" ht="75" customHeight="1">
      <c r="A1770" s="2">
        <f>HYPERLINK("https://camerareadycosmetics.com/products/kryolan-kajal-pencil", "https://camerareadycosmetics.com/products/kryolan-kajal-pencil")</f>
        <v/>
      </c>
      <c r="B1770" s="2">
        <f>HYPERLINK("https://camerareadycosmetics.com/products/kryolan-kajal-pencil", "https://camerareadycosmetics.com/products/kryolan-kajal-pencil")</f>
        <v/>
      </c>
      <c r="C1770" t="inlineStr">
        <is>
          <t>Kajal Pencil</t>
        </is>
      </c>
      <c r="D1770" t="inlineStr">
        <is>
          <t>VASANTI Kajal Waterline Eyeliner Pencil - Long-lasting, Waterproof, Smudge-proof, Safe for Sensitive Eyes, Waterline Eye Liner - Opthalmologist Approved and Tested (Intense Black)</t>
        </is>
      </c>
      <c r="E1770" s="2" t="n"/>
      <c r="F1770" t="inlineStr">
        <is>
          <t>B01GW09XRW</t>
        </is>
      </c>
      <c r="G1770">
        <f>_xlfn.IMAGE("https://camerareadycosmetics.com/cdn/shop/files/KAJAL_PENCIL_50x.jpg?v=1687199937")</f>
        <v/>
      </c>
      <c r="H1770">
        <f>_xlfn.IMAGE("https://m.media-amazon.com/images/I/61djA5bUFvL._AC_UL320_.jpg")</f>
        <v/>
      </c>
      <c r="K1770" t="inlineStr">
        <is>
          <t>10.5</t>
        </is>
      </c>
      <c r="L1770" t="n">
        <v>19</v>
      </c>
      <c r="M1770" s="1" t="inlineStr">
        <is>
          <t>80.95%</t>
        </is>
      </c>
      <c r="N1770" t="n">
        <v>4.2</v>
      </c>
      <c r="O1770" t="n">
        <v>3794</v>
      </c>
      <c r="Q1770" t="inlineStr">
        <is>
          <t>InStock</t>
        </is>
      </c>
      <c r="R1770" t="inlineStr">
        <is>
          <t>undefined</t>
        </is>
      </c>
      <c r="S1770" t="inlineStr">
        <is>
          <t>10903703754</t>
        </is>
      </c>
    </row>
    <row r="1771" ht="75" customHeight="1">
      <c r="A1771" s="2">
        <f>HYPERLINK("https://camerareadycosmetics.com/products/kryolan-kajal-pencil", "https://camerareadycosmetics.com/products/kryolan-kajal-pencil")</f>
        <v/>
      </c>
      <c r="B1771" s="2">
        <f>HYPERLINK("https://camerareadycosmetics.com/products/kryolan-kajal-pencil", "https://camerareadycosmetics.com/products/kryolan-kajal-pencil")</f>
        <v/>
      </c>
      <c r="C1771" t="inlineStr">
        <is>
          <t>Kajal Pencil</t>
        </is>
      </c>
      <c r="D1771" t="inlineStr">
        <is>
          <t>Maybelline New York New The Colossal Kajal - Super Black (2X Blacker) Waterproof 16Hours Intense Pencil</t>
        </is>
      </c>
      <c r="E1771" s="2">
        <f>HYPERLINK("https://www.amazon.com/Maybelline-New-York-Colossal-Kajal/dp/B01B1KQ6N2/ref=sr_1_7?keywords=Kajal+Pencil&amp;qid=1695565536&amp;sr=8-7", "https://www.amazon.com/Maybelline-New-York-Colossal-Kajal/dp/B01B1KQ6N2/ref=sr_1_7?keywords=Kajal+Pencil&amp;qid=1695565536&amp;sr=8-7")</f>
        <v/>
      </c>
      <c r="F1771" t="inlineStr">
        <is>
          <t>B01B1KQ6N2</t>
        </is>
      </c>
      <c r="G1771">
        <f>_xlfn.IMAGE("https://camerareadycosmetics.com/cdn/shop/files/KAJAL_PENCIL_50x.jpg?v=1687199937")</f>
        <v/>
      </c>
      <c r="H1771">
        <f>_xlfn.IMAGE("https://m.media-amazon.com/images/I/51XM2LWhd7L._AC_UL320_.jpg")</f>
        <v/>
      </c>
      <c r="K1771" t="inlineStr">
        <is>
          <t>10.5</t>
        </is>
      </c>
      <c r="L1771" t="n">
        <v>7.13</v>
      </c>
      <c r="M1771" s="1" t="inlineStr">
        <is>
          <t>-32.10%</t>
        </is>
      </c>
      <c r="N1771" t="n">
        <v>4.4</v>
      </c>
      <c r="O1771" t="n">
        <v>7038</v>
      </c>
      <c r="Q1771" t="inlineStr">
        <is>
          <t>InStock</t>
        </is>
      </c>
      <c r="R1771" t="inlineStr">
        <is>
          <t>undefined</t>
        </is>
      </c>
      <c r="S1771" t="inlineStr">
        <is>
          <t>10903703754</t>
        </is>
      </c>
    </row>
    <row r="1772" ht="75" customHeight="1">
      <c r="A1772" s="2">
        <f>HYPERLINK("https://camerareadycosmetics.com/products/kryolan-make-up-blend", "https://camerareadycosmetics.com/products/kryolan-make-up-blend")</f>
        <v/>
      </c>
      <c r="B1772" s="2">
        <f>HYPERLINK("https://camerareadycosmetics.com/products/kryolan-make-up-blend", "https://camerareadycosmetics.com/products/kryolan-make-up-blend")</f>
        <v/>
      </c>
      <c r="C1772" t="inlineStr">
        <is>
          <t>Make-Up Blend</t>
        </is>
      </c>
      <c r="D1772" t="inlineStr">
        <is>
          <t>M. Asam Magic Finish Perfect Blend Concealer Ivory, hides dark circles, irregularities &amp; small imperfections with ease, make-up also ideal for contouring, buildable coverage, with bisabolol, 0.10 Oz</t>
        </is>
      </c>
      <c r="E1772" s="2" t="n"/>
      <c r="F1772" t="inlineStr">
        <is>
          <t>B0BW6C4MV3</t>
        </is>
      </c>
      <c r="G1772">
        <f>_xlfn.IMAGE("https://camerareadycosmetics.com/cdn/shop/products/Kryolan-Make-up-Blend-14-ml_50x.jpg?v=1693428259")</f>
        <v/>
      </c>
      <c r="H1772">
        <f>_xlfn.IMAGE("https://m.media-amazon.com/images/I/41-Z+D6HJjL._AC_UL320_.jpg")</f>
        <v/>
      </c>
      <c r="K1772" t="inlineStr">
        <is>
          <t>30.4</t>
        </is>
      </c>
      <c r="L1772" t="n">
        <v>15.29</v>
      </c>
      <c r="M1772" s="1" t="inlineStr">
        <is>
          <t>-49.70%</t>
        </is>
      </c>
      <c r="N1772" t="n">
        <v>4.2</v>
      </c>
      <c r="O1772" t="n">
        <v>146</v>
      </c>
      <c r="Q1772" t="inlineStr">
        <is>
          <t>InStock</t>
        </is>
      </c>
      <c r="R1772" t="inlineStr">
        <is>
          <t>undefined</t>
        </is>
      </c>
      <c r="S1772" t="inlineStr">
        <is>
          <t>10897510026</t>
        </is>
      </c>
    </row>
    <row r="1773" ht="75" customHeight="1">
      <c r="A1773" s="2">
        <f>HYPERLINK("https://camerareadycosmetics.com/products/kryolan-make-up-blend", "https://camerareadycosmetics.com/products/kryolan-make-up-blend")</f>
        <v/>
      </c>
      <c r="B1773" s="2">
        <f>HYPERLINK("https://camerareadycosmetics.com/products/kryolan-make-up-blend", "https://camerareadycosmetics.com/products/kryolan-make-up-blend")</f>
        <v/>
      </c>
      <c r="C1773" t="inlineStr">
        <is>
          <t>Make-Up Blend</t>
        </is>
      </c>
      <c r="D1773" t="inlineStr">
        <is>
          <t>AOA Studio Collection Makeup Mochi Sponge Set Blender Latex Free and High-definition of 6 For Powder Cream Liquid Wonder Beauty Cosmetic (6 Count)</t>
        </is>
      </c>
      <c r="E1773" s="2">
        <f>HYPERLINK("https://www.amazon.com/AOA-Collection-Blender-High-definition-Cosmetic/dp/B09MWK3KWS/ref=sr_1_10?keywords=Make-Up+Blend&amp;qid=1695565444&amp;sr=8-10", "https://www.amazon.com/AOA-Collection-Blender-High-definition-Cosmetic/dp/B09MWK3KWS/ref=sr_1_10?keywords=Make-Up+Blend&amp;qid=1695565444&amp;sr=8-10")</f>
        <v/>
      </c>
      <c r="F1773" t="inlineStr">
        <is>
          <t>B09MWK3KWS</t>
        </is>
      </c>
      <c r="G1773">
        <f>_xlfn.IMAGE("https://camerareadycosmetics.com/cdn/shop/products/Kryolan-Make-up-Blend-14-ml_50x.jpg?v=1693428259")</f>
        <v/>
      </c>
      <c r="H1773">
        <f>_xlfn.IMAGE("https://m.media-amazon.com/images/I/61eowtPruHL._AC_UL320_.jpg")</f>
        <v/>
      </c>
      <c r="K1773" t="inlineStr">
        <is>
          <t>30.4</t>
        </is>
      </c>
      <c r="L1773" t="n">
        <v>9.949999999999999</v>
      </c>
      <c r="M1773" s="1" t="inlineStr">
        <is>
          <t>-67.27%</t>
        </is>
      </c>
      <c r="N1773" t="n">
        <v>4.7</v>
      </c>
      <c r="O1773" t="n">
        <v>1484</v>
      </c>
      <c r="Q1773" t="inlineStr">
        <is>
          <t>InStock</t>
        </is>
      </c>
      <c r="R1773" t="inlineStr">
        <is>
          <t>undefined</t>
        </is>
      </c>
      <c r="S1773" t="inlineStr">
        <is>
          <t>10897510026</t>
        </is>
      </c>
    </row>
    <row r="1774" ht="75" customHeight="1">
      <c r="A1774" s="2">
        <f>HYPERLINK("https://camerareadycosmetics.com/products/kryolan-make-up-blend", "https://camerareadycosmetics.com/products/kryolan-make-up-blend")</f>
        <v/>
      </c>
      <c r="B1774" s="2">
        <f>HYPERLINK("https://camerareadycosmetics.com/products/kryolan-make-up-blend", "https://camerareadycosmetics.com/products/kryolan-make-up-blend")</f>
        <v/>
      </c>
      <c r="C1774" t="inlineStr">
        <is>
          <t>Make-Up Blend</t>
        </is>
      </c>
      <c r="D1774" t="inlineStr">
        <is>
          <t>6+6 Professional Makeup Sponge Set,2.76 inch Portable Soft Sponge Setting Face Puffs,Multicolor Makeup Blending Sponge Cosmetic Applicator for Loose Powder,Liquid,Facial Makeup Tools</t>
        </is>
      </c>
      <c r="E1774" s="2">
        <f>HYPERLINK("https://www.amazon.com/Professional-Portable-Multicolor-Blending-Applicator/dp/B0C6X9FBWC/ref=sr_1_9?keywords=Make-Up+Blend&amp;qid=1695565444&amp;sr=8-9", "https://www.amazon.com/Professional-Portable-Multicolor-Blending-Applicator/dp/B0C6X9FBWC/ref=sr_1_9?keywords=Make-Up+Blend&amp;qid=1695565444&amp;sr=8-9")</f>
        <v/>
      </c>
      <c r="F1774" t="inlineStr">
        <is>
          <t>B0C6X9FBWC</t>
        </is>
      </c>
      <c r="G1774">
        <f>_xlfn.IMAGE("https://camerareadycosmetics.com/cdn/shop/products/Kryolan-Make-up-Blend-14-ml_50x.jpg?v=1693428259")</f>
        <v/>
      </c>
      <c r="H1774">
        <f>_xlfn.IMAGE("https://m.media-amazon.com/images/I/61lwnZq5G4L._AC_UL320_.jpg")</f>
        <v/>
      </c>
      <c r="K1774" t="inlineStr">
        <is>
          <t>30.4</t>
        </is>
      </c>
      <c r="L1774" t="n">
        <v>6.99</v>
      </c>
      <c r="M1774" s="1" t="inlineStr">
        <is>
          <t>-77.01%</t>
        </is>
      </c>
      <c r="N1774" t="n">
        <v>4.4</v>
      </c>
      <c r="O1774" t="n">
        <v>24</v>
      </c>
      <c r="Q1774" t="inlineStr">
        <is>
          <t>InStock</t>
        </is>
      </c>
      <c r="R1774" t="inlineStr">
        <is>
          <t>undefined</t>
        </is>
      </c>
      <c r="S1774" t="inlineStr">
        <is>
          <t>10897510026</t>
        </is>
      </c>
    </row>
    <row r="1775" ht="75" customHeight="1">
      <c r="A1775" s="2">
        <f>HYPERLINK("https://camerareadycosmetics.com/products/kryolan-make-up-blend", "https://camerareadycosmetics.com/products/kryolan-make-up-blend")</f>
        <v/>
      </c>
      <c r="B1775" s="2">
        <f>HYPERLINK("https://camerareadycosmetics.com/products/kryolan-make-up-blend", "https://camerareadycosmetics.com/products/kryolan-make-up-blend")</f>
        <v/>
      </c>
      <c r="C1775" t="inlineStr">
        <is>
          <t>Make-Up Blend</t>
        </is>
      </c>
      <c r="D1775" t="inlineStr">
        <is>
          <t>8Pcs of Triangular Powder Puff Makeup Sponges, Made of Super-soft Velvet, Designed for Contouring, Eye, and Corner, Beauty Blender Foundation Mixing Container.(Black)</t>
        </is>
      </c>
      <c r="E1775" s="2">
        <f>HYPERLINK("https://www.amazon.com/Triangular-Super-soft-Contouring-Foundation-Container/dp/B09W4KMQ4X/ref=sr_1_8?keywords=Make-Up+Blend&amp;qid=1695565444&amp;sr=8-8", "https://www.amazon.com/Triangular-Super-soft-Contouring-Foundation-Container/dp/B09W4KMQ4X/ref=sr_1_8?keywords=Make-Up+Blend&amp;qid=1695565444&amp;sr=8-8")</f>
        <v/>
      </c>
      <c r="F1775" t="inlineStr">
        <is>
          <t>B09W4KMQ4X</t>
        </is>
      </c>
      <c r="G1775">
        <f>_xlfn.IMAGE("https://camerareadycosmetics.com/cdn/shop/products/Kryolan-Make-up-Blend-14-ml_50x.jpg?v=1693428259")</f>
        <v/>
      </c>
      <c r="H1775">
        <f>_xlfn.IMAGE("https://m.media-amazon.com/images/I/61Wf76qgtCL._AC_UL320_.jpg")</f>
        <v/>
      </c>
      <c r="K1775" t="inlineStr">
        <is>
          <t>30.4</t>
        </is>
      </c>
      <c r="L1775" t="n">
        <v>5.99</v>
      </c>
      <c r="M1775" s="1" t="inlineStr">
        <is>
          <t>-80.30%</t>
        </is>
      </c>
      <c r="N1775" t="n">
        <v>4.7</v>
      </c>
      <c r="O1775" t="n">
        <v>1790</v>
      </c>
      <c r="Q1775" t="inlineStr">
        <is>
          <t>InStock</t>
        </is>
      </c>
      <c r="R1775" t="inlineStr">
        <is>
          <t>undefined</t>
        </is>
      </c>
      <c r="S1775" t="inlineStr">
        <is>
          <t>10897510026</t>
        </is>
      </c>
    </row>
    <row r="1776" ht="75" customHeight="1">
      <c r="A1776" s="2">
        <f>HYPERLINK("https://camerareadycosmetics.com/products/kryolan-make-up-blend", "https://camerareadycosmetics.com/products/kryolan-make-up-blend")</f>
        <v/>
      </c>
      <c r="B1776" s="2">
        <f>HYPERLINK("https://camerareadycosmetics.com/products/kryolan-make-up-blend", "https://camerareadycosmetics.com/products/kryolan-make-up-blend")</f>
        <v/>
      </c>
      <c r="C1776" t="inlineStr">
        <is>
          <t>Make-Up Blend</t>
        </is>
      </c>
      <c r="D1776" t="inlineStr">
        <is>
          <t>12 Pieces Professional Makeup Sponge Set,Latex Free Flawless Soft Setting Face Puffs,Multicolor Makeup Blending Sponge Cosmetic Applicator for Powder,Liquid,Facial Makeup Tools</t>
        </is>
      </c>
      <c r="E1776" s="2">
        <f>HYPERLINK("https://www.amazon.com/Professional-Flawless-Multicolor-Cosmetic-Applicator/dp/B09VKP2T7Z/ref=sr_1_5?keywords=Make-Up+Blend&amp;qid=1695565444&amp;sr=8-5", "https://www.amazon.com/Professional-Flawless-Multicolor-Cosmetic-Applicator/dp/B09VKP2T7Z/ref=sr_1_5?keywords=Make-Up+Blend&amp;qid=1695565444&amp;sr=8-5")</f>
        <v/>
      </c>
      <c r="F1776" t="inlineStr">
        <is>
          <t>B09VKP2T7Z</t>
        </is>
      </c>
      <c r="G1776">
        <f>_xlfn.IMAGE("https://camerareadycosmetics.com/cdn/shop/products/Kryolan-Make-up-Blend-14-ml_50x.jpg?v=1693428259")</f>
        <v/>
      </c>
      <c r="H1776">
        <f>_xlfn.IMAGE("https://m.media-amazon.com/images/I/81egbZD-YNL._AC_UL320_.jpg")</f>
        <v/>
      </c>
      <c r="K1776" t="inlineStr">
        <is>
          <t>30.4</t>
        </is>
      </c>
      <c r="L1776" t="n">
        <v>5.92</v>
      </c>
      <c r="M1776" s="1" t="inlineStr">
        <is>
          <t>-80.53%</t>
        </is>
      </c>
      <c r="N1776" t="n">
        <v>4.6</v>
      </c>
      <c r="O1776" t="n">
        <v>1629</v>
      </c>
      <c r="Q1776" t="inlineStr">
        <is>
          <t>InStock</t>
        </is>
      </c>
      <c r="R1776" t="inlineStr">
        <is>
          <t>undefined</t>
        </is>
      </c>
      <c r="S1776" t="inlineStr">
        <is>
          <t>10897510026</t>
        </is>
      </c>
    </row>
    <row r="1777" ht="75" customHeight="1">
      <c r="A1777" s="2">
        <f>HYPERLINK("https://camerareadycosmetics.com/products/kryolan-make-up-blend", "https://camerareadycosmetics.com/products/kryolan-make-up-blend")</f>
        <v/>
      </c>
      <c r="B1777" s="2">
        <f>HYPERLINK("https://camerareadycosmetics.com/products/kryolan-make-up-blend", "https://camerareadycosmetics.com/products/kryolan-make-up-blend")</f>
        <v/>
      </c>
      <c r="C1777" t="inlineStr">
        <is>
          <t>Make-Up Blend</t>
        </is>
      </c>
      <c r="D1777" t="inlineStr">
        <is>
          <t>e.l.f. Cookies 'N Dreams Single Scoop Sponge, Latex-free Makeup Sponge For Easy Blending, Great For Foundation &amp; Concealer, Limited Edition</t>
        </is>
      </c>
      <c r="E1777" s="2">
        <f>HYPERLINK("https://www.amazon.com/l-f-Latex-free-Blending-Foundation-Concealer/dp/B0C28SB5ZR/ref=sr_1_7?keywords=Make-Up+Blend&amp;qid=1695565444&amp;sr=8-7", "https://www.amazon.com/l-f-Latex-free-Blending-Foundation-Concealer/dp/B0C28SB5ZR/ref=sr_1_7?keywords=Make-Up+Blend&amp;qid=1695565444&amp;sr=8-7")</f>
        <v/>
      </c>
      <c r="F1777" t="inlineStr">
        <is>
          <t>B0C28SB5ZR</t>
        </is>
      </c>
      <c r="G1777">
        <f>_xlfn.IMAGE("https://camerareadycosmetics.com/cdn/shop/products/Kryolan-Make-up-Blend-14-ml_50x.jpg?v=1693428259")</f>
        <v/>
      </c>
      <c r="H1777">
        <f>_xlfn.IMAGE("https://m.media-amazon.com/images/I/71fmE5V4d-L._AC_UL320_.jpg")</f>
        <v/>
      </c>
      <c r="K1777" t="inlineStr">
        <is>
          <t>30.4</t>
        </is>
      </c>
      <c r="L1777" t="n">
        <v>5</v>
      </c>
      <c r="M1777" s="1" t="inlineStr">
        <is>
          <t>-83.55%</t>
        </is>
      </c>
      <c r="N1777" t="n">
        <v>4.9</v>
      </c>
      <c r="O1777" t="n">
        <v>21</v>
      </c>
      <c r="Q1777" t="inlineStr">
        <is>
          <t>InStock</t>
        </is>
      </c>
      <c r="R1777" t="inlineStr">
        <is>
          <t>undefined</t>
        </is>
      </c>
      <c r="S1777" t="inlineStr">
        <is>
          <t>10897510026</t>
        </is>
      </c>
    </row>
    <row r="1778" ht="75" customHeight="1">
      <c r="A1778" s="2">
        <f>HYPERLINK("https://camerareadycosmetics.com/products/kryolan-make-up-blend", "https://camerareadycosmetics.com/products/kryolan-make-up-blend")</f>
        <v/>
      </c>
      <c r="B1778" s="2">
        <f>HYPERLINK("https://camerareadycosmetics.com/products/kryolan-make-up-blend", "https://camerareadycosmetics.com/products/kryolan-make-up-blend")</f>
        <v/>
      </c>
      <c r="C1778" t="inlineStr">
        <is>
          <t>Make-Up Blend</t>
        </is>
      </c>
      <c r="D1778" t="inlineStr">
        <is>
          <t>COSTICA Makeup Sponge Set Blender, Beauty Sponge Makeup Blender Flawless for Liquid - Multi Colored 4 pcs Rose Series</t>
        </is>
      </c>
      <c r="E1778" s="2" t="n"/>
      <c r="F1778" t="inlineStr">
        <is>
          <t>B08Y5Z64XK</t>
        </is>
      </c>
      <c r="G1778">
        <f>_xlfn.IMAGE("https://camerareadycosmetics.com/cdn/shop/products/Kryolan-Make-up-Blend-14-ml_50x.jpg?v=1693428259")</f>
        <v/>
      </c>
      <c r="H1778">
        <f>_xlfn.IMAGE("https://m.media-amazon.com/images/I/81OIVeQ05-S._AC_UL320_.jpg")</f>
        <v/>
      </c>
      <c r="K1778" t="inlineStr">
        <is>
          <t>30.4</t>
        </is>
      </c>
      <c r="L1778" t="n">
        <v>4.99</v>
      </c>
      <c r="M1778" s="1" t="inlineStr">
        <is>
          <t>-83.59%</t>
        </is>
      </c>
      <c r="N1778" t="n">
        <v>4.6</v>
      </c>
      <c r="O1778" t="n">
        <v>2915</v>
      </c>
      <c r="Q1778" t="inlineStr">
        <is>
          <t>InStock</t>
        </is>
      </c>
      <c r="R1778" t="inlineStr">
        <is>
          <t>undefined</t>
        </is>
      </c>
      <c r="S1778" t="inlineStr">
        <is>
          <t>10897510026</t>
        </is>
      </c>
    </row>
    <row r="1779" ht="75" customHeight="1">
      <c r="A1779" s="2">
        <f>HYPERLINK("https://camerareadycosmetics.com/products/kryolan-make-up-blend", "https://camerareadycosmetics.com/products/kryolan-make-up-blend")</f>
        <v/>
      </c>
      <c r="B1779" s="2">
        <f>HYPERLINK("https://camerareadycosmetics.com/products/kryolan-make-up-blend", "https://camerareadycosmetics.com/products/kryolan-make-up-blend")</f>
        <v/>
      </c>
      <c r="C1779" t="inlineStr">
        <is>
          <t>Make-Up Blend</t>
        </is>
      </c>
      <c r="D1779" t="inlineStr">
        <is>
          <t>3pcs Beauty Makeup Sponges set for Dry &amp; Wet Use - Foundation Blending Sponge for Concealer Blush Powder, Multi-color Blender Sponges (3pcs - Multi-colored A)</t>
        </is>
      </c>
      <c r="E1779" s="2">
        <f>HYPERLINK("https://www.amazon.com/3pcs-Beauty-Makeup-Sponges-Multi-colored/dp/B08NVHW7N7/ref=sr_1_6?keywords=Make-Up+Blend&amp;qid=1695565444&amp;sr=8-6", "https://www.amazon.com/3pcs-Beauty-Makeup-Sponges-Multi-colored/dp/B08NVHW7N7/ref=sr_1_6?keywords=Make-Up+Blend&amp;qid=1695565444&amp;sr=8-6")</f>
        <v/>
      </c>
      <c r="F1779" t="inlineStr">
        <is>
          <t>B08NVHW7N7</t>
        </is>
      </c>
      <c r="G1779">
        <f>_xlfn.IMAGE("https://camerareadycosmetics.com/cdn/shop/products/Kryolan-Make-up-Blend-14-ml_50x.jpg?v=1693428259")</f>
        <v/>
      </c>
      <c r="H1779">
        <f>_xlfn.IMAGE("https://m.media-amazon.com/images/I/51-2I1I1RcL._AC_UL320_.jpg")</f>
        <v/>
      </c>
      <c r="K1779" t="inlineStr">
        <is>
          <t>30.4</t>
        </is>
      </c>
      <c r="L1779" t="n">
        <v>3.99</v>
      </c>
      <c r="M1779" s="1" t="inlineStr">
        <is>
          <t>-86.87%</t>
        </is>
      </c>
      <c r="N1779" t="n">
        <v>4.5</v>
      </c>
      <c r="O1779" t="n">
        <v>1329</v>
      </c>
      <c r="Q1779" t="inlineStr">
        <is>
          <t>InStock</t>
        </is>
      </c>
      <c r="R1779" t="inlineStr">
        <is>
          <t>undefined</t>
        </is>
      </c>
      <c r="S1779" t="inlineStr">
        <is>
          <t>10897510026</t>
        </is>
      </c>
    </row>
    <row r="1780" ht="75" customHeight="1">
      <c r="A1780" s="2">
        <f>HYPERLINK("https://camerareadycosmetics.com/products/kryolan-make-up-blend", "https://camerareadycosmetics.com/products/kryolan-make-up-blend")</f>
        <v/>
      </c>
      <c r="B1780" s="2">
        <f>HYPERLINK("https://camerareadycosmetics.com/products/kryolan-make-up-blend", "https://camerareadycosmetics.com/products/kryolan-make-up-blend")</f>
        <v/>
      </c>
      <c r="C1780" t="inlineStr">
        <is>
          <t>Make-Up Blend</t>
        </is>
      </c>
      <c r="D1780" t="inlineStr">
        <is>
          <t>M. Asam Magic Finish Perfect Blend Concealer Ivory, hides dark circles, irregularities &amp; small imperfections with ease, make-up also ideal for contouring, buildable coverage, with bisabolol, 0.10 Oz</t>
        </is>
      </c>
      <c r="E1780" s="2" t="n"/>
      <c r="F1780" t="inlineStr">
        <is>
          <t>B0BW6C4MV3</t>
        </is>
      </c>
      <c r="G1780">
        <f>_xlfn.IMAGE("https://camerareadycosmetics.com/cdn/shop/products/Kryolan-Make-up-Blend-14-ml_50x.jpg?v=1693428259")</f>
        <v/>
      </c>
      <c r="H1780">
        <f>_xlfn.IMAGE("https://m.media-amazon.com/images/I/41-Z+D6HJjL._AC_UL320_.jpg")</f>
        <v/>
      </c>
      <c r="K1780" t="inlineStr">
        <is>
          <t>30.4</t>
        </is>
      </c>
      <c r="L1780" t="n">
        <v>15.29</v>
      </c>
      <c r="M1780" s="1" t="inlineStr">
        <is>
          <t>-49.70%</t>
        </is>
      </c>
      <c r="N1780" t="n">
        <v>4.2</v>
      </c>
      <c r="O1780" t="n">
        <v>146</v>
      </c>
      <c r="Q1780" t="inlineStr">
        <is>
          <t>InStock</t>
        </is>
      </c>
      <c r="R1780" t="inlineStr">
        <is>
          <t>undefined</t>
        </is>
      </c>
      <c r="S1780" t="inlineStr">
        <is>
          <t>10897510026</t>
        </is>
      </c>
    </row>
    <row r="1781" ht="75" customHeight="1">
      <c r="A1781" s="2">
        <f>HYPERLINK("https://camerareadycosmetics.com/products/kryolan-make-up-blend", "https://camerareadycosmetics.com/products/kryolan-make-up-blend")</f>
        <v/>
      </c>
      <c r="B1781" s="2">
        <f>HYPERLINK("https://camerareadycosmetics.com/products/kryolan-make-up-blend", "https://camerareadycosmetics.com/products/kryolan-make-up-blend")</f>
        <v/>
      </c>
      <c r="C1781" t="inlineStr">
        <is>
          <t>Make-Up Blend</t>
        </is>
      </c>
      <c r="D1781" t="inlineStr">
        <is>
          <t>AOA Studio Collection Makeup Mochi Sponge Set Blender Latex Free and High-definition of 6 For Powder Cream Liquid Wonder Beauty Cosmetic (6 Count)</t>
        </is>
      </c>
      <c r="E1781" s="2">
        <f>HYPERLINK("https://www.amazon.com/AOA-Collection-Blender-High-definition-Cosmetic/dp/B09MWK3KWS/ref=sr_1_10?keywords=Make-Up+Blend&amp;qid=1695565444&amp;sr=8-10", "https://www.amazon.com/AOA-Collection-Blender-High-definition-Cosmetic/dp/B09MWK3KWS/ref=sr_1_10?keywords=Make-Up+Blend&amp;qid=1695565444&amp;sr=8-10")</f>
        <v/>
      </c>
      <c r="F1781" t="inlineStr">
        <is>
          <t>B09MWK3KWS</t>
        </is>
      </c>
      <c r="G1781">
        <f>_xlfn.IMAGE("https://camerareadycosmetics.com/cdn/shop/products/Kryolan-Make-up-Blend-14-ml_50x.jpg?v=1693428259")</f>
        <v/>
      </c>
      <c r="H1781">
        <f>_xlfn.IMAGE("https://m.media-amazon.com/images/I/61eowtPruHL._AC_UL320_.jpg")</f>
        <v/>
      </c>
      <c r="K1781" t="inlineStr">
        <is>
          <t>30.4</t>
        </is>
      </c>
      <c r="L1781" t="n">
        <v>9.949999999999999</v>
      </c>
      <c r="M1781" s="1" t="inlineStr">
        <is>
          <t>-67.27%</t>
        </is>
      </c>
      <c r="N1781" t="n">
        <v>4.7</v>
      </c>
      <c r="O1781" t="n">
        <v>1484</v>
      </c>
      <c r="Q1781" t="inlineStr">
        <is>
          <t>InStock</t>
        </is>
      </c>
      <c r="R1781" t="inlineStr">
        <is>
          <t>undefined</t>
        </is>
      </c>
      <c r="S1781" t="inlineStr">
        <is>
          <t>10897510026</t>
        </is>
      </c>
    </row>
    <row r="1782" ht="75" customHeight="1">
      <c r="A1782" s="2">
        <f>HYPERLINK("https://camerareadycosmetics.com/products/kryolan-make-up-blend", "https://camerareadycosmetics.com/products/kryolan-make-up-blend")</f>
        <v/>
      </c>
      <c r="B1782" s="2">
        <f>HYPERLINK("https://camerareadycosmetics.com/products/kryolan-make-up-blend", "https://camerareadycosmetics.com/products/kryolan-make-up-blend")</f>
        <v/>
      </c>
      <c r="C1782" t="inlineStr">
        <is>
          <t>Make-Up Blend</t>
        </is>
      </c>
      <c r="D1782" t="inlineStr">
        <is>
          <t>6+6 Professional Makeup Sponge Set,2.76 inch Portable Soft Sponge Setting Face Puffs,Multicolor Makeup Blending Sponge Cosmetic Applicator for Loose Powder,Liquid,Facial Makeup Tools</t>
        </is>
      </c>
      <c r="E1782" s="2">
        <f>HYPERLINK("https://www.amazon.com/Professional-Portable-Multicolor-Blending-Applicator/dp/B0C6X9FBWC/ref=sr_1_9?keywords=Make-Up+Blend&amp;qid=1695565444&amp;sr=8-9", "https://www.amazon.com/Professional-Portable-Multicolor-Blending-Applicator/dp/B0C6X9FBWC/ref=sr_1_9?keywords=Make-Up+Blend&amp;qid=1695565444&amp;sr=8-9")</f>
        <v/>
      </c>
      <c r="F1782" t="inlineStr">
        <is>
          <t>B0C6X9FBWC</t>
        </is>
      </c>
      <c r="G1782">
        <f>_xlfn.IMAGE("https://camerareadycosmetics.com/cdn/shop/products/Kryolan-Make-up-Blend-14-ml_50x.jpg?v=1693428259")</f>
        <v/>
      </c>
      <c r="H1782">
        <f>_xlfn.IMAGE("https://m.media-amazon.com/images/I/61lwnZq5G4L._AC_UL320_.jpg")</f>
        <v/>
      </c>
      <c r="K1782" t="inlineStr">
        <is>
          <t>30.4</t>
        </is>
      </c>
      <c r="L1782" t="n">
        <v>6.99</v>
      </c>
      <c r="M1782" s="1" t="inlineStr">
        <is>
          <t>-77.01%</t>
        </is>
      </c>
      <c r="N1782" t="n">
        <v>4.4</v>
      </c>
      <c r="O1782" t="n">
        <v>24</v>
      </c>
      <c r="Q1782" t="inlineStr">
        <is>
          <t>InStock</t>
        </is>
      </c>
      <c r="R1782" t="inlineStr">
        <is>
          <t>undefined</t>
        </is>
      </c>
      <c r="S1782" t="inlineStr">
        <is>
          <t>10897510026</t>
        </is>
      </c>
    </row>
    <row r="1783" ht="75" customHeight="1">
      <c r="A1783" s="2">
        <f>HYPERLINK("https://camerareadycosmetics.com/products/kryolan-make-up-blend", "https://camerareadycosmetics.com/products/kryolan-make-up-blend")</f>
        <v/>
      </c>
      <c r="B1783" s="2">
        <f>HYPERLINK("https://camerareadycosmetics.com/products/kryolan-make-up-blend", "https://camerareadycosmetics.com/products/kryolan-make-up-blend")</f>
        <v/>
      </c>
      <c r="C1783" t="inlineStr">
        <is>
          <t>Make-Up Blend</t>
        </is>
      </c>
      <c r="D1783" t="inlineStr">
        <is>
          <t>8Pcs of Triangular Powder Puff Makeup Sponges, Made of Super-soft Velvet, Designed for Contouring, Eye, and Corner, Beauty Blender Foundation Mixing Container.(Black)</t>
        </is>
      </c>
      <c r="E1783" s="2">
        <f>HYPERLINK("https://www.amazon.com/Triangular-Super-soft-Contouring-Foundation-Container/dp/B09W4KMQ4X/ref=sr_1_8?keywords=Make-Up+Blend&amp;qid=1695565444&amp;sr=8-8", "https://www.amazon.com/Triangular-Super-soft-Contouring-Foundation-Container/dp/B09W4KMQ4X/ref=sr_1_8?keywords=Make-Up+Blend&amp;qid=1695565444&amp;sr=8-8")</f>
        <v/>
      </c>
      <c r="F1783" t="inlineStr">
        <is>
          <t>B09W4KMQ4X</t>
        </is>
      </c>
      <c r="G1783">
        <f>_xlfn.IMAGE("https://camerareadycosmetics.com/cdn/shop/products/Kryolan-Make-up-Blend-14-ml_50x.jpg?v=1693428259")</f>
        <v/>
      </c>
      <c r="H1783">
        <f>_xlfn.IMAGE("https://m.media-amazon.com/images/I/61Wf76qgtCL._AC_UL320_.jpg")</f>
        <v/>
      </c>
      <c r="K1783" t="inlineStr">
        <is>
          <t>30.4</t>
        </is>
      </c>
      <c r="L1783" t="n">
        <v>5.99</v>
      </c>
      <c r="M1783" s="1" t="inlineStr">
        <is>
          <t>-80.30%</t>
        </is>
      </c>
      <c r="N1783" t="n">
        <v>4.7</v>
      </c>
      <c r="O1783" t="n">
        <v>1790</v>
      </c>
      <c r="Q1783" t="inlineStr">
        <is>
          <t>InStock</t>
        </is>
      </c>
      <c r="R1783" t="inlineStr">
        <is>
          <t>undefined</t>
        </is>
      </c>
      <c r="S1783" t="inlineStr">
        <is>
          <t>10897510026</t>
        </is>
      </c>
    </row>
    <row r="1784" ht="75" customHeight="1">
      <c r="A1784" s="2">
        <f>HYPERLINK("https://camerareadycosmetics.com/products/kryolan-make-up-blend", "https://camerareadycosmetics.com/products/kryolan-make-up-blend")</f>
        <v/>
      </c>
      <c r="B1784" s="2">
        <f>HYPERLINK("https://camerareadycosmetics.com/products/kryolan-make-up-blend", "https://camerareadycosmetics.com/products/kryolan-make-up-blend")</f>
        <v/>
      </c>
      <c r="C1784" t="inlineStr">
        <is>
          <t>Make-Up Blend</t>
        </is>
      </c>
      <c r="D1784" t="inlineStr">
        <is>
          <t>12 Pieces Professional Makeup Sponge Set,Latex Free Flawless Soft Setting Face Puffs,Multicolor Makeup Blending Sponge Cosmetic Applicator for Powder,Liquid,Facial Makeup Tools</t>
        </is>
      </c>
      <c r="E1784" s="2">
        <f>HYPERLINK("https://www.amazon.com/Professional-Flawless-Multicolor-Cosmetic-Applicator/dp/B09VKP2T7Z/ref=sr_1_5?keywords=Make-Up+Blend&amp;qid=1695565444&amp;sr=8-5", "https://www.amazon.com/Professional-Flawless-Multicolor-Cosmetic-Applicator/dp/B09VKP2T7Z/ref=sr_1_5?keywords=Make-Up+Blend&amp;qid=1695565444&amp;sr=8-5")</f>
        <v/>
      </c>
      <c r="F1784" t="inlineStr">
        <is>
          <t>B09VKP2T7Z</t>
        </is>
      </c>
      <c r="G1784">
        <f>_xlfn.IMAGE("https://camerareadycosmetics.com/cdn/shop/products/Kryolan-Make-up-Blend-14-ml_50x.jpg?v=1693428259")</f>
        <v/>
      </c>
      <c r="H1784">
        <f>_xlfn.IMAGE("https://m.media-amazon.com/images/I/81egbZD-YNL._AC_UL320_.jpg")</f>
        <v/>
      </c>
      <c r="K1784" t="inlineStr">
        <is>
          <t>30.4</t>
        </is>
      </c>
      <c r="L1784" t="n">
        <v>5.92</v>
      </c>
      <c r="M1784" s="1" t="inlineStr">
        <is>
          <t>-80.53%</t>
        </is>
      </c>
      <c r="N1784" t="n">
        <v>4.6</v>
      </c>
      <c r="O1784" t="n">
        <v>1629</v>
      </c>
      <c r="Q1784" t="inlineStr">
        <is>
          <t>InStock</t>
        </is>
      </c>
      <c r="R1784" t="inlineStr">
        <is>
          <t>undefined</t>
        </is>
      </c>
      <c r="S1784" t="inlineStr">
        <is>
          <t>10897510026</t>
        </is>
      </c>
    </row>
    <row r="1785" ht="75" customHeight="1">
      <c r="A1785" s="2">
        <f>HYPERLINK("https://camerareadycosmetics.com/products/kryolan-make-up-blend", "https://camerareadycosmetics.com/products/kryolan-make-up-blend")</f>
        <v/>
      </c>
      <c r="B1785" s="2">
        <f>HYPERLINK("https://camerareadycosmetics.com/products/kryolan-make-up-blend", "https://camerareadycosmetics.com/products/kryolan-make-up-blend")</f>
        <v/>
      </c>
      <c r="C1785" t="inlineStr">
        <is>
          <t>Make-Up Blend</t>
        </is>
      </c>
      <c r="D1785" t="inlineStr">
        <is>
          <t>e.l.f. Cookies 'N Dreams Single Scoop Sponge, Latex-free Makeup Sponge For Easy Blending, Great For Foundation &amp; Concealer, Limited Edition</t>
        </is>
      </c>
      <c r="E1785" s="2">
        <f>HYPERLINK("https://www.amazon.com/l-f-Latex-free-Blending-Foundation-Concealer/dp/B0C28SB5ZR/ref=sr_1_7?keywords=Make-Up+Blend&amp;qid=1695565444&amp;sr=8-7", "https://www.amazon.com/l-f-Latex-free-Blending-Foundation-Concealer/dp/B0C28SB5ZR/ref=sr_1_7?keywords=Make-Up+Blend&amp;qid=1695565444&amp;sr=8-7")</f>
        <v/>
      </c>
      <c r="F1785" t="inlineStr">
        <is>
          <t>B0C28SB5ZR</t>
        </is>
      </c>
      <c r="G1785">
        <f>_xlfn.IMAGE("https://camerareadycosmetics.com/cdn/shop/products/Kryolan-Make-up-Blend-14-ml_50x.jpg?v=1693428259")</f>
        <v/>
      </c>
      <c r="H1785">
        <f>_xlfn.IMAGE("https://m.media-amazon.com/images/I/71fmE5V4d-L._AC_UL320_.jpg")</f>
        <v/>
      </c>
      <c r="K1785" t="inlineStr">
        <is>
          <t>30.4</t>
        </is>
      </c>
      <c r="L1785" t="n">
        <v>5</v>
      </c>
      <c r="M1785" s="1" t="inlineStr">
        <is>
          <t>-83.55%</t>
        </is>
      </c>
      <c r="N1785" t="n">
        <v>4.9</v>
      </c>
      <c r="O1785" t="n">
        <v>21</v>
      </c>
      <c r="Q1785" t="inlineStr">
        <is>
          <t>InStock</t>
        </is>
      </c>
      <c r="R1785" t="inlineStr">
        <is>
          <t>undefined</t>
        </is>
      </c>
      <c r="S1785" t="inlineStr">
        <is>
          <t>10897510026</t>
        </is>
      </c>
    </row>
    <row r="1786" ht="75" customHeight="1">
      <c r="A1786" s="2">
        <f>HYPERLINK("https://camerareadycosmetics.com/products/kryolan-make-up-blend", "https://camerareadycosmetics.com/products/kryolan-make-up-blend")</f>
        <v/>
      </c>
      <c r="B1786" s="2">
        <f>HYPERLINK("https://camerareadycosmetics.com/products/kryolan-make-up-blend", "https://camerareadycosmetics.com/products/kryolan-make-up-blend")</f>
        <v/>
      </c>
      <c r="C1786" t="inlineStr">
        <is>
          <t>Make-Up Blend</t>
        </is>
      </c>
      <c r="D1786" t="inlineStr">
        <is>
          <t>COSTICA Makeup Sponge Set Blender, Beauty Sponge Makeup Blender Flawless for Liquid - Multi Colored 4 pcs Rose Series</t>
        </is>
      </c>
      <c r="E1786" s="2" t="n"/>
      <c r="F1786" t="inlineStr">
        <is>
          <t>B08Y5Z64XK</t>
        </is>
      </c>
      <c r="G1786">
        <f>_xlfn.IMAGE("https://camerareadycosmetics.com/cdn/shop/products/Kryolan-Make-up-Blend-14-ml_50x.jpg?v=1693428259")</f>
        <v/>
      </c>
      <c r="H1786">
        <f>_xlfn.IMAGE("https://m.media-amazon.com/images/I/81OIVeQ05-S._AC_UL320_.jpg")</f>
        <v/>
      </c>
      <c r="K1786" t="inlineStr">
        <is>
          <t>30.4</t>
        </is>
      </c>
      <c r="L1786" t="n">
        <v>4.99</v>
      </c>
      <c r="M1786" s="1" t="inlineStr">
        <is>
          <t>-83.59%</t>
        </is>
      </c>
      <c r="N1786" t="n">
        <v>4.6</v>
      </c>
      <c r="O1786" t="n">
        <v>2915</v>
      </c>
      <c r="Q1786" t="inlineStr">
        <is>
          <t>InStock</t>
        </is>
      </c>
      <c r="R1786" t="inlineStr">
        <is>
          <t>undefined</t>
        </is>
      </c>
      <c r="S1786" t="inlineStr">
        <is>
          <t>10897510026</t>
        </is>
      </c>
    </row>
    <row r="1787" ht="75" customHeight="1">
      <c r="A1787" s="2">
        <f>HYPERLINK("https://camerareadycosmetics.com/products/kryolan-make-up-blend", "https://camerareadycosmetics.com/products/kryolan-make-up-blend")</f>
        <v/>
      </c>
      <c r="B1787" s="2">
        <f>HYPERLINK("https://camerareadycosmetics.com/products/kryolan-make-up-blend", "https://camerareadycosmetics.com/products/kryolan-make-up-blend")</f>
        <v/>
      </c>
      <c r="C1787" t="inlineStr">
        <is>
          <t>Make-Up Blend</t>
        </is>
      </c>
      <c r="D1787" t="inlineStr">
        <is>
          <t>3pcs Beauty Makeup Sponges set for Dry &amp; Wet Use - Foundation Blending Sponge for Concealer Blush Powder, Multi-color Blender Sponges (3pcs - Multi-colored A)</t>
        </is>
      </c>
      <c r="E1787" s="2">
        <f>HYPERLINK("https://www.amazon.com/3pcs-Beauty-Makeup-Sponges-Multi-colored/dp/B08NVHW7N7/ref=sr_1_6?keywords=Make-Up+Blend&amp;qid=1695565444&amp;sr=8-6", "https://www.amazon.com/3pcs-Beauty-Makeup-Sponges-Multi-colored/dp/B08NVHW7N7/ref=sr_1_6?keywords=Make-Up+Blend&amp;qid=1695565444&amp;sr=8-6")</f>
        <v/>
      </c>
      <c r="F1787" t="inlineStr">
        <is>
          <t>B08NVHW7N7</t>
        </is>
      </c>
      <c r="G1787">
        <f>_xlfn.IMAGE("https://camerareadycosmetics.com/cdn/shop/products/Kryolan-Make-up-Blend-14-ml_50x.jpg?v=1693428259")</f>
        <v/>
      </c>
      <c r="H1787">
        <f>_xlfn.IMAGE("https://m.media-amazon.com/images/I/51-2I1I1RcL._AC_UL320_.jpg")</f>
        <v/>
      </c>
      <c r="K1787" t="inlineStr">
        <is>
          <t>30.4</t>
        </is>
      </c>
      <c r="L1787" t="n">
        <v>3.99</v>
      </c>
      <c r="M1787" s="1" t="inlineStr">
        <is>
          <t>-86.87%</t>
        </is>
      </c>
      <c r="N1787" t="n">
        <v>4.5</v>
      </c>
      <c r="O1787" t="n">
        <v>1329</v>
      </c>
      <c r="Q1787" t="inlineStr">
        <is>
          <t>InStock</t>
        </is>
      </c>
      <c r="R1787" t="inlineStr">
        <is>
          <t>undefined</t>
        </is>
      </c>
      <c r="S1787" t="inlineStr">
        <is>
          <t>10897510026</t>
        </is>
      </c>
    </row>
    <row r="1788" ht="75" customHeight="1">
      <c r="A1788" s="2">
        <f>HYPERLINK("https://camerareadycosmetics.com/products/kryolan-perfect-matt", "https://camerareadycosmetics.com/products/kryolan-perfect-matt")</f>
        <v/>
      </c>
      <c r="B1788" s="2">
        <f>HYPERLINK("https://camerareadycosmetics.com/products/kryolan-perfect-matt", "https://camerareadycosmetics.com/products/kryolan-perfect-matt")</f>
        <v/>
      </c>
      <c r="C1788" t="inlineStr">
        <is>
          <t>Perfect Matt</t>
        </is>
      </c>
      <c r="D1788" t="inlineStr">
        <is>
          <t>3D Shining and Neon License Plate Frame from Pure Zinc Alloy Metal Perfect Plate Holder, Matt Black with Gold Glitter</t>
        </is>
      </c>
      <c r="E1788" s="2">
        <f>HYPERLINK("https://www.amazon.com/creathome-Shining-License-Perfect-Glitter/dp/B08MZW7311/ref=sr_1_2?keywords=Perfect+Matt&amp;qid=1695565543&amp;sr=8-2", "https://www.amazon.com/creathome-Shining-License-Perfect-Glitter/dp/B08MZW7311/ref=sr_1_2?keywords=Perfect+Matt&amp;qid=1695565543&amp;sr=8-2")</f>
        <v/>
      </c>
      <c r="F1788" t="inlineStr">
        <is>
          <t>B08MZW7311</t>
        </is>
      </c>
      <c r="G1788">
        <f>_xlfn.IMAGE("https://camerareadycosmetics.com/cdn/shop/files/09260_00_prod_Perfect-Matt_50x.jpg?v=1687199844")</f>
        <v/>
      </c>
      <c r="H1788">
        <f>_xlfn.IMAGE("https://m.media-amazon.com/images/I/81MNq8okSSL._AC_UL320_.jpg")</f>
        <v/>
      </c>
      <c r="K1788" t="inlineStr">
        <is>
          <t>33.6</t>
        </is>
      </c>
      <c r="L1788" t="n">
        <v>15.99</v>
      </c>
      <c r="M1788" s="1" t="inlineStr">
        <is>
          <t>-52.41%</t>
        </is>
      </c>
      <c r="N1788" t="n">
        <v>4.6</v>
      </c>
      <c r="O1788" t="n">
        <v>186</v>
      </c>
      <c r="Q1788" t="inlineStr">
        <is>
          <t>InStock</t>
        </is>
      </c>
      <c r="R1788" t="inlineStr">
        <is>
          <t>undefined</t>
        </is>
      </c>
      <c r="S1788" t="inlineStr">
        <is>
          <t>10897140810</t>
        </is>
      </c>
    </row>
    <row r="1789" ht="75" customHeight="1">
      <c r="A1789" s="2">
        <f>HYPERLINK("https://camerareadycosmetics.com/products/kryolan-perfect-matt", "https://camerareadycosmetics.com/products/kryolan-perfect-matt")</f>
        <v/>
      </c>
      <c r="B1789" s="2">
        <f>HYPERLINK("https://camerareadycosmetics.com/products/kryolan-perfect-matt", "https://camerareadycosmetics.com/products/kryolan-perfect-matt")</f>
        <v/>
      </c>
      <c r="C1789" t="inlineStr">
        <is>
          <t>Perfect Matt</t>
        </is>
      </c>
      <c r="D1789" t="inlineStr">
        <is>
          <t>COVERGIRL TruBlend Matte Made Liquid Foundation, Perfect Beige</t>
        </is>
      </c>
      <c r="E1789" s="2">
        <f>HYPERLINK("https://www.amazon.com/Covergirl-Trublend-Liquid-Foundation-Perfect/dp/B07CJ6MH3K/ref=sr_1_5?keywords=Perfect+Matt&amp;qid=1695565543&amp;sr=8-5", "https://www.amazon.com/Covergirl-Trublend-Liquid-Foundation-Perfect/dp/B07CJ6MH3K/ref=sr_1_5?keywords=Perfect+Matt&amp;qid=1695565543&amp;sr=8-5")</f>
        <v/>
      </c>
      <c r="F1789" t="inlineStr">
        <is>
          <t>B07CJ6MH3K</t>
        </is>
      </c>
      <c r="G1789">
        <f>_xlfn.IMAGE("https://camerareadycosmetics.com/cdn/shop/files/09260_00_prod_Perfect-Matt_50x.jpg?v=1687199844")</f>
        <v/>
      </c>
      <c r="H1789">
        <f>_xlfn.IMAGE("https://m.media-amazon.com/images/I/61OG2f-gyHL._AC_UL320_.jpg")</f>
        <v/>
      </c>
      <c r="K1789" t="inlineStr">
        <is>
          <t>33.6</t>
        </is>
      </c>
      <c r="L1789" t="n">
        <v>8.48</v>
      </c>
      <c r="M1789" s="1" t="inlineStr">
        <is>
          <t>-74.76%</t>
        </is>
      </c>
      <c r="N1789" t="n">
        <v>4.5</v>
      </c>
      <c r="O1789" t="n">
        <v>7471</v>
      </c>
      <c r="Q1789" t="inlineStr">
        <is>
          <t>InStock</t>
        </is>
      </c>
      <c r="R1789" t="inlineStr">
        <is>
          <t>undefined</t>
        </is>
      </c>
      <c r="S1789" t="inlineStr">
        <is>
          <t>10897140810</t>
        </is>
      </c>
    </row>
    <row r="1790" ht="75" customHeight="1">
      <c r="A1790" s="2">
        <f>HYPERLINK("https://camerareadycosmetics.com/products/kryolan-perfect-matt", "https://camerareadycosmetics.com/products/kryolan-perfect-matt")</f>
        <v/>
      </c>
      <c r="B1790" s="2">
        <f>HYPERLINK("https://camerareadycosmetics.com/products/kryolan-perfect-matt", "https://camerareadycosmetics.com/products/kryolan-perfect-matt")</f>
        <v/>
      </c>
      <c r="C1790" t="inlineStr">
        <is>
          <t>Perfect Matt</t>
        </is>
      </c>
      <c r="D1790" t="inlineStr">
        <is>
          <t>L.A. Colors Matte Liquid Lip Color, Perfection, 1 Ounce</t>
        </is>
      </c>
      <c r="E1790" s="2">
        <f>HYPERLINK("https://www.amazon.com/L-Colors-Liquid-Perfection/dp/B06ZXS9YFK/ref=sr_1_4?keywords=Perfect+Matt&amp;qid=1695565543&amp;sr=8-4", "https://www.amazon.com/L-Colors-Liquid-Perfection/dp/B06ZXS9YFK/ref=sr_1_4?keywords=Perfect+Matt&amp;qid=1695565543&amp;sr=8-4")</f>
        <v/>
      </c>
      <c r="F1790" t="inlineStr">
        <is>
          <t>B06ZXS9YFK</t>
        </is>
      </c>
      <c r="G1790">
        <f>_xlfn.IMAGE("https://camerareadycosmetics.com/cdn/shop/files/09260_00_prod_Perfect-Matt_50x.jpg?v=1687199844")</f>
        <v/>
      </c>
      <c r="H1790">
        <f>_xlfn.IMAGE("https://m.media-amazon.com/images/I/51wVU7SBnFL._AC_UL320_.jpg")</f>
        <v/>
      </c>
      <c r="K1790" t="inlineStr">
        <is>
          <t>33.6</t>
        </is>
      </c>
      <c r="L1790" t="n">
        <v>5.76</v>
      </c>
      <c r="M1790" s="1" t="inlineStr">
        <is>
          <t>-82.86%</t>
        </is>
      </c>
      <c r="N1790" t="n">
        <v>4.5</v>
      </c>
      <c r="O1790" t="n">
        <v>674</v>
      </c>
      <c r="Q1790" t="inlineStr">
        <is>
          <t>InStock</t>
        </is>
      </c>
      <c r="R1790" t="inlineStr">
        <is>
          <t>undefined</t>
        </is>
      </c>
      <c r="S1790" t="inlineStr">
        <is>
          <t>10897140810</t>
        </is>
      </c>
    </row>
    <row r="1791" ht="75" customHeight="1">
      <c r="A1791" s="2">
        <f>HYPERLINK("https://camerareadycosmetics.com/products/kryolan-perfect-matt", "https://camerareadycosmetics.com/products/kryolan-perfect-matt")</f>
        <v/>
      </c>
      <c r="B1791" s="2">
        <f>HYPERLINK("https://camerareadycosmetics.com/products/kryolan-perfect-matt", "https://camerareadycosmetics.com/products/kryolan-perfect-matt")</f>
        <v/>
      </c>
      <c r="C1791" t="inlineStr">
        <is>
          <t>Perfect Matt</t>
        </is>
      </c>
      <c r="D1791" t="inlineStr">
        <is>
          <t>Black Radiance Perfect Tone Matte Lip Crème Let's Toast</t>
        </is>
      </c>
      <c r="E1791" s="2">
        <f>HYPERLINK("https://www.amazon.com/Black-Radiance-Perfect-Matte-Cr%C3%A8me/dp/B07C4HM9DL/ref=sr_1_7?keywords=Perfect+Matt&amp;qid=1695565543&amp;sr=8-7", "https://www.amazon.com/Black-Radiance-Perfect-Matte-Cr%C3%A8me/dp/B07C4HM9DL/ref=sr_1_7?keywords=Perfect+Matt&amp;qid=1695565543&amp;sr=8-7")</f>
        <v/>
      </c>
      <c r="F1791" t="inlineStr">
        <is>
          <t>B07C4HM9DL</t>
        </is>
      </c>
      <c r="G1791">
        <f>_xlfn.IMAGE("https://camerareadycosmetics.com/cdn/shop/files/09260_00_prod_Perfect-Matt_50x.jpg?v=1687199844")</f>
        <v/>
      </c>
      <c r="H1791">
        <f>_xlfn.IMAGE("https://m.media-amazon.com/images/I/612-rYtIvkL._AC_UL320_.jpg")</f>
        <v/>
      </c>
      <c r="K1791" t="inlineStr">
        <is>
          <t>33.6</t>
        </is>
      </c>
      <c r="L1791" t="n">
        <v>4.99</v>
      </c>
      <c r="M1791" s="1" t="inlineStr">
        <is>
          <t>-85.15%</t>
        </is>
      </c>
      <c r="N1791" t="n">
        <v>4.3</v>
      </c>
      <c r="O1791" t="n">
        <v>1743</v>
      </c>
      <c r="Q1791" t="inlineStr">
        <is>
          <t>InStock</t>
        </is>
      </c>
      <c r="R1791" t="inlineStr">
        <is>
          <t>undefined</t>
        </is>
      </c>
      <c r="S1791" t="inlineStr">
        <is>
          <t>10897140810</t>
        </is>
      </c>
    </row>
    <row r="1792" ht="75" customHeight="1">
      <c r="A1792" s="2">
        <f>HYPERLINK("https://camerareadycosmetics.com/products/kryolan-perfect-matt", "https://camerareadycosmetics.com/products/kryolan-perfect-matt")</f>
        <v/>
      </c>
      <c r="B1792" s="2">
        <f>HYPERLINK("https://camerareadycosmetics.com/products/kryolan-perfect-matt", "https://camerareadycosmetics.com/products/kryolan-perfect-matt")</f>
        <v/>
      </c>
      <c r="C1792" t="inlineStr">
        <is>
          <t>Perfect Matt</t>
        </is>
      </c>
      <c r="D1792" t="inlineStr">
        <is>
          <t>3D Shining and Neon License Plate Frame from Pure Zinc Alloy Metal Perfect Plate Holder, Matt Black with Gold Glitter</t>
        </is>
      </c>
      <c r="E1792" s="2">
        <f>HYPERLINK("https://www.amazon.com/creathome-Shining-License-Perfect-Glitter/dp/B08MZW7311/ref=sr_1_2?keywords=Perfect+Matt&amp;qid=1695565543&amp;sr=8-2", "https://www.amazon.com/creathome-Shining-License-Perfect-Glitter/dp/B08MZW7311/ref=sr_1_2?keywords=Perfect+Matt&amp;qid=1695565543&amp;sr=8-2")</f>
        <v/>
      </c>
      <c r="F1792" t="inlineStr">
        <is>
          <t>B08MZW7311</t>
        </is>
      </c>
      <c r="G1792">
        <f>_xlfn.IMAGE("https://camerareadycosmetics.com/cdn/shop/files/09260_00_prod_Perfect-Matt_50x.jpg?v=1687199844")</f>
        <v/>
      </c>
      <c r="H1792">
        <f>_xlfn.IMAGE("https://m.media-amazon.com/images/I/81MNq8okSSL._AC_UL320_.jpg")</f>
        <v/>
      </c>
      <c r="K1792" t="inlineStr">
        <is>
          <t>33.6</t>
        </is>
      </c>
      <c r="L1792" t="n">
        <v>15.99</v>
      </c>
      <c r="M1792" s="1" t="inlineStr">
        <is>
          <t>-52.41%</t>
        </is>
      </c>
      <c r="N1792" t="n">
        <v>4.6</v>
      </c>
      <c r="O1792" t="n">
        <v>186</v>
      </c>
      <c r="Q1792" t="inlineStr">
        <is>
          <t>InStock</t>
        </is>
      </c>
      <c r="R1792" t="inlineStr">
        <is>
          <t>undefined</t>
        </is>
      </c>
      <c r="S1792" t="inlineStr">
        <is>
          <t>10897140810</t>
        </is>
      </c>
    </row>
    <row r="1793" ht="75" customHeight="1">
      <c r="A1793" s="2">
        <f>HYPERLINK("https://camerareadycosmetics.com/products/kryolan-perfect-matt", "https://camerareadycosmetics.com/products/kryolan-perfect-matt")</f>
        <v/>
      </c>
      <c r="B1793" s="2">
        <f>HYPERLINK("https://camerareadycosmetics.com/products/kryolan-perfect-matt", "https://camerareadycosmetics.com/products/kryolan-perfect-matt")</f>
        <v/>
      </c>
      <c r="C1793" t="inlineStr">
        <is>
          <t>Perfect Matt</t>
        </is>
      </c>
      <c r="D1793" t="inlineStr">
        <is>
          <t>COVERGIRL TruBlend Matte Made Liquid Foundation, Perfect Beige</t>
        </is>
      </c>
      <c r="E1793" s="2">
        <f>HYPERLINK("https://www.amazon.com/Covergirl-Trublend-Liquid-Foundation-Perfect/dp/B07CJ6MH3K/ref=sr_1_5?keywords=Perfect+Matt&amp;qid=1695565543&amp;sr=8-5", "https://www.amazon.com/Covergirl-Trublend-Liquid-Foundation-Perfect/dp/B07CJ6MH3K/ref=sr_1_5?keywords=Perfect+Matt&amp;qid=1695565543&amp;sr=8-5")</f>
        <v/>
      </c>
      <c r="F1793" t="inlineStr">
        <is>
          <t>B07CJ6MH3K</t>
        </is>
      </c>
      <c r="G1793">
        <f>_xlfn.IMAGE("https://camerareadycosmetics.com/cdn/shop/files/09260_00_prod_Perfect-Matt_50x.jpg?v=1687199844")</f>
        <v/>
      </c>
      <c r="H1793">
        <f>_xlfn.IMAGE("https://m.media-amazon.com/images/I/61OG2f-gyHL._AC_UL320_.jpg")</f>
        <v/>
      </c>
      <c r="K1793" t="inlineStr">
        <is>
          <t>33.6</t>
        </is>
      </c>
      <c r="L1793" t="n">
        <v>8.48</v>
      </c>
      <c r="M1793" s="1" t="inlineStr">
        <is>
          <t>-74.76%</t>
        </is>
      </c>
      <c r="N1793" t="n">
        <v>4.5</v>
      </c>
      <c r="O1793" t="n">
        <v>7471</v>
      </c>
      <c r="Q1793" t="inlineStr">
        <is>
          <t>InStock</t>
        </is>
      </c>
      <c r="R1793" t="inlineStr">
        <is>
          <t>undefined</t>
        </is>
      </c>
      <c r="S1793" t="inlineStr">
        <is>
          <t>10897140810</t>
        </is>
      </c>
    </row>
    <row r="1794" ht="75" customHeight="1">
      <c r="A1794" s="2">
        <f>HYPERLINK("https://camerareadycosmetics.com/products/kryolan-perfect-matt", "https://camerareadycosmetics.com/products/kryolan-perfect-matt")</f>
        <v/>
      </c>
      <c r="B1794" s="2">
        <f>HYPERLINK("https://camerareadycosmetics.com/products/kryolan-perfect-matt", "https://camerareadycosmetics.com/products/kryolan-perfect-matt")</f>
        <v/>
      </c>
      <c r="C1794" t="inlineStr">
        <is>
          <t>Perfect Matt</t>
        </is>
      </c>
      <c r="D1794" t="inlineStr">
        <is>
          <t>L.A. Colors Matte Liquid Lip Color, Perfection, 1 Ounce</t>
        </is>
      </c>
      <c r="E1794" s="2">
        <f>HYPERLINK("https://www.amazon.com/L-Colors-Liquid-Perfection/dp/B06ZXS9YFK/ref=sr_1_4?keywords=Perfect+Matt&amp;qid=1695565543&amp;sr=8-4", "https://www.amazon.com/L-Colors-Liquid-Perfection/dp/B06ZXS9YFK/ref=sr_1_4?keywords=Perfect+Matt&amp;qid=1695565543&amp;sr=8-4")</f>
        <v/>
      </c>
      <c r="F1794" t="inlineStr">
        <is>
          <t>B06ZXS9YFK</t>
        </is>
      </c>
      <c r="G1794">
        <f>_xlfn.IMAGE("https://camerareadycosmetics.com/cdn/shop/files/09260_00_prod_Perfect-Matt_50x.jpg?v=1687199844")</f>
        <v/>
      </c>
      <c r="H1794">
        <f>_xlfn.IMAGE("https://m.media-amazon.com/images/I/51wVU7SBnFL._AC_UL320_.jpg")</f>
        <v/>
      </c>
      <c r="K1794" t="inlineStr">
        <is>
          <t>33.6</t>
        </is>
      </c>
      <c r="L1794" t="n">
        <v>5.76</v>
      </c>
      <c r="M1794" s="1" t="inlineStr">
        <is>
          <t>-82.86%</t>
        </is>
      </c>
      <c r="N1794" t="n">
        <v>4.5</v>
      </c>
      <c r="O1794" t="n">
        <v>674</v>
      </c>
      <c r="Q1794" t="inlineStr">
        <is>
          <t>InStock</t>
        </is>
      </c>
      <c r="R1794" t="inlineStr">
        <is>
          <t>undefined</t>
        </is>
      </c>
      <c r="S1794" t="inlineStr">
        <is>
          <t>10897140810</t>
        </is>
      </c>
    </row>
    <row r="1795" ht="75" customHeight="1">
      <c r="A1795" s="2">
        <f>HYPERLINK("https://camerareadycosmetics.com/products/kryolan-perfect-matt", "https://camerareadycosmetics.com/products/kryolan-perfect-matt")</f>
        <v/>
      </c>
      <c r="B1795" s="2">
        <f>HYPERLINK("https://camerareadycosmetics.com/products/kryolan-perfect-matt", "https://camerareadycosmetics.com/products/kryolan-perfect-matt")</f>
        <v/>
      </c>
      <c r="C1795" t="inlineStr">
        <is>
          <t>Perfect Matt</t>
        </is>
      </c>
      <c r="D1795" t="inlineStr">
        <is>
          <t>Black Radiance Perfect Tone Matte Lip Crème Let's Toast</t>
        </is>
      </c>
      <c r="E1795" s="2">
        <f>HYPERLINK("https://www.amazon.com/Black-Radiance-Perfect-Matte-Cr%C3%A8me/dp/B07C4HM9DL/ref=sr_1_7?keywords=Perfect+Matt&amp;qid=1695565543&amp;sr=8-7", "https://www.amazon.com/Black-Radiance-Perfect-Matte-Cr%C3%A8me/dp/B07C4HM9DL/ref=sr_1_7?keywords=Perfect+Matt&amp;qid=1695565543&amp;sr=8-7")</f>
        <v/>
      </c>
      <c r="F1795" t="inlineStr">
        <is>
          <t>B07C4HM9DL</t>
        </is>
      </c>
      <c r="G1795">
        <f>_xlfn.IMAGE("https://camerareadycosmetics.com/cdn/shop/files/09260_00_prod_Perfect-Matt_50x.jpg?v=1687199844")</f>
        <v/>
      </c>
      <c r="H1795">
        <f>_xlfn.IMAGE("https://m.media-amazon.com/images/I/612-rYtIvkL._AC_UL320_.jpg")</f>
        <v/>
      </c>
      <c r="K1795" t="inlineStr">
        <is>
          <t>33.6</t>
        </is>
      </c>
      <c r="L1795" t="n">
        <v>4.99</v>
      </c>
      <c r="M1795" s="1" t="inlineStr">
        <is>
          <t>-85.15%</t>
        </is>
      </c>
      <c r="N1795" t="n">
        <v>4.3</v>
      </c>
      <c r="O1795" t="n">
        <v>1743</v>
      </c>
      <c r="Q1795" t="inlineStr">
        <is>
          <t>InStock</t>
        </is>
      </c>
      <c r="R1795" t="inlineStr">
        <is>
          <t>undefined</t>
        </is>
      </c>
      <c r="S1795" t="inlineStr">
        <is>
          <t>10897140810</t>
        </is>
      </c>
    </row>
    <row r="1796" ht="75" customHeight="1">
      <c r="A1796" s="2">
        <f>HYPERLINK("https://camerareadycosmetics.com/products/kryolan-professional-blusher-set-15-colors", "https://camerareadycosmetics.com/products/kryolan-professional-blusher-set-15-colors")</f>
        <v/>
      </c>
      <c r="B1796" s="2">
        <f>HYPERLINK("https://camerareadycosmetics.com/products/kryolan-professional-blusher-set-15-colors", "https://camerareadycosmetics.com/products/kryolan-professional-blusher-set-15-colors")</f>
        <v/>
      </c>
      <c r="C1796" t="inlineStr">
        <is>
          <t>Professional Blusher Set 15 Colors</t>
        </is>
      </c>
      <c r="D1796" t="inlineStr">
        <is>
          <t>80 Colors Hightlight Eyeshadow Palette Makeup Gift Set, Pure Vie Pro Long Lasting Waterproof Highly Pigments Shiny Shimmers Glitter Makeup Palette Colorful Cosmetic Eye Shadow Pallet with 15 Blusher</t>
        </is>
      </c>
      <c r="E1796" s="2">
        <f>HYPERLINK("https://www.amazon.com/Pure-Vie-Professional-Highlight-Contouring/dp/B07Q114T79/ref=sr_1_1?keywords=Professional+Blusher+Set+15+Colors&amp;qid=1695565699&amp;sr=8-1", "https://www.amazon.com/Pure-Vie-Professional-Highlight-Contouring/dp/B07Q114T79/ref=sr_1_1?keywords=Professional+Blusher+Set+15+Colors&amp;qid=1695565699&amp;sr=8-1")</f>
        <v/>
      </c>
      <c r="F1796" t="inlineStr">
        <is>
          <t>B07Q114T79</t>
        </is>
      </c>
      <c r="G1796">
        <f>_xlfn.IMAGE("https://camerareadycosmetics.com/cdn/shop/files/05115_00_prod_Professional_Blusher_Set_15_Farben_RK_10_50x.jpg?v=1687199824")</f>
        <v/>
      </c>
      <c r="H1796">
        <f>_xlfn.IMAGE("https://m.media-amazon.com/images/I/61avXYtzUfL._AC_UL320_.jpg")</f>
        <v/>
      </c>
      <c r="K1796" t="inlineStr">
        <is>
          <t>58.0</t>
        </is>
      </c>
      <c r="L1796" t="n">
        <v>10.99</v>
      </c>
      <c r="M1796" s="1" t="inlineStr">
        <is>
          <t>-81.05%</t>
        </is>
      </c>
      <c r="N1796" t="n">
        <v>3.8</v>
      </c>
      <c r="O1796" t="n">
        <v>110</v>
      </c>
      <c r="Q1796" t="inlineStr">
        <is>
          <t>undefined</t>
        </is>
      </c>
      <c r="R1796" t="inlineStr">
        <is>
          <t>104.5</t>
        </is>
      </c>
      <c r="S1796" t="inlineStr">
        <is>
          <t>10885954954</t>
        </is>
      </c>
    </row>
    <row r="1797" ht="75" customHeight="1">
      <c r="A1797" s="2">
        <f>HYPERLINK("https://camerareadycosmetics.com/products/kryolan-professional-blusher-set-15-colors", "https://camerareadycosmetics.com/products/kryolan-professional-blusher-set-15-colors")</f>
        <v/>
      </c>
      <c r="B1797" s="2">
        <f>HYPERLINK("https://camerareadycosmetics.com/products/kryolan-professional-blusher-set-15-colors", "https://camerareadycosmetics.com/products/kryolan-professional-blusher-set-15-colors")</f>
        <v/>
      </c>
      <c r="C1797" t="inlineStr">
        <is>
          <t>Professional Blusher Set 15 Colors</t>
        </is>
      </c>
      <c r="D1797" t="inlineStr">
        <is>
          <t>80 Colors Hightlight Eyeshadow Palette Makeup Gift Set, Pure Vie Pro Long Lasting Waterproof Highly Pigments Shiny Shimmers Glitter Makeup Palette Colorful Cosmetic Eye Shadow Pallet with 15 Blusher</t>
        </is>
      </c>
      <c r="E1797" s="2">
        <f>HYPERLINK("https://www.amazon.com/Pure-Vie-Professional-Highlight-Contouring/dp/B07Q114T79/ref=sr_1_1?keywords=Professional+Blusher+Set+15+Colors&amp;qid=1695565699&amp;sr=8-1", "https://www.amazon.com/Pure-Vie-Professional-Highlight-Contouring/dp/B07Q114T79/ref=sr_1_1?keywords=Professional+Blusher+Set+15+Colors&amp;qid=1695565699&amp;sr=8-1")</f>
        <v/>
      </c>
      <c r="F1797" t="inlineStr">
        <is>
          <t>B07Q114T79</t>
        </is>
      </c>
      <c r="G1797">
        <f>_xlfn.IMAGE("https://camerareadycosmetics.com/cdn/shop/files/05115_00_prod_Professional_Blusher_Set_15_Farben_RK_10_50x.jpg?v=1687199824")</f>
        <v/>
      </c>
      <c r="H1797">
        <f>_xlfn.IMAGE("https://m.media-amazon.com/images/I/61avXYtzUfL._AC_UL320_.jpg")</f>
        <v/>
      </c>
      <c r="K1797" t="inlineStr">
        <is>
          <t>58.0</t>
        </is>
      </c>
      <c r="L1797" t="n">
        <v>10.99</v>
      </c>
      <c r="M1797" s="1" t="inlineStr">
        <is>
          <t>-81.05%</t>
        </is>
      </c>
      <c r="N1797" t="n">
        <v>3.8</v>
      </c>
      <c r="O1797" t="n">
        <v>110</v>
      </c>
      <c r="Q1797" t="inlineStr">
        <is>
          <t>undefined</t>
        </is>
      </c>
      <c r="R1797" t="inlineStr">
        <is>
          <t>104.5</t>
        </is>
      </c>
      <c r="S1797" t="inlineStr">
        <is>
          <t>10885954954</t>
        </is>
      </c>
    </row>
    <row r="1798" ht="75" customHeight="1">
      <c r="A1798" s="2">
        <f>HYPERLINK("https://camerareadycosmetics.com/products/kryolan-supracolor-6-color-palette", "https://camerareadycosmetics.com/products/kryolan-supracolor-6-color-palette")</f>
        <v/>
      </c>
      <c r="B1798" s="2">
        <f>HYPERLINK("https://camerareadycosmetics.com/products/kryolan-supracolor-6-color-palette", "https://camerareadycosmetics.com/products/kryolan-supracolor-6-color-palette")</f>
        <v/>
      </c>
      <c r="C1798" t="inlineStr">
        <is>
          <t>Supracolor Palette 6 Color</t>
        </is>
      </c>
      <c r="D1798" t="inlineStr">
        <is>
          <t>Kryolan Supracolor Palette 6 COLORS 1007 1 W - 6 W</t>
        </is>
      </c>
      <c r="E1798" s="2">
        <f>HYPERLINK("https://www.amazon.com/Kryolan-Supracolor-Palette-COLORS-1007/dp/B074FD21PK/ref=sr_1_1?keywords=Supracolor+Palette+6+Color&amp;qid=1695565593&amp;sr=8-1", "https://www.amazon.com/Kryolan-Supracolor-Palette-COLORS-1007/dp/B074FD21PK/ref=sr_1_1?keywords=Supracolor+Palette+6+Color&amp;qid=1695565593&amp;sr=8-1")</f>
        <v/>
      </c>
      <c r="F1798" t="inlineStr">
        <is>
          <t>B074FD21PK</t>
        </is>
      </c>
      <c r="G1798">
        <f>_xlfn.IMAGE("https://camerareadycosmetics.com/cdn/shop/products/kryolan_00_prod_S_0_50x.jpg?v=1526557991")</f>
        <v/>
      </c>
      <c r="H1798">
        <f>_xlfn.IMAGE("https://m.media-amazon.com/images/I/21YBE0uY2GL._AC_UL320_.jpg")</f>
        <v/>
      </c>
      <c r="K1798" t="inlineStr">
        <is>
          <t>29.2</t>
        </is>
      </c>
      <c r="L1798" t="n">
        <v>39.95</v>
      </c>
      <c r="M1798" s="1" t="inlineStr">
        <is>
          <t>36.82%</t>
        </is>
      </c>
      <c r="N1798" t="n">
        <v>4.4</v>
      </c>
      <c r="O1798" t="n">
        <v>102</v>
      </c>
      <c r="Q1798" t="inlineStr">
        <is>
          <t>InStock</t>
        </is>
      </c>
      <c r="R1798" t="inlineStr">
        <is>
          <t>undefined</t>
        </is>
      </c>
      <c r="S1798" t="inlineStr">
        <is>
          <t>569531662346</t>
        </is>
      </c>
    </row>
    <row r="1799" ht="75" customHeight="1">
      <c r="A1799" s="2">
        <f>HYPERLINK("https://camerareadycosmetics.com/products/kryolan-supracolor-6-color-palette", "https://camerareadycosmetics.com/products/kryolan-supracolor-6-color-palette")</f>
        <v/>
      </c>
      <c r="B1799" s="2">
        <f>HYPERLINK("https://camerareadycosmetics.com/products/kryolan-supracolor-6-color-palette", "https://camerareadycosmetics.com/products/kryolan-supracolor-6-color-palette")</f>
        <v/>
      </c>
      <c r="C1799" t="inlineStr">
        <is>
          <t>Supracolor Palette 6 Color</t>
        </is>
      </c>
      <c r="D1799" t="inlineStr">
        <is>
          <t>Bella Bora Paint Palette - Skil Art 16 Wells, 10.6” x 6.4” – Plastic Palettes for Oil, Watercolors &amp; Acrylic Paints, Ideal for Mixing and Separating Colors, for All Skills Levels</t>
        </is>
      </c>
      <c r="E1799" s="2">
        <f>HYPERLINK("https://www.amazon.com/Bella-Bora-Plastic-Watercolors-Separating/dp/B09D7NNCKC/ref=sr_1_fkmr0_2?keywords=Supracolor+Palette+6+Color&amp;qid=1695565593&amp;sr=8-2-fkmr0", "https://www.amazon.com/Bella-Bora-Plastic-Watercolors-Separating/dp/B09D7NNCKC/ref=sr_1_fkmr0_2?keywords=Supracolor+Palette+6+Color&amp;qid=1695565593&amp;sr=8-2-fkmr0")</f>
        <v/>
      </c>
      <c r="F1799" t="inlineStr">
        <is>
          <t>B09D7NNCKC</t>
        </is>
      </c>
      <c r="G1799">
        <f>_xlfn.IMAGE("https://camerareadycosmetics.com/cdn/shop/products/kryolan_00_prod_S_0_50x.jpg?v=1526557991")</f>
        <v/>
      </c>
      <c r="H1799">
        <f>_xlfn.IMAGE("https://m.media-amazon.com/images/I/415uBx8Cm5L._AC_UL320_.jpg")</f>
        <v/>
      </c>
      <c r="K1799" t="inlineStr">
        <is>
          <t>29.2</t>
        </is>
      </c>
      <c r="L1799" t="n">
        <v>8.99</v>
      </c>
      <c r="M1799" s="1" t="inlineStr">
        <is>
          <t>-69.21%</t>
        </is>
      </c>
      <c r="N1799" t="n">
        <v>4.4</v>
      </c>
      <c r="O1799" t="n">
        <v>151</v>
      </c>
      <c r="Q1799" t="inlineStr">
        <is>
          <t>InStock</t>
        </is>
      </c>
      <c r="R1799" t="inlineStr">
        <is>
          <t>undefined</t>
        </is>
      </c>
      <c r="S1799" t="inlineStr">
        <is>
          <t>569531662346</t>
        </is>
      </c>
    </row>
    <row r="1800" ht="75" customHeight="1">
      <c r="A1800" s="2">
        <f>HYPERLINK("https://camerareadycosmetics.com/products/kryolan-supracolor-6-color-palette", "https://camerareadycosmetics.com/products/kryolan-supracolor-6-color-palette")</f>
        <v/>
      </c>
      <c r="B1800" s="2">
        <f>HYPERLINK("https://camerareadycosmetics.com/products/kryolan-supracolor-6-color-palette", "https://camerareadycosmetics.com/products/kryolan-supracolor-6-color-palette")</f>
        <v/>
      </c>
      <c r="C1800" t="inlineStr">
        <is>
          <t>Supracolor Palette 6 Color</t>
        </is>
      </c>
      <c r="D1800" t="inlineStr">
        <is>
          <t>U.S. Art Supply 6-Well Plastic Rectangular Artist Painting Palette - Paint Color Mixing Tray - Kids, Art Students, Classroom, Class Craft Projects, Fun Parties - Brush Mix Acrylic, Oil, Watercolor</t>
        </is>
      </c>
      <c r="E1800" s="2">
        <f>HYPERLINK("https://www.amazon.com/US-Art-Supply-Rectangular-Painting/dp/B00VEO1CJE/ref=sr_1_fkmr1_1?keywords=Supracolor+Palette+6+Color&amp;qid=1695565593&amp;sr=8-1-fkmr1", "https://www.amazon.com/US-Art-Supply-Rectangular-Painting/dp/B00VEO1CJE/ref=sr_1_fkmr1_1?keywords=Supracolor+Palette+6+Color&amp;qid=1695565593&amp;sr=8-1-fkmr1")</f>
        <v/>
      </c>
      <c r="F1800" t="inlineStr">
        <is>
          <t>B00VEO1CJE</t>
        </is>
      </c>
      <c r="G1800">
        <f>_xlfn.IMAGE("https://camerareadycosmetics.com/cdn/shop/products/kryolan_00_prod_S_0_50x.jpg?v=1526557991")</f>
        <v/>
      </c>
      <c r="H1800">
        <f>_xlfn.IMAGE("https://m.media-amazon.com/images/I/61Fb62JWJIL._AC_UL320_.jpg")</f>
        <v/>
      </c>
      <c r="K1800" t="inlineStr">
        <is>
          <t>29.2</t>
        </is>
      </c>
      <c r="L1800" t="n">
        <v>3.99</v>
      </c>
      <c r="M1800" s="1" t="inlineStr">
        <is>
          <t>-86.34%</t>
        </is>
      </c>
      <c r="N1800" t="n">
        <v>4.4</v>
      </c>
      <c r="O1800" t="n">
        <v>145</v>
      </c>
      <c r="Q1800" t="inlineStr">
        <is>
          <t>InStock</t>
        </is>
      </c>
      <c r="R1800" t="inlineStr">
        <is>
          <t>undefined</t>
        </is>
      </c>
      <c r="S1800" t="inlineStr">
        <is>
          <t>569531662346</t>
        </is>
      </c>
    </row>
    <row r="1801" ht="75" customHeight="1">
      <c r="A1801" s="2">
        <f>HYPERLINK("https://camerareadycosmetics.com/products/kryolan-supracolor-6-color-palette", "https://camerareadycosmetics.com/products/kryolan-supracolor-6-color-palette")</f>
        <v/>
      </c>
      <c r="B1801" s="2">
        <f>HYPERLINK("https://camerareadycosmetics.com/products/kryolan-supracolor-6-color-palette", "https://camerareadycosmetics.com/products/kryolan-supracolor-6-color-palette")</f>
        <v/>
      </c>
      <c r="C1801" t="inlineStr">
        <is>
          <t>Supracolor Palette 6 Color</t>
        </is>
      </c>
      <c r="D1801" t="inlineStr">
        <is>
          <t>Bella Bora Paint Palette - Skil Art 16 Wells, 10.6” x 6.4” – Plastic Palettes for Oil, Watercolors &amp; Acrylic Paints, Ideal for Mixing and Separating Colors, for All Skills Levels</t>
        </is>
      </c>
      <c r="E1801" s="2">
        <f>HYPERLINK("https://www.amazon.com/Bella-Bora-Plastic-Watercolors-Separating/dp/B09D7NNCKC/ref=sr_1_fkmr0_2?keywords=Supracolor+Palette+6+Color&amp;qid=1695565593&amp;sr=8-2-fkmr0", "https://www.amazon.com/Bella-Bora-Plastic-Watercolors-Separating/dp/B09D7NNCKC/ref=sr_1_fkmr0_2?keywords=Supracolor+Palette+6+Color&amp;qid=1695565593&amp;sr=8-2-fkmr0")</f>
        <v/>
      </c>
      <c r="F1801" t="inlineStr">
        <is>
          <t>B09D7NNCKC</t>
        </is>
      </c>
      <c r="G1801">
        <f>_xlfn.IMAGE("https://camerareadycosmetics.com/cdn/shop/products/kryolan_00_prod_S_0_50x.jpg?v=1526557991")</f>
        <v/>
      </c>
      <c r="H1801">
        <f>_xlfn.IMAGE("https://m.media-amazon.com/images/I/415uBx8Cm5L._AC_UL320_.jpg")</f>
        <v/>
      </c>
      <c r="K1801" t="inlineStr">
        <is>
          <t>29.2</t>
        </is>
      </c>
      <c r="L1801" t="n">
        <v>8.99</v>
      </c>
      <c r="M1801" s="1" t="inlineStr">
        <is>
          <t>-69.21%</t>
        </is>
      </c>
      <c r="N1801" t="n">
        <v>4.4</v>
      </c>
      <c r="O1801" t="n">
        <v>151</v>
      </c>
      <c r="Q1801" t="inlineStr">
        <is>
          <t>InStock</t>
        </is>
      </c>
      <c r="R1801" t="inlineStr">
        <is>
          <t>undefined</t>
        </is>
      </c>
      <c r="S1801" t="inlineStr">
        <is>
          <t>569531662346</t>
        </is>
      </c>
    </row>
    <row r="1802" ht="75" customHeight="1">
      <c r="A1802" s="2">
        <f>HYPERLINK("https://camerareadycosmetics.com/products/kryolan-supracolor-6-color-palette", "https://camerareadycosmetics.com/products/kryolan-supracolor-6-color-palette")</f>
        <v/>
      </c>
      <c r="B1802" s="2">
        <f>HYPERLINK("https://camerareadycosmetics.com/products/kryolan-supracolor-6-color-palette", "https://camerareadycosmetics.com/products/kryolan-supracolor-6-color-palette")</f>
        <v/>
      </c>
      <c r="C1802" t="inlineStr">
        <is>
          <t>Supracolor Palette 6 Color</t>
        </is>
      </c>
      <c r="D1802" t="inlineStr">
        <is>
          <t>U.S. Art Supply 6-Well Plastic Rectangular Artist Painting Palette - Paint Color Mixing Tray - Kids, Art Students, Classroom, Class Craft Projects, Fun Parties - Brush Mix Acrylic, Oil, Watercolor</t>
        </is>
      </c>
      <c r="E1802" s="2">
        <f>HYPERLINK("https://www.amazon.com/US-Art-Supply-Rectangular-Painting/dp/B00VEO1CJE/ref=sr_1_fkmr1_1?keywords=Supracolor+Palette+6+Color&amp;qid=1695565593&amp;sr=8-1-fkmr1", "https://www.amazon.com/US-Art-Supply-Rectangular-Painting/dp/B00VEO1CJE/ref=sr_1_fkmr1_1?keywords=Supracolor+Palette+6+Color&amp;qid=1695565593&amp;sr=8-1-fkmr1")</f>
        <v/>
      </c>
      <c r="F1802" t="inlineStr">
        <is>
          <t>B00VEO1CJE</t>
        </is>
      </c>
      <c r="G1802">
        <f>_xlfn.IMAGE("https://camerareadycosmetics.com/cdn/shop/products/kryolan_00_prod_S_0_50x.jpg?v=1526557991")</f>
        <v/>
      </c>
      <c r="H1802">
        <f>_xlfn.IMAGE("https://m.media-amazon.com/images/I/61Fb62JWJIL._AC_UL320_.jpg")</f>
        <v/>
      </c>
      <c r="K1802" t="inlineStr">
        <is>
          <t>29.2</t>
        </is>
      </c>
      <c r="L1802" t="n">
        <v>3.99</v>
      </c>
      <c r="M1802" s="1" t="inlineStr">
        <is>
          <t>-86.34%</t>
        </is>
      </c>
      <c r="N1802" t="n">
        <v>4.4</v>
      </c>
      <c r="O1802" t="n">
        <v>145</v>
      </c>
      <c r="Q1802" t="inlineStr">
        <is>
          <t>InStock</t>
        </is>
      </c>
      <c r="R1802" t="inlineStr">
        <is>
          <t>undefined</t>
        </is>
      </c>
      <c r="S1802" t="inlineStr">
        <is>
          <t>569531662346</t>
        </is>
      </c>
    </row>
    <row r="1803" ht="75" customHeight="1">
      <c r="A1803" s="2">
        <f>HYPERLINK("https://camerareadycosmetics.com/products/kryolan-supracolor-palette-12-colors", "https://camerareadycosmetics.com/products/kryolan-supracolor-palette-12-colors")</f>
        <v/>
      </c>
      <c r="B1803" s="2">
        <f>HYPERLINK("https://camerareadycosmetics.com/products/kryolan-supracolor-palette-12-colors", "https://camerareadycosmetics.com/products/kryolan-supracolor-palette-12-colors")</f>
        <v/>
      </c>
      <c r="C1803" t="inlineStr">
        <is>
          <t>Supracolor Palette 12 Colors</t>
        </is>
      </c>
      <c r="D1803" t="inlineStr">
        <is>
          <t>Kryolan Supracolor Palette 6 COLORS 1007 1 W - 6 W</t>
        </is>
      </c>
      <c r="E1803" s="2">
        <f>HYPERLINK("https://www.amazon.com/Kryolan-Supracolor-Palette-COLORS-1007/dp/B074FD21PK/ref=sr_1_fkmr0_1?keywords=Supracolor+Palette+12+Colors&amp;qid=1695565636&amp;sr=8-1-fkmr0", "https://www.amazon.com/Kryolan-Supracolor-Palette-COLORS-1007/dp/B074FD21PK/ref=sr_1_fkmr0_1?keywords=Supracolor+Palette+12+Colors&amp;qid=1695565636&amp;sr=8-1-fkmr0")</f>
        <v/>
      </c>
      <c r="F1803" t="inlineStr">
        <is>
          <t>B074FD21PK</t>
        </is>
      </c>
      <c r="G1803">
        <f>_xlfn.IMAGE("https://camerareadycosmetics.com/cdn/shop/products/kryolan_00_prod_TV_50x.jpg?v=1526557990")</f>
        <v/>
      </c>
      <c r="H1803">
        <f>_xlfn.IMAGE("https://m.media-amazon.com/images/I/21YBE0uY2GL._AC_UL320_.jpg")</f>
        <v/>
      </c>
      <c r="K1803" t="inlineStr">
        <is>
          <t>59.2</t>
        </is>
      </c>
      <c r="L1803" t="n">
        <v>39.95</v>
      </c>
      <c r="M1803" s="1" t="inlineStr">
        <is>
          <t>-32.52%</t>
        </is>
      </c>
      <c r="N1803" t="n">
        <v>4.4</v>
      </c>
      <c r="O1803" t="n">
        <v>102</v>
      </c>
      <c r="Q1803" t="inlineStr">
        <is>
          <t>InStock</t>
        </is>
      </c>
      <c r="R1803" t="inlineStr">
        <is>
          <t>undefined</t>
        </is>
      </c>
      <c r="S1803" t="inlineStr">
        <is>
          <t>569570852874</t>
        </is>
      </c>
    </row>
    <row r="1804" ht="75" customHeight="1">
      <c r="A1804" s="2">
        <f>HYPERLINK("https://camerareadycosmetics.com/products/kryolan-supracolor-palette-12-colors", "https://camerareadycosmetics.com/products/kryolan-supracolor-palette-12-colors")</f>
        <v/>
      </c>
      <c r="B1804" s="2">
        <f>HYPERLINK("https://camerareadycosmetics.com/products/kryolan-supracolor-palette-12-colors", "https://camerareadycosmetics.com/products/kryolan-supracolor-palette-12-colors")</f>
        <v/>
      </c>
      <c r="C1804" t="inlineStr">
        <is>
          <t>Supracolor Palette 12 Colors</t>
        </is>
      </c>
      <c r="D1804" t="inlineStr">
        <is>
          <t>SHANY 120 Colors Highly Pigmented Long Lasting Blendable Natural Colors Eye shadow Palette, Bold and Bright Collection, Vivid Colors</t>
        </is>
      </c>
      <c r="E1804" s="2">
        <f>HYPERLINK("https://www.amazon.com/SHANY-Eyeshadow-Palette-Bright-Collection/dp/B0026J10CU/ref=sr_1_1?keywords=Supracolor+Palette+12+Colors&amp;qid=1695565636&amp;sr=8-1", "https://www.amazon.com/SHANY-Eyeshadow-Palette-Bright-Collection/dp/B0026J10CU/ref=sr_1_1?keywords=Supracolor+Palette+12+Colors&amp;qid=1695565636&amp;sr=8-1")</f>
        <v/>
      </c>
      <c r="F1804" t="inlineStr">
        <is>
          <t>B0026J10CU</t>
        </is>
      </c>
      <c r="G1804">
        <f>_xlfn.IMAGE("https://camerareadycosmetics.com/cdn/shop/products/kryolan_00_prod_TV_50x.jpg?v=1526557990")</f>
        <v/>
      </c>
      <c r="H1804">
        <f>_xlfn.IMAGE("https://m.media-amazon.com/images/I/81dan9GyaSL._AC_UL320_.jpg")</f>
        <v/>
      </c>
      <c r="K1804" t="inlineStr">
        <is>
          <t>59.2</t>
        </is>
      </c>
      <c r="L1804" t="n">
        <v>18.95</v>
      </c>
      <c r="M1804" s="1" t="inlineStr">
        <is>
          <t>-67.99%</t>
        </is>
      </c>
      <c r="N1804" t="n">
        <v>4.4</v>
      </c>
      <c r="O1804" t="n">
        <v>4369</v>
      </c>
      <c r="Q1804" t="inlineStr">
        <is>
          <t>InStock</t>
        </is>
      </c>
      <c r="R1804" t="inlineStr">
        <is>
          <t>undefined</t>
        </is>
      </c>
      <c r="S1804" t="inlineStr">
        <is>
          <t>569570852874</t>
        </is>
      </c>
    </row>
    <row r="1805" ht="75" customHeight="1">
      <c r="A1805" s="2">
        <f>HYPERLINK("https://camerareadycosmetics.com/products/kryolan-supracolor-palette-12-colors", "https://camerareadycosmetics.com/products/kryolan-supracolor-palette-12-colors")</f>
        <v/>
      </c>
      <c r="B1805" s="2">
        <f>HYPERLINK("https://camerareadycosmetics.com/products/kryolan-supracolor-palette-12-colors", "https://camerareadycosmetics.com/products/kryolan-supracolor-palette-12-colors")</f>
        <v/>
      </c>
      <c r="C1805" t="inlineStr">
        <is>
          <t>Supracolor Palette 12 Colors</t>
        </is>
      </c>
      <c r="D1805" t="inlineStr">
        <is>
          <t>SHANY 120 Colors Highly Pigmented Long Lasting Blendable Natural Colors Eye shadow Palette, Bold and Bright Collection, Vivid Colors</t>
        </is>
      </c>
      <c r="E1805" s="2">
        <f>HYPERLINK("https://www.amazon.com/SHANY-Eyeshadow-Palette-Bright-Collection/dp/B0026J10CU/ref=sr_1_1?keywords=Supracolor+Palette+12+Colors&amp;qid=1695565636&amp;sr=8-1", "https://www.amazon.com/SHANY-Eyeshadow-Palette-Bright-Collection/dp/B0026J10CU/ref=sr_1_1?keywords=Supracolor+Palette+12+Colors&amp;qid=1695565636&amp;sr=8-1")</f>
        <v/>
      </c>
      <c r="F1805" t="inlineStr">
        <is>
          <t>B0026J10CU</t>
        </is>
      </c>
      <c r="G1805">
        <f>_xlfn.IMAGE("https://camerareadycosmetics.com/cdn/shop/products/kryolan_00_prod_TV_50x.jpg?v=1526557990")</f>
        <v/>
      </c>
      <c r="H1805">
        <f>_xlfn.IMAGE("https://m.media-amazon.com/images/I/81dan9GyaSL._AC_UL320_.jpg")</f>
        <v/>
      </c>
      <c r="K1805" t="inlineStr">
        <is>
          <t>59.2</t>
        </is>
      </c>
      <c r="L1805" t="n">
        <v>18.95</v>
      </c>
      <c r="M1805" s="1" t="inlineStr">
        <is>
          <t>-67.99%</t>
        </is>
      </c>
      <c r="N1805" t="n">
        <v>4.4</v>
      </c>
      <c r="O1805" t="n">
        <v>4369</v>
      </c>
      <c r="Q1805" t="inlineStr">
        <is>
          <t>InStock</t>
        </is>
      </c>
      <c r="R1805" t="inlineStr">
        <is>
          <t>undefined</t>
        </is>
      </c>
      <c r="S1805" t="inlineStr">
        <is>
          <t>569570852874</t>
        </is>
      </c>
    </row>
    <row r="1806" ht="75" customHeight="1">
      <c r="A1806" s="2">
        <f>HYPERLINK("https://camerareadycosmetics.com/products/kryolan-translucent-powder-20g", "https://camerareadycosmetics.com/products/kryolan-translucent-powder-20g")</f>
        <v/>
      </c>
      <c r="B1806" s="2">
        <f>HYPERLINK("https://camerareadycosmetics.com/products/kryolan-translucent-powder-20g", "https://camerareadycosmetics.com/products/kryolan-translucent-powder-20g")</f>
        <v/>
      </c>
      <c r="C1806" t="inlineStr">
        <is>
          <t>Translucent Powder 20G</t>
        </is>
      </c>
      <c r="D1806" t="inlineStr">
        <is>
          <t>Foundations by SENSAI Translucent Loose Powder 20g</t>
        </is>
      </c>
      <c r="E1806" s="2">
        <f>HYPERLINK("https://www.amazon.com/Foundations-SENSAI-Translucent-Loose-Powder/dp/B075JMBSSW/ref=sr_1_2?keywords=Translucent+Powder+20G&amp;qid=1695565471&amp;sr=8-2", "https://www.amazon.com/Foundations-SENSAI-Translucent-Loose-Powder/dp/B075JMBSSW/ref=sr_1_2?keywords=Translucent+Powder+20G&amp;qid=1695565471&amp;sr=8-2")</f>
        <v/>
      </c>
      <c r="F1806" t="inlineStr">
        <is>
          <t>B075JMBSSW</t>
        </is>
      </c>
      <c r="G1806">
        <f>_xlfn.IMAGE("https://camerareadycosmetics.com/cdn/shop/products/tl_1_new_50x.jpg?v=1694444742")</f>
        <v/>
      </c>
      <c r="H1806">
        <f>_xlfn.IMAGE("https://m.media-amazon.com/images/I/51Md3owu3TL._AC_UL320_.jpg")</f>
        <v/>
      </c>
      <c r="K1806" t="inlineStr">
        <is>
          <t>16.1</t>
        </is>
      </c>
      <c r="L1806" t="n">
        <v>62.4</v>
      </c>
      <c r="M1806" s="1" t="inlineStr">
        <is>
          <t>287.58%</t>
        </is>
      </c>
      <c r="N1806" t="n">
        <v>4.8</v>
      </c>
      <c r="O1806" t="n">
        <v>33</v>
      </c>
      <c r="Q1806" t="inlineStr">
        <is>
          <t>InStock</t>
        </is>
      </c>
      <c r="R1806" t="inlineStr">
        <is>
          <t>undefined</t>
        </is>
      </c>
      <c r="S1806" t="inlineStr">
        <is>
          <t>10241885642</t>
        </is>
      </c>
    </row>
    <row r="1807" ht="75" customHeight="1">
      <c r="A1807" s="2">
        <f>HYPERLINK("https://camerareadycosmetics.com/products/kryolan-translucent-powder-20g", "https://camerareadycosmetics.com/products/kryolan-translucent-powder-20g")</f>
        <v/>
      </c>
      <c r="B1807" s="2">
        <f>HYPERLINK("https://camerareadycosmetics.com/products/kryolan-translucent-powder-20g", "https://camerareadycosmetics.com/products/kryolan-translucent-powder-20g")</f>
        <v/>
      </c>
      <c r="C1807" t="inlineStr">
        <is>
          <t>Translucent Powder 20G</t>
        </is>
      </c>
      <c r="D1807" t="inlineStr">
        <is>
          <t>COVERGIRL Clean Invisible Loose Powder - Loose Powder, Setting Powder, Vegan Formula - Translucent Light, 20g (0.7 oz)</t>
        </is>
      </c>
      <c r="E1807" s="2">
        <f>HYPERLINK("https://www.amazon.com/Clean-Invisible-Loose-Powder-Translucent/dp/B0BBSTNF4T/ref=sr_1_1?keywords=Translucent+Powder+20G&amp;qid=1695565471&amp;sr=8-1", "https://www.amazon.com/Clean-Invisible-Loose-Powder-Translucent/dp/B0BBSTNF4T/ref=sr_1_1?keywords=Translucent+Powder+20G&amp;qid=1695565471&amp;sr=8-1")</f>
        <v/>
      </c>
      <c r="F1807" t="inlineStr">
        <is>
          <t>B0BBSTNF4T</t>
        </is>
      </c>
      <c r="G1807">
        <f>_xlfn.IMAGE("https://camerareadycosmetics.com/cdn/shop/products/tl_1_new_50x.jpg?v=1694444742")</f>
        <v/>
      </c>
      <c r="H1807">
        <f>_xlfn.IMAGE("https://m.media-amazon.com/images/I/714MhcL8mQL._AC_UL320_.jpg")</f>
        <v/>
      </c>
      <c r="K1807" t="inlineStr">
        <is>
          <t>16.1</t>
        </is>
      </c>
      <c r="L1807" t="n">
        <v>6.38</v>
      </c>
      <c r="M1807" s="1" t="inlineStr">
        <is>
          <t>-60.37%</t>
        </is>
      </c>
      <c r="N1807" t="n">
        <v>4.4</v>
      </c>
      <c r="O1807" t="n">
        <v>581</v>
      </c>
      <c r="Q1807" t="inlineStr">
        <is>
          <t>InStock</t>
        </is>
      </c>
      <c r="R1807" t="inlineStr">
        <is>
          <t>undefined</t>
        </is>
      </c>
      <c r="S1807" t="inlineStr">
        <is>
          <t>10241885642</t>
        </is>
      </c>
    </row>
    <row r="1808" ht="75" customHeight="1">
      <c r="A1808" s="2">
        <f>HYPERLINK("https://camerareadycosmetics.com/products/kryolan-translucent-powder-20g", "https://camerareadycosmetics.com/products/kryolan-translucent-powder-20g")</f>
        <v/>
      </c>
      <c r="B1808" s="2">
        <f>HYPERLINK("https://camerareadycosmetics.com/products/kryolan-translucent-powder-20g", "https://camerareadycosmetics.com/products/kryolan-translucent-powder-20g")</f>
        <v/>
      </c>
      <c r="C1808" t="inlineStr">
        <is>
          <t>Translucent Powder 20G</t>
        </is>
      </c>
      <c r="D1808" t="inlineStr">
        <is>
          <t>COVERGIRL Clean Invisible Loose Powder - Loose Powder, Setting Powder, Vegan Formula - Translucent Light, 20g (0.7 oz)</t>
        </is>
      </c>
      <c r="E1808" s="2">
        <f>HYPERLINK("https://www.amazon.com/Clean-Invisible-Loose-Powder-Translucent/dp/B0BBSTNF4T/ref=sr_1_1?keywords=Translucent+Powder+20G&amp;qid=1695565471&amp;sr=8-1", "https://www.amazon.com/Clean-Invisible-Loose-Powder-Translucent/dp/B0BBSTNF4T/ref=sr_1_1?keywords=Translucent+Powder+20G&amp;qid=1695565471&amp;sr=8-1")</f>
        <v/>
      </c>
      <c r="F1808" t="inlineStr">
        <is>
          <t>B0BBSTNF4T</t>
        </is>
      </c>
      <c r="G1808">
        <f>_xlfn.IMAGE("https://camerareadycosmetics.com/cdn/shop/products/tl_1_new_50x.jpg?v=1694444742")</f>
        <v/>
      </c>
      <c r="H1808">
        <f>_xlfn.IMAGE("https://m.media-amazon.com/images/I/714MhcL8mQL._AC_UL320_.jpg")</f>
        <v/>
      </c>
      <c r="K1808" t="inlineStr">
        <is>
          <t>16.1</t>
        </is>
      </c>
      <c r="L1808" t="n">
        <v>6.38</v>
      </c>
      <c r="M1808" s="1" t="inlineStr">
        <is>
          <t>-60.37%</t>
        </is>
      </c>
      <c r="N1808" t="n">
        <v>4.4</v>
      </c>
      <c r="O1808" t="n">
        <v>581</v>
      </c>
      <c r="Q1808" t="inlineStr">
        <is>
          <t>InStock</t>
        </is>
      </c>
      <c r="R1808" t="inlineStr">
        <is>
          <t>undefined</t>
        </is>
      </c>
      <c r="S1808" t="inlineStr">
        <is>
          <t>10241885642</t>
        </is>
      </c>
    </row>
    <row r="1809" ht="75" customHeight="1">
      <c r="A1809" s="2">
        <f>HYPERLINK("https://camerareadycosmetics.com/products/kryolan-tv-paint-stick", "https://camerareadycosmetics.com/products/kryolan-tv-paint-stick")</f>
        <v/>
      </c>
      <c r="B1809" s="2">
        <f>HYPERLINK("https://camerareadycosmetics.com/products/kryolan-tv-paint-stick", "https://camerareadycosmetics.com/products/kryolan-tv-paint-stick")</f>
        <v/>
      </c>
      <c r="C1809" t="inlineStr">
        <is>
          <t>TV Paint Stick</t>
        </is>
      </c>
      <c r="D1809" t="inlineStr">
        <is>
          <t>KRYOLAN TV PAINT STICK- FS36</t>
        </is>
      </c>
      <c r="E1809" s="2">
        <f>HYPERLINK("https://www.amazon.com/KRYOLAN-TV-PAINT-STICK-FS36/dp/B0043J4VBS/ref=sr_1_2?keywords=TV+Paint+Stick&amp;qid=1695565418&amp;sr=8-2", "https://www.amazon.com/KRYOLAN-TV-PAINT-STICK-FS36/dp/B0043J4VBS/ref=sr_1_2?keywords=TV+Paint+Stick&amp;qid=1695565418&amp;sr=8-2")</f>
        <v/>
      </c>
      <c r="F1809" t="inlineStr">
        <is>
          <t>B0043J4VBS</t>
        </is>
      </c>
      <c r="G1809">
        <f>_xlfn.IMAGE("https://camerareadycosmetics.com/cdn/shop/products/IVORY_50x.jpg?v=1691126086")</f>
        <v/>
      </c>
      <c r="H1809">
        <f>_xlfn.IMAGE("https://m.media-amazon.com/images/I/81qMZbh96sL._AC_UL320_.jpg")</f>
        <v/>
      </c>
      <c r="K1809" t="inlineStr">
        <is>
          <t>27.8</t>
        </is>
      </c>
      <c r="L1809" t="n">
        <v>39</v>
      </c>
      <c r="M1809" s="1" t="inlineStr">
        <is>
          <t>40.29%</t>
        </is>
      </c>
      <c r="N1809" t="n">
        <v>4.6</v>
      </c>
      <c r="O1809" t="n">
        <v>5</v>
      </c>
      <c r="Q1809" t="inlineStr">
        <is>
          <t>InStock</t>
        </is>
      </c>
      <c r="R1809" t="inlineStr">
        <is>
          <t>undefined</t>
        </is>
      </c>
      <c r="S1809" t="inlineStr">
        <is>
          <t>9732797066</t>
        </is>
      </c>
    </row>
    <row r="1810" ht="75" customHeight="1">
      <c r="A1810" s="2">
        <f>HYPERLINK("https://camerareadycosmetics.com/products/kryolan-tv-paint-stick", "https://camerareadycosmetics.com/products/kryolan-tv-paint-stick")</f>
        <v/>
      </c>
      <c r="B1810" s="2">
        <f>HYPERLINK("https://camerareadycosmetics.com/products/kryolan-tv-paint-stick", "https://camerareadycosmetics.com/products/kryolan-tv-paint-stick")</f>
        <v/>
      </c>
      <c r="C1810" t="inlineStr">
        <is>
          <t>TV Paint Stick</t>
        </is>
      </c>
      <c r="D1810" t="inlineStr">
        <is>
          <t>KRYOLAN TV PAINT STICK-1W</t>
        </is>
      </c>
      <c r="E1810" s="2">
        <f>HYPERLINK("https://www.amazon.com/Kryolan-KRYOLAN-TV-PAINT-STICK-1W/dp/B0154Y1HH6/ref=sr_1_3?keywords=TV+Paint+Stick&amp;qid=1695565418&amp;sr=8-3", "https://www.amazon.com/Kryolan-KRYOLAN-TV-PAINT-STICK-1W/dp/B0154Y1HH6/ref=sr_1_3?keywords=TV+Paint+Stick&amp;qid=1695565418&amp;sr=8-3")</f>
        <v/>
      </c>
      <c r="F1810" t="inlineStr">
        <is>
          <t>B0154Y1HH6</t>
        </is>
      </c>
      <c r="G1810">
        <f>_xlfn.IMAGE("https://camerareadycosmetics.com/cdn/shop/products/IVORY_50x.jpg?v=1691126086")</f>
        <v/>
      </c>
      <c r="H1810">
        <f>_xlfn.IMAGE("https://m.media-amazon.com/images/I/712+DBbRaeL._AC_UL320_.jpg")</f>
        <v/>
      </c>
      <c r="K1810" t="inlineStr">
        <is>
          <t>27.8</t>
        </is>
      </c>
      <c r="L1810" t="n">
        <v>39</v>
      </c>
      <c r="M1810" s="1" t="inlineStr">
        <is>
          <t>40.29%</t>
        </is>
      </c>
      <c r="N1810" t="n">
        <v>5</v>
      </c>
      <c r="O1810" t="n">
        <v>4</v>
      </c>
      <c r="Q1810" t="inlineStr">
        <is>
          <t>InStock</t>
        </is>
      </c>
      <c r="R1810" t="inlineStr">
        <is>
          <t>undefined</t>
        </is>
      </c>
      <c r="S1810" t="inlineStr">
        <is>
          <t>9732797066</t>
        </is>
      </c>
    </row>
    <row r="1811" ht="75" customHeight="1">
      <c r="A1811" s="2">
        <f>HYPERLINK("https://camerareadycosmetics.com/products/kryolan-ultra-setting-spray", "https://camerareadycosmetics.com/products/kryolan-ultra-setting-spray")</f>
        <v/>
      </c>
      <c r="B1811" s="2">
        <f>HYPERLINK("https://camerareadycosmetics.com/products/kryolan-ultra-setting-spray", "https://camerareadycosmetics.com/products/kryolan-ultra-setting-spray")</f>
        <v/>
      </c>
      <c r="C1811" t="inlineStr">
        <is>
          <t>Ultra Setting Spray</t>
        </is>
      </c>
      <c r="D1811" t="inlineStr">
        <is>
          <t>Urban Decay All Nighter Ultra Matte Setting Spray - Makeup Finishing Spray - Lasts Up To 16 Hours - Oil &amp; Shine-Controlling Mist - Great for Oily Skin</t>
        </is>
      </c>
      <c r="E1811" s="2">
        <f>HYPERLINK("https://www.amazon.com/Urban-Decay-Spray-Ultra-Matte/dp/B083TY8N7Q/ref=sr_1_6?keywords=Ultra+Setting+Spray&amp;qid=1695565461&amp;sr=8-6", "https://www.amazon.com/Urban-Decay-Spray-Ultra-Matte/dp/B083TY8N7Q/ref=sr_1_6?keywords=Ultra+Setting+Spray&amp;qid=1695565461&amp;sr=8-6")</f>
        <v/>
      </c>
      <c r="F1811" t="inlineStr">
        <is>
          <t>B083TY8N7Q</t>
        </is>
      </c>
      <c r="G1811">
        <f>_xlfn.IMAGE("https://camerareadycosmetics.com/cdn/shop/files/09291_00_prod_Ultra_Setting_Spray_50_ml_50x.jpg?v=1687199876")</f>
        <v/>
      </c>
      <c r="H1811">
        <f>_xlfn.IMAGE("https://m.media-amazon.com/images/I/51Ah3OYNwbL._AC_UL320_.jpg")</f>
        <v/>
      </c>
      <c r="K1811" t="inlineStr">
        <is>
          <t>18.3</t>
        </is>
      </c>
      <c r="L1811" t="n">
        <v>30.6</v>
      </c>
      <c r="M1811" s="1" t="inlineStr">
        <is>
          <t>67.21%</t>
        </is>
      </c>
      <c r="N1811" t="n">
        <v>4.2</v>
      </c>
      <c r="O1811" t="n">
        <v>2247</v>
      </c>
      <c r="Q1811" t="inlineStr">
        <is>
          <t>InStock</t>
        </is>
      </c>
      <c r="R1811" t="inlineStr">
        <is>
          <t>undefined</t>
        </is>
      </c>
      <c r="S1811" t="inlineStr">
        <is>
          <t>10898464650</t>
        </is>
      </c>
    </row>
    <row r="1812" ht="75" customHeight="1">
      <c r="A1812" s="2">
        <f>HYPERLINK("https://camerareadycosmetics.com/products/kryolan-ultra-setting-spray", "https://camerareadycosmetics.com/products/kryolan-ultra-setting-spray")</f>
        <v/>
      </c>
      <c r="B1812" s="2">
        <f>HYPERLINK("https://camerareadycosmetics.com/products/kryolan-ultra-setting-spray", "https://camerareadycosmetics.com/products/kryolan-ultra-setting-spray")</f>
        <v/>
      </c>
      <c r="C1812" t="inlineStr">
        <is>
          <t>Ultra Setting Spray</t>
        </is>
      </c>
      <c r="D1812" t="inlineStr">
        <is>
          <t>SAAT INSIGHT Ultra Setting Real Fixer for Matte Finish, Waterproof and Maskproof, Long Lasting Makeup Setting Spray (50ml (1.69 fl.oz.)) - Oil Control and Weightless Makeup Sealer Facial Mist</t>
        </is>
      </c>
      <c r="E1812" s="2">
        <f>HYPERLINK("https://www.amazon.com/SAAT-INSIGHT-Setting-Waterproof-Maskproof/dp/B09BYNHRQF/ref=sr_1_5?keywords=Ultra+Setting+Spray&amp;qid=1695565461&amp;sr=8-5", "https://www.amazon.com/SAAT-INSIGHT-Setting-Waterproof-Maskproof/dp/B09BYNHRQF/ref=sr_1_5?keywords=Ultra+Setting+Spray&amp;qid=1695565461&amp;sr=8-5")</f>
        <v/>
      </c>
      <c r="F1812" t="inlineStr">
        <is>
          <t>B09BYNHRQF</t>
        </is>
      </c>
      <c r="G1812">
        <f>_xlfn.IMAGE("https://camerareadycosmetics.com/cdn/shop/files/09291_00_prod_Ultra_Setting_Spray_50_ml_50x.jpg?v=1687199876")</f>
        <v/>
      </c>
      <c r="H1812">
        <f>_xlfn.IMAGE("https://m.media-amazon.com/images/I/51yrs7c0CHL._AC_UL320_.jpg")</f>
        <v/>
      </c>
      <c r="K1812" t="inlineStr">
        <is>
          <t>18.3</t>
        </is>
      </c>
      <c r="L1812" t="n">
        <v>15</v>
      </c>
      <c r="M1812" s="1" t="inlineStr">
        <is>
          <t>-18.03%</t>
        </is>
      </c>
      <c r="N1812" t="n">
        <v>3.7</v>
      </c>
      <c r="O1812" t="n">
        <v>46</v>
      </c>
      <c r="Q1812" t="inlineStr">
        <is>
          <t>InStock</t>
        </is>
      </c>
      <c r="R1812" t="inlineStr">
        <is>
          <t>undefined</t>
        </is>
      </c>
      <c r="S1812" t="inlineStr">
        <is>
          <t>10898464650</t>
        </is>
      </c>
    </row>
    <row r="1813" ht="75" customHeight="1">
      <c r="A1813" s="2">
        <f>HYPERLINK("https://camerareadycosmetics.com/products/kryolan-ultra-setting-spray", "https://camerareadycosmetics.com/products/kryolan-ultra-setting-spray")</f>
        <v/>
      </c>
      <c r="B1813" s="2">
        <f>HYPERLINK("https://camerareadycosmetics.com/products/kryolan-ultra-setting-spray", "https://camerareadycosmetics.com/products/kryolan-ultra-setting-spray")</f>
        <v/>
      </c>
      <c r="C1813" t="inlineStr">
        <is>
          <t>Ultra Setting Spray</t>
        </is>
      </c>
      <c r="D1813" t="inlineStr">
        <is>
          <t>MADLUVV Set Me™ Makeup Setting Spray, Ultra Hyaluronic Acid, Rosewater Mist</t>
        </is>
      </c>
      <c r="E1813" s="2">
        <f>HYPERLINK("https://www.amazon.com/MADLUVV-Makeup-Setting-Hyaluronic-Rosewater/dp/B09W4ZYQC5/ref=sr_1_10?keywords=Ultra+Setting+Spray&amp;qid=1695565461&amp;sr=8-10", "https://www.amazon.com/MADLUVV-Makeup-Setting-Hyaluronic-Rosewater/dp/B09W4ZYQC5/ref=sr_1_10?keywords=Ultra+Setting+Spray&amp;qid=1695565461&amp;sr=8-10")</f>
        <v/>
      </c>
      <c r="F1813" t="inlineStr">
        <is>
          <t>B09W4ZYQC5</t>
        </is>
      </c>
      <c r="G1813">
        <f>_xlfn.IMAGE("https://camerareadycosmetics.com/cdn/shop/files/09291_00_prod_Ultra_Setting_Spray_50_ml_50x.jpg?v=1687199876")</f>
        <v/>
      </c>
      <c r="H1813">
        <f>_xlfn.IMAGE("https://m.media-amazon.com/images/I/31Y8dcLxBRL._AC_UL320_.jpg")</f>
        <v/>
      </c>
      <c r="K1813" t="inlineStr">
        <is>
          <t>18.3</t>
        </is>
      </c>
      <c r="L1813" t="n">
        <v>14</v>
      </c>
      <c r="M1813" s="1" t="inlineStr">
        <is>
          <t>-23.50%</t>
        </is>
      </c>
      <c r="N1813" t="n">
        <v>4.3</v>
      </c>
      <c r="O1813" t="n">
        <v>45</v>
      </c>
      <c r="Q1813" t="inlineStr">
        <is>
          <t>InStock</t>
        </is>
      </c>
      <c r="R1813" t="inlineStr">
        <is>
          <t>undefined</t>
        </is>
      </c>
      <c r="S1813" t="inlineStr">
        <is>
          <t>10898464650</t>
        </is>
      </c>
    </row>
    <row r="1814" ht="75" customHeight="1">
      <c r="A1814" s="2">
        <f>HYPERLINK("https://camerareadycosmetics.com/products/kryolan-ultra-setting-spray", "https://camerareadycosmetics.com/products/kryolan-ultra-setting-spray")</f>
        <v/>
      </c>
      <c r="B1814" s="2">
        <f>HYPERLINK("https://camerareadycosmetics.com/products/kryolan-ultra-setting-spray", "https://camerareadycosmetics.com/products/kryolan-ultra-setting-spray")</f>
        <v/>
      </c>
      <c r="C1814" t="inlineStr">
        <is>
          <t>Ultra Setting Spray</t>
        </is>
      </c>
      <c r="D1814" t="inlineStr">
        <is>
          <t>KYDA Makeup Setting Spray, Ultra Fine Lightweight Setting Mist, Lasting Oil Control Makeup Finish, Quick Drying Formula, Face Makeup Fixer Spray, for All Skin, 3.38 Fl Oz, by Ownest Beauty</t>
        </is>
      </c>
      <c r="E1814" s="2">
        <f>HYPERLINK("https://www.amazon.com/KYDA-Setting-Lightweight-Lasting-Control/dp/B0C9M569B4/ref=sr_1_7?keywords=Ultra+Setting+Spray&amp;qid=1695565461&amp;sr=8-7", "https://www.amazon.com/KYDA-Setting-Lightweight-Lasting-Control/dp/B0C9M569B4/ref=sr_1_7?keywords=Ultra+Setting+Spray&amp;qid=1695565461&amp;sr=8-7")</f>
        <v/>
      </c>
      <c r="F1814" t="inlineStr">
        <is>
          <t>B0C9M569B4</t>
        </is>
      </c>
      <c r="G1814">
        <f>_xlfn.IMAGE("https://camerareadycosmetics.com/cdn/shop/files/09291_00_prod_Ultra_Setting_Spray_50_ml_50x.jpg?v=1687199876")</f>
        <v/>
      </c>
      <c r="H1814">
        <f>_xlfn.IMAGE("https://m.media-amazon.com/images/I/61GLjWX9+PL._AC_UL320_.jpg")</f>
        <v/>
      </c>
      <c r="K1814" t="inlineStr">
        <is>
          <t>18.3</t>
        </is>
      </c>
      <c r="L1814" t="n">
        <v>12.98</v>
      </c>
      <c r="M1814" s="1" t="inlineStr">
        <is>
          <t>-29.07%</t>
        </is>
      </c>
      <c r="N1814" t="n">
        <v>5</v>
      </c>
      <c r="O1814" t="n">
        <v>1</v>
      </c>
      <c r="Q1814" t="inlineStr">
        <is>
          <t>InStock</t>
        </is>
      </c>
      <c r="R1814" t="inlineStr">
        <is>
          <t>undefined</t>
        </is>
      </c>
      <c r="S1814" t="inlineStr">
        <is>
          <t>10898464650</t>
        </is>
      </c>
    </row>
    <row r="1815" ht="75" customHeight="1">
      <c r="A1815" s="2">
        <f>HYPERLINK("https://camerareadycosmetics.com/products/kryolan-ultra-setting-spray", "https://camerareadycosmetics.com/products/kryolan-ultra-setting-spray")</f>
        <v/>
      </c>
      <c r="B1815" s="2">
        <f>HYPERLINK("https://camerareadycosmetics.com/products/kryolan-ultra-setting-spray", "https://camerareadycosmetics.com/products/kryolan-ultra-setting-spray")</f>
        <v/>
      </c>
      <c r="C1815" t="inlineStr">
        <is>
          <t>Ultra Setting Spray</t>
        </is>
      </c>
      <c r="D1815" t="inlineStr">
        <is>
          <t>W7 Ready Set Glow Makeup Setting Spray - Shimmer Finish - Long-Lasting, Ultra-Fine Formula (Gold)</t>
        </is>
      </c>
      <c r="E1815" s="2">
        <f>HYPERLINK("https://www.amazon.com/W7-Setting-Spray-READY-GLOW/dp/B07RWQMB71/ref=sr_1_8?keywords=Ultra+Setting+Spray&amp;qid=1695565461&amp;sr=8-8", "https://www.amazon.com/W7-Setting-Spray-READY-GLOW/dp/B07RWQMB71/ref=sr_1_8?keywords=Ultra+Setting+Spray&amp;qid=1695565461&amp;sr=8-8")</f>
        <v/>
      </c>
      <c r="F1815" t="inlineStr">
        <is>
          <t>B07RWQMB71</t>
        </is>
      </c>
      <c r="G1815">
        <f>_xlfn.IMAGE("https://camerareadycosmetics.com/cdn/shop/files/09291_00_prod_Ultra_Setting_Spray_50_ml_50x.jpg?v=1687199876")</f>
        <v/>
      </c>
      <c r="H1815">
        <f>_xlfn.IMAGE("https://m.media-amazon.com/images/I/71vw0mllHXL._AC_UL320_.jpg")</f>
        <v/>
      </c>
      <c r="K1815" t="inlineStr">
        <is>
          <t>18.3</t>
        </is>
      </c>
      <c r="L1815" t="n">
        <v>6.95</v>
      </c>
      <c r="M1815" s="1" t="inlineStr">
        <is>
          <t>-62.02%</t>
        </is>
      </c>
      <c r="N1815" t="n">
        <v>4.1</v>
      </c>
      <c r="O1815" t="n">
        <v>804</v>
      </c>
      <c r="Q1815" t="inlineStr">
        <is>
          <t>InStock</t>
        </is>
      </c>
      <c r="R1815" t="inlineStr">
        <is>
          <t>undefined</t>
        </is>
      </c>
      <c r="S1815" t="inlineStr">
        <is>
          <t>10898464650</t>
        </is>
      </c>
    </row>
    <row r="1816" ht="75" customHeight="1">
      <c r="A1816" s="2">
        <f>HYPERLINK("https://camerareadycosmetics.com/products/kryolan-ultra-setting-spray", "https://camerareadycosmetics.com/products/kryolan-ultra-setting-spray")</f>
        <v/>
      </c>
      <c r="B1816" s="2">
        <f>HYPERLINK("https://camerareadycosmetics.com/products/kryolan-ultra-setting-spray", "https://camerareadycosmetics.com/products/kryolan-ultra-setting-spray")</f>
        <v/>
      </c>
      <c r="C1816" t="inlineStr">
        <is>
          <t>Ultra Setting Spray</t>
        </is>
      </c>
      <c r="D1816" t="inlineStr">
        <is>
          <t>W7 Ready Set Glow Makeup Setting Spray - Shimmer Finish - Long-Lasting, Ultra-Fine Formula (Gold)</t>
        </is>
      </c>
      <c r="E1816" s="2">
        <f>HYPERLINK("https://www.amazon.com/W7-Setting-Spray-READY-GLOW/dp/B07RWQMB71/ref=sr_1_8?keywords=Ultra+Setting+Spray&amp;qid=1695565461&amp;sr=8-8", "https://www.amazon.com/W7-Setting-Spray-READY-GLOW/dp/B07RWQMB71/ref=sr_1_8?keywords=Ultra+Setting+Spray&amp;qid=1695565461&amp;sr=8-8")</f>
        <v/>
      </c>
      <c r="F1816" t="inlineStr">
        <is>
          <t>B07RWQMB71</t>
        </is>
      </c>
      <c r="G1816">
        <f>_xlfn.IMAGE("https://camerareadycosmetics.com/cdn/shop/files/09291_00_prod_Ultra_Setting_Spray_50_ml_50x.jpg?v=1687199876")</f>
        <v/>
      </c>
      <c r="H1816">
        <f>_xlfn.IMAGE("https://m.media-amazon.com/images/I/71vw0mllHXL._AC_UL320_.jpg")</f>
        <v/>
      </c>
      <c r="K1816" t="inlineStr">
        <is>
          <t>18.3</t>
        </is>
      </c>
      <c r="L1816" t="n">
        <v>6.95</v>
      </c>
      <c r="M1816" s="1" t="inlineStr">
        <is>
          <t>-62.02%</t>
        </is>
      </c>
      <c r="N1816" t="n">
        <v>4.1</v>
      </c>
      <c r="O1816" t="n">
        <v>804</v>
      </c>
      <c r="Q1816" t="inlineStr">
        <is>
          <t>InStock</t>
        </is>
      </c>
      <c r="R1816" t="inlineStr">
        <is>
          <t>undefined</t>
        </is>
      </c>
      <c r="S1816" t="inlineStr">
        <is>
          <t>10898464650</t>
        </is>
      </c>
    </row>
    <row r="1817" ht="75" customHeight="1">
      <c r="A1817" s="2">
        <f>HYPERLINK("https://camerareadycosmetics.com/products/la-femme-brush-on-brow-kit", "https://camerareadycosmetics.com/products/la-femme-brush-on-brow-kit")</f>
        <v/>
      </c>
      <c r="B1817" s="2">
        <f>HYPERLINK("https://camerareadycosmetics.com/products/la-femme-brush-on-brow-kit", "https://camerareadycosmetics.com/products/la-femme-brush-on-brow-kit")</f>
        <v/>
      </c>
      <c r="C1817" t="inlineStr">
        <is>
          <t>Brush On Brow Kit</t>
        </is>
      </c>
      <c r="D1817" t="inlineStr">
        <is>
          <t>MADLUVV Eyebrow Stencil Kit - Easy-to-Use, Natural Look, 6 Popular Shapes, Used by Professionals - Includes Stamp, Stencils, Spoolie, and Travel Bag (Dark Brown)</t>
        </is>
      </c>
      <c r="E1817" s="2">
        <f>HYPERLINK("https://www.amazon.com/MADLUVV-Eyebrow-Stencil-Easy-Use/dp/B0C4W3582S/ref=sr_1_6?keywords=Brush+On+Brow+Kit&amp;qid=1695565587&amp;sr=8-6", "https://www.amazon.com/MADLUVV-Eyebrow-Stencil-Easy-Use/dp/B0C4W3582S/ref=sr_1_6?keywords=Brush+On+Brow+Kit&amp;qid=1695565587&amp;sr=8-6")</f>
        <v/>
      </c>
      <c r="F1817" t="inlineStr">
        <is>
          <t>B0C4W3582S</t>
        </is>
      </c>
      <c r="G1817">
        <f>_xlfn.IMAGE("https://camerareadycosmetics.com/cdn/shop/products/lafemme_brush-on-brow_mediumbrown_50x.jpg?v=1541118580")</f>
        <v/>
      </c>
      <c r="H1817">
        <f>_xlfn.IMAGE("https://m.media-amazon.com/images/I/51+KBFafc3L._AC_UL320_.jpg")</f>
        <v/>
      </c>
      <c r="K1817" t="inlineStr">
        <is>
          <t>9.9</t>
        </is>
      </c>
      <c r="L1817" t="n">
        <v>43</v>
      </c>
      <c r="M1817" s="1" t="inlineStr">
        <is>
          <t>334.34%</t>
        </is>
      </c>
      <c r="N1817" t="n">
        <v>3.8</v>
      </c>
      <c r="O1817" t="n">
        <v>7763</v>
      </c>
      <c r="Q1817" t="inlineStr">
        <is>
          <t>InStock</t>
        </is>
      </c>
      <c r="R1817" t="inlineStr">
        <is>
          <t>undefined</t>
        </is>
      </c>
      <c r="S1817" t="inlineStr">
        <is>
          <t>1838818164847</t>
        </is>
      </c>
    </row>
    <row r="1818" ht="75" customHeight="1">
      <c r="A1818" s="2">
        <f>HYPERLINK("https://camerareadycosmetics.com/products/la-femme-brush-on-brow-kit", "https://camerareadycosmetics.com/products/la-femme-brush-on-brow-kit")</f>
        <v/>
      </c>
      <c r="B1818" s="2">
        <f>HYPERLINK("https://camerareadycosmetics.com/products/la-femme-brush-on-brow-kit", "https://camerareadycosmetics.com/products/la-femme-brush-on-brow-kit")</f>
        <v/>
      </c>
      <c r="C1818" t="inlineStr">
        <is>
          <t>Brush On Brow Kit</t>
        </is>
      </c>
      <c r="D1818" t="inlineStr">
        <is>
          <t>Jolie Brush on Brow Eyebrow Styling Kit (Black-Brown)</t>
        </is>
      </c>
      <c r="E1818" s="2">
        <f>HYPERLINK("https://www.amazon.com/Jolie-Brush-Eyebrow-Styling-Black-Brown/dp/B01IPNIJU6/ref=sr_1_4?keywords=Brush+On+Brow+Kit&amp;qid=1695565587&amp;sr=8-4", "https://www.amazon.com/Jolie-Brush-Eyebrow-Styling-Black-Brown/dp/B01IPNIJU6/ref=sr_1_4?keywords=Brush+On+Brow+Kit&amp;qid=1695565587&amp;sr=8-4")</f>
        <v/>
      </c>
      <c r="F1818" t="inlineStr">
        <is>
          <t>B01IPNIJU6</t>
        </is>
      </c>
      <c r="G1818">
        <f>_xlfn.IMAGE("https://camerareadycosmetics.com/cdn/shop/products/lafemme_brush-on-brow_mediumbrown_50x.jpg?v=1541118580")</f>
        <v/>
      </c>
      <c r="H1818">
        <f>_xlfn.IMAGE("https://m.media-amazon.com/images/I/71Ocqxfe2RL._AC_UL320_.jpg")</f>
        <v/>
      </c>
      <c r="K1818" t="inlineStr">
        <is>
          <t>9.9</t>
        </is>
      </c>
      <c r="L1818" t="n">
        <v>18.6</v>
      </c>
      <c r="M1818" s="1" t="inlineStr">
        <is>
          <t>87.88%</t>
        </is>
      </c>
      <c r="N1818" t="n">
        <v>3.9</v>
      </c>
      <c r="O1818" t="n">
        <v>22</v>
      </c>
      <c r="Q1818" t="inlineStr">
        <is>
          <t>InStock</t>
        </is>
      </c>
      <c r="R1818" t="inlineStr">
        <is>
          <t>undefined</t>
        </is>
      </c>
      <c r="S1818" t="inlineStr">
        <is>
          <t>1838818164847</t>
        </is>
      </c>
    </row>
    <row r="1819" ht="75" customHeight="1">
      <c r="A1819" s="2">
        <f>HYPERLINK("https://camerareadycosmetics.com/products/la-femme-brush-on-brow-kit", "https://camerareadycosmetics.com/products/la-femme-brush-on-brow-kit")</f>
        <v/>
      </c>
      <c r="B1819" s="2">
        <f>HYPERLINK("https://camerareadycosmetics.com/products/la-femme-brush-on-brow-kit", "https://camerareadycosmetics.com/products/la-femme-brush-on-brow-kit")</f>
        <v/>
      </c>
      <c r="C1819" t="inlineStr">
        <is>
          <t>Brush On Brow Kit</t>
        </is>
      </c>
      <c r="D1819" t="inlineStr">
        <is>
          <t>UCANBE 25PCS Eyebrow Stamp Stencil Kit With Dual-Color Eyebrow Stamp Pomade, 20 Reusable Eyebrow Stencils, Finising Powder, Double-Ended Brush, Eyebrow Razor, Zipper Pouch, Long Lasting Waterproof Eye Brow Stamping and Shaping Kit(Dark Brown+Black Brown)</t>
        </is>
      </c>
      <c r="E1819" s="2">
        <f>HYPERLINK("https://www.amazon.com/UCANBE-Dual-Color-Reusable-Double-Ended-Waterproof/dp/B0BY2K6XYM/ref=sr_1_8?keywords=Brush+On+Brow+Kit&amp;qid=1695565587&amp;sr=8-8", "https://www.amazon.com/UCANBE-Dual-Color-Reusable-Double-Ended-Waterproof/dp/B0BY2K6XYM/ref=sr_1_8?keywords=Brush+On+Brow+Kit&amp;qid=1695565587&amp;sr=8-8")</f>
        <v/>
      </c>
      <c r="F1819" t="inlineStr">
        <is>
          <t>B0BY2K6XYM</t>
        </is>
      </c>
      <c r="G1819">
        <f>_xlfn.IMAGE("https://camerareadycosmetics.com/cdn/shop/products/lafemme_brush-on-brow_mediumbrown_50x.jpg?v=1541118580")</f>
        <v/>
      </c>
      <c r="H1819">
        <f>_xlfn.IMAGE("https://m.media-amazon.com/images/I/714DK7auGxL._AC_UL320_.jpg")</f>
        <v/>
      </c>
      <c r="K1819" t="inlineStr">
        <is>
          <t>9.9</t>
        </is>
      </c>
      <c r="L1819" t="n">
        <v>16.99</v>
      </c>
      <c r="M1819" s="1" t="inlineStr">
        <is>
          <t>71.62%</t>
        </is>
      </c>
      <c r="N1819" t="n">
        <v>4</v>
      </c>
      <c r="O1819" t="n">
        <v>231</v>
      </c>
      <c r="Q1819" t="inlineStr">
        <is>
          <t>InStock</t>
        </is>
      </c>
      <c r="R1819" t="inlineStr">
        <is>
          <t>undefined</t>
        </is>
      </c>
      <c r="S1819" t="inlineStr">
        <is>
          <t>1838818164847</t>
        </is>
      </c>
    </row>
    <row r="1820" ht="75" customHeight="1">
      <c r="A1820" s="2">
        <f>HYPERLINK("https://camerareadycosmetics.com/products/la-femme-brush-on-brow-kit", "https://camerareadycosmetics.com/products/la-femme-brush-on-brow-kit")</f>
        <v/>
      </c>
      <c r="B1820" s="2">
        <f>HYPERLINK("https://camerareadycosmetics.com/products/la-femme-brush-on-brow-kit", "https://camerareadycosmetics.com/products/la-femme-brush-on-brow-kit")</f>
        <v/>
      </c>
      <c r="C1820" t="inlineStr">
        <is>
          <t>Brush On Brow Kit</t>
        </is>
      </c>
      <c r="D1820" t="inlineStr">
        <is>
          <t>Brush On Brow for Perfectly Shaped &amp; Contoured Brows - Lightweight pressed brow powder compact that creates a subtle natural brow to a fierce night out brow (Soft Smoke)</t>
        </is>
      </c>
      <c r="E1820" s="2">
        <f>HYPERLINK("https://www.amazon.com/Brush-Perfectly-Shaped-Contoured-Brows/dp/B01GT2QIUI/ref=sr_1_3?keywords=Brush+On+Brow+Kit&amp;qid=1695565587&amp;sr=8-3", "https://www.amazon.com/Brush-Perfectly-Shaped-Contoured-Brows/dp/B01GT2QIUI/ref=sr_1_3?keywords=Brush+On+Brow+Kit&amp;qid=1695565587&amp;sr=8-3")</f>
        <v/>
      </c>
      <c r="F1820" t="inlineStr">
        <is>
          <t>B01GT2QIUI</t>
        </is>
      </c>
      <c r="G1820">
        <f>_xlfn.IMAGE("https://camerareadycosmetics.com/cdn/shop/products/lafemme_brush-on-brow_mediumbrown_50x.jpg?v=1541118580")</f>
        <v/>
      </c>
      <c r="H1820">
        <f>_xlfn.IMAGE("https://m.media-amazon.com/images/I/51Ql2eoRAdL._AC_UL320_.jpg")</f>
        <v/>
      </c>
      <c r="K1820" t="inlineStr">
        <is>
          <t>9.9</t>
        </is>
      </c>
      <c r="L1820" t="n">
        <v>12.99</v>
      </c>
      <c r="M1820" s="1" t="inlineStr">
        <is>
          <t>31.21%</t>
        </is>
      </c>
      <c r="N1820" t="n">
        <v>4.4</v>
      </c>
      <c r="O1820" t="n">
        <v>109</v>
      </c>
      <c r="Q1820" t="inlineStr">
        <is>
          <t>InStock</t>
        </is>
      </c>
      <c r="R1820" t="inlineStr">
        <is>
          <t>undefined</t>
        </is>
      </c>
      <c r="S1820" t="inlineStr">
        <is>
          <t>1838818164847</t>
        </is>
      </c>
    </row>
    <row r="1821" ht="75" customHeight="1">
      <c r="A1821" s="2">
        <f>HYPERLINK("https://camerareadycosmetics.com/products/la-femme-brush-on-brow-kit", "https://camerareadycosmetics.com/products/la-femme-brush-on-brow-kit")</f>
        <v/>
      </c>
      <c r="B1821" s="2">
        <f>HYPERLINK("https://camerareadycosmetics.com/products/la-femme-brush-on-brow-kit", "https://camerareadycosmetics.com/products/la-femme-brush-on-brow-kit")</f>
        <v/>
      </c>
      <c r="C1821" t="inlineStr">
        <is>
          <t>Brush On Brow Kit</t>
        </is>
      </c>
      <c r="D1821" t="inlineStr">
        <is>
          <t>KIMUSE Eyebrow Stamp Stencil Kit, Brow Gel with Eyebrow Stencils &amp; Eyebrow Brush, Long Lasting, Waterproof,Buildable Eyebrow Pomade Makeup</t>
        </is>
      </c>
      <c r="E1821" s="2">
        <f>HYPERLINK("https://www.amazon.com/KIMUSE-Eyebrow-Stamping-Stencils-Waterproof/dp/B0B7BTYLG1/ref=sr_1_10?keywords=Brush+On+Brow+Kit&amp;qid=1695565587&amp;sr=8-10", "https://www.amazon.com/KIMUSE-Eyebrow-Stamping-Stencils-Waterproof/dp/B0B7BTYLG1/ref=sr_1_10?keywords=Brush+On+Brow+Kit&amp;qid=1695565587&amp;sr=8-10")</f>
        <v/>
      </c>
      <c r="F1821" t="inlineStr">
        <is>
          <t>B0B7BTYLG1</t>
        </is>
      </c>
      <c r="G1821">
        <f>_xlfn.IMAGE("https://camerareadycosmetics.com/cdn/shop/products/lafemme_brush-on-brow_mediumbrown_50x.jpg?v=1541118580")</f>
        <v/>
      </c>
      <c r="H1821">
        <f>_xlfn.IMAGE("https://m.media-amazon.com/images/I/61JhsL8HimL._AC_UL320_.jpg")</f>
        <v/>
      </c>
      <c r="K1821" t="inlineStr">
        <is>
          <t>9.9</t>
        </is>
      </c>
      <c r="L1821" t="n">
        <v>12.99</v>
      </c>
      <c r="M1821" s="1" t="inlineStr">
        <is>
          <t>31.21%</t>
        </is>
      </c>
      <c r="N1821" t="n">
        <v>3.8</v>
      </c>
      <c r="O1821" t="n">
        <v>91</v>
      </c>
      <c r="Q1821" t="inlineStr">
        <is>
          <t>InStock</t>
        </is>
      </c>
      <c r="R1821" t="inlineStr">
        <is>
          <t>undefined</t>
        </is>
      </c>
      <c r="S1821" t="inlineStr">
        <is>
          <t>1838818164847</t>
        </is>
      </c>
    </row>
    <row r="1822" ht="75" customHeight="1">
      <c r="A1822" s="2">
        <f>HYPERLINK("https://camerareadycosmetics.com/products/la-femme-brush-on-brow-kit", "https://camerareadycosmetics.com/products/la-femme-brush-on-brow-kit")</f>
        <v/>
      </c>
      <c r="B1822" s="2">
        <f>HYPERLINK("https://camerareadycosmetics.com/products/la-femme-brush-on-brow-kit", "https://camerareadycosmetics.com/products/la-femme-brush-on-brow-kit")</f>
        <v/>
      </c>
      <c r="C1822" t="inlineStr">
        <is>
          <t>Brush On Brow Kit</t>
        </is>
      </c>
      <c r="D1822" t="inlineStr">
        <is>
          <t>COVERGIRL Easy Breezy Brow Powder Kit, Soft Blonde, 1 count (packaging may vary), Eyebrow Powder, Eyebrow Kit, Eyebrow Powder Kit, Eyebrows, Includes Double-Ended Fluffy and Angeled Brush</t>
        </is>
      </c>
      <c r="E1822" s="2">
        <f>HYPERLINK("https://www.amazon.com/COVERGIRL-Breezy-Powder-Blonde-packaging/dp/B06XRTKFLK/ref=sr_1_1?keywords=Brush+On+Brow+Kit&amp;qid=1695565587&amp;sr=8-1", "https://www.amazon.com/COVERGIRL-Breezy-Powder-Blonde-packaging/dp/B06XRTKFLK/ref=sr_1_1?keywords=Brush+On+Brow+Kit&amp;qid=1695565587&amp;sr=8-1")</f>
        <v/>
      </c>
      <c r="F1822" t="inlineStr">
        <is>
          <t>B06XRTKFLK</t>
        </is>
      </c>
      <c r="G1822">
        <f>_xlfn.IMAGE("https://camerareadycosmetics.com/cdn/shop/products/lafemme_brush-on-brow_mediumbrown_50x.jpg?v=1541118580")</f>
        <v/>
      </c>
      <c r="H1822">
        <f>_xlfn.IMAGE("https://m.media-amazon.com/images/I/61fNKfwYghL._AC_UL320_.jpg")</f>
        <v/>
      </c>
      <c r="K1822" t="inlineStr">
        <is>
          <t>9.9</t>
        </is>
      </c>
      <c r="L1822" t="n">
        <v>9.130000000000001</v>
      </c>
      <c r="M1822" s="1" t="inlineStr">
        <is>
          <t>-7.78%</t>
        </is>
      </c>
      <c r="N1822" t="n">
        <v>4.4</v>
      </c>
      <c r="O1822" t="n">
        <v>2990</v>
      </c>
      <c r="Q1822" t="inlineStr">
        <is>
          <t>InStock</t>
        </is>
      </c>
      <c r="R1822" t="inlineStr">
        <is>
          <t>undefined</t>
        </is>
      </c>
      <c r="S1822" t="inlineStr">
        <is>
          <t>1838818164847</t>
        </is>
      </c>
    </row>
    <row r="1823" ht="75" customHeight="1">
      <c r="A1823" s="2">
        <f>HYPERLINK("https://camerareadycosmetics.com/products/la-femme-brush-on-brow-kit", "https://camerareadycosmetics.com/products/la-femme-brush-on-brow-kit")</f>
        <v/>
      </c>
      <c r="B1823" s="2">
        <f>HYPERLINK("https://camerareadycosmetics.com/products/la-femme-brush-on-brow-kit", "https://camerareadycosmetics.com/products/la-femme-brush-on-brow-kit")</f>
        <v/>
      </c>
      <c r="C1823" t="inlineStr">
        <is>
          <t>Brush On Brow Kit</t>
        </is>
      </c>
      <c r="D1823" t="inlineStr">
        <is>
          <t>Eyebrow Brush Kit Thin Angled - Eye Brow Pomade Makeup Brushes To Shape Contour Concealer Techniques Conceal Blending Eyes Duo Spoolie Set Real Firm Bristles For Filling Definer Foundation Eye Shadow Powder Bronzer Gel Arches Winged Eyeliner Stencil</t>
        </is>
      </c>
      <c r="E1823" s="2">
        <f>HYPERLINK("https://www.amazon.com/Eyebrow-Brush-Small-Angled-Brow/dp/B01GEMNYS2/ref=sr_1_9?keywords=Brush+On+Brow+Kit&amp;qid=1695565587&amp;sr=8-9", "https://www.amazon.com/Eyebrow-Brush-Small-Angled-Brow/dp/B01GEMNYS2/ref=sr_1_9?keywords=Brush+On+Brow+Kit&amp;qid=1695565587&amp;sr=8-9")</f>
        <v/>
      </c>
      <c r="F1823" t="inlineStr">
        <is>
          <t>B01GEMNYS2</t>
        </is>
      </c>
      <c r="G1823">
        <f>_xlfn.IMAGE("https://camerareadycosmetics.com/cdn/shop/products/lafemme_brush-on-brow_mediumbrown_50x.jpg?v=1541118580")</f>
        <v/>
      </c>
      <c r="H1823">
        <f>_xlfn.IMAGE("https://m.media-amazon.com/images/I/61AVJhSfJdL._AC_UL320_.jpg")</f>
        <v/>
      </c>
      <c r="K1823" t="inlineStr">
        <is>
          <t>9.9</t>
        </is>
      </c>
      <c r="L1823" t="n">
        <v>7.99</v>
      </c>
      <c r="M1823" s="1" t="inlineStr">
        <is>
          <t>-19.29%</t>
        </is>
      </c>
      <c r="N1823" t="n">
        <v>4.5</v>
      </c>
      <c r="O1823" t="n">
        <v>4377</v>
      </c>
      <c r="Q1823" t="inlineStr">
        <is>
          <t>InStock</t>
        </is>
      </c>
      <c r="R1823" t="inlineStr">
        <is>
          <t>undefined</t>
        </is>
      </c>
      <c r="S1823" t="inlineStr">
        <is>
          <t>1838818164847</t>
        </is>
      </c>
    </row>
    <row r="1824" ht="75" customHeight="1">
      <c r="A1824" s="2">
        <f>HYPERLINK("https://camerareadycosmetics.com/products/la-femme-brush-on-brow-kit", "https://camerareadycosmetics.com/products/la-femme-brush-on-brow-kit")</f>
        <v/>
      </c>
      <c r="B1824" s="2">
        <f>HYPERLINK("https://camerareadycosmetics.com/products/la-femme-brush-on-brow-kit", "https://camerareadycosmetics.com/products/la-femme-brush-on-brow-kit")</f>
        <v/>
      </c>
      <c r="C1824" t="inlineStr">
        <is>
          <t>Brush On Brow Kit</t>
        </is>
      </c>
      <c r="D1824" t="inlineStr">
        <is>
          <t>Wet n Wild Must-Have Brow Kit, Eyebrow Pencils, Spoolie Brush, Clear Brow Gel (1180440)</t>
        </is>
      </c>
      <c r="E1824" s="2">
        <f>HYPERLINK("https://www.amazon.com/Wet-Wild-Must-Have-Eyebrow-1180440/dp/B096WH7RVD/ref=sr_1_5?keywords=Brush+On+Brow+Kit&amp;qid=1695565587&amp;sr=8-5", "https://www.amazon.com/Wet-Wild-Must-Have-Eyebrow-1180440/dp/B096WH7RVD/ref=sr_1_5?keywords=Brush+On+Brow+Kit&amp;qid=1695565587&amp;sr=8-5")</f>
        <v/>
      </c>
      <c r="F1824" t="inlineStr">
        <is>
          <t>B096WH7RVD</t>
        </is>
      </c>
      <c r="G1824">
        <f>_xlfn.IMAGE("https://camerareadycosmetics.com/cdn/shop/products/lafemme_brush-on-brow_mediumbrown_50x.jpg?v=1541118580")</f>
        <v/>
      </c>
      <c r="H1824">
        <f>_xlfn.IMAGE("https://m.media-amazon.com/images/I/71T3Eja8luS._AC_UL320_.jpg")</f>
        <v/>
      </c>
      <c r="K1824" t="inlineStr">
        <is>
          <t>9.9</t>
        </is>
      </c>
      <c r="L1824" t="n">
        <v>6.32</v>
      </c>
      <c r="M1824" s="1" t="inlineStr">
        <is>
          <t>-36.16%</t>
        </is>
      </c>
      <c r="N1824" t="n">
        <v>3</v>
      </c>
      <c r="O1824" t="n">
        <v>19</v>
      </c>
      <c r="Q1824" t="inlineStr">
        <is>
          <t>InStock</t>
        </is>
      </c>
      <c r="R1824" t="inlineStr">
        <is>
          <t>undefined</t>
        </is>
      </c>
      <c r="S1824" t="inlineStr">
        <is>
          <t>1838818164847</t>
        </is>
      </c>
    </row>
    <row r="1825" ht="75" customHeight="1">
      <c r="A1825" s="2">
        <f>HYPERLINK("https://camerareadycosmetics.com/products/la-femme-brush-on-brow-kit", "https://camerareadycosmetics.com/products/la-femme-brush-on-brow-kit")</f>
        <v/>
      </c>
      <c r="B1825" s="2">
        <f>HYPERLINK("https://camerareadycosmetics.com/products/la-femme-brush-on-brow-kit", "https://camerareadycosmetics.com/products/la-femme-brush-on-brow-kit")</f>
        <v/>
      </c>
      <c r="C1825" t="inlineStr">
        <is>
          <t>Brush On Brow Kit</t>
        </is>
      </c>
      <c r="D1825" t="inlineStr">
        <is>
          <t>Wet N Wild Ultimate Eyebrow Makeup Kit, Eyebrow Powder Dark Brown, Brow Hair Removal Tweezers, Wax, Brush</t>
        </is>
      </c>
      <c r="E1825" s="2">
        <f>HYPERLINK("https://www.amazon.com/wild-Ultimate-Brow-Dark-Brown/dp/B082YQ4QXJ/ref=sr_1_7?keywords=Brush+On+Brow+Kit&amp;qid=1695565587&amp;sr=8-7", "https://www.amazon.com/wild-Ultimate-Brow-Dark-Brown/dp/B082YQ4QXJ/ref=sr_1_7?keywords=Brush+On+Brow+Kit&amp;qid=1695565587&amp;sr=8-7")</f>
        <v/>
      </c>
      <c r="F1825" t="inlineStr">
        <is>
          <t>B082YQ4QXJ</t>
        </is>
      </c>
      <c r="G1825">
        <f>_xlfn.IMAGE("https://camerareadycosmetics.com/cdn/shop/products/lafemme_brush-on-brow_mediumbrown_50x.jpg?v=1541118580")</f>
        <v/>
      </c>
      <c r="H1825">
        <f>_xlfn.IMAGE("https://m.media-amazon.com/images/I/81CXsckRkrL._AC_UL320_.jpg")</f>
        <v/>
      </c>
      <c r="K1825" t="inlineStr">
        <is>
          <t>9.9</t>
        </is>
      </c>
      <c r="L1825" t="n">
        <v>4.47</v>
      </c>
      <c r="M1825" s="1" t="inlineStr">
        <is>
          <t>-54.85%</t>
        </is>
      </c>
      <c r="N1825" t="n">
        <v>4.5</v>
      </c>
      <c r="O1825" t="n">
        <v>4687</v>
      </c>
      <c r="Q1825" t="inlineStr">
        <is>
          <t>InStock</t>
        </is>
      </c>
      <c r="R1825" t="inlineStr">
        <is>
          <t>undefined</t>
        </is>
      </c>
      <c r="S1825" t="inlineStr">
        <is>
          <t>1838818164847</t>
        </is>
      </c>
    </row>
    <row r="1826" ht="75" customHeight="1">
      <c r="A1826" s="2">
        <f>HYPERLINK("https://camerareadycosmetics.com/products/la-femme-brush-on-brow-kit", "https://camerareadycosmetics.com/products/la-femme-brush-on-brow-kit")</f>
        <v/>
      </c>
      <c r="B1826" s="2">
        <f>HYPERLINK("https://camerareadycosmetics.com/products/la-femme-brush-on-brow-kit", "https://camerareadycosmetics.com/products/la-femme-brush-on-brow-kit")</f>
        <v/>
      </c>
      <c r="C1826" t="inlineStr">
        <is>
          <t>Brush On Brow Kit</t>
        </is>
      </c>
      <c r="D1826" t="inlineStr">
        <is>
          <t>Wet N Wild Ultimate Eyebrow Makeup Kit, Eyebrow Powder Dark Brown, Brow Hair Removal Tweezers, Wax, Brush</t>
        </is>
      </c>
      <c r="E1826" s="2">
        <f>HYPERLINK("https://www.amazon.com/wild-Ultimate-Brow-Dark-Brown/dp/B082YQ4QXJ/ref=sr_1_7?keywords=Brush+On+Brow+Kit&amp;qid=1695565587&amp;sr=8-7", "https://www.amazon.com/wild-Ultimate-Brow-Dark-Brown/dp/B082YQ4QXJ/ref=sr_1_7?keywords=Brush+On+Brow+Kit&amp;qid=1695565587&amp;sr=8-7")</f>
        <v/>
      </c>
      <c r="F1826" t="inlineStr">
        <is>
          <t>B082YQ4QXJ</t>
        </is>
      </c>
      <c r="G1826">
        <f>_xlfn.IMAGE("https://camerareadycosmetics.com/cdn/shop/products/lafemme_brush-on-brow_mediumbrown_50x.jpg?v=1541118580")</f>
        <v/>
      </c>
      <c r="H1826">
        <f>_xlfn.IMAGE("https://m.media-amazon.com/images/I/81CXsckRkrL._AC_UL320_.jpg")</f>
        <v/>
      </c>
      <c r="K1826" t="inlineStr">
        <is>
          <t>9.9</t>
        </is>
      </c>
      <c r="L1826" t="n">
        <v>4.47</v>
      </c>
      <c r="M1826" s="1" t="inlineStr">
        <is>
          <t>-54.85%</t>
        </is>
      </c>
      <c r="N1826" t="n">
        <v>4.5</v>
      </c>
      <c r="O1826" t="n">
        <v>4687</v>
      </c>
      <c r="Q1826" t="inlineStr">
        <is>
          <t>InStock</t>
        </is>
      </c>
      <c r="R1826" t="inlineStr">
        <is>
          <t>undefined</t>
        </is>
      </c>
      <c r="S1826" t="inlineStr">
        <is>
          <t>1838818164847</t>
        </is>
      </c>
    </row>
    <row r="1827" ht="75" customHeight="1">
      <c r="A1827" s="2">
        <f>HYPERLINK("https://camerareadycosmetics.com/products/la-femme-cake-eye-liner", "https://camerareadycosmetics.com/products/la-femme-cake-eye-liner")</f>
        <v/>
      </c>
      <c r="B1827" s="2">
        <f>HYPERLINK("https://camerareadycosmetics.com/products/la-femme-cake-eye-liner", "https://camerareadycosmetics.com/products/la-femme-cake-eye-liner")</f>
        <v/>
      </c>
      <c r="C1827" t="inlineStr">
        <is>
          <t>Cake Eye liner</t>
        </is>
      </c>
      <c r="D1827" t="inlineStr">
        <is>
          <t>Laura Mercier Tightline Cake Eye Liner, Black Ebony , 0.05 Ounce (Pack of 1)</t>
        </is>
      </c>
      <c r="E1827" s="2">
        <f>HYPERLINK("https://www.amazon.com/Laura-Mercier-Tightline-Cake-Liner/dp/B004O46T30/ref=sr_1_5?keywords=Cake+Eye+liner&amp;qid=1695565441&amp;sr=8-5", "https://www.amazon.com/Laura-Mercier-Tightline-Cake-Liner/dp/B004O46T30/ref=sr_1_5?keywords=Cake+Eye+liner&amp;qid=1695565441&amp;sr=8-5")</f>
        <v/>
      </c>
      <c r="F1827" t="inlineStr">
        <is>
          <t>B004O46T30</t>
        </is>
      </c>
      <c r="G1827">
        <f>_xlfn.IMAGE("https://camerareadycosmetics.com/cdn/shop/products/Untitled_1__98183.1433004293.600.600_50x.jpeg?v=1689626730")</f>
        <v/>
      </c>
      <c r="H1827">
        <f>_xlfn.IMAGE("https://m.media-amazon.com/images/I/71X-XUtkTOL._AC_UL320_.jpg")</f>
        <v/>
      </c>
      <c r="K1827" t="inlineStr">
        <is>
          <t>9.9</t>
        </is>
      </c>
      <c r="L1827" t="n">
        <v>42.87</v>
      </c>
      <c r="M1827" s="1" t="inlineStr">
        <is>
          <t>333.03%</t>
        </is>
      </c>
      <c r="N1827" t="n">
        <v>4.4</v>
      </c>
      <c r="O1827" t="n">
        <v>543</v>
      </c>
      <c r="Q1827" t="inlineStr">
        <is>
          <t>InStock</t>
        </is>
      </c>
      <c r="R1827" t="inlineStr">
        <is>
          <t>undefined</t>
        </is>
      </c>
      <c r="S1827" t="inlineStr">
        <is>
          <t>7034731143</t>
        </is>
      </c>
    </row>
    <row r="1828" ht="75" customHeight="1">
      <c r="A1828" s="2">
        <f>HYPERLINK("https://camerareadycosmetics.com/products/la-femme-cake-eye-liner", "https://camerareadycosmetics.com/products/la-femme-cake-eye-liner")</f>
        <v/>
      </c>
      <c r="B1828" s="2">
        <f>HYPERLINK("https://camerareadycosmetics.com/products/la-femme-cake-eye-liner", "https://camerareadycosmetics.com/products/la-femme-cake-eye-liner")</f>
        <v/>
      </c>
      <c r="C1828" t="inlineStr">
        <is>
          <t>Cake Eye liner</t>
        </is>
      </c>
      <c r="D1828" t="inlineStr">
        <is>
          <t>Michael Marcus Cake Eyeliner &amp; Brush - 2 Piece Water Activated Dry Pressed Eyeliner &amp; Professional Brush - Long-Lasting, Vibrant Color, Smudge Resistant - Cruelty Free Paraben Free (Espresso)</t>
        </is>
      </c>
      <c r="E1828" s="2">
        <f>HYPERLINK("https://www.amazon.com/Michael-Marcus-Eyeliner-Brush-Espresso/dp/B07B7QQW9Q/ref=sr_1_4?keywords=Cake+Eye+liner&amp;qid=1695565441&amp;sr=8-4", "https://www.amazon.com/Michael-Marcus-Eyeliner-Brush-Espresso/dp/B07B7QQW9Q/ref=sr_1_4?keywords=Cake+Eye+liner&amp;qid=1695565441&amp;sr=8-4")</f>
        <v/>
      </c>
      <c r="F1828" t="inlineStr">
        <is>
          <t>B07B7QQW9Q</t>
        </is>
      </c>
      <c r="G1828">
        <f>_xlfn.IMAGE("https://camerareadycosmetics.com/cdn/shop/products/Untitled_1__98183.1433004293.600.600_50x.jpeg?v=1689626730")</f>
        <v/>
      </c>
      <c r="H1828">
        <f>_xlfn.IMAGE("https://m.media-amazon.com/images/I/515ZC0-xG1L._AC_UL320_.jpg")</f>
        <v/>
      </c>
      <c r="K1828" t="inlineStr">
        <is>
          <t>9.9</t>
        </is>
      </c>
      <c r="L1828" t="n">
        <v>38</v>
      </c>
      <c r="M1828" s="1" t="inlineStr">
        <is>
          <t>283.84%</t>
        </is>
      </c>
      <c r="N1828" t="n">
        <v>4.1</v>
      </c>
      <c r="O1828" t="n">
        <v>284</v>
      </c>
      <c r="Q1828" t="inlineStr">
        <is>
          <t>InStock</t>
        </is>
      </c>
      <c r="R1828" t="inlineStr">
        <is>
          <t>undefined</t>
        </is>
      </c>
      <c r="S1828" t="inlineStr">
        <is>
          <t>7034731143</t>
        </is>
      </c>
    </row>
    <row r="1829" ht="75" customHeight="1">
      <c r="A1829" s="2">
        <f>HYPERLINK("https://camerareadycosmetics.com/products/la-femme-cake-eye-liner", "https://camerareadycosmetics.com/products/la-femme-cake-eye-liner")</f>
        <v/>
      </c>
      <c r="B1829" s="2">
        <f>HYPERLINK("https://camerareadycosmetics.com/products/la-femme-cake-eye-liner", "https://camerareadycosmetics.com/products/la-femme-cake-eye-liner")</f>
        <v/>
      </c>
      <c r="C1829" t="inlineStr">
        <is>
          <t>Cake Eye liner</t>
        </is>
      </c>
      <c r="D1829" t="inlineStr">
        <is>
          <t>Jolie Extra Long-Wear Cake Eyeliner (Black-Brown)</t>
        </is>
      </c>
      <c r="E1829" s="2">
        <f>HYPERLINK("https://www.amazon.com/Jolie-Extra-Long-Wear-Eyeliner-Black-Brown/dp/B01N2QZO3F/ref=sr_1_7?keywords=Cake+Eye+liner&amp;qid=1695565441&amp;sr=8-7", "https://www.amazon.com/Jolie-Extra-Long-Wear-Eyeliner-Black-Brown/dp/B01N2QZO3F/ref=sr_1_7?keywords=Cake+Eye+liner&amp;qid=1695565441&amp;sr=8-7")</f>
        <v/>
      </c>
      <c r="F1829" t="inlineStr">
        <is>
          <t>B01N2QZO3F</t>
        </is>
      </c>
      <c r="G1829">
        <f>_xlfn.IMAGE("https://camerareadycosmetics.com/cdn/shop/products/Untitled_1__98183.1433004293.600.600_50x.jpeg?v=1689626730")</f>
        <v/>
      </c>
      <c r="H1829">
        <f>_xlfn.IMAGE("https://m.media-amazon.com/images/I/81GMo3z9ZRL._AC_UL320_.jpg")</f>
        <v/>
      </c>
      <c r="K1829" t="inlineStr">
        <is>
          <t>9.9</t>
        </is>
      </c>
      <c r="L1829" t="n">
        <v>24</v>
      </c>
      <c r="M1829" s="1" t="inlineStr">
        <is>
          <t>142.42%</t>
        </is>
      </c>
      <c r="N1829" t="n">
        <v>4</v>
      </c>
      <c r="O1829" t="n">
        <v>281</v>
      </c>
      <c r="Q1829" t="inlineStr">
        <is>
          <t>InStock</t>
        </is>
      </c>
      <c r="R1829" t="inlineStr">
        <is>
          <t>undefined</t>
        </is>
      </c>
      <c r="S1829" t="inlineStr">
        <is>
          <t>7034731143</t>
        </is>
      </c>
    </row>
    <row r="1830" ht="75" customHeight="1">
      <c r="A1830" s="2">
        <f>HYPERLINK("https://camerareadycosmetics.com/products/la-femme-cake-eye-liner", "https://camerareadycosmetics.com/products/la-femme-cake-eye-liner")</f>
        <v/>
      </c>
      <c r="B1830" s="2">
        <f>HYPERLINK("https://camerareadycosmetics.com/products/la-femme-cake-eye-liner", "https://camerareadycosmetics.com/products/la-femme-cake-eye-liner")</f>
        <v/>
      </c>
      <c r="C1830" t="inlineStr">
        <is>
          <t>Cake Eye liner</t>
        </is>
      </c>
      <c r="D1830" t="inlineStr">
        <is>
          <t>michael marcus Cake Eyeliner - Water Activated Dry Pressed Eyeliner - Long-Lasting, Vibrant Color, Smudge Resistant - Cruelty Free Paraben Free (Espresso)</t>
        </is>
      </c>
      <c r="E1830" s="2">
        <f>HYPERLINK("https://www.amazon.com/michael-marcus-Cake-Eyeliner-Long-Lasting/dp/B0B5NKF3HX/ref=sr_1_6?keywords=Cake+Eye+liner&amp;qid=1695565441&amp;sr=8-6", "https://www.amazon.com/michael-marcus-Cake-Eyeliner-Long-Lasting/dp/B0B5NKF3HX/ref=sr_1_6?keywords=Cake+Eye+liner&amp;qid=1695565441&amp;sr=8-6")</f>
        <v/>
      </c>
      <c r="F1830" t="inlineStr">
        <is>
          <t>B0B5NKF3HX</t>
        </is>
      </c>
      <c r="G1830">
        <f>_xlfn.IMAGE("https://camerareadycosmetics.com/cdn/shop/products/Untitled_1__98183.1433004293.600.600_50x.jpeg?v=1689626730")</f>
        <v/>
      </c>
      <c r="H1830">
        <f>_xlfn.IMAGE("https://m.media-amazon.com/images/I/515ZC0-xG1L._AC_UL320_.jpg")</f>
        <v/>
      </c>
      <c r="K1830" t="inlineStr">
        <is>
          <t>9.9</t>
        </is>
      </c>
      <c r="L1830" t="n">
        <v>23</v>
      </c>
      <c r="M1830" s="1" t="inlineStr">
        <is>
          <t>132.32%</t>
        </is>
      </c>
      <c r="N1830" t="n">
        <v>4.1</v>
      </c>
      <c r="O1830" t="n">
        <v>94</v>
      </c>
      <c r="Q1830" t="inlineStr">
        <is>
          <t>InStock</t>
        </is>
      </c>
      <c r="R1830" t="inlineStr">
        <is>
          <t>undefined</t>
        </is>
      </c>
      <c r="S1830" t="inlineStr">
        <is>
          <t>7034731143</t>
        </is>
      </c>
    </row>
    <row r="1831" ht="75" customHeight="1">
      <c r="A1831" s="2">
        <f>HYPERLINK("https://camerareadycosmetics.com/products/la-femme-cake-eye-liner", "https://camerareadycosmetics.com/products/la-femme-cake-eye-liner")</f>
        <v/>
      </c>
      <c r="B1831" s="2">
        <f>HYPERLINK("https://camerareadycosmetics.com/products/la-femme-cake-eye-liner", "https://camerareadycosmetics.com/products/la-femme-cake-eye-liner")</f>
        <v/>
      </c>
      <c r="C1831" t="inlineStr">
        <is>
          <t>Cake Eye liner</t>
        </is>
      </c>
      <c r="D1831" t="inlineStr">
        <is>
          <t>Addictive Cosmetics Matte Black Eyeliner- Cake Eyeliner with Applicator Brush - Water Activated Dry Pressed Eyeliner - Long-Lasting, Vibrant Color, Smudge Resistant - Vegan Cruelty Free Paraben Free (Matte Black)</t>
        </is>
      </c>
      <c r="E1831" s="2">
        <f>HYPERLINK("https://www.amazon.com/Addictive-Cosmetics-Eyeliner-Eyeliner-Applicator/dp/B0BJ6B2J2F/ref=sr_1_1?keywords=Cake+Eye+liner&amp;qid=1695565441&amp;sr=8-1", "https://www.amazon.com/Addictive-Cosmetics-Eyeliner-Eyeliner-Applicator/dp/B0BJ6B2J2F/ref=sr_1_1?keywords=Cake+Eye+liner&amp;qid=1695565441&amp;sr=8-1")</f>
        <v/>
      </c>
      <c r="F1831" t="inlineStr">
        <is>
          <t>B0BJ6B2J2F</t>
        </is>
      </c>
      <c r="G1831">
        <f>_xlfn.IMAGE("https://camerareadycosmetics.com/cdn/shop/products/Untitled_1__98183.1433004293.600.600_50x.jpeg?v=1689626730")</f>
        <v/>
      </c>
      <c r="H1831">
        <f>_xlfn.IMAGE("https://m.media-amazon.com/images/I/718xjK5-rkL._AC_UL320_.jpg")</f>
        <v/>
      </c>
      <c r="K1831" t="inlineStr">
        <is>
          <t>9.9</t>
        </is>
      </c>
      <c r="L1831" t="n">
        <v>19.99</v>
      </c>
      <c r="M1831" s="1" t="inlineStr">
        <is>
          <t>101.92%</t>
        </is>
      </c>
      <c r="N1831" t="n">
        <v>4.5</v>
      </c>
      <c r="O1831" t="n">
        <v>92</v>
      </c>
      <c r="Q1831" t="inlineStr">
        <is>
          <t>InStock</t>
        </is>
      </c>
      <c r="R1831" t="inlineStr">
        <is>
          <t>undefined</t>
        </is>
      </c>
      <c r="S1831" t="inlineStr">
        <is>
          <t>7034731143</t>
        </is>
      </c>
    </row>
    <row r="1832" ht="75" customHeight="1">
      <c r="A1832" s="2">
        <f>HYPERLINK("https://camerareadycosmetics.com/products/la-femme-cake-eye-liner", "https://camerareadycosmetics.com/products/la-femme-cake-eye-liner")</f>
        <v/>
      </c>
      <c r="B1832" s="2">
        <f>HYPERLINK("https://camerareadycosmetics.com/products/la-femme-cake-eye-liner", "https://camerareadycosmetics.com/products/la-femme-cake-eye-liner")</f>
        <v/>
      </c>
      <c r="C1832" t="inlineStr">
        <is>
          <t>Cake Eye liner</t>
        </is>
      </c>
      <c r="D1832" t="inlineStr">
        <is>
          <t>SACE LADY Eyeliner, Pro Cake Eyeliner Powder, Long Lasting Water-Soluble Eyeliner Pressed Powder, Waterproof, Smudge-Proof, Cruelty Free for Makeup Beginner and Pro Makeup Artist 0.12Oz (Coffee)</t>
        </is>
      </c>
      <c r="E1832" s="2">
        <f>HYPERLINK("https://www.amazon.com/SACE-LADY-Water-Soluble-Waterproof-Smudge-Proof/dp/B075P2TT75/ref=sr_1_9?keywords=Cake+Eye+liner&amp;qid=1695565441&amp;sr=8-9", "https://www.amazon.com/SACE-LADY-Water-Soluble-Waterproof-Smudge-Proof/dp/B075P2TT75/ref=sr_1_9?keywords=Cake+Eye+liner&amp;qid=1695565441&amp;sr=8-9")</f>
        <v/>
      </c>
      <c r="F1832" t="inlineStr">
        <is>
          <t>B075P2TT75</t>
        </is>
      </c>
      <c r="G1832">
        <f>_xlfn.IMAGE("https://camerareadycosmetics.com/cdn/shop/products/Untitled_1__98183.1433004293.600.600_50x.jpeg?v=1689626730")</f>
        <v/>
      </c>
      <c r="H1832">
        <f>_xlfn.IMAGE("https://m.media-amazon.com/images/I/61Tc4VJsQIL._AC_UL320_.jpg")</f>
        <v/>
      </c>
      <c r="K1832" t="inlineStr">
        <is>
          <t>9.9</t>
        </is>
      </c>
      <c r="L1832" t="n">
        <v>16.99</v>
      </c>
      <c r="M1832" s="1" t="inlineStr">
        <is>
          <t>71.62%</t>
        </is>
      </c>
      <c r="N1832" t="n">
        <v>3.7</v>
      </c>
      <c r="O1832" t="n">
        <v>344</v>
      </c>
      <c r="Q1832" t="inlineStr">
        <is>
          <t>InStock</t>
        </is>
      </c>
      <c r="R1832" t="inlineStr">
        <is>
          <t>undefined</t>
        </is>
      </c>
      <c r="S1832" t="inlineStr">
        <is>
          <t>7034731143</t>
        </is>
      </c>
    </row>
    <row r="1833" ht="75" customHeight="1">
      <c r="A1833" s="2">
        <f>HYPERLINK("https://camerareadycosmetics.com/products/la-femme-cake-eye-liner", "https://camerareadycosmetics.com/products/la-femme-cake-eye-liner")</f>
        <v/>
      </c>
      <c r="B1833" s="2">
        <f>HYPERLINK("https://camerareadycosmetics.com/products/la-femme-cake-eye-liner", "https://camerareadycosmetics.com/products/la-femme-cake-eye-liner")</f>
        <v/>
      </c>
      <c r="C1833" t="inlineStr">
        <is>
          <t>Cake Eye liner</t>
        </is>
      </c>
      <c r="D1833" t="inlineStr">
        <is>
          <t>Femme Couture Mineral Effects Baked Cake Eyeliner (Navy)</t>
        </is>
      </c>
      <c r="E1833" s="2">
        <f>HYPERLINK("https://www.amazon.com/Femme-Couture-Mineral-Effects-Eyeliner/dp/B003Z65F0G/ref=sr_1_10?keywords=Cake+Eye+liner&amp;qid=1695565441&amp;sr=8-10", "https://www.amazon.com/Femme-Couture-Mineral-Effects-Eyeliner/dp/B003Z65F0G/ref=sr_1_10?keywords=Cake+Eye+liner&amp;qid=1695565441&amp;sr=8-10")</f>
        <v/>
      </c>
      <c r="F1833" t="inlineStr">
        <is>
          <t>B003Z65F0G</t>
        </is>
      </c>
      <c r="G1833">
        <f>_xlfn.IMAGE("https://camerareadycosmetics.com/cdn/shop/products/Untitled_1__98183.1433004293.600.600_50x.jpeg?v=1689626730")</f>
        <v/>
      </c>
      <c r="H1833">
        <f>_xlfn.IMAGE("https://m.media-amazon.com/images/I/71bSFzfikKL._AC_UL320_.jpg")</f>
        <v/>
      </c>
      <c r="K1833" t="inlineStr">
        <is>
          <t>9.9</t>
        </is>
      </c>
      <c r="L1833" t="n">
        <v>16.49</v>
      </c>
      <c r="M1833" s="1" t="inlineStr">
        <is>
          <t>66.57%</t>
        </is>
      </c>
      <c r="N1833" t="n">
        <v>4.4</v>
      </c>
      <c r="O1833" t="n">
        <v>32</v>
      </c>
      <c r="Q1833" t="inlineStr">
        <is>
          <t>InStock</t>
        </is>
      </c>
      <c r="R1833" t="inlineStr">
        <is>
          <t>undefined</t>
        </is>
      </c>
      <c r="S1833" t="inlineStr">
        <is>
          <t>7034731143</t>
        </is>
      </c>
    </row>
    <row r="1834" ht="75" customHeight="1">
      <c r="A1834" s="2">
        <f>HYPERLINK("https://camerareadycosmetics.com/products/la-femme-cake-eye-liner", "https://camerareadycosmetics.com/products/la-femme-cake-eye-liner")</f>
        <v/>
      </c>
      <c r="B1834" s="2">
        <f>HYPERLINK("https://camerareadycosmetics.com/products/la-femme-cake-eye-liner", "https://camerareadycosmetics.com/products/la-femme-cake-eye-liner")</f>
        <v/>
      </c>
      <c r="C1834" t="inlineStr">
        <is>
          <t>Cake Eye liner</t>
        </is>
      </c>
      <c r="D1834" t="inlineStr">
        <is>
          <t>Graftobian Professional HD Cake Eyeliner (Espresso Brown) Get Precise Lines, Water-Activated Pressed Powder Eyeliner, Long-Lasting Wear, For Bold Graphic Liner Or Subtle Tightline Effect, Made in USA</t>
        </is>
      </c>
      <c r="E1834" s="2">
        <f>HYPERLINK("https://www.amazon.com/Graftobian-Professional-Hd-Cake-Eyeliner/dp/B004LOX7F6/ref=sr_1_3?keywords=Cake+Eye+liner&amp;qid=1695565441&amp;sr=8-3", "https://www.amazon.com/Graftobian-Professional-Hd-Cake-Eyeliner/dp/B004LOX7F6/ref=sr_1_3?keywords=Cake+Eye+liner&amp;qid=1695565441&amp;sr=8-3")</f>
        <v/>
      </c>
      <c r="F1834" t="inlineStr">
        <is>
          <t>B004LOX7F6</t>
        </is>
      </c>
      <c r="G1834">
        <f>_xlfn.IMAGE("https://camerareadycosmetics.com/cdn/shop/products/Untitled_1__98183.1433004293.600.600_50x.jpeg?v=1689626730")</f>
        <v/>
      </c>
      <c r="H1834">
        <f>_xlfn.IMAGE("https://m.media-amazon.com/images/I/71OqE5aXJnL._AC_UL320_.jpg")</f>
        <v/>
      </c>
      <c r="K1834" t="inlineStr">
        <is>
          <t>9.9</t>
        </is>
      </c>
      <c r="L1834" t="n">
        <v>14.4</v>
      </c>
      <c r="M1834" s="1" t="inlineStr">
        <is>
          <t>45.45%</t>
        </is>
      </c>
      <c r="N1834" t="n">
        <v>4.2</v>
      </c>
      <c r="O1834" t="n">
        <v>806</v>
      </c>
      <c r="Q1834" t="inlineStr">
        <is>
          <t>InStock</t>
        </is>
      </c>
      <c r="R1834" t="inlineStr">
        <is>
          <t>undefined</t>
        </is>
      </c>
      <c r="S1834" t="inlineStr">
        <is>
          <t>7034731143</t>
        </is>
      </c>
    </row>
    <row r="1835" ht="75" customHeight="1">
      <c r="A1835" s="2">
        <f>HYPERLINK("https://camerareadycosmetics.com/products/la-femme-cake-eye-liner", "https://camerareadycosmetics.com/products/la-femme-cake-eye-liner")</f>
        <v/>
      </c>
      <c r="B1835" s="2">
        <f>HYPERLINK("https://camerareadycosmetics.com/products/la-femme-cake-eye-liner", "https://camerareadycosmetics.com/products/la-femme-cake-eye-liner")</f>
        <v/>
      </c>
      <c r="C1835" t="inlineStr">
        <is>
          <t>Cake Eye liner</t>
        </is>
      </c>
      <c r="D1835" t="inlineStr">
        <is>
          <t>Pure Zivaª Black Matte Cake Eyeliner &amp; Eyeshadow, Water Activated Pressed Powder; Gluten &amp; Cruelty Free</t>
        </is>
      </c>
      <c r="E1835" s="2">
        <f>HYPERLINK("https://www.amazon.com/Pure-Ziva-Pressed-Eyeliner-Eyeshadow/dp/B00XQ6J3RG/ref=sr_1_2?keywords=Cake+Eye+liner&amp;qid=1695565441&amp;sr=8-2", "https://www.amazon.com/Pure-Ziva-Pressed-Eyeliner-Eyeshadow/dp/B00XQ6J3RG/ref=sr_1_2?keywords=Cake+Eye+liner&amp;qid=1695565441&amp;sr=8-2")</f>
        <v/>
      </c>
      <c r="F1835" t="inlineStr">
        <is>
          <t>B00XQ6J3RG</t>
        </is>
      </c>
      <c r="G1835">
        <f>_xlfn.IMAGE("https://camerareadycosmetics.com/cdn/shop/products/Untitled_1__98183.1433004293.600.600_50x.jpeg?v=1689626730")</f>
        <v/>
      </c>
      <c r="H1835">
        <f>_xlfn.IMAGE("https://m.media-amazon.com/images/I/81hq8IkcRRL._AC_UL320_.jpg")</f>
        <v/>
      </c>
      <c r="K1835" t="inlineStr">
        <is>
          <t>9.9</t>
        </is>
      </c>
      <c r="L1835" t="n">
        <v>13.99</v>
      </c>
      <c r="M1835" s="1" t="inlineStr">
        <is>
          <t>41.31%</t>
        </is>
      </c>
      <c r="N1835" t="n">
        <v>4.1</v>
      </c>
      <c r="O1835" t="n">
        <v>1204</v>
      </c>
      <c r="Q1835" t="inlineStr">
        <is>
          <t>InStock</t>
        </is>
      </c>
      <c r="R1835" t="inlineStr">
        <is>
          <t>undefined</t>
        </is>
      </c>
      <c r="S1835" t="inlineStr">
        <is>
          <t>7034731143</t>
        </is>
      </c>
    </row>
    <row r="1836" ht="75" customHeight="1">
      <c r="A1836" s="2">
        <f>HYPERLINK("https://camerareadycosmetics.com/products/la-femme-concealer", "https://camerareadycosmetics.com/products/la-femme-concealer")</f>
        <v/>
      </c>
      <c r="B1836" s="2">
        <f>HYPERLINK("https://camerareadycosmetics.com/products/la-femme-concealer", "https://camerareadycosmetics.com/products/la-femme-concealer")</f>
        <v/>
      </c>
      <c r="C1836" t="inlineStr">
        <is>
          <t>Creme Concealer</t>
        </is>
      </c>
      <c r="D1836" t="inlineStr">
        <is>
          <t>Jolie Total Coverage Conceal Under Eye &amp; Facial Creme Concealer Pot (Medium)</t>
        </is>
      </c>
      <c r="E1836" s="2">
        <f>HYPERLINK("https://www.amazon.com/Jolie-Coverage-Conceal-Facial-Concealer/dp/B008BSYM0W/ref=sr_1_6?keywords=Creme+Concealer&amp;qid=1695565610&amp;sr=8-6", "https://www.amazon.com/Jolie-Coverage-Conceal-Facial-Concealer/dp/B008BSYM0W/ref=sr_1_6?keywords=Creme+Concealer&amp;qid=1695565610&amp;sr=8-6")</f>
        <v/>
      </c>
      <c r="F1836" t="inlineStr">
        <is>
          <t>B008BSYM0W</t>
        </is>
      </c>
      <c r="G1836">
        <f>_xlfn.IMAGE("https://camerareadycosmetics.com/cdn/shop/products/la-femme-cosmetics-concealers_50x.jpg?v=1530288826")</f>
        <v/>
      </c>
      <c r="H1836">
        <f>_xlfn.IMAGE("https://m.media-amazon.com/images/I/81PzeNgmZ-L._AC_UL320_.jpg")</f>
        <v/>
      </c>
      <c r="K1836" t="inlineStr">
        <is>
          <t>9.9</t>
        </is>
      </c>
      <c r="L1836" t="n">
        <v>17.5</v>
      </c>
      <c r="M1836" s="1" t="inlineStr">
        <is>
          <t>76.77%</t>
        </is>
      </c>
      <c r="N1836" t="n">
        <v>4</v>
      </c>
      <c r="O1836" t="n">
        <v>237</v>
      </c>
      <c r="Q1836" t="inlineStr">
        <is>
          <t>InStock</t>
        </is>
      </c>
      <c r="R1836" t="inlineStr">
        <is>
          <t>undefined</t>
        </is>
      </c>
      <c r="S1836" t="inlineStr">
        <is>
          <t>549860147210</t>
        </is>
      </c>
    </row>
    <row r="1837" ht="75" customHeight="1">
      <c r="A1837" s="2">
        <f>HYPERLINK("https://camerareadycosmetics.com/products/la-femme-concealer", "https://camerareadycosmetics.com/products/la-femme-concealer")</f>
        <v/>
      </c>
      <c r="B1837" s="2">
        <f>HYPERLINK("https://camerareadycosmetics.com/products/la-femme-concealer", "https://camerareadycosmetics.com/products/la-femme-concealer")</f>
        <v/>
      </c>
      <c r="C1837" t="inlineStr">
        <is>
          <t>Creme Concealer</t>
        </is>
      </c>
      <c r="D1837" t="inlineStr">
        <is>
          <t>FOCALLURE FIX CORRECTOR Concealer Stick, with 2 Replaceable Sponge Applicator, Full Coverage Concealer Makeup, Color Corrector for Dark Circles, Transfer Resistant, YL01 CREME</t>
        </is>
      </c>
      <c r="E1837" s="2">
        <f>HYPERLINK("https://www.amazon.com/FOCALLURE-CORRECTOR-Concealer-Replaceable-Applicator/dp/B0CCP3LJC2/ref=sr_1_8?keywords=Creme+Concealer&amp;qid=1695565610&amp;sr=8-8", "https://www.amazon.com/FOCALLURE-CORRECTOR-Concealer-Replaceable-Applicator/dp/B0CCP3LJC2/ref=sr_1_8?keywords=Creme+Concealer&amp;qid=1695565610&amp;sr=8-8")</f>
        <v/>
      </c>
      <c r="F1837" t="inlineStr">
        <is>
          <t>B0CCP3LJC2</t>
        </is>
      </c>
      <c r="G1837">
        <f>_xlfn.IMAGE("https://camerareadycosmetics.com/cdn/shop/products/la-femme-cosmetics-concealers_50x.jpg?v=1530288826")</f>
        <v/>
      </c>
      <c r="H1837">
        <f>_xlfn.IMAGE("https://m.media-amazon.com/images/I/61IGRfVn91L._AC_UL320_.jpg")</f>
        <v/>
      </c>
      <c r="K1837" t="inlineStr">
        <is>
          <t>9.9</t>
        </is>
      </c>
      <c r="L1837" t="n">
        <v>9.949999999999999</v>
      </c>
      <c r="M1837" s="1" t="inlineStr">
        <is>
          <t>0.51%</t>
        </is>
      </c>
      <c r="N1837" t="n">
        <v>4.3</v>
      </c>
      <c r="O1837" t="n">
        <v>25</v>
      </c>
      <c r="Q1837" t="inlineStr">
        <is>
          <t>InStock</t>
        </is>
      </c>
      <c r="R1837" t="inlineStr">
        <is>
          <t>undefined</t>
        </is>
      </c>
      <c r="S1837" t="inlineStr">
        <is>
          <t>549860147210</t>
        </is>
      </c>
    </row>
    <row r="1838" ht="75" customHeight="1">
      <c r="A1838" s="2">
        <f>HYPERLINK("https://camerareadycosmetics.com/products/la-femme-pressed-eyeshadow", "https://camerareadycosmetics.com/products/la-femme-pressed-eyeshadow")</f>
        <v/>
      </c>
      <c r="B1838" s="2">
        <f>HYPERLINK("https://camerareadycosmetics.com/products/la-femme-pressed-eyeshadow", "https://camerareadycosmetics.com/products/la-femme-pressed-eyeshadow")</f>
        <v/>
      </c>
      <c r="C1838" t="inlineStr">
        <is>
          <t>Pressed Eyeshadow</t>
        </is>
      </c>
      <c r="D1838" t="inlineStr">
        <is>
          <t>Colourpop Going Coconuts Pressed Powder Eyeshadow Palette</t>
        </is>
      </c>
      <c r="E1838" s="2">
        <f>HYPERLINK("https://www.amazon.com/Colourpop-Coconuts-Pressed-Eyeshadow-Palette/dp/B081Y8V5ZM/ref=sr_1_8?keywords=Pressed+Eyeshadow&amp;qid=1695565544&amp;sr=8-8", "https://www.amazon.com/Colourpop-Coconuts-Pressed-Eyeshadow-Palette/dp/B081Y8V5ZM/ref=sr_1_8?keywords=Pressed+Eyeshadow&amp;qid=1695565544&amp;sr=8-8")</f>
        <v/>
      </c>
      <c r="F1838" t="inlineStr">
        <is>
          <t>B081Y8V5ZM</t>
        </is>
      </c>
      <c r="G1838">
        <f>_xlfn.IMAGE("https://camerareadycosmetics.com/cdn/shop/products/lafemme_eyeshadow_taupe_50x.jpg?v=1541118588")</f>
        <v/>
      </c>
      <c r="H1838">
        <f>_xlfn.IMAGE("https://m.media-amazon.com/images/I/71tcSkNiOaL._AC_UL320_.jpg")</f>
        <v/>
      </c>
      <c r="K1838" t="inlineStr">
        <is>
          <t>9.9</t>
        </is>
      </c>
      <c r="L1838" t="n">
        <v>17</v>
      </c>
      <c r="M1838" s="1" t="inlineStr">
        <is>
          <t>71.72%</t>
        </is>
      </c>
      <c r="N1838" t="n">
        <v>4.4</v>
      </c>
      <c r="O1838" t="n">
        <v>728</v>
      </c>
      <c r="Q1838" t="inlineStr">
        <is>
          <t>InStock</t>
        </is>
      </c>
      <c r="R1838" t="inlineStr">
        <is>
          <t>undefined</t>
        </is>
      </c>
      <c r="S1838" t="inlineStr">
        <is>
          <t>1845265039471</t>
        </is>
      </c>
    </row>
    <row r="1839" ht="75" customHeight="1">
      <c r="A1839" s="2">
        <f>HYPERLINK("https://camerareadycosmetics.com/products/la-femme-pressed-eyeshadow", "https://camerareadycosmetics.com/products/la-femme-pressed-eyeshadow")</f>
        <v/>
      </c>
      <c r="B1839" s="2">
        <f>HYPERLINK("https://camerareadycosmetics.com/products/la-femme-pressed-eyeshadow", "https://camerareadycosmetics.com/products/la-femme-pressed-eyeshadow")</f>
        <v/>
      </c>
      <c r="C1839" t="inlineStr">
        <is>
          <t>Pressed Eyeshadow</t>
        </is>
      </c>
      <c r="D1839" t="inlineStr">
        <is>
          <t>Pixi Beauty Glitter-y Eye Quad - GoldLava | Four Pressed Glitter Eyeshadow Shades | Castor Oil &amp; Vitamin E Infused Eye Makeup</t>
        </is>
      </c>
      <c r="E1839" s="2">
        <f>HYPERLINK("https://www.amazon.com/Pixi-Beauty-Glitter-y-Eye-Quad/dp/B09SGR2VK3/ref=sr_1_4?keywords=Pressed+Eyeshadow&amp;qid=1695565544&amp;sr=8-4", "https://www.amazon.com/Pixi-Beauty-Glitter-y-Eye-Quad/dp/B09SGR2VK3/ref=sr_1_4?keywords=Pressed+Eyeshadow&amp;qid=1695565544&amp;sr=8-4")</f>
        <v/>
      </c>
      <c r="F1839" t="inlineStr">
        <is>
          <t>B09SGR2VK3</t>
        </is>
      </c>
      <c r="G1839">
        <f>_xlfn.IMAGE("https://camerareadycosmetics.com/cdn/shop/products/lafemme_eyeshadow_taupe_50x.jpg?v=1541118588")</f>
        <v/>
      </c>
      <c r="H1839">
        <f>_xlfn.IMAGE("https://m.media-amazon.com/images/I/91t5r+OehyL._AC_UL320_.jpg")</f>
        <v/>
      </c>
      <c r="K1839" t="inlineStr">
        <is>
          <t>9.9</t>
        </is>
      </c>
      <c r="L1839" t="n">
        <v>14</v>
      </c>
      <c r="M1839" s="1" t="inlineStr">
        <is>
          <t>41.41%</t>
        </is>
      </c>
      <c r="N1839" t="n">
        <v>4.7</v>
      </c>
      <c r="O1839" t="n">
        <v>34</v>
      </c>
      <c r="Q1839" t="inlineStr">
        <is>
          <t>InStock</t>
        </is>
      </c>
      <c r="R1839" t="inlineStr">
        <is>
          <t>undefined</t>
        </is>
      </c>
      <c r="S1839" t="inlineStr">
        <is>
          <t>1845265039471</t>
        </is>
      </c>
    </row>
    <row r="1840" ht="75" customHeight="1">
      <c r="A1840" s="2">
        <f>HYPERLINK("https://camerareadycosmetics.com/products/la-femme-pressed-eyeshadow", "https://camerareadycosmetics.com/products/la-femme-pressed-eyeshadow")</f>
        <v/>
      </c>
      <c r="B1840" s="2">
        <f>HYPERLINK("https://camerareadycosmetics.com/products/la-femme-pressed-eyeshadow", "https://camerareadycosmetics.com/products/la-femme-pressed-eyeshadow")</f>
        <v/>
      </c>
      <c r="C1840" t="inlineStr">
        <is>
          <t>Pressed Eyeshadow</t>
        </is>
      </c>
      <c r="D1840" t="inlineStr">
        <is>
          <t>Pure Zivaª Navy Blue Grey Gray Silver Matte Opaque Pressed Powder Single Vegan Eyeshadow; Talc, Paraben &amp; Cruelty Free Single Eyeshadow</t>
        </is>
      </c>
      <c r="E1840" s="2">
        <f>HYPERLINK("https://www.amazon.com/Pressed-Eyeshadow-Paraben-Testing-eyeshadow/dp/B0813XV1LZ/ref=sr_1_1?keywords=Pressed+Eyeshadow&amp;qid=1695565544&amp;sr=8-1", "https://www.amazon.com/Pressed-Eyeshadow-Paraben-Testing-eyeshadow/dp/B0813XV1LZ/ref=sr_1_1?keywords=Pressed+Eyeshadow&amp;qid=1695565544&amp;sr=8-1")</f>
        <v/>
      </c>
      <c r="F1840" t="inlineStr">
        <is>
          <t>B0813XV1LZ</t>
        </is>
      </c>
      <c r="G1840">
        <f>_xlfn.IMAGE("https://camerareadycosmetics.com/cdn/shop/products/lafemme_eyeshadow_taupe_50x.jpg?v=1541118588")</f>
        <v/>
      </c>
      <c r="H1840">
        <f>_xlfn.IMAGE("https://m.media-amazon.com/images/I/91nw+C4KyUL._AC_UL320_.jpg")</f>
        <v/>
      </c>
      <c r="K1840" t="inlineStr">
        <is>
          <t>9.9</t>
        </is>
      </c>
      <c r="L1840" t="n">
        <v>13.99</v>
      </c>
      <c r="M1840" s="1" t="inlineStr">
        <is>
          <t>41.31%</t>
        </is>
      </c>
      <c r="N1840" t="n">
        <v>4.3</v>
      </c>
      <c r="O1840" t="n">
        <v>2558</v>
      </c>
      <c r="Q1840" t="inlineStr">
        <is>
          <t>InStock</t>
        </is>
      </c>
      <c r="R1840" t="inlineStr">
        <is>
          <t>undefined</t>
        </is>
      </c>
      <c r="S1840" t="inlineStr">
        <is>
          <t>1845265039471</t>
        </is>
      </c>
    </row>
    <row r="1841" ht="75" customHeight="1">
      <c r="A1841" s="2">
        <f>HYPERLINK("https://camerareadycosmetics.com/products/la-femme-pressed-eyeshadow", "https://camerareadycosmetics.com/products/la-femme-pressed-eyeshadow")</f>
        <v/>
      </c>
      <c r="B1841" s="2">
        <f>HYPERLINK("https://camerareadycosmetics.com/products/la-femme-pressed-eyeshadow", "https://camerareadycosmetics.com/products/la-femme-pressed-eyeshadow")</f>
        <v/>
      </c>
      <c r="C1841" t="inlineStr">
        <is>
          <t>Pressed Eyeshadow</t>
        </is>
      </c>
      <c r="D1841" t="inlineStr">
        <is>
          <t>Aolailiya 24 Color Pressed Glitter Eyeshadow Palette - Mineral Ultra Shimmer Makeup Palette Eye Shadow Powder Long Lasting Waterproof</t>
        </is>
      </c>
      <c r="E1841" s="2">
        <f>HYPERLINK("https://www.amazon.com/Professional-Pressed-Glitter-Eyeshadow-Palette/dp/B07MT8P8QW/ref=sr_1_3?keywords=Pressed+Eyeshadow&amp;qid=1695565544&amp;sr=8-3", "https://www.amazon.com/Professional-Pressed-Glitter-Eyeshadow-Palette/dp/B07MT8P8QW/ref=sr_1_3?keywords=Pressed+Eyeshadow&amp;qid=1695565544&amp;sr=8-3")</f>
        <v/>
      </c>
      <c r="F1841" t="inlineStr">
        <is>
          <t>B07MT8P8QW</t>
        </is>
      </c>
      <c r="G1841">
        <f>_xlfn.IMAGE("https://camerareadycosmetics.com/cdn/shop/products/lafemme_eyeshadow_taupe_50x.jpg?v=1541118588")</f>
        <v/>
      </c>
      <c r="H1841">
        <f>_xlfn.IMAGE("https://m.media-amazon.com/images/I/71bjBVBguLL._AC_UL320_.jpg")</f>
        <v/>
      </c>
      <c r="K1841" t="inlineStr">
        <is>
          <t>9.9</t>
        </is>
      </c>
      <c r="L1841" t="n">
        <v>9.99</v>
      </c>
      <c r="M1841" s="1" t="inlineStr">
        <is>
          <t>0.91%</t>
        </is>
      </c>
      <c r="N1841" t="n">
        <v>4.4</v>
      </c>
      <c r="O1841" t="n">
        <v>5775</v>
      </c>
      <c r="Q1841" t="inlineStr">
        <is>
          <t>InStock</t>
        </is>
      </c>
      <c r="R1841" t="inlineStr">
        <is>
          <t>undefined</t>
        </is>
      </c>
      <c r="S1841" t="inlineStr">
        <is>
          <t>1845265039471</t>
        </is>
      </c>
    </row>
    <row r="1842" ht="75" customHeight="1">
      <c r="A1842" s="2">
        <f>HYPERLINK("https://camerareadycosmetics.com/products/la-femme-pressed-eyeshadow", "https://camerareadycosmetics.com/products/la-femme-pressed-eyeshadow")</f>
        <v/>
      </c>
      <c r="B1842" s="2">
        <f>HYPERLINK("https://camerareadycosmetics.com/products/la-femme-pressed-eyeshadow", "https://camerareadycosmetics.com/products/la-femme-pressed-eyeshadow")</f>
        <v/>
      </c>
      <c r="C1842" t="inlineStr">
        <is>
          <t>Pressed Eyeshadow</t>
        </is>
      </c>
      <c r="D1842" t="inlineStr">
        <is>
          <t>Professional 18 Colors Aromas Nude Eyeshadow Palette Long Lasting Multi Reflective Shimmer Matte Glitter Pressed Pearls Eye Shadow Makeup Pallet Kit</t>
        </is>
      </c>
      <c r="E1842" s="2">
        <f>HYPERLINK("https://www.amazon.com/Eyeshadow-Palette-Lasting-Reflective-Shimmer/dp/B07LF13C2C/ref=sr_1_7?keywords=Pressed+Eyeshadow&amp;qid=1695565544&amp;sr=8-7", "https://www.amazon.com/Eyeshadow-Palette-Lasting-Reflective-Shimmer/dp/B07LF13C2C/ref=sr_1_7?keywords=Pressed+Eyeshadow&amp;qid=1695565544&amp;sr=8-7")</f>
        <v/>
      </c>
      <c r="F1842" t="inlineStr">
        <is>
          <t>B07LF13C2C</t>
        </is>
      </c>
      <c r="G1842">
        <f>_xlfn.IMAGE("https://camerareadycosmetics.com/cdn/shop/products/lafemme_eyeshadow_taupe_50x.jpg?v=1541118588")</f>
        <v/>
      </c>
      <c r="H1842">
        <f>_xlfn.IMAGE("https://m.media-amazon.com/images/I/71FW-3YW31L._AC_UL320_.jpg")</f>
        <v/>
      </c>
      <c r="K1842" t="inlineStr">
        <is>
          <t>9.9</t>
        </is>
      </c>
      <c r="L1842" t="n">
        <v>8.800000000000001</v>
      </c>
      <c r="M1842" s="1" t="inlineStr">
        <is>
          <t>-11.11%</t>
        </is>
      </c>
      <c r="N1842" t="n">
        <v>4.5</v>
      </c>
      <c r="O1842" t="n">
        <v>9501</v>
      </c>
      <c r="Q1842" t="inlineStr">
        <is>
          <t>InStock</t>
        </is>
      </c>
      <c r="R1842" t="inlineStr">
        <is>
          <t>undefined</t>
        </is>
      </c>
      <c r="S1842" t="inlineStr">
        <is>
          <t>1845265039471</t>
        </is>
      </c>
    </row>
    <row r="1843" ht="75" customHeight="1">
      <c r="A1843" s="2">
        <f>HYPERLINK("https://camerareadycosmetics.com/products/la-femme-pressed-eyeshadow", "https://camerareadycosmetics.com/products/la-femme-pressed-eyeshadow")</f>
        <v/>
      </c>
      <c r="B1843" s="2">
        <f>HYPERLINK("https://camerareadycosmetics.com/products/la-femme-pressed-eyeshadow", "https://camerareadycosmetics.com/products/la-femme-pressed-eyeshadow")</f>
        <v/>
      </c>
      <c r="C1843" t="inlineStr">
        <is>
          <t>Pressed Eyeshadow</t>
        </is>
      </c>
      <c r="D1843" t="inlineStr">
        <is>
          <t>UCANBE Pro Glitter Eyeshadow Palette - Professional 16 Colors - Chunky &amp; Fine Pressed Glitter Eye Shadow Powder Makeup Pallet Highly Pigmented Ultra Shimmer for Face Body</t>
        </is>
      </c>
      <c r="E1843" s="2">
        <f>HYPERLINK("https://www.amazon.com/UCANBE-Pro-Glitter-Eyeshadow-Palette/dp/B07RXVK64W/ref=sr_1_5?keywords=Pressed+Eyeshadow&amp;qid=1695565544&amp;sr=8-5", "https://www.amazon.com/UCANBE-Pro-Glitter-Eyeshadow-Palette/dp/B07RXVK64W/ref=sr_1_5?keywords=Pressed+Eyeshadow&amp;qid=1695565544&amp;sr=8-5")</f>
        <v/>
      </c>
      <c r="F1843" t="inlineStr">
        <is>
          <t>B07RXVK64W</t>
        </is>
      </c>
      <c r="G1843">
        <f>_xlfn.IMAGE("https://camerareadycosmetics.com/cdn/shop/products/lafemme_eyeshadow_taupe_50x.jpg?v=1541118588")</f>
        <v/>
      </c>
      <c r="H1843">
        <f>_xlfn.IMAGE("https://m.media-amazon.com/images/I/81prZcluWsL._AC_UL320_.jpg")</f>
        <v/>
      </c>
      <c r="K1843" t="inlineStr">
        <is>
          <t>9.9</t>
        </is>
      </c>
      <c r="L1843" t="n">
        <v>7.99</v>
      </c>
      <c r="M1843" s="1" t="inlineStr">
        <is>
          <t>-19.29%</t>
        </is>
      </c>
      <c r="N1843" t="n">
        <v>4.3</v>
      </c>
      <c r="O1843" t="n">
        <v>4360</v>
      </c>
      <c r="Q1843" t="inlineStr">
        <is>
          <t>InStock</t>
        </is>
      </c>
      <c r="R1843" t="inlineStr">
        <is>
          <t>undefined</t>
        </is>
      </c>
      <c r="S1843" t="inlineStr">
        <is>
          <t>1845265039471</t>
        </is>
      </c>
    </row>
    <row r="1844" ht="75" customHeight="1">
      <c r="A1844" s="2">
        <f>HYPERLINK("https://camerareadycosmetics.com/products/la-femme-pressed-eyeshadow", "https://camerareadycosmetics.com/products/la-femme-pressed-eyeshadow")</f>
        <v/>
      </c>
      <c r="B1844" s="2">
        <f>HYPERLINK("https://camerareadycosmetics.com/products/la-femme-pressed-eyeshadow", "https://camerareadycosmetics.com/products/la-femme-pressed-eyeshadow")</f>
        <v/>
      </c>
      <c r="C1844" t="inlineStr">
        <is>
          <t>Pressed Eyeshadow</t>
        </is>
      </c>
      <c r="D1844" t="inlineStr">
        <is>
          <t>AMY'S DIARY 9 Colors Pressed Glitter Eyeshadow Palette Glitter Silver Blue Purple Gold Eyeshadow Palette, Glitter Daily Party Sparkling Eye Face Makeup Cosmetics (D1)</t>
        </is>
      </c>
      <c r="E1844" s="2">
        <f>HYPERLINK("https://www.amazon.com/AMYS-DIARY-Eyeshadow-Sparkling-Cosmetics/dp/B0C5WJHGVR/ref=sr_1_9?keywords=Pressed+Eyeshadow&amp;qid=1695565544&amp;sr=8-9", "https://www.amazon.com/AMYS-DIARY-Eyeshadow-Sparkling-Cosmetics/dp/B0C5WJHGVR/ref=sr_1_9?keywords=Pressed+Eyeshadow&amp;qid=1695565544&amp;sr=8-9")</f>
        <v/>
      </c>
      <c r="F1844" t="inlineStr">
        <is>
          <t>B0C5WJHGVR</t>
        </is>
      </c>
      <c r="G1844">
        <f>_xlfn.IMAGE("https://camerareadycosmetics.com/cdn/shop/products/lafemme_eyeshadow_taupe_50x.jpg?v=1541118588")</f>
        <v/>
      </c>
      <c r="H1844">
        <f>_xlfn.IMAGE("https://m.media-amazon.com/images/I/71gs9777gML._AC_UL320_.jpg")</f>
        <v/>
      </c>
      <c r="K1844" t="inlineStr">
        <is>
          <t>9.9</t>
        </is>
      </c>
      <c r="L1844" t="n">
        <v>6.99</v>
      </c>
      <c r="M1844" s="1" t="inlineStr">
        <is>
          <t>-29.39%</t>
        </is>
      </c>
      <c r="N1844" t="n">
        <v>3.8</v>
      </c>
      <c r="O1844" t="n">
        <v>1857</v>
      </c>
      <c r="Q1844" t="inlineStr">
        <is>
          <t>InStock</t>
        </is>
      </c>
      <c r="R1844" t="inlineStr">
        <is>
          <t>undefined</t>
        </is>
      </c>
      <c r="S1844" t="inlineStr">
        <is>
          <t>1845265039471</t>
        </is>
      </c>
    </row>
    <row r="1845" ht="75" customHeight="1">
      <c r="A1845" s="2">
        <f>HYPERLINK("https://camerareadycosmetics.com/products/la-femme-pressed-eyeshadow", "https://camerareadycosmetics.com/products/la-femme-pressed-eyeshadow")</f>
        <v/>
      </c>
      <c r="B1845" s="2">
        <f>HYPERLINK("https://camerareadycosmetics.com/products/la-femme-pressed-eyeshadow", "https://camerareadycosmetics.com/products/la-femme-pressed-eyeshadow")</f>
        <v/>
      </c>
      <c r="C1845" t="inlineStr">
        <is>
          <t>Pressed Eyeshadow</t>
        </is>
      </c>
      <c r="D1845" t="inlineStr">
        <is>
          <t>MEICOLY White Single Eyeshadow, Pressed Powder Matte Eye shadow, Opaque Vegan Cruelty Free High Pigment Eyeshadow for Day &amp; Night,Goth Vampire Blood Makeup Base,White</t>
        </is>
      </c>
      <c r="E1845" s="2">
        <f>HYPERLINK("https://www.amazon.com/MEICOLY-Eyeshadow-Pressed-Cruelty-Pigment/dp/B0B1KGXDBC/ref=sr_1_2?keywords=Pressed+Eyeshadow&amp;qid=1695565544&amp;sr=8-2", "https://www.amazon.com/MEICOLY-Eyeshadow-Pressed-Cruelty-Pigment/dp/B0B1KGXDBC/ref=sr_1_2?keywords=Pressed+Eyeshadow&amp;qid=1695565544&amp;sr=8-2")</f>
        <v/>
      </c>
      <c r="F1845" t="inlineStr">
        <is>
          <t>B0B1KGXDBC</t>
        </is>
      </c>
      <c r="G1845">
        <f>_xlfn.IMAGE("https://camerareadycosmetics.com/cdn/shop/products/lafemme_eyeshadow_taupe_50x.jpg?v=1541118588")</f>
        <v/>
      </c>
      <c r="H1845">
        <f>_xlfn.IMAGE("https://m.media-amazon.com/images/I/71eefa4eKeL._AC_UL320_.jpg")</f>
        <v/>
      </c>
      <c r="K1845" t="inlineStr">
        <is>
          <t>9.9</t>
        </is>
      </c>
      <c r="L1845" t="n">
        <v>6.58</v>
      </c>
      <c r="M1845" s="1" t="inlineStr">
        <is>
          <t>-33.54%</t>
        </is>
      </c>
      <c r="N1845" t="n">
        <v>4.3</v>
      </c>
      <c r="O1845" t="n">
        <v>237</v>
      </c>
      <c r="Q1845" t="inlineStr">
        <is>
          <t>InStock</t>
        </is>
      </c>
      <c r="R1845" t="inlineStr">
        <is>
          <t>undefined</t>
        </is>
      </c>
      <c r="S1845" t="inlineStr">
        <is>
          <t>1845265039471</t>
        </is>
      </c>
    </row>
    <row r="1846" ht="75" customHeight="1">
      <c r="A1846" s="2">
        <f>HYPERLINK("https://camerareadycosmetics.com/products/la-femme-pressed-eyeshadow", "https://camerareadycosmetics.com/products/la-femme-pressed-eyeshadow")</f>
        <v/>
      </c>
      <c r="B1846" s="2">
        <f>HYPERLINK("https://camerareadycosmetics.com/products/la-femme-pressed-eyeshadow", "https://camerareadycosmetics.com/products/la-femme-pressed-eyeshadow")</f>
        <v/>
      </c>
      <c r="C1846" t="inlineStr">
        <is>
          <t>Pressed Eyeshadow</t>
        </is>
      </c>
      <c r="D1846" t="inlineStr">
        <is>
          <t>MEICOLY Single Color Eye Shadow, Chameleon Powder-cream Glitter Eyeshadow,Pressed Pigmented Mineral Ultra Shimmer Self Adhesive Eye Brightening,01 White(Silver)</t>
        </is>
      </c>
      <c r="E1846" s="2">
        <f>HYPERLINK("https://www.amazon.com/MEICOLY-Chameleon-Powder-cream-Eyeshadow-Brightening/dp/B09ZST6K27/ref=sr_1_6?keywords=Pressed+Eyeshadow&amp;qid=1695565544&amp;sr=8-6", "https://www.amazon.com/MEICOLY-Chameleon-Powder-cream-Eyeshadow-Brightening/dp/B09ZST6K27/ref=sr_1_6?keywords=Pressed+Eyeshadow&amp;qid=1695565544&amp;sr=8-6")</f>
        <v/>
      </c>
      <c r="F1846" t="inlineStr">
        <is>
          <t>B09ZST6K27</t>
        </is>
      </c>
      <c r="G1846">
        <f>_xlfn.IMAGE("https://camerareadycosmetics.com/cdn/shop/products/lafemme_eyeshadow_taupe_50x.jpg?v=1541118588")</f>
        <v/>
      </c>
      <c r="H1846">
        <f>_xlfn.IMAGE("https://m.media-amazon.com/images/I/61-1Qf-bdPL._AC_UL320_.jpg")</f>
        <v/>
      </c>
      <c r="K1846" t="inlineStr">
        <is>
          <t>9.9</t>
        </is>
      </c>
      <c r="L1846" t="n">
        <v>5.99</v>
      </c>
      <c r="M1846" s="1" t="inlineStr">
        <is>
          <t>-39.49%</t>
        </is>
      </c>
      <c r="N1846" t="n">
        <v>3.3</v>
      </c>
      <c r="O1846" t="n">
        <v>72</v>
      </c>
      <c r="Q1846" t="inlineStr">
        <is>
          <t>InStock</t>
        </is>
      </c>
      <c r="R1846" t="inlineStr">
        <is>
          <t>undefined</t>
        </is>
      </c>
      <c r="S1846" t="inlineStr">
        <is>
          <t>1845265039471</t>
        </is>
      </c>
    </row>
    <row r="1847" ht="75" customHeight="1">
      <c r="A1847" s="2">
        <f>HYPERLINK("https://camerareadycosmetics.com/products/la-femme-velvet-touch-face-powder", "https://camerareadycosmetics.com/products/la-femme-velvet-touch-face-powder")</f>
        <v/>
      </c>
      <c r="B1847" s="2">
        <f>HYPERLINK("https://camerareadycosmetics.com/products/la-femme-velvet-touch-face-powder", "https://camerareadycosmetics.com/products/la-femme-velvet-touch-face-powder")</f>
        <v/>
      </c>
      <c r="C1847" t="inlineStr">
        <is>
          <t>Velvet Touch Face Powder</t>
        </is>
      </c>
      <c r="D1847" t="inlineStr">
        <is>
          <t>IM UNNY Velvet Loose Setting Powder with Puff, Light Tone Translucent Powder for Face Makeup, No Sebum,Shine Control, Pore Cover, Matte finishing, Lightweight 0.4 fl oz | 12g (No. 21 Bright Beige)</t>
        </is>
      </c>
      <c r="E1847" s="2">
        <f>HYPERLINK("https://www.amazon.com/UNNY-Velvet-Translucent-Lightweight-Setting/dp/B09KTX48RJ/ref=sr_1_9?keywords=Velvet+Touch+Face+Powder&amp;qid=1695565441&amp;sr=8-9", "https://www.amazon.com/UNNY-Velvet-Translucent-Lightweight-Setting/dp/B09KTX48RJ/ref=sr_1_9?keywords=Velvet+Touch+Face+Powder&amp;qid=1695565441&amp;sr=8-9")</f>
        <v/>
      </c>
      <c r="F1847" t="inlineStr">
        <is>
          <t>B09KTX48RJ</t>
        </is>
      </c>
      <c r="G1847">
        <f>_xlfn.IMAGE("https://camerareadycosmetics.com/cdn/shop/products/8155_zoom_1440033310_50x.jpg?v=1568838379")</f>
        <v/>
      </c>
      <c r="H1847">
        <f>_xlfn.IMAGE("https://m.media-amazon.com/images/I/41+PVjHDuhL._AC_UL320_.jpg")</f>
        <v/>
      </c>
      <c r="K1847" t="inlineStr">
        <is>
          <t>14.0</t>
        </is>
      </c>
      <c r="L1847" t="n">
        <v>18.69</v>
      </c>
      <c r="M1847" s="1" t="inlineStr">
        <is>
          <t>33.50%</t>
        </is>
      </c>
      <c r="N1847" t="n">
        <v>4.3</v>
      </c>
      <c r="O1847" t="n">
        <v>73</v>
      </c>
      <c r="Q1847" t="inlineStr">
        <is>
          <t>InStock</t>
        </is>
      </c>
      <c r="R1847" t="inlineStr">
        <is>
          <t>undefined</t>
        </is>
      </c>
      <c r="S1847" t="inlineStr">
        <is>
          <t>7041860935</t>
        </is>
      </c>
    </row>
    <row r="1848" ht="75" customHeight="1">
      <c r="A1848" s="2">
        <f>HYPERLINK("https://camerareadycosmetics.com/products/la-femme-velvet-touch-face-powder", "https://camerareadycosmetics.com/products/la-femme-velvet-touch-face-powder")</f>
        <v/>
      </c>
      <c r="B1848" s="2">
        <f>HYPERLINK("https://camerareadycosmetics.com/products/la-femme-velvet-touch-face-powder", "https://camerareadycosmetics.com/products/la-femme-velvet-touch-face-powder")</f>
        <v/>
      </c>
      <c r="C1848" t="inlineStr">
        <is>
          <t>Velvet Touch Face Powder</t>
        </is>
      </c>
      <c r="D1848" t="inlineStr">
        <is>
          <t>TOUCH IN SOL No Poreblem Mineral Powder - Translucent, Lightweight Loose Setting Powder for Flawless Matte Finish - Oil Control, Pore Primer, Blurs Imperfections &amp; Fine Lines - Face &amp; Greasy Hair Use</t>
        </is>
      </c>
      <c r="E1848" s="2">
        <f>HYPERLINK("https://www.amazon.com/TOUCH-Poreblem-Mineral-Powder-Imperfections/dp/B0CB9QDSD1/ref=sr_1_1?keywords=Velvet+Touch+Face+Powder&amp;qid=1695565441&amp;sr=8-1", "https://www.amazon.com/TOUCH-Poreblem-Mineral-Powder-Imperfections/dp/B0CB9QDSD1/ref=sr_1_1?keywords=Velvet+Touch+Face+Powder&amp;qid=1695565441&amp;sr=8-1")</f>
        <v/>
      </c>
      <c r="F1848" t="inlineStr">
        <is>
          <t>B0CB9QDSD1</t>
        </is>
      </c>
      <c r="G1848">
        <f>_xlfn.IMAGE("https://camerareadycosmetics.com/cdn/shop/products/8155_zoom_1440033310_50x.jpg?v=1568838379")</f>
        <v/>
      </c>
      <c r="H1848">
        <f>_xlfn.IMAGE("https://m.media-amazon.com/images/I/61K-VnsfMtL._AC_UL320_.jpg")</f>
        <v/>
      </c>
      <c r="K1848" t="inlineStr">
        <is>
          <t>14.0</t>
        </is>
      </c>
      <c r="L1848" t="n">
        <v>9.99</v>
      </c>
      <c r="M1848" s="1" t="inlineStr">
        <is>
          <t>-28.64%</t>
        </is>
      </c>
      <c r="N1848" t="n">
        <v>4.2</v>
      </c>
      <c r="O1848" t="n">
        <v>20</v>
      </c>
      <c r="Q1848" t="inlineStr">
        <is>
          <t>InStock</t>
        </is>
      </c>
      <c r="R1848" t="inlineStr">
        <is>
          <t>undefined</t>
        </is>
      </c>
      <c r="S1848" t="inlineStr">
        <is>
          <t>7041860935</t>
        </is>
      </c>
    </row>
    <row r="1849" ht="75" customHeight="1">
      <c r="A1849" s="2">
        <f>HYPERLINK("https://camerareadycosmetics.com/products/la-femme-velvet-touch-face-powder", "https://camerareadycosmetics.com/products/la-femme-velvet-touch-face-powder")</f>
        <v/>
      </c>
      <c r="B1849" s="2">
        <f>HYPERLINK("https://camerareadycosmetics.com/products/la-femme-velvet-touch-face-powder", "https://camerareadycosmetics.com/products/la-femme-velvet-touch-face-powder")</f>
        <v/>
      </c>
      <c r="C1849" t="inlineStr">
        <is>
          <t>Velvet Touch Face Powder</t>
        </is>
      </c>
      <c r="D1849" t="inlineStr">
        <is>
          <t>Kiss New York Pro Touch Setting Powder, Loose Setting Powder, Lightweight, Long-Lasting Face Powder Makeup, Controls Oil, Finishing Powder for Medium &amp; Tan Skin Tones (Earth)</t>
        </is>
      </c>
      <c r="E1849" s="2">
        <f>HYPERLINK("https://www.amazon.com/Setting-Lightweight-Long-Lasting-Controls-Finishing/dp/B0742R1N5Z/ref=sr_1_6?keywords=Velvet+Touch+Face+Powder&amp;qid=1695565441&amp;sr=8-6", "https://www.amazon.com/Setting-Lightweight-Long-Lasting-Controls-Finishing/dp/B0742R1N5Z/ref=sr_1_6?keywords=Velvet+Touch+Face+Powder&amp;qid=1695565441&amp;sr=8-6")</f>
        <v/>
      </c>
      <c r="F1849" t="inlineStr">
        <is>
          <t>B0742R1N5Z</t>
        </is>
      </c>
      <c r="G1849">
        <f>_xlfn.IMAGE("https://camerareadycosmetics.com/cdn/shop/products/8155_zoom_1440033310_50x.jpg?v=1568838379")</f>
        <v/>
      </c>
      <c r="H1849">
        <f>_xlfn.IMAGE("https://m.media-amazon.com/images/I/71d9yslil2L._AC_UL320_.jpg")</f>
        <v/>
      </c>
      <c r="K1849" t="inlineStr">
        <is>
          <t>14.0</t>
        </is>
      </c>
      <c r="L1849" t="n">
        <v>7.99</v>
      </c>
      <c r="M1849" s="1" t="inlineStr">
        <is>
          <t>-42.93%</t>
        </is>
      </c>
      <c r="N1849" t="n">
        <v>4.6</v>
      </c>
      <c r="O1849" t="n">
        <v>24</v>
      </c>
      <c r="Q1849" t="inlineStr">
        <is>
          <t>InStock</t>
        </is>
      </c>
      <c r="R1849" t="inlineStr">
        <is>
          <t>undefined</t>
        </is>
      </c>
      <c r="S1849" t="inlineStr">
        <is>
          <t>7041860935</t>
        </is>
      </c>
    </row>
    <row r="1850" ht="75" customHeight="1">
      <c r="A1850" s="2">
        <f>HYPERLINK("https://camerareadycosmetics.com/products/la-girl-brow-pomade", "https://camerareadycosmetics.com/products/la-girl-brow-pomade")</f>
        <v/>
      </c>
      <c r="B1850" s="2">
        <f>HYPERLINK("https://camerareadycosmetics.com/products/la-girl-brow-pomade", "https://camerareadycosmetics.com/products/la-girl-brow-pomade")</f>
        <v/>
      </c>
      <c r="C1850" t="inlineStr">
        <is>
          <t>Brow Pomade</t>
        </is>
      </c>
      <c r="D1850" t="inlineStr">
        <is>
          <t>Anastasia Beverly Hills - DIPBROW Pomade</t>
        </is>
      </c>
      <c r="E1850" s="2" t="n"/>
      <c r="F1850" t="inlineStr">
        <is>
          <t>B00KNEDQ86</t>
        </is>
      </c>
      <c r="G1850">
        <f>_xlfn.IMAGE("https://camerareadycosmetics.com/cdn/shop/products/GBP366_prod_img_1024x1024_1_50x.jpg?v=1534955952")</f>
        <v/>
      </c>
      <c r="H1850">
        <f>_xlfn.IMAGE("https://m.media-amazon.com/images/I/514-ZY+SyXL._AC_UL320_.jpg")</f>
        <v/>
      </c>
      <c r="K1850" t="inlineStr">
        <is>
          <t>8.0</t>
        </is>
      </c>
      <c r="L1850" t="n">
        <v>21</v>
      </c>
      <c r="M1850" s="1" t="inlineStr">
        <is>
          <t>162.50%</t>
        </is>
      </c>
      <c r="N1850" t="n">
        <v>4.5</v>
      </c>
      <c r="O1850" t="n">
        <v>1659</v>
      </c>
      <c r="Q1850" t="inlineStr">
        <is>
          <t>InStock</t>
        </is>
      </c>
      <c r="R1850" t="inlineStr">
        <is>
          <t>undefined</t>
        </is>
      </c>
      <c r="S1850" t="inlineStr">
        <is>
          <t>572416196618</t>
        </is>
      </c>
    </row>
    <row r="1851" ht="75" customHeight="1">
      <c r="A1851" s="2">
        <f>HYPERLINK("https://camerareadycosmetics.com/products/la-girl-brow-pomade", "https://camerareadycosmetics.com/products/la-girl-brow-pomade")</f>
        <v/>
      </c>
      <c r="B1851" s="2">
        <f>HYPERLINK("https://camerareadycosmetics.com/products/la-girl-brow-pomade", "https://camerareadycosmetics.com/products/la-girl-brow-pomade")</f>
        <v/>
      </c>
      <c r="C1851" t="inlineStr">
        <is>
          <t>Brow Pomade</t>
        </is>
      </c>
      <c r="D1851" t="inlineStr">
        <is>
          <t>Anastasia Beverly Hills Dipbrow pomade</t>
        </is>
      </c>
      <c r="E1851" s="2" t="n"/>
      <c r="F1851" t="inlineStr">
        <is>
          <t>B00H5972IC</t>
        </is>
      </c>
      <c r="G1851">
        <f>_xlfn.IMAGE("https://camerareadycosmetics.com/cdn/shop/products/GBP366_prod_img_1024x1024_1_50x.jpg?v=1534955952")</f>
        <v/>
      </c>
      <c r="H1851">
        <f>_xlfn.IMAGE("https://m.media-amazon.com/images/I/51OH5EmUR8L._AC_UL320_.jpg")</f>
        <v/>
      </c>
      <c r="K1851" t="inlineStr">
        <is>
          <t>8.0</t>
        </is>
      </c>
      <c r="L1851" t="n">
        <v>21</v>
      </c>
      <c r="M1851" s="1" t="inlineStr">
        <is>
          <t>162.50%</t>
        </is>
      </c>
      <c r="N1851" t="n">
        <v>4.6</v>
      </c>
      <c r="O1851" t="n">
        <v>21584</v>
      </c>
      <c r="Q1851" t="inlineStr">
        <is>
          <t>InStock</t>
        </is>
      </c>
      <c r="R1851" t="inlineStr">
        <is>
          <t>undefined</t>
        </is>
      </c>
      <c r="S1851" t="inlineStr">
        <is>
          <t>572416196618</t>
        </is>
      </c>
    </row>
    <row r="1852" ht="75" customHeight="1">
      <c r="A1852" s="2">
        <f>HYPERLINK("https://camerareadycosmetics.com/products/la-girl-brow-pomade", "https://camerareadycosmetics.com/products/la-girl-brow-pomade")</f>
        <v/>
      </c>
      <c r="B1852" s="2">
        <f>HYPERLINK("https://camerareadycosmetics.com/products/la-girl-brow-pomade", "https://camerareadycosmetics.com/products/la-girl-brow-pomade")</f>
        <v/>
      </c>
      <c r="C1852" t="inlineStr">
        <is>
          <t>Brow Pomade</t>
        </is>
      </c>
      <c r="D1852" t="inlineStr">
        <is>
          <t>Eyebrow Stamp Pencil Kit for Eyebrows, Makeup Brow Stamp Trio Kit with Waterproof Eyebrow Pencil, Eyeliner, Eyebrow Pomade, and Dual-ended Eyebrow Brush - Dark Brown</t>
        </is>
      </c>
      <c r="E1852" s="2" t="n"/>
      <c r="F1852" t="inlineStr">
        <is>
          <t>B0BN1BN297</t>
        </is>
      </c>
      <c r="G1852">
        <f>_xlfn.IMAGE("https://camerareadycosmetics.com/cdn/shop/products/GBP366_prod_img_1024x1024_1_50x.jpg?v=1534955952")</f>
        <v/>
      </c>
      <c r="H1852">
        <f>_xlfn.IMAGE("https://m.media-amazon.com/images/I/61RkRoTb0LL._AC_UL320_.jpg")</f>
        <v/>
      </c>
      <c r="K1852" t="inlineStr">
        <is>
          <t>8.0</t>
        </is>
      </c>
      <c r="L1852" t="n">
        <v>9.99</v>
      </c>
      <c r="M1852" s="1" t="inlineStr">
        <is>
          <t>24.88%</t>
        </is>
      </c>
      <c r="N1852" t="n">
        <v>4.3</v>
      </c>
      <c r="O1852" t="n">
        <v>1556</v>
      </c>
      <c r="Q1852" t="inlineStr">
        <is>
          <t>InStock</t>
        </is>
      </c>
      <c r="R1852" t="inlineStr">
        <is>
          <t>undefined</t>
        </is>
      </c>
      <c r="S1852" t="inlineStr">
        <is>
          <t>572416196618</t>
        </is>
      </c>
    </row>
    <row r="1853" ht="75" customHeight="1">
      <c r="A1853" s="2">
        <f>HYPERLINK("https://camerareadycosmetics.com/products/la-girl-brow-pomade", "https://camerareadycosmetics.com/products/la-girl-brow-pomade")</f>
        <v/>
      </c>
      <c r="B1853" s="2">
        <f>HYPERLINK("https://camerareadycosmetics.com/products/la-girl-brow-pomade", "https://camerareadycosmetics.com/products/la-girl-brow-pomade")</f>
        <v/>
      </c>
      <c r="C1853" t="inlineStr">
        <is>
          <t>Brow Pomade</t>
        </is>
      </c>
      <c r="D1853" t="inlineStr">
        <is>
          <t>Maybelline New York TattooStudio Brow Pomade Long Lasting, Buildable, Eyebrow Makeup, Medium Brown, 1 Count</t>
        </is>
      </c>
      <c r="E1853" s="2">
        <f>HYPERLINK("https://www.amazon.com/Maybelline-New-York-Tattoostudio-Buildable/dp/B07GXCR74G/ref=sr_1_5?keywords=Brow+Pomade&amp;qid=1695565526&amp;sr=8-5", "https://www.amazon.com/Maybelline-New-York-Tattoostudio-Buildable/dp/B07GXCR74G/ref=sr_1_5?keywords=Brow+Pomade&amp;qid=1695565526&amp;sr=8-5")</f>
        <v/>
      </c>
      <c r="F1853" t="inlineStr">
        <is>
          <t>B07GXCR74G</t>
        </is>
      </c>
      <c r="G1853">
        <f>_xlfn.IMAGE("https://camerareadycosmetics.com/cdn/shop/products/GBP366_prod_img_1024x1024_1_50x.jpg?v=1534955952")</f>
        <v/>
      </c>
      <c r="H1853">
        <f>_xlfn.IMAGE("https://m.media-amazon.com/images/I/51dn2i8QktL._AC_UL320_.jpg")</f>
        <v/>
      </c>
      <c r="K1853" t="inlineStr">
        <is>
          <t>8.0</t>
        </is>
      </c>
      <c r="L1853" t="n">
        <v>9.390000000000001</v>
      </c>
      <c r="M1853" s="1" t="inlineStr">
        <is>
          <t>17.38%</t>
        </is>
      </c>
      <c r="N1853" t="n">
        <v>4.5</v>
      </c>
      <c r="O1853" t="n">
        <v>13931</v>
      </c>
      <c r="Q1853" t="inlineStr">
        <is>
          <t>InStock</t>
        </is>
      </c>
      <c r="R1853" t="inlineStr">
        <is>
          <t>undefined</t>
        </is>
      </c>
      <c r="S1853" t="inlineStr">
        <is>
          <t>572416196618</t>
        </is>
      </c>
    </row>
    <row r="1854" ht="75" customHeight="1">
      <c r="A1854" s="2">
        <f>HYPERLINK("https://camerareadycosmetics.com/products/la-girl-brow-pomade", "https://camerareadycosmetics.com/products/la-girl-brow-pomade")</f>
        <v/>
      </c>
      <c r="B1854" s="2">
        <f>HYPERLINK("https://camerareadycosmetics.com/products/la-girl-brow-pomade", "https://camerareadycosmetics.com/products/la-girl-brow-pomade")</f>
        <v/>
      </c>
      <c r="C1854" t="inlineStr">
        <is>
          <t>Brow Pomade</t>
        </is>
      </c>
      <c r="D1854" t="inlineStr">
        <is>
          <t>Ardell Professional Brow Pomade Dark Brown</t>
        </is>
      </c>
      <c r="E1854" s="2">
        <f>HYPERLINK("https://www.amazon.com/Ardell-Dark-Brown-Pomade-Brush/dp/B00SX2O4VI/ref=sr_1_1?keywords=Brow+Pomade&amp;qid=1695565526&amp;sr=8-1", "https://www.amazon.com/Ardell-Dark-Brown-Pomade-Brush/dp/B00SX2O4VI/ref=sr_1_1?keywords=Brow+Pomade&amp;qid=1695565526&amp;sr=8-1")</f>
        <v/>
      </c>
      <c r="F1854" t="inlineStr">
        <is>
          <t>B00SX2O4VI</t>
        </is>
      </c>
      <c r="G1854">
        <f>_xlfn.IMAGE("https://camerareadycosmetics.com/cdn/shop/products/GBP366_prod_img_1024x1024_1_50x.jpg?v=1534955952")</f>
        <v/>
      </c>
      <c r="H1854">
        <f>_xlfn.IMAGE("https://m.media-amazon.com/images/I/510THfeVwJL._AC_UL320_.jpg")</f>
        <v/>
      </c>
      <c r="K1854" t="inlineStr">
        <is>
          <t>8.0</t>
        </is>
      </c>
      <c r="L1854" t="n">
        <v>6.93</v>
      </c>
      <c r="M1854" s="1" t="inlineStr">
        <is>
          <t>-13.38%</t>
        </is>
      </c>
      <c r="N1854" t="n">
        <v>4.5</v>
      </c>
      <c r="O1854" t="n">
        <v>3052</v>
      </c>
      <c r="Q1854" t="inlineStr">
        <is>
          <t>InStock</t>
        </is>
      </c>
      <c r="R1854" t="inlineStr">
        <is>
          <t>undefined</t>
        </is>
      </c>
      <c r="S1854" t="inlineStr">
        <is>
          <t>572416196618</t>
        </is>
      </c>
    </row>
    <row r="1855" ht="75" customHeight="1">
      <c r="A1855" s="2">
        <f>HYPERLINK("https://camerareadycosmetics.com/products/la-girl-brow-pomade", "https://camerareadycosmetics.com/products/la-girl-brow-pomade")</f>
        <v/>
      </c>
      <c r="B1855" s="2">
        <f>HYPERLINK("https://camerareadycosmetics.com/products/la-girl-brow-pomade", "https://camerareadycosmetics.com/products/la-girl-brow-pomade")</f>
        <v/>
      </c>
      <c r="C1855" t="inlineStr">
        <is>
          <t>Brow Pomade</t>
        </is>
      </c>
      <c r="D1855" t="inlineStr">
        <is>
          <t>L.A. Girl Brow pomade, soft brown</t>
        </is>
      </c>
      <c r="E1855" s="2">
        <f>HYPERLINK("https://www.amazon.com/L-Girl-Pomade-BROWN/dp/B07D55515B/ref=sr_1_4?keywords=Brow+Pomade&amp;qid=1695565526&amp;sr=8-4", "https://www.amazon.com/L-Girl-Pomade-BROWN/dp/B07D55515B/ref=sr_1_4?keywords=Brow+Pomade&amp;qid=1695565526&amp;sr=8-4")</f>
        <v/>
      </c>
      <c r="F1855" t="inlineStr">
        <is>
          <t>B07D55515B</t>
        </is>
      </c>
      <c r="G1855">
        <f>_xlfn.IMAGE("https://camerareadycosmetics.com/cdn/shop/products/GBP366_prod_img_1024x1024_1_50x.jpg?v=1534955952")</f>
        <v/>
      </c>
      <c r="H1855">
        <f>_xlfn.IMAGE("https://m.media-amazon.com/images/I/617l8TLDzzL._AC_UL320_.jpg")</f>
        <v/>
      </c>
      <c r="K1855" t="inlineStr">
        <is>
          <t>8.0</t>
        </is>
      </c>
      <c r="L1855" t="n">
        <v>5.99</v>
      </c>
      <c r="M1855" s="1" t="inlineStr">
        <is>
          <t>-25.12%</t>
        </is>
      </c>
      <c r="N1855" t="n">
        <v>4.4</v>
      </c>
      <c r="O1855" t="n">
        <v>3484</v>
      </c>
      <c r="Q1855" t="inlineStr">
        <is>
          <t>InStock</t>
        </is>
      </c>
      <c r="R1855" t="inlineStr">
        <is>
          <t>undefined</t>
        </is>
      </c>
      <c r="S1855" t="inlineStr">
        <is>
          <t>572416196618</t>
        </is>
      </c>
    </row>
    <row r="1856" ht="75" customHeight="1">
      <c r="A1856" s="2">
        <f>HYPERLINK("https://camerareadycosmetics.com/products/l-a-girl-eyeliner-pencil", "https://camerareadycosmetics.com/products/l-a-girl-eyeliner-pencil")</f>
        <v/>
      </c>
      <c r="B1856" s="2">
        <f>HYPERLINK("https://camerareadycosmetics.com/products/l-a-girl-eyeliner-pencil", "https://camerareadycosmetics.com/products/l-a-girl-eyeliner-pencil")</f>
        <v/>
      </c>
      <c r="C1856" t="inlineStr">
        <is>
          <t>Eyeliner Pencil</t>
        </is>
      </c>
      <c r="D1856" t="inlineStr">
        <is>
          <t>L’Oréal Paris Makeup Infallible Never Fail Original Mechanical Pencil Eyeliner with Built in Sharpener, Brown, 0.008 oz.</t>
        </is>
      </c>
      <c r="E1856" s="2">
        <f>HYPERLINK("https://www.amazon.com/LOreal-Paris-Infallible-Mechanical-Sharpener/dp/B004BCTAJA/ref=sr_1_7?keywords=Eyeliner+Pencil&amp;qid=1695565490&amp;sr=8-7", "https://www.amazon.com/LOreal-Paris-Infallible-Mechanical-Sharpener/dp/B004BCTAJA/ref=sr_1_7?keywords=Eyeliner+Pencil&amp;qid=1695565490&amp;sr=8-7")</f>
        <v/>
      </c>
      <c r="F1856" t="inlineStr">
        <is>
          <t>B004BCTAJA</t>
        </is>
      </c>
      <c r="G1856">
        <f>_xlfn.IMAGE("https://camerareadycosmetics.com/cdn/shop/products/LAG_eyeliner_pencil_GP610_grande_e8f538cd-0493-4eeb-8a5e-d67b00c3be78_50x.jpg?v=1694446627")</f>
        <v/>
      </c>
      <c r="H1856">
        <f>_xlfn.IMAGE("https://m.media-amazon.com/images/I/41AtIkEKFBL._AC_UL320_.jpg")</f>
        <v/>
      </c>
      <c r="K1856" t="inlineStr">
        <is>
          <t>3.0</t>
        </is>
      </c>
      <c r="L1856" t="n">
        <v>8.98</v>
      </c>
      <c r="M1856" s="1" t="inlineStr">
        <is>
          <t>199.33%</t>
        </is>
      </c>
      <c r="N1856" t="n">
        <v>4.5</v>
      </c>
      <c r="O1856" t="n">
        <v>23955</v>
      </c>
      <c r="Q1856" t="inlineStr">
        <is>
          <t>InStock</t>
        </is>
      </c>
      <c r="R1856" t="inlineStr">
        <is>
          <t>undefined</t>
        </is>
      </c>
      <c r="S1856" t="inlineStr">
        <is>
          <t>10385472650</t>
        </is>
      </c>
    </row>
    <row r="1857" ht="75" customHeight="1">
      <c r="A1857" s="2">
        <f>HYPERLINK("https://camerareadycosmetics.com/products/l-a-girl-eyeliner-pencil", "https://camerareadycosmetics.com/products/l-a-girl-eyeliner-pencil")</f>
        <v/>
      </c>
      <c r="B1857" s="2">
        <f>HYPERLINK("https://camerareadycosmetics.com/products/l-a-girl-eyeliner-pencil", "https://camerareadycosmetics.com/products/l-a-girl-eyeliner-pencil")</f>
        <v/>
      </c>
      <c r="C1857" t="inlineStr">
        <is>
          <t>Eyeliner Pencil</t>
        </is>
      </c>
      <c r="D1857" t="inlineStr">
        <is>
          <t>Revlon Pencil Eyeliner, ColorStay Eye Makeup with Built-in Sharpener, Waterproof, Smudgeproof, Longwearing with Ultra-Fine Tip, 201 Black, 0.01 Oz</t>
        </is>
      </c>
      <c r="E1857" s="2">
        <f>HYPERLINK("https://www.amazon.com/REVLON-Waterproof-Smudgeproof-Longwearing-Ultra-Fine/dp/B000H3EO3O/ref=sr_1_3?keywords=Eyeliner+Pencil&amp;qid=1695565490&amp;rdc=1&amp;sr=8-3", "https://www.amazon.com/REVLON-Waterproof-Smudgeproof-Longwearing-Ultra-Fine/dp/B000H3EO3O/ref=sr_1_3?keywords=Eyeliner+Pencil&amp;qid=1695565490&amp;rdc=1&amp;sr=8-3")</f>
        <v/>
      </c>
      <c r="F1857" t="inlineStr">
        <is>
          <t>B000H3EO3O</t>
        </is>
      </c>
      <c r="G1857">
        <f>_xlfn.IMAGE("https://camerareadycosmetics.com/cdn/shop/products/LAG_eyeliner_pencil_GP610_grande_e8f538cd-0493-4eeb-8a5e-d67b00c3be78_50x.jpg?v=1694446627")</f>
        <v/>
      </c>
      <c r="H1857">
        <f>_xlfn.IMAGE("https://m.media-amazon.com/images/I/71Tavr1m0PL._AC_UL320_.jpg")</f>
        <v/>
      </c>
      <c r="K1857" t="inlineStr">
        <is>
          <t>3.0</t>
        </is>
      </c>
      <c r="L1857" t="n">
        <v>6.97</v>
      </c>
      <c r="M1857" s="1" t="inlineStr">
        <is>
          <t>132.33%</t>
        </is>
      </c>
      <c r="N1857" t="n">
        <v>4.5</v>
      </c>
      <c r="O1857" t="n">
        <v>27754</v>
      </c>
      <c r="Q1857" t="inlineStr">
        <is>
          <t>InStock</t>
        </is>
      </c>
      <c r="R1857" t="inlineStr">
        <is>
          <t>undefined</t>
        </is>
      </c>
      <c r="S1857" t="inlineStr">
        <is>
          <t>10385472650</t>
        </is>
      </c>
    </row>
    <row r="1858" ht="75" customHeight="1">
      <c r="A1858" s="2">
        <f>HYPERLINK("https://camerareadycosmetics.com/products/l-a-girl-eyeliner-pencil", "https://camerareadycosmetics.com/products/l-a-girl-eyeliner-pencil")</f>
        <v/>
      </c>
      <c r="B1858" s="2">
        <f>HYPERLINK("https://camerareadycosmetics.com/products/l-a-girl-eyeliner-pencil", "https://camerareadycosmetics.com/products/l-a-girl-eyeliner-pencil")</f>
        <v/>
      </c>
      <c r="C1858" t="inlineStr">
        <is>
          <t>Eyeliner Pencil</t>
        </is>
      </c>
      <c r="D1858" t="inlineStr">
        <is>
          <t>Maybelline New York TattooStudio Long-Lasting Sharpenable Eyeliner Pencil, Glide on Smooth Gel Pigments with 36 Hour Wear, Waterproof, Deep Onyx, 1 Count</t>
        </is>
      </c>
      <c r="E1858" s="2">
        <f>HYPERLINK("https://www.amazon.com/Maybelline-New-York-Tattoostudio-Waterproof/dp/B07GX832KD/ref=sr_1_8?keywords=Eyeliner+Pencil&amp;qid=1695565490&amp;sr=8-8", "https://www.amazon.com/Maybelline-New-York-Tattoostudio-Waterproof/dp/B07GX832KD/ref=sr_1_8?keywords=Eyeliner+Pencil&amp;qid=1695565490&amp;sr=8-8")</f>
        <v/>
      </c>
      <c r="F1858" t="inlineStr">
        <is>
          <t>B07GX832KD</t>
        </is>
      </c>
      <c r="G1858">
        <f>_xlfn.IMAGE("https://camerareadycosmetics.com/cdn/shop/products/LAG_eyeliner_pencil_GP610_grande_e8f538cd-0493-4eeb-8a5e-d67b00c3be78_50x.jpg?v=1694446627")</f>
        <v/>
      </c>
      <c r="H1858">
        <f>_xlfn.IMAGE("https://m.media-amazon.com/images/I/61Kws0R-6gL._AC_UL320_.jpg")</f>
        <v/>
      </c>
      <c r="K1858" t="inlineStr">
        <is>
          <t>3.0</t>
        </is>
      </c>
      <c r="L1858" t="n">
        <v>6.3</v>
      </c>
      <c r="M1858" s="1" t="inlineStr">
        <is>
          <t>110.00%</t>
        </is>
      </c>
      <c r="N1858" t="n">
        <v>4.3</v>
      </c>
      <c r="O1858" t="n">
        <v>28510</v>
      </c>
      <c r="Q1858" t="inlineStr">
        <is>
          <t>InStock</t>
        </is>
      </c>
      <c r="R1858" t="inlineStr">
        <is>
          <t>undefined</t>
        </is>
      </c>
      <c r="S1858" t="inlineStr">
        <is>
          <t>10385472650</t>
        </is>
      </c>
    </row>
    <row r="1859" ht="75" customHeight="1">
      <c r="A1859" s="2">
        <f>HYPERLINK("https://camerareadycosmetics.com/products/l-a-girl-eyeliner-pencil", "https://camerareadycosmetics.com/products/l-a-girl-eyeliner-pencil")</f>
        <v/>
      </c>
      <c r="B1859" s="2">
        <f>HYPERLINK("https://camerareadycosmetics.com/products/l-a-girl-eyeliner-pencil", "https://camerareadycosmetics.com/products/l-a-girl-eyeliner-pencil")</f>
        <v/>
      </c>
      <c r="C1859" t="inlineStr">
        <is>
          <t>Eyeliner Pencil</t>
        </is>
      </c>
      <c r="D1859" t="inlineStr">
        <is>
          <t>NYX PROFESSIONAL MAKEUP Mechanical Eyeliner Pencil, Gray</t>
        </is>
      </c>
      <c r="E1859" s="2">
        <f>HYPERLINK("https://www.amazon.com/NYX-Mechanical-Eye-Pencil-Gray/dp/B005G9E9TI/ref=sr_1_1?keywords=Eyeliner+Pencil&amp;qid=1695565490&amp;sr=8-1", "https://www.amazon.com/NYX-Mechanical-Eye-Pencil-Gray/dp/B005G9E9TI/ref=sr_1_1?keywords=Eyeliner+Pencil&amp;qid=1695565490&amp;sr=8-1")</f>
        <v/>
      </c>
      <c r="F1859" t="inlineStr">
        <is>
          <t>B005G9E9TI</t>
        </is>
      </c>
      <c r="G1859">
        <f>_xlfn.IMAGE("https://camerareadycosmetics.com/cdn/shop/products/LAG_eyeliner_pencil_GP610_grande_e8f538cd-0493-4eeb-8a5e-d67b00c3be78_50x.jpg?v=1694446627")</f>
        <v/>
      </c>
      <c r="H1859">
        <f>_xlfn.IMAGE("https://m.media-amazon.com/images/I/51-WRolPPKL._AC_UL320_.jpg")</f>
        <v/>
      </c>
      <c r="K1859" t="inlineStr">
        <is>
          <t>3.0</t>
        </is>
      </c>
      <c r="L1859" t="n">
        <v>4.99</v>
      </c>
      <c r="M1859" s="1" t="inlineStr">
        <is>
          <t>66.33%</t>
        </is>
      </c>
      <c r="N1859" t="n">
        <v>4.5</v>
      </c>
      <c r="O1859" t="n">
        <v>108381</v>
      </c>
      <c r="Q1859" t="inlineStr">
        <is>
          <t>InStock</t>
        </is>
      </c>
      <c r="R1859" t="inlineStr">
        <is>
          <t>undefined</t>
        </is>
      </c>
      <c r="S1859" t="inlineStr">
        <is>
          <t>10385472650</t>
        </is>
      </c>
    </row>
    <row r="1860" ht="75" customHeight="1">
      <c r="A1860" s="2">
        <f>HYPERLINK("https://camerareadycosmetics.com/products/l-a-girl-eyeliner-pencil", "https://camerareadycosmetics.com/products/l-a-girl-eyeliner-pencil")</f>
        <v/>
      </c>
      <c r="B1860" s="2">
        <f>HYPERLINK("https://camerareadycosmetics.com/products/l-a-girl-eyeliner-pencil", "https://camerareadycosmetics.com/products/l-a-girl-eyeliner-pencil")</f>
        <v/>
      </c>
      <c r="C1860" t="inlineStr">
        <is>
          <t>Eyeliner Pencil</t>
        </is>
      </c>
      <c r="D1860" t="inlineStr">
        <is>
          <t>COVERGIRL Perfect Blend Eyeliner Pencil, Basic Black, Eyeliner Pencil with Blending Tip For Precise or Smudged Look, 1 Count</t>
        </is>
      </c>
      <c r="E1860" s="2">
        <f>HYPERLINK("https://www.amazon.com/COVERGIRL-Perfect-Eyeliner-Blending-Precise/dp/B00CLASIBU/ref=sr_1_4?keywords=Eyeliner+Pencil&amp;qid=1695565490&amp;sr=8-4", "https://www.amazon.com/COVERGIRL-Perfect-Eyeliner-Blending-Precise/dp/B00CLASIBU/ref=sr_1_4?keywords=Eyeliner+Pencil&amp;qid=1695565490&amp;sr=8-4")</f>
        <v/>
      </c>
      <c r="F1860" t="inlineStr">
        <is>
          <t>B00CLASIBU</t>
        </is>
      </c>
      <c r="G1860">
        <f>_xlfn.IMAGE("https://camerareadycosmetics.com/cdn/shop/products/LAG_eyeliner_pencil_GP610_grande_e8f538cd-0493-4eeb-8a5e-d67b00c3be78_50x.jpg?v=1694446627")</f>
        <v/>
      </c>
      <c r="H1860">
        <f>_xlfn.IMAGE("https://m.media-amazon.com/images/I/61oPbFTWmkL._AC_UL320_.jpg")</f>
        <v/>
      </c>
      <c r="K1860" t="inlineStr">
        <is>
          <t>3.0</t>
        </is>
      </c>
      <c r="L1860" t="n">
        <v>4.52</v>
      </c>
      <c r="M1860" s="1" t="inlineStr">
        <is>
          <t>50.67%</t>
        </is>
      </c>
      <c r="N1860" t="n">
        <v>4.5</v>
      </c>
      <c r="O1860" t="n">
        <v>16256</v>
      </c>
      <c r="Q1860" t="inlineStr">
        <is>
          <t>InStock</t>
        </is>
      </c>
      <c r="R1860" t="inlineStr">
        <is>
          <t>undefined</t>
        </is>
      </c>
      <c r="S1860" t="inlineStr">
        <is>
          <t>10385472650</t>
        </is>
      </c>
    </row>
    <row r="1861" ht="75" customHeight="1">
      <c r="A1861" s="2">
        <f>HYPERLINK("https://camerareadycosmetics.com/products/l-a-girl-eyeliner-pencil", "https://camerareadycosmetics.com/products/l-a-girl-eyeliner-pencil")</f>
        <v/>
      </c>
      <c r="B1861" s="2">
        <f>HYPERLINK("https://camerareadycosmetics.com/products/l-a-girl-eyeliner-pencil", "https://camerareadycosmetics.com/products/l-a-girl-eyeliner-pencil")</f>
        <v/>
      </c>
      <c r="C1861" t="inlineStr">
        <is>
          <t>Eyeliner Pencil</t>
        </is>
      </c>
      <c r="D1861" t="inlineStr">
        <is>
          <t>wet n wild Color Icon Kohl Eyeliner Pencil Dark Brown, Long Lasting, Highly Pigmented, No Smudging, Smooth Soft Gliding, Eye Liner Makeup, Pretty in Mink</t>
        </is>
      </c>
      <c r="E1861" s="2">
        <f>HYPERLINK("https://www.amazon.com/Eyeliner-Lasting-Pigmented-Smudging-Gliding/dp/B00WT1USJQ/ref=sr_1_10?keywords=Eyeliner+Pencil&amp;qid=1695565490&amp;sr=8-10", "https://www.amazon.com/Eyeliner-Lasting-Pigmented-Smudging-Gliding/dp/B00WT1USJQ/ref=sr_1_10?keywords=Eyeliner+Pencil&amp;qid=1695565490&amp;sr=8-10")</f>
        <v/>
      </c>
      <c r="F1861" t="inlineStr">
        <is>
          <t>B00WT1USJQ</t>
        </is>
      </c>
      <c r="G1861">
        <f>_xlfn.IMAGE("https://camerareadycosmetics.com/cdn/shop/products/LAG_eyeliner_pencil_GP610_grande_e8f538cd-0493-4eeb-8a5e-d67b00c3be78_50x.jpg?v=1694446627")</f>
        <v/>
      </c>
      <c r="H1861">
        <f>_xlfn.IMAGE("https://m.media-amazon.com/images/I/610MoTmLFML._AC_UL320_.jpg")</f>
        <v/>
      </c>
      <c r="K1861" t="inlineStr">
        <is>
          <t>3.0</t>
        </is>
      </c>
      <c r="L1861" t="n">
        <v>1.29</v>
      </c>
      <c r="M1861" s="1" t="inlineStr">
        <is>
          <t>-57.00%</t>
        </is>
      </c>
      <c r="N1861" t="n">
        <v>4.5</v>
      </c>
      <c r="O1861" t="n">
        <v>9802</v>
      </c>
      <c r="Q1861" t="inlineStr">
        <is>
          <t>InStock</t>
        </is>
      </c>
      <c r="R1861" t="inlineStr">
        <is>
          <t>undefined</t>
        </is>
      </c>
      <c r="S1861" t="inlineStr">
        <is>
          <t>10385472650</t>
        </is>
      </c>
    </row>
    <row r="1862" ht="75" customHeight="1">
      <c r="A1862" s="2">
        <f>HYPERLINK("https://camerareadycosmetics.com/products/l-a-girl-eyeliner-pencil", "https://camerareadycosmetics.com/products/l-a-girl-eyeliner-pencil")</f>
        <v/>
      </c>
      <c r="B1862" s="2">
        <f>HYPERLINK("https://camerareadycosmetics.com/products/l-a-girl-eyeliner-pencil", "https://camerareadycosmetics.com/products/l-a-girl-eyeliner-pencil")</f>
        <v/>
      </c>
      <c r="C1862" t="inlineStr">
        <is>
          <t>Eyeliner Pencil</t>
        </is>
      </c>
      <c r="D1862" t="inlineStr">
        <is>
          <t>wet n wild Color Icon Kohl Eyeliner Pencil Black, Long Lasting, Highly Pigmented, No Smudging, Smooth Soft Gliding, Eye Liner Makeup, Baby's Got Black</t>
        </is>
      </c>
      <c r="E1862" s="2">
        <f>HYPERLINK("https://www.amazon.com/Color-Eyeliner-Pencil-Babys-Black/dp/B00UZ8X9H8/ref=sr_1_5?keywords=Eyeliner+Pencil&amp;qid=1695565490&amp;sr=8-5", "https://www.amazon.com/Color-Eyeliner-Pencil-Babys-Black/dp/B00UZ8X9H8/ref=sr_1_5?keywords=Eyeliner+Pencil&amp;qid=1695565490&amp;sr=8-5")</f>
        <v/>
      </c>
      <c r="F1862" t="inlineStr">
        <is>
          <t>B00UZ8X9H8</t>
        </is>
      </c>
      <c r="G1862">
        <f>_xlfn.IMAGE("https://camerareadycosmetics.com/cdn/shop/products/LAG_eyeliner_pencil_GP610_grande_e8f538cd-0493-4eeb-8a5e-d67b00c3be78_50x.jpg?v=1694446627")</f>
        <v/>
      </c>
      <c r="H1862">
        <f>_xlfn.IMAGE("https://m.media-amazon.com/images/I/71q8o5UG0PL._AC_UL320_.jpg")</f>
        <v/>
      </c>
      <c r="K1862" t="inlineStr">
        <is>
          <t>3.0</t>
        </is>
      </c>
      <c r="L1862" t="n">
        <v>1</v>
      </c>
      <c r="M1862" s="1" t="inlineStr">
        <is>
          <t>-66.67%</t>
        </is>
      </c>
      <c r="N1862" t="n">
        <v>4.4</v>
      </c>
      <c r="O1862" t="n">
        <v>3462</v>
      </c>
      <c r="Q1862" t="inlineStr">
        <is>
          <t>InStock</t>
        </is>
      </c>
      <c r="R1862" t="inlineStr">
        <is>
          <t>undefined</t>
        </is>
      </c>
      <c r="S1862" t="inlineStr">
        <is>
          <t>10385472650</t>
        </is>
      </c>
    </row>
    <row r="1863" ht="75" customHeight="1">
      <c r="A1863" s="2">
        <f>HYPERLINK("https://camerareadycosmetics.com/products/l-a-girl-eyeliner-pencil", "https://camerareadycosmetics.com/products/l-a-girl-eyeliner-pencil")</f>
        <v/>
      </c>
      <c r="B1863" s="2">
        <f>HYPERLINK("https://camerareadycosmetics.com/products/l-a-girl-eyeliner-pencil", "https://camerareadycosmetics.com/products/l-a-girl-eyeliner-pencil")</f>
        <v/>
      </c>
      <c r="C1863" t="inlineStr">
        <is>
          <t>Eyeliner Pencil</t>
        </is>
      </c>
      <c r="D1863" t="inlineStr">
        <is>
          <t>wet n wild Color Icon Kohl Eyeliner Pencil Dark Brown, Long Lasting, Highly Pigmented, No Smudging, Smooth Soft Gliding, Eye Liner Makeup, Pretty in Mink</t>
        </is>
      </c>
      <c r="E1863" s="2">
        <f>HYPERLINK("https://www.amazon.com/Eyeliner-Lasting-Pigmented-Smudging-Gliding/dp/B00WT1USJQ/ref=sr_1_10?keywords=Eyeliner+Pencil&amp;qid=1695565490&amp;sr=8-10", "https://www.amazon.com/Eyeliner-Lasting-Pigmented-Smudging-Gliding/dp/B00WT1USJQ/ref=sr_1_10?keywords=Eyeliner+Pencil&amp;qid=1695565490&amp;sr=8-10")</f>
        <v/>
      </c>
      <c r="F1863" t="inlineStr">
        <is>
          <t>B00WT1USJQ</t>
        </is>
      </c>
      <c r="G1863">
        <f>_xlfn.IMAGE("https://camerareadycosmetics.com/cdn/shop/products/LAG_eyeliner_pencil_GP610_grande_e8f538cd-0493-4eeb-8a5e-d67b00c3be78_50x.jpg?v=1694446627")</f>
        <v/>
      </c>
      <c r="H1863">
        <f>_xlfn.IMAGE("https://m.media-amazon.com/images/I/610MoTmLFML._AC_UL320_.jpg")</f>
        <v/>
      </c>
      <c r="K1863" t="inlineStr">
        <is>
          <t>3.0</t>
        </is>
      </c>
      <c r="L1863" t="n">
        <v>1.29</v>
      </c>
      <c r="M1863" s="1" t="inlineStr">
        <is>
          <t>-57.00%</t>
        </is>
      </c>
      <c r="N1863" t="n">
        <v>4.5</v>
      </c>
      <c r="O1863" t="n">
        <v>9802</v>
      </c>
      <c r="Q1863" t="inlineStr">
        <is>
          <t>InStock</t>
        </is>
      </c>
      <c r="R1863" t="inlineStr">
        <is>
          <t>undefined</t>
        </is>
      </c>
      <c r="S1863" t="inlineStr">
        <is>
          <t>10385472650</t>
        </is>
      </c>
    </row>
    <row r="1864" ht="75" customHeight="1">
      <c r="A1864" s="2">
        <f>HYPERLINK("https://camerareadycosmetics.com/products/l-a-girl-eyeliner-pencil", "https://camerareadycosmetics.com/products/l-a-girl-eyeliner-pencil")</f>
        <v/>
      </c>
      <c r="B1864" s="2">
        <f>HYPERLINK("https://camerareadycosmetics.com/products/l-a-girl-eyeliner-pencil", "https://camerareadycosmetics.com/products/l-a-girl-eyeliner-pencil")</f>
        <v/>
      </c>
      <c r="C1864" t="inlineStr">
        <is>
          <t>Eyeliner Pencil</t>
        </is>
      </c>
      <c r="D1864" t="inlineStr">
        <is>
          <t>wet n wild Color Icon Kohl Eyeliner Pencil Black, Long Lasting, Highly Pigmented, No Smudging, Smooth Soft Gliding, Eye Liner Makeup, Baby's Got Black</t>
        </is>
      </c>
      <c r="E1864" s="2">
        <f>HYPERLINK("https://www.amazon.com/Color-Eyeliner-Pencil-Babys-Black/dp/B00UZ8X9H8/ref=sr_1_5?keywords=Eyeliner+Pencil&amp;qid=1695565490&amp;sr=8-5", "https://www.amazon.com/Color-Eyeliner-Pencil-Babys-Black/dp/B00UZ8X9H8/ref=sr_1_5?keywords=Eyeliner+Pencil&amp;qid=1695565490&amp;sr=8-5")</f>
        <v/>
      </c>
      <c r="F1864" t="inlineStr">
        <is>
          <t>B00UZ8X9H8</t>
        </is>
      </c>
      <c r="G1864">
        <f>_xlfn.IMAGE("https://camerareadycosmetics.com/cdn/shop/products/LAG_eyeliner_pencil_GP610_grande_e8f538cd-0493-4eeb-8a5e-d67b00c3be78_50x.jpg?v=1694446627")</f>
        <v/>
      </c>
      <c r="H1864">
        <f>_xlfn.IMAGE("https://m.media-amazon.com/images/I/71q8o5UG0PL._AC_UL320_.jpg")</f>
        <v/>
      </c>
      <c r="K1864" t="inlineStr">
        <is>
          <t>3.0</t>
        </is>
      </c>
      <c r="L1864" t="n">
        <v>1</v>
      </c>
      <c r="M1864" s="1" t="inlineStr">
        <is>
          <t>-66.67%</t>
        </is>
      </c>
      <c r="N1864" t="n">
        <v>4.4</v>
      </c>
      <c r="O1864" t="n">
        <v>3462</v>
      </c>
      <c r="Q1864" t="inlineStr">
        <is>
          <t>InStock</t>
        </is>
      </c>
      <c r="R1864" t="inlineStr">
        <is>
          <t>undefined</t>
        </is>
      </c>
      <c r="S1864" t="inlineStr">
        <is>
          <t>10385472650</t>
        </is>
      </c>
    </row>
    <row r="1865" ht="75" customHeight="1">
      <c r="A1865" s="2">
        <f>HYPERLINK("https://camerareadycosmetics.com/products/l-a-girl-fineline-eyeliner", "https://camerareadycosmetics.com/products/l-a-girl-fineline-eyeliner")</f>
        <v/>
      </c>
      <c r="B1865" s="2">
        <f>HYPERLINK("https://camerareadycosmetics.com/products/l-a-girl-fineline-eyeliner", "https://camerareadycosmetics.com/products/l-a-girl-fineline-eyeliner")</f>
        <v/>
      </c>
      <c r="C1865" t="inlineStr">
        <is>
          <t>Fineline Eyeliner</t>
        </is>
      </c>
      <c r="D1865" t="inlineStr">
        <is>
          <t>L.A. Girl Fineline Liquid Eyeliner Dark Blue</t>
        </is>
      </c>
      <c r="E1865" s="2">
        <f>HYPERLINK("https://www.amazon.com/L-Girl-Fineline-Eyeliner-GLE720/dp/B0754Q4R6C/ref=sr_1_3?keywords=Fineline+Eyeliner&amp;qid=1695565669&amp;sr=8-3", "https://www.amazon.com/L-Girl-Fineline-Eyeliner-GLE720/dp/B0754Q4R6C/ref=sr_1_3?keywords=Fineline+Eyeliner&amp;qid=1695565669&amp;sr=8-3")</f>
        <v/>
      </c>
      <c r="F1865" t="inlineStr">
        <is>
          <t>B0754Q4R6C</t>
        </is>
      </c>
      <c r="G1865">
        <f>_xlfn.IMAGE("https://camerareadycosmetics.com/cdn/shop/products/LAG_fineline_GLE721_grande_532e276b-6b4e-453b-be90-24bf8d768c74_50x.jpg?v=1506745989")</f>
        <v/>
      </c>
      <c r="H1865">
        <f>_xlfn.IMAGE("https://m.media-amazon.com/images/I/41HQo7z+5LL._AC_UL320_.jpg")</f>
        <v/>
      </c>
      <c r="K1865" t="inlineStr">
        <is>
          <t>8.0</t>
        </is>
      </c>
      <c r="L1865" t="n">
        <v>6.27</v>
      </c>
      <c r="M1865" s="1" t="inlineStr">
        <is>
          <t>-21.63%</t>
        </is>
      </c>
      <c r="N1865" t="n">
        <v>4.3</v>
      </c>
      <c r="O1865" t="n">
        <v>10</v>
      </c>
      <c r="Q1865" t="inlineStr">
        <is>
          <t>InStock</t>
        </is>
      </c>
      <c r="R1865" t="inlineStr">
        <is>
          <t>undefined</t>
        </is>
      </c>
      <c r="S1865" t="inlineStr">
        <is>
          <t>10385272650</t>
        </is>
      </c>
    </row>
    <row r="1866" ht="75" customHeight="1">
      <c r="A1866" s="2">
        <f>HYPERLINK("https://camerareadycosmetics.com/products/l-a-girl-fineline-eyeliner", "https://camerareadycosmetics.com/products/l-a-girl-fineline-eyeliner")</f>
        <v/>
      </c>
      <c r="B1866" s="2">
        <f>HYPERLINK("https://camerareadycosmetics.com/products/l-a-girl-fineline-eyeliner", "https://camerareadycosmetics.com/products/l-a-girl-fineline-eyeliner")</f>
        <v/>
      </c>
      <c r="C1866" t="inlineStr">
        <is>
          <t>Fineline Eyeliner</t>
        </is>
      </c>
      <c r="D1866" t="inlineStr">
        <is>
          <t>L.A. Girl Fineline Eyeliner, Black, 0.037 Ounce,GLE721A</t>
        </is>
      </c>
      <c r="E1866" s="2">
        <f>HYPERLINK("https://www.amazon.com/L-Girl-Fineline-Eyeliner/dp/B009WI16PO/ref=sr_1_4?keywords=Fineline+Eyeliner&amp;qid=1695565669&amp;sr=8-4", "https://www.amazon.com/L-Girl-Fineline-Eyeliner/dp/B009WI16PO/ref=sr_1_4?keywords=Fineline+Eyeliner&amp;qid=1695565669&amp;sr=8-4")</f>
        <v/>
      </c>
      <c r="F1866" t="inlineStr">
        <is>
          <t>B009WI16PO</t>
        </is>
      </c>
      <c r="G1866">
        <f>_xlfn.IMAGE("https://camerareadycosmetics.com/cdn/shop/products/LAG_fineline_GLE721_grande_532e276b-6b4e-453b-be90-24bf8d768c74_50x.jpg?v=1506745989")</f>
        <v/>
      </c>
      <c r="H1866">
        <f>_xlfn.IMAGE("https://m.media-amazon.com/images/I/417IzaRsXeL._AC_UL320_.jpg")</f>
        <v/>
      </c>
      <c r="K1866" t="inlineStr">
        <is>
          <t>8.0</t>
        </is>
      </c>
      <c r="L1866" t="n">
        <v>5.99</v>
      </c>
      <c r="M1866" s="1" t="inlineStr">
        <is>
          <t>-25.12%</t>
        </is>
      </c>
      <c r="N1866" t="n">
        <v>4.2</v>
      </c>
      <c r="O1866" t="n">
        <v>130</v>
      </c>
      <c r="Q1866" t="inlineStr">
        <is>
          <t>InStock</t>
        </is>
      </c>
      <c r="R1866" t="inlineStr">
        <is>
          <t>undefined</t>
        </is>
      </c>
      <c r="S1866" t="inlineStr">
        <is>
          <t>10385272650</t>
        </is>
      </c>
    </row>
    <row r="1867" ht="75" customHeight="1">
      <c r="A1867" s="2">
        <f>HYPERLINK("https://camerareadycosmetics.com/products/la-girl-gel-eyeliner", "https://camerareadycosmetics.com/products/la-girl-gel-eyeliner")</f>
        <v/>
      </c>
      <c r="B1867" s="2">
        <f>HYPERLINK("https://camerareadycosmetics.com/products/la-girl-gel-eyeliner", "https://camerareadycosmetics.com/products/la-girl-gel-eyeliner")</f>
        <v/>
      </c>
      <c r="C1867" t="inlineStr">
        <is>
          <t>Gel Eyeliner GEL731 Jet Black</t>
        </is>
      </c>
      <c r="D1867" t="inlineStr">
        <is>
          <t>Neutrogena Intense Gel Eyeliner with Antioxidant Vitamin E, Smudge- &amp; Water-Resistant Eyeliner Makeup for Precision Application, Jet Black, 0.004 oz</t>
        </is>
      </c>
      <c r="E1867" s="2">
        <f>HYPERLINK("https://www.amazon.com/Neutrogena-Antioxidant-Water-resistant-Precision-Application/dp/B07JCLRTXK/ref=sr_1_1?keywords=gel+eyeliner+gel+731+jet+black&amp;qid=1695565576&amp;sr=8-1", "https://www.amazon.com/Neutrogena-Antioxidant-Water-resistant-Precision-Application/dp/B07JCLRTXK/ref=sr_1_1?keywords=gel+eyeliner+gel+731+jet+black&amp;qid=1695565576&amp;sr=8-1")</f>
        <v/>
      </c>
      <c r="F1867" t="inlineStr">
        <is>
          <t>B07JCLRTXK</t>
        </is>
      </c>
      <c r="G1867">
        <f>_xlfn.IMAGE("https://camerareadycosmetics.com/cdn/shop/products/GEL731_prod_img_1024x1024_1_50x.jpg?v=1568652038")</f>
        <v/>
      </c>
      <c r="H1867">
        <f>_xlfn.IMAGE("https://m.media-amazon.com/images/I/71frpwNr7IL._AC_UL320_.jpg")</f>
        <v/>
      </c>
      <c r="K1867" t="inlineStr">
        <is>
          <t>8.0</t>
        </is>
      </c>
      <c r="L1867" t="n">
        <v>7.45</v>
      </c>
      <c r="M1867" s="1" t="inlineStr">
        <is>
          <t>-6.87%</t>
        </is>
      </c>
      <c r="N1867" t="n">
        <v>4.3</v>
      </c>
      <c r="O1867" t="n">
        <v>2787</v>
      </c>
      <c r="Q1867" t="inlineStr">
        <is>
          <t>InStock</t>
        </is>
      </c>
      <c r="R1867" t="inlineStr">
        <is>
          <t>undefined</t>
        </is>
      </c>
      <c r="S1867" t="inlineStr">
        <is>
          <t>572385853450</t>
        </is>
      </c>
    </row>
    <row r="1868" ht="75" customHeight="1">
      <c r="A1868" s="2">
        <f>HYPERLINK("https://camerareadycosmetics.com/products/l-a-girl-gel-glide-eyeliner-pencil", "https://camerareadycosmetics.com/products/l-a-girl-gel-glide-eyeliner-pencil")</f>
        <v/>
      </c>
      <c r="B1868" s="2">
        <f>HYPERLINK("https://camerareadycosmetics.com/products/l-a-girl-gel-glide-eyeliner-pencil", "https://camerareadycosmetics.com/products/l-a-girl-gel-glide-eyeliner-pencil")</f>
        <v/>
      </c>
      <c r="C1868" t="inlineStr">
        <is>
          <t>Gel Glide Eyeliner Pencil</t>
        </is>
      </c>
      <c r="D1868" t="inlineStr">
        <is>
          <t>19pc LA Girl Gel Glide Eyeliner Pencil set of 19 color #GP351-369</t>
        </is>
      </c>
      <c r="E1868" s="2">
        <f>HYPERLINK("https://www.amazon.com/Glide-Eyeliner-Pencil-color-GP351-369/dp/B00TAHJOYC/ref=sr_1_5?keywords=Gel+Glide+Eyeliner+Pencil&amp;qid=1695565425&amp;sr=8-5", "https://www.amazon.com/Glide-Eyeliner-Pencil-color-GP351-369/dp/B00TAHJOYC/ref=sr_1_5?keywords=Gel+Glide+Eyeliner+Pencil&amp;qid=1695565425&amp;sr=8-5")</f>
        <v/>
      </c>
      <c r="F1868" t="inlineStr">
        <is>
          <t>B00TAHJOYC</t>
        </is>
      </c>
      <c r="G1868">
        <f>_xlfn.IMAGE("https://camerareadycosmetics.com/cdn/shop/products/LAG_glide_GP351_50x.jpg?v=1689657336")</f>
        <v/>
      </c>
      <c r="H1868">
        <f>_xlfn.IMAGE("https://m.media-amazon.com/images/I/81WCg5BGsNL._AC_UL320_.jpg")</f>
        <v/>
      </c>
      <c r="K1868" t="inlineStr">
        <is>
          <t>5.0</t>
        </is>
      </c>
      <c r="L1868" t="n">
        <v>35.95</v>
      </c>
      <c r="M1868" s="1" t="inlineStr">
        <is>
          <t>619.00%</t>
        </is>
      </c>
      <c r="N1868" t="n">
        <v>4.5</v>
      </c>
      <c r="O1868" t="n">
        <v>322</v>
      </c>
      <c r="Q1868" t="inlineStr">
        <is>
          <t>InStock</t>
        </is>
      </c>
      <c r="R1868" t="inlineStr">
        <is>
          <t>undefined</t>
        </is>
      </c>
      <c r="S1868" t="inlineStr">
        <is>
          <t>7049967943</t>
        </is>
      </c>
    </row>
    <row r="1869" ht="75" customHeight="1">
      <c r="A1869" s="2">
        <f>HYPERLINK("https://camerareadycosmetics.com/products/l-a-girl-gel-glide-eyeliner-pencil", "https://camerareadycosmetics.com/products/l-a-girl-gel-glide-eyeliner-pencil")</f>
        <v/>
      </c>
      <c r="B1869" s="2">
        <f>HYPERLINK("https://camerareadycosmetics.com/products/l-a-girl-gel-glide-eyeliner-pencil", "https://camerareadycosmetics.com/products/l-a-girl-gel-glide-eyeliner-pencil")</f>
        <v/>
      </c>
      <c r="C1869" t="inlineStr">
        <is>
          <t>Gel Glide Eyeliner Pencil</t>
        </is>
      </c>
      <c r="D1869" t="inlineStr">
        <is>
          <t>M.A.C. Colour Excess Gel Pencil Eye Liner - Glide or Die (Carbon black)</t>
        </is>
      </c>
      <c r="E1869" s="2">
        <f>HYPERLINK("https://www.amazon.com/M-C-Colour-Excess-Pencil/dp/B0B139JDKX/ref=sr_1_2?keywords=Gel+Glide+Eyeliner+Pencil&amp;qid=1695565425&amp;sr=8-2", "https://www.amazon.com/M-C-Colour-Excess-Pencil/dp/B0B139JDKX/ref=sr_1_2?keywords=Gel+Glide+Eyeliner+Pencil&amp;qid=1695565425&amp;sr=8-2")</f>
        <v/>
      </c>
      <c r="F1869" t="inlineStr">
        <is>
          <t>B0B139JDKX</t>
        </is>
      </c>
      <c r="G1869">
        <f>_xlfn.IMAGE("https://camerareadycosmetics.com/cdn/shop/products/LAG_glide_GP351_50x.jpg?v=1689657336")</f>
        <v/>
      </c>
      <c r="H1869">
        <f>_xlfn.IMAGE("https://m.media-amazon.com/images/I/11Hu-xIcToL._AC_UL320_.jpg")</f>
        <v/>
      </c>
      <c r="K1869" t="inlineStr">
        <is>
          <t>5.0</t>
        </is>
      </c>
      <c r="L1869" t="n">
        <v>19</v>
      </c>
      <c r="M1869" s="1" t="inlineStr">
        <is>
          <t>280.00%</t>
        </is>
      </c>
      <c r="N1869" t="n">
        <v>4.3</v>
      </c>
      <c r="O1869" t="n">
        <v>30</v>
      </c>
      <c r="Q1869" t="inlineStr">
        <is>
          <t>InStock</t>
        </is>
      </c>
      <c r="R1869" t="inlineStr">
        <is>
          <t>undefined</t>
        </is>
      </c>
      <c r="S1869" t="inlineStr">
        <is>
          <t>7049967943</t>
        </is>
      </c>
    </row>
    <row r="1870" ht="75" customHeight="1">
      <c r="A1870" s="2">
        <f>HYPERLINK("https://camerareadycosmetics.com/products/l-a-girl-gel-glide-eyeliner-pencil", "https://camerareadycosmetics.com/products/l-a-girl-gel-glide-eyeliner-pencil")</f>
        <v/>
      </c>
      <c r="B1870" s="2">
        <f>HYPERLINK("https://camerareadycosmetics.com/products/l-a-girl-gel-glide-eyeliner-pencil", "https://camerareadycosmetics.com/products/l-a-girl-gel-glide-eyeliner-pencil")</f>
        <v/>
      </c>
      <c r="C1870" t="inlineStr">
        <is>
          <t>Gel Glide Eyeliner Pencil</t>
        </is>
      </c>
      <c r="D1870" t="inlineStr">
        <is>
          <t>Julep When Pencil Met Gel Sharpenable Multi-Use Longwear Eyeliner Pencil - Rich Brown - Transfer-Proof - High Performance Liner</t>
        </is>
      </c>
      <c r="E1870" s="2">
        <f>HYPERLINK("https://www.amazon.com/Julep-Pencil-Long-Lasting-Waterproof-Eyeliner/dp/B01FSJVS6W/ref=sr_1_8?keywords=Gel+Glide+Eyeliner+Pencil&amp;qid=1695565425&amp;sr=8-8", "https://www.amazon.com/Julep-Pencil-Long-Lasting-Waterproof-Eyeliner/dp/B01FSJVS6W/ref=sr_1_8?keywords=Gel+Glide+Eyeliner+Pencil&amp;qid=1695565425&amp;sr=8-8")</f>
        <v/>
      </c>
      <c r="F1870" t="inlineStr">
        <is>
          <t>B01FSJVS6W</t>
        </is>
      </c>
      <c r="G1870">
        <f>_xlfn.IMAGE("https://camerareadycosmetics.com/cdn/shop/products/LAG_glide_GP351_50x.jpg?v=1689657336")</f>
        <v/>
      </c>
      <c r="H1870">
        <f>_xlfn.IMAGE("https://m.media-amazon.com/images/I/71+XsjBqsiL._AC_UL320_.jpg")</f>
        <v/>
      </c>
      <c r="K1870" t="inlineStr">
        <is>
          <t>5.0</t>
        </is>
      </c>
      <c r="L1870" t="n">
        <v>12</v>
      </c>
      <c r="M1870" s="1" t="inlineStr">
        <is>
          <t>140.00%</t>
        </is>
      </c>
      <c r="N1870" t="n">
        <v>4.2</v>
      </c>
      <c r="O1870" t="n">
        <v>10624</v>
      </c>
      <c r="Q1870" t="inlineStr">
        <is>
          <t>InStock</t>
        </is>
      </c>
      <c r="R1870" t="inlineStr">
        <is>
          <t>undefined</t>
        </is>
      </c>
      <c r="S1870" t="inlineStr">
        <is>
          <t>7049967943</t>
        </is>
      </c>
    </row>
    <row r="1871" ht="75" customHeight="1">
      <c r="A1871" s="2">
        <f>HYPERLINK("https://camerareadycosmetics.com/products/l-a-girl-gel-glide-eyeliner-pencil", "https://camerareadycosmetics.com/products/l-a-girl-gel-glide-eyeliner-pencil")</f>
        <v/>
      </c>
      <c r="B1871" s="2">
        <f>HYPERLINK("https://camerareadycosmetics.com/products/l-a-girl-gel-glide-eyeliner-pencil", "https://camerareadycosmetics.com/products/l-a-girl-gel-glide-eyeliner-pencil")</f>
        <v/>
      </c>
      <c r="C1871" t="inlineStr">
        <is>
          <t>Gel Glide Eyeliner Pencil</t>
        </is>
      </c>
      <c r="D1871" t="inlineStr">
        <is>
          <t>L.A. Girl Glide Gel Eyeliner Pencils, Aquatic, 3 Count(Pack of 1)</t>
        </is>
      </c>
      <c r="E1871" s="2">
        <f>HYPERLINK("https://www.amazon.com/L-Girl-Eyeliner-Pencils-Aquatic/dp/B01N4EHL0Y/ref=sr_1_7?keywords=Gel+Glide+Eyeliner+Pencil&amp;qid=1695565425&amp;sr=8-7", "https://www.amazon.com/L-Girl-Eyeliner-Pencils-Aquatic/dp/B01N4EHL0Y/ref=sr_1_7?keywords=Gel+Glide+Eyeliner+Pencil&amp;qid=1695565425&amp;sr=8-7")</f>
        <v/>
      </c>
      <c r="F1871" t="inlineStr">
        <is>
          <t>B01N4EHL0Y</t>
        </is>
      </c>
      <c r="G1871">
        <f>_xlfn.IMAGE("https://camerareadycosmetics.com/cdn/shop/products/LAG_glide_GP351_50x.jpg?v=1689657336")</f>
        <v/>
      </c>
      <c r="H1871">
        <f>_xlfn.IMAGE("https://m.media-amazon.com/images/I/51+xe4a32VL._AC_UL320_.jpg")</f>
        <v/>
      </c>
      <c r="K1871" t="inlineStr">
        <is>
          <t>5.0</t>
        </is>
      </c>
      <c r="L1871" t="n">
        <v>9.289999999999999</v>
      </c>
      <c r="M1871" s="1" t="inlineStr">
        <is>
          <t>85.80%</t>
        </is>
      </c>
      <c r="N1871" t="n">
        <v>4.3</v>
      </c>
      <c r="O1871" t="n">
        <v>714</v>
      </c>
      <c r="Q1871" t="inlineStr">
        <is>
          <t>InStock</t>
        </is>
      </c>
      <c r="R1871" t="inlineStr">
        <is>
          <t>undefined</t>
        </is>
      </c>
      <c r="S1871" t="inlineStr">
        <is>
          <t>7049967943</t>
        </is>
      </c>
    </row>
    <row r="1872" ht="75" customHeight="1">
      <c r="A1872" s="2">
        <f>HYPERLINK("https://camerareadycosmetics.com/products/l-a-girl-gel-glide-eyeliner-pencil", "https://camerareadycosmetics.com/products/l-a-girl-gel-glide-eyeliner-pencil")</f>
        <v/>
      </c>
      <c r="B1872" s="2">
        <f>HYPERLINK("https://camerareadycosmetics.com/products/l-a-girl-gel-glide-eyeliner-pencil", "https://camerareadycosmetics.com/products/l-a-girl-gel-glide-eyeliner-pencil")</f>
        <v/>
      </c>
      <c r="C1872" t="inlineStr">
        <is>
          <t>Gel Glide Eyeliner Pencil</t>
        </is>
      </c>
      <c r="D1872" t="inlineStr">
        <is>
          <t>L.A. Girl Gel Glide Eyeliner Pencil 351 Very Black-3pcs</t>
        </is>
      </c>
      <c r="E1872" s="2">
        <f>HYPERLINK("https://www.amazon.com/L-Girl-Eyeliner-Pencil-Black-3pcs/dp/B00O1J1J3I/ref=sr_1_1?keywords=Gel+Glide+Eyeliner+Pencil&amp;qid=1695565425&amp;sr=8-1", "https://www.amazon.com/L-Girl-Eyeliner-Pencil-Black-3pcs/dp/B00O1J1J3I/ref=sr_1_1?keywords=Gel+Glide+Eyeliner+Pencil&amp;qid=1695565425&amp;sr=8-1")</f>
        <v/>
      </c>
      <c r="F1872" t="inlineStr">
        <is>
          <t>B00O1J1J3I</t>
        </is>
      </c>
      <c r="G1872">
        <f>_xlfn.IMAGE("https://camerareadycosmetics.com/cdn/shop/products/LAG_glide_GP351_50x.jpg?v=1689657336")</f>
        <v/>
      </c>
      <c r="H1872">
        <f>_xlfn.IMAGE("https://m.media-amazon.com/images/I/71qwF3gHcCL._AC_UL320_.jpg")</f>
        <v/>
      </c>
      <c r="K1872" t="inlineStr">
        <is>
          <t>5.0</t>
        </is>
      </c>
      <c r="L1872" t="n">
        <v>8.949999999999999</v>
      </c>
      <c r="M1872" s="1" t="inlineStr">
        <is>
          <t>79.00%</t>
        </is>
      </c>
      <c r="N1872" t="n">
        <v>4.5</v>
      </c>
      <c r="O1872" t="n">
        <v>541</v>
      </c>
      <c r="Q1872" t="inlineStr">
        <is>
          <t>InStock</t>
        </is>
      </c>
      <c r="R1872" t="inlineStr">
        <is>
          <t>undefined</t>
        </is>
      </c>
      <c r="S1872" t="inlineStr">
        <is>
          <t>7049967943</t>
        </is>
      </c>
    </row>
    <row r="1873" ht="75" customHeight="1">
      <c r="A1873" s="2">
        <f>HYPERLINK("https://camerareadycosmetics.com/products/l-a-girl-gel-glide-eyeliner-pencil", "https://camerareadycosmetics.com/products/l-a-girl-gel-glide-eyeliner-pencil")</f>
        <v/>
      </c>
      <c r="B1873" s="2">
        <f>HYPERLINK("https://camerareadycosmetics.com/products/l-a-girl-gel-glide-eyeliner-pencil", "https://camerareadycosmetics.com/products/l-a-girl-gel-glide-eyeliner-pencil")</f>
        <v/>
      </c>
      <c r="C1873" t="inlineStr">
        <is>
          <t>Gel Glide Eyeliner Pencil</t>
        </is>
      </c>
      <c r="D1873" t="inlineStr">
        <is>
          <t>L’Oréal Paris Makeup Infallible Pro-Last Pencil Eyeliner, Waterproof and Smudge-Resistant, Glides on Easily to Create any Look, Brown, 0.042 oz.</t>
        </is>
      </c>
      <c r="E1873" s="2">
        <f>HYPERLINK("https://www.amazon.com/Paris-Infallible-Pro-Last-Waterproof-Eyeliner/dp/B074PTVNF2/ref=sr_1_9?keywords=Gel+Glide+Eyeliner+Pencil&amp;qid=1695565425&amp;sr=8-9", "https://www.amazon.com/Paris-Infallible-Pro-Last-Waterproof-Eyeliner/dp/B074PTVNF2/ref=sr_1_9?keywords=Gel+Glide+Eyeliner+Pencil&amp;qid=1695565425&amp;sr=8-9")</f>
        <v/>
      </c>
      <c r="F1873" t="inlineStr">
        <is>
          <t>B074PTVNF2</t>
        </is>
      </c>
      <c r="G1873">
        <f>_xlfn.IMAGE("https://camerareadycosmetics.com/cdn/shop/products/LAG_glide_GP351_50x.jpg?v=1689657336")</f>
        <v/>
      </c>
      <c r="H1873">
        <f>_xlfn.IMAGE("https://m.media-amazon.com/images/I/41qOVYPVn-L._AC_UL320_.jpg")</f>
        <v/>
      </c>
      <c r="K1873" t="inlineStr">
        <is>
          <t>5.0</t>
        </is>
      </c>
      <c r="L1873" t="n">
        <v>8.33</v>
      </c>
      <c r="M1873" s="1" t="inlineStr">
        <is>
          <t>66.60%</t>
        </is>
      </c>
      <c r="N1873" t="n">
        <v>4.3</v>
      </c>
      <c r="O1873" t="n">
        <v>12204</v>
      </c>
      <c r="Q1873" t="inlineStr">
        <is>
          <t>InStock</t>
        </is>
      </c>
      <c r="R1873" t="inlineStr">
        <is>
          <t>undefined</t>
        </is>
      </c>
      <c r="S1873" t="inlineStr">
        <is>
          <t>7049967943</t>
        </is>
      </c>
    </row>
    <row r="1874" ht="75" customHeight="1">
      <c r="A1874" s="2">
        <f>HYPERLINK("https://camerareadycosmetics.com/products/l-a-girl-gel-glide-eyeliner-pencil", "https://camerareadycosmetics.com/products/l-a-girl-gel-glide-eyeliner-pencil")</f>
        <v/>
      </c>
      <c r="B1874" s="2">
        <f>HYPERLINK("https://camerareadycosmetics.com/products/l-a-girl-gel-glide-eyeliner-pencil", "https://camerareadycosmetics.com/products/l-a-girl-gel-glide-eyeliner-pencil")</f>
        <v/>
      </c>
      <c r="C1874" t="inlineStr">
        <is>
          <t>Gel Glide Eyeliner Pencil</t>
        </is>
      </c>
      <c r="D1874" t="inlineStr">
        <is>
          <t>Maybelline New York TattooStudio Long-Lasting Sharpenable Eyeliner Pencil, Glide on Smooth Gel Pigments with 36 Hour Wear, Waterproof, Smooth Walnut, 1 Count</t>
        </is>
      </c>
      <c r="E1874" s="2">
        <f>HYPERLINK("https://www.amazon.com/Maybelline-tattoostudio-Long-Lasting-Sharpenable-Effortlessly/dp/B07W69B228/ref=sr_1_3?keywords=Gel+Glide+Eyeliner+Pencil&amp;qid=1695565425&amp;sr=8-3", "https://www.amazon.com/Maybelline-tattoostudio-Long-Lasting-Sharpenable-Effortlessly/dp/B07W69B228/ref=sr_1_3?keywords=Gel+Glide+Eyeliner+Pencil&amp;qid=1695565425&amp;sr=8-3")</f>
        <v/>
      </c>
      <c r="F1874" t="inlineStr">
        <is>
          <t>B07W69B228</t>
        </is>
      </c>
      <c r="G1874">
        <f>_xlfn.IMAGE("https://camerareadycosmetics.com/cdn/shop/products/LAG_glide_GP351_50x.jpg?v=1689657336")</f>
        <v/>
      </c>
      <c r="H1874">
        <f>_xlfn.IMAGE("https://m.media-amazon.com/images/I/61s5hhuRAcL._AC_UL320_.jpg")</f>
        <v/>
      </c>
      <c r="K1874" t="inlineStr">
        <is>
          <t>5.0</t>
        </is>
      </c>
      <c r="L1874" t="n">
        <v>7.66</v>
      </c>
      <c r="M1874" s="1" t="inlineStr">
        <is>
          <t>53.20%</t>
        </is>
      </c>
      <c r="N1874" t="n">
        <v>4.3</v>
      </c>
      <c r="O1874" t="n">
        <v>28510</v>
      </c>
      <c r="Q1874" t="inlineStr">
        <is>
          <t>InStock</t>
        </is>
      </c>
      <c r="R1874" t="inlineStr">
        <is>
          <t>undefined</t>
        </is>
      </c>
      <c r="S1874" t="inlineStr">
        <is>
          <t>7049967943</t>
        </is>
      </c>
    </row>
    <row r="1875" ht="75" customHeight="1">
      <c r="A1875" s="2">
        <f>HYPERLINK("https://camerareadycosmetics.com/products/l-a-girl-gel-glide-eyeliner-pencil", "https://camerareadycosmetics.com/products/l-a-girl-gel-glide-eyeliner-pencil")</f>
        <v/>
      </c>
      <c r="B1875" s="2">
        <f>HYPERLINK("https://camerareadycosmetics.com/products/l-a-girl-gel-glide-eyeliner-pencil", "https://camerareadycosmetics.com/products/l-a-girl-gel-glide-eyeliner-pencil")</f>
        <v/>
      </c>
      <c r="C1875" t="inlineStr">
        <is>
          <t>Gel Glide Eyeliner Pencil</t>
        </is>
      </c>
      <c r="D1875" t="inlineStr">
        <is>
          <t>Almay Gel Eyeliner, Waterproof, Fade-Proof Eye Makeup, Easy-to-Sharpen Liner Pencil, 140 Deep Chestnut, 0.045 Oz</t>
        </is>
      </c>
      <c r="E1875" s="2">
        <f>HYPERLINK("https://www.amazon.com/Almay-Longlasting-Waterproof-HighPerforming-EasytoSharpen/dp/B08MRZ4RK7/ref=sr_1_6?keywords=Gel+Glide+Eyeliner+Pencil&amp;qid=1695565425&amp;rdc=1&amp;sr=8-6", "https://www.amazon.com/Almay-Longlasting-Waterproof-HighPerforming-EasytoSharpen/dp/B08MRZ4RK7/ref=sr_1_6?keywords=Gel+Glide+Eyeliner+Pencil&amp;qid=1695565425&amp;rdc=1&amp;sr=8-6")</f>
        <v/>
      </c>
      <c r="F1875" t="inlineStr">
        <is>
          <t>B08MRZ4RK7</t>
        </is>
      </c>
      <c r="G1875">
        <f>_xlfn.IMAGE("https://camerareadycosmetics.com/cdn/shop/products/LAG_glide_GP351_50x.jpg?v=1689657336")</f>
        <v/>
      </c>
      <c r="H1875">
        <f>_xlfn.IMAGE("https://m.media-amazon.com/images/I/71+8Cc7pToL._AC_UL320_.jpg")</f>
        <v/>
      </c>
      <c r="K1875" t="inlineStr">
        <is>
          <t>5.0</t>
        </is>
      </c>
      <c r="L1875" t="n">
        <v>7.33</v>
      </c>
      <c r="M1875" s="1" t="inlineStr">
        <is>
          <t>46.60%</t>
        </is>
      </c>
      <c r="N1875" t="n">
        <v>4.2</v>
      </c>
      <c r="O1875" t="n">
        <v>6060</v>
      </c>
      <c r="Q1875" t="inlineStr">
        <is>
          <t>InStock</t>
        </is>
      </c>
      <c r="R1875" t="inlineStr">
        <is>
          <t>undefined</t>
        </is>
      </c>
      <c r="S1875" t="inlineStr">
        <is>
          <t>7049967943</t>
        </is>
      </c>
    </row>
    <row r="1876" ht="75" customHeight="1">
      <c r="A1876" s="2">
        <f>HYPERLINK("https://camerareadycosmetics.com/products/l-a-girl-gel-glide-eyeliner-pencil", "https://camerareadycosmetics.com/products/l-a-girl-gel-glide-eyeliner-pencil")</f>
        <v/>
      </c>
      <c r="B1876" s="2">
        <f>HYPERLINK("https://camerareadycosmetics.com/products/l-a-girl-gel-glide-eyeliner-pencil", "https://camerareadycosmetics.com/products/l-a-girl-gel-glide-eyeliner-pencil")</f>
        <v/>
      </c>
      <c r="C1876" t="inlineStr">
        <is>
          <t>Gel Glide Eyeliner Pencil</t>
        </is>
      </c>
      <c r="D1876" t="inlineStr">
        <is>
          <t>Maybelline TattooStudio Long-Lasting Sharpenable Eyeliner Pencil, Glide on Smooth Gel Pigments with 36 Hour Wear, Waterproof, Sparkling Silver, 1 Count</t>
        </is>
      </c>
      <c r="E1876" s="2">
        <f>HYPERLINK("https://www.amazon.com/Maybelline-New-York-Tattoostudio-Waterproof/dp/B07GX7ZMJW/ref=sr_1_10?keywords=Gel+Glide+Eyeliner+Pencil&amp;qid=1695565425&amp;sr=8-10", "https://www.amazon.com/Maybelline-New-York-Tattoostudio-Waterproof/dp/B07GX7ZMJW/ref=sr_1_10?keywords=Gel+Glide+Eyeliner+Pencil&amp;qid=1695565425&amp;sr=8-10")</f>
        <v/>
      </c>
      <c r="F1876" t="inlineStr">
        <is>
          <t>B07GX7ZMJW</t>
        </is>
      </c>
      <c r="G1876">
        <f>_xlfn.IMAGE("https://camerareadycosmetics.com/cdn/shop/products/LAG_glide_GP351_50x.jpg?v=1689657336")</f>
        <v/>
      </c>
      <c r="H1876">
        <f>_xlfn.IMAGE("https://m.media-amazon.com/images/I/71aixt5SdIL._AC_UL320_.jpg")</f>
        <v/>
      </c>
      <c r="K1876" t="inlineStr">
        <is>
          <t>5.0</t>
        </is>
      </c>
      <c r="L1876" t="n">
        <v>5.97</v>
      </c>
      <c r="M1876" s="1" t="inlineStr">
        <is>
          <t>19.40%</t>
        </is>
      </c>
      <c r="N1876" t="n">
        <v>4.3</v>
      </c>
      <c r="O1876" t="n">
        <v>28510</v>
      </c>
      <c r="Q1876" t="inlineStr">
        <is>
          <t>InStock</t>
        </is>
      </c>
      <c r="R1876" t="inlineStr">
        <is>
          <t>undefined</t>
        </is>
      </c>
      <c r="S1876" t="inlineStr">
        <is>
          <t>7049967943</t>
        </is>
      </c>
    </row>
    <row r="1877" ht="75" customHeight="1">
      <c r="A1877" s="2">
        <f>HYPERLINK("https://camerareadycosmetics.com/products/l-a-girl-hd-pro-conceal", "https://camerareadycosmetics.com/products/l-a-girl-hd-pro-conceal")</f>
        <v/>
      </c>
      <c r="B1877" s="2">
        <f>HYPERLINK("https://camerareadycosmetics.com/products/l-a-girl-hd-pro-conceal", "https://camerareadycosmetics.com/products/l-a-girl-hd-pro-conceal")</f>
        <v/>
      </c>
      <c r="C1877" t="inlineStr">
        <is>
          <t>Pro HD Conceal</t>
        </is>
      </c>
      <c r="D1877" t="inlineStr">
        <is>
          <t>LA Girl HD Conceal High Definition Pro Concealer 13 Color Choices (Fawn)</t>
        </is>
      </c>
      <c r="E1877" s="2">
        <f>HYPERLINK("https://www.amazon.com/Girl-Conceal-Definition-Concealer-Choices/dp/B019NNB198/ref=sr_1_8?keywords=Pro+HD+Conceal&amp;qid=1695565414&amp;sr=8-8", "https://www.amazon.com/Girl-Conceal-Definition-Concealer-Choices/dp/B019NNB198/ref=sr_1_8?keywords=Pro+HD+Conceal&amp;qid=1695565414&amp;sr=8-8")</f>
        <v/>
      </c>
      <c r="F1877" t="inlineStr">
        <is>
          <t>B019NNB198</t>
        </is>
      </c>
      <c r="G1877">
        <f>_xlfn.IMAGE("https://camerareadycosmetics.com/cdn/shop/products/LAG_pro_conceal_CG969_grande_8a359ed7-c069-492f-92a3-f048f9783c9a_50x.jpg?v=1689657132")</f>
        <v/>
      </c>
      <c r="H1877">
        <f>_xlfn.IMAGE("https://m.media-amazon.com/images/I/71hnHbjXDqL._AC_UL320_.jpg")</f>
        <v/>
      </c>
      <c r="K1877" t="inlineStr">
        <is>
          <t>6.0</t>
        </is>
      </c>
      <c r="L1877" t="n">
        <v>11.94</v>
      </c>
      <c r="M1877" s="1" t="inlineStr">
        <is>
          <t>99.00%</t>
        </is>
      </c>
      <c r="N1877" t="n">
        <v>4.7</v>
      </c>
      <c r="O1877" t="n">
        <v>1141</v>
      </c>
      <c r="Q1877" t="inlineStr">
        <is>
          <t>InStock</t>
        </is>
      </c>
      <c r="R1877" t="inlineStr">
        <is>
          <t>undefined</t>
        </is>
      </c>
      <c r="S1877" t="inlineStr">
        <is>
          <t>7049959495</t>
        </is>
      </c>
    </row>
    <row r="1878" ht="75" customHeight="1">
      <c r="A1878" s="2">
        <f>HYPERLINK("https://camerareadycosmetics.com/products/l-a-girl-hd-pro-conceal", "https://camerareadycosmetics.com/products/l-a-girl-hd-pro-conceal")</f>
        <v/>
      </c>
      <c r="B1878" s="2">
        <f>HYPERLINK("https://camerareadycosmetics.com/products/l-a-girl-hd-pro-conceal", "https://camerareadycosmetics.com/products/l-a-girl-hd-pro-conceal")</f>
        <v/>
      </c>
      <c r="C1878" t="inlineStr">
        <is>
          <t>Pro HD Conceal</t>
        </is>
      </c>
      <c r="D1878" t="inlineStr">
        <is>
          <t>LA Girl HD Conceal High Definition Pro Concealer 13 Color Choices (Natural)</t>
        </is>
      </c>
      <c r="E1878" s="2">
        <f>HYPERLINK("https://www.amazon.com/Girl-Conceal-Definition-Concealer-Choices/dp/B019NNB18O/ref=sr_1_9?keywords=Pro+HD+Conceal&amp;qid=1695565414&amp;sr=8-9", "https://www.amazon.com/Girl-Conceal-Definition-Concealer-Choices/dp/B019NNB18O/ref=sr_1_9?keywords=Pro+HD+Conceal&amp;qid=1695565414&amp;sr=8-9")</f>
        <v/>
      </c>
      <c r="F1878" t="inlineStr">
        <is>
          <t>B019NNB18O</t>
        </is>
      </c>
      <c r="G1878">
        <f>_xlfn.IMAGE("https://camerareadycosmetics.com/cdn/shop/products/LAG_pro_conceal_CG969_grande_8a359ed7-c069-492f-92a3-f048f9783c9a_50x.jpg?v=1689657132")</f>
        <v/>
      </c>
      <c r="H1878">
        <f>_xlfn.IMAGE("https://m.media-amazon.com/images/I/71AhvvraZqL._AC_UL320_.jpg")</f>
        <v/>
      </c>
      <c r="K1878" t="inlineStr">
        <is>
          <t>6.0</t>
        </is>
      </c>
      <c r="L1878" t="n">
        <v>9.859999999999999</v>
      </c>
      <c r="M1878" s="1" t="inlineStr">
        <is>
          <t>64.33%</t>
        </is>
      </c>
      <c r="N1878" t="n">
        <v>4.3</v>
      </c>
      <c r="O1878" t="n">
        <v>308</v>
      </c>
      <c r="Q1878" t="inlineStr">
        <is>
          <t>InStock</t>
        </is>
      </c>
      <c r="R1878" t="inlineStr">
        <is>
          <t>undefined</t>
        </is>
      </c>
      <c r="S1878" t="inlineStr">
        <is>
          <t>7049959495</t>
        </is>
      </c>
    </row>
    <row r="1879" ht="75" customHeight="1">
      <c r="A1879" s="2">
        <f>HYPERLINK("https://camerareadycosmetics.com/products/l-a-girl-hd-pro-conceal", "https://camerareadycosmetics.com/products/l-a-girl-hd-pro-conceal")</f>
        <v/>
      </c>
      <c r="B1879" s="2">
        <f>HYPERLINK("https://camerareadycosmetics.com/products/l-a-girl-hd-pro-conceal", "https://camerareadycosmetics.com/products/l-a-girl-hd-pro-conceal")</f>
        <v/>
      </c>
      <c r="C1879" t="inlineStr">
        <is>
          <t>Pro HD Conceal</t>
        </is>
      </c>
      <c r="D1879" t="inlineStr">
        <is>
          <t>L.A. Girl Pro Coneal Hd. High Definiton Concealer 0.25 Oz #991 Yellow</t>
        </is>
      </c>
      <c r="E1879" s="2">
        <f>HYPERLINK("https://www.amazon.com/L-Girl-Coneal-Definiton-Concealer/dp/B00VDKZ6HI/ref=sr_1_10?keywords=Pro+HD+Conceal&amp;qid=1695565414&amp;sr=8-10", "https://www.amazon.com/L-Girl-Coneal-Definiton-Concealer/dp/B00VDKZ6HI/ref=sr_1_10?keywords=Pro+HD+Conceal&amp;qid=1695565414&amp;sr=8-10")</f>
        <v/>
      </c>
      <c r="F1879" t="inlineStr">
        <is>
          <t>B00VDKZ6HI</t>
        </is>
      </c>
      <c r="G1879">
        <f>_xlfn.IMAGE("https://camerareadycosmetics.com/cdn/shop/products/LAG_pro_conceal_CG969_grande_8a359ed7-c069-492f-92a3-f048f9783c9a_50x.jpg?v=1689657132")</f>
        <v/>
      </c>
      <c r="H1879">
        <f>_xlfn.IMAGE("https://m.media-amazon.com/images/I/61ySzJ0epKL._AC_UL320_.jpg")</f>
        <v/>
      </c>
      <c r="K1879" t="inlineStr">
        <is>
          <t>6.0</t>
        </is>
      </c>
      <c r="L1879" t="n">
        <v>8.52</v>
      </c>
      <c r="M1879" s="1" t="inlineStr">
        <is>
          <t>42.00%</t>
        </is>
      </c>
      <c r="N1879" t="n">
        <v>3.8</v>
      </c>
      <c r="O1879" t="n">
        <v>65</v>
      </c>
      <c r="Q1879" t="inlineStr">
        <is>
          <t>InStock</t>
        </is>
      </c>
      <c r="R1879" t="inlineStr">
        <is>
          <t>undefined</t>
        </is>
      </c>
      <c r="S1879" t="inlineStr">
        <is>
          <t>7049959495</t>
        </is>
      </c>
    </row>
    <row r="1880" ht="75" customHeight="1">
      <c r="A1880" s="2">
        <f>HYPERLINK("https://camerareadycosmetics.com/products/l-a-girl-hd-pro-conceal", "https://camerareadycosmetics.com/products/l-a-girl-hd-pro-conceal")</f>
        <v/>
      </c>
      <c r="B1880" s="2">
        <f>HYPERLINK("https://camerareadycosmetics.com/products/l-a-girl-hd-pro-conceal", "https://camerareadycosmetics.com/products/l-a-girl-hd-pro-conceal")</f>
        <v/>
      </c>
      <c r="C1880" t="inlineStr">
        <is>
          <t>Pro HD Conceal</t>
        </is>
      </c>
      <c r="D1880" t="inlineStr">
        <is>
          <t>L.A. Girl Pro Conceal HD Concealer, Green Corrector, 0.28 Ounce (Pack of 2)</t>
        </is>
      </c>
      <c r="E1880" s="2">
        <f>HYPERLINK("https://www.amazon.com/L-Girl-Conceal-Concealer-Corrector/dp/B09LKW6N4S/ref=sr_1_4?keywords=Pro+HD+Conceal&amp;qid=1695565414&amp;sr=8-4", "https://www.amazon.com/L-Girl-Conceal-Concealer-Corrector/dp/B09LKW6N4S/ref=sr_1_4?keywords=Pro+HD+Conceal&amp;qid=1695565414&amp;sr=8-4")</f>
        <v/>
      </c>
      <c r="F1880" t="inlineStr">
        <is>
          <t>B09LKW6N4S</t>
        </is>
      </c>
      <c r="G1880">
        <f>_xlfn.IMAGE("https://camerareadycosmetics.com/cdn/shop/products/LAG_pro_conceal_CG969_grande_8a359ed7-c069-492f-92a3-f048f9783c9a_50x.jpg?v=1689657132")</f>
        <v/>
      </c>
      <c r="H1880">
        <f>_xlfn.IMAGE("https://m.media-amazon.com/images/I/31CsafMwbaL._AC_UL320_.jpg")</f>
        <v/>
      </c>
      <c r="K1880" t="inlineStr">
        <is>
          <t>6.0</t>
        </is>
      </c>
      <c r="L1880" t="n">
        <v>7.68</v>
      </c>
      <c r="M1880" s="1" t="inlineStr">
        <is>
          <t>28.00%</t>
        </is>
      </c>
      <c r="N1880" t="n">
        <v>3.6</v>
      </c>
      <c r="O1880" t="n">
        <v>12</v>
      </c>
      <c r="Q1880" t="inlineStr">
        <is>
          <t>InStock</t>
        </is>
      </c>
      <c r="R1880" t="inlineStr">
        <is>
          <t>undefined</t>
        </is>
      </c>
      <c r="S1880" t="inlineStr">
        <is>
          <t>7049959495</t>
        </is>
      </c>
    </row>
    <row r="1881" ht="75" customHeight="1">
      <c r="A1881" s="2">
        <f>HYPERLINK("https://camerareadycosmetics.com/products/l-a-girl-hd-pro-conceal", "https://camerareadycosmetics.com/products/l-a-girl-hd-pro-conceal")</f>
        <v/>
      </c>
      <c r="B1881" s="2">
        <f>HYPERLINK("https://camerareadycosmetics.com/products/l-a-girl-hd-pro-conceal", "https://camerareadycosmetics.com/products/l-a-girl-hd-pro-conceal")</f>
        <v/>
      </c>
      <c r="C1881" t="inlineStr">
        <is>
          <t>Pro HD Conceal</t>
        </is>
      </c>
      <c r="D1881" t="inlineStr">
        <is>
          <t>L.A. Girl Hd Pro Conceal, Fairest, 0.28 Ounce</t>
        </is>
      </c>
      <c r="E1881" s="2">
        <f>HYPERLINK("https://www.amazon.com/L-Girl-Conceal-Fairest/dp/B07HR3Q941/ref=sr_1_3?keywords=Pro+HD+Conceal&amp;qid=1695565414&amp;sr=8-3", "https://www.amazon.com/L-Girl-Conceal-Fairest/dp/B07HR3Q941/ref=sr_1_3?keywords=Pro+HD+Conceal&amp;qid=1695565414&amp;sr=8-3")</f>
        <v/>
      </c>
      <c r="F1881" t="inlineStr">
        <is>
          <t>B07HR3Q941</t>
        </is>
      </c>
      <c r="G1881">
        <f>_xlfn.IMAGE("https://camerareadycosmetics.com/cdn/shop/products/LAG_pro_conceal_CG969_grande_8a359ed7-c069-492f-92a3-f048f9783c9a_50x.jpg?v=1689657132")</f>
        <v/>
      </c>
      <c r="H1881">
        <f>_xlfn.IMAGE("https://m.media-amazon.com/images/I/51dQ8h-fc1L._AC_UL320_.jpg")</f>
        <v/>
      </c>
      <c r="K1881" t="inlineStr">
        <is>
          <t>6.0</t>
        </is>
      </c>
      <c r="L1881" t="n">
        <v>4.99</v>
      </c>
      <c r="M1881" s="1" t="inlineStr">
        <is>
          <t>-16.83%</t>
        </is>
      </c>
      <c r="N1881" t="n">
        <v>4.4</v>
      </c>
      <c r="O1881" t="n">
        <v>4461</v>
      </c>
      <c r="Q1881" t="inlineStr">
        <is>
          <t>InStock</t>
        </is>
      </c>
      <c r="R1881" t="inlineStr">
        <is>
          <t>undefined</t>
        </is>
      </c>
      <c r="S1881" t="inlineStr">
        <is>
          <t>7049959495</t>
        </is>
      </c>
    </row>
    <row r="1882" ht="75" customHeight="1">
      <c r="A1882" s="2">
        <f>HYPERLINK("https://camerareadycosmetics.com/products/l-a-girl-hd-pro-conceal", "https://camerareadycosmetics.com/products/l-a-girl-hd-pro-conceal")</f>
        <v/>
      </c>
      <c r="B1882" s="2">
        <f>HYPERLINK("https://camerareadycosmetics.com/products/l-a-girl-hd-pro-conceal", "https://camerareadycosmetics.com/products/l-a-girl-hd-pro-conceal")</f>
        <v/>
      </c>
      <c r="C1882" t="inlineStr">
        <is>
          <t>Pro HD Conceal</t>
        </is>
      </c>
      <c r="D1882" t="inlineStr">
        <is>
          <t>L.A. Girl Pro Conceal HD Concealer,0.28 Ounce (Fawn) (LAX-GC983-C)</t>
        </is>
      </c>
      <c r="E1882" s="2">
        <f>HYPERLINK("https://www.amazon.com/L-Girl-Conceal-Concealer/dp/B01NBXALGK/ref=sr_1_6?keywords=Pro+HD+Conceal&amp;qid=1695565414&amp;sr=8-6", "https://www.amazon.com/L-Girl-Conceal-Concealer/dp/B01NBXALGK/ref=sr_1_6?keywords=Pro+HD+Conceal&amp;qid=1695565414&amp;sr=8-6")</f>
        <v/>
      </c>
      <c r="F1882" t="inlineStr">
        <is>
          <t>B01NBXALGK</t>
        </is>
      </c>
      <c r="G1882">
        <f>_xlfn.IMAGE("https://camerareadycosmetics.com/cdn/shop/products/LAG_pro_conceal_CG969_grande_8a359ed7-c069-492f-92a3-f048f9783c9a_50x.jpg?v=1689657132")</f>
        <v/>
      </c>
      <c r="H1882">
        <f>_xlfn.IMAGE("https://m.media-amazon.com/images/I/51RpEzgJopL._AC_UL320_.jpg")</f>
        <v/>
      </c>
      <c r="K1882" t="inlineStr">
        <is>
          <t>6.0</t>
        </is>
      </c>
      <c r="L1882" t="n">
        <v>4.99</v>
      </c>
      <c r="M1882" s="1" t="inlineStr">
        <is>
          <t>-16.83%</t>
        </is>
      </c>
      <c r="N1882" t="n">
        <v>4.6</v>
      </c>
      <c r="O1882" t="n">
        <v>767</v>
      </c>
      <c r="Q1882" t="inlineStr">
        <is>
          <t>InStock</t>
        </is>
      </c>
      <c r="R1882" t="inlineStr">
        <is>
          <t>undefined</t>
        </is>
      </c>
      <c r="S1882" t="inlineStr">
        <is>
          <t>7049959495</t>
        </is>
      </c>
    </row>
    <row r="1883" ht="75" customHeight="1">
      <c r="A1883" s="2">
        <f>HYPERLINK("https://camerareadycosmetics.com/products/l-a-girl-hd-pro-conceal", "https://camerareadycosmetics.com/products/l-a-girl-hd-pro-conceal")</f>
        <v/>
      </c>
      <c r="B1883" s="2">
        <f>HYPERLINK("https://camerareadycosmetics.com/products/l-a-girl-hd-pro-conceal", "https://camerareadycosmetics.com/products/l-a-girl-hd-pro-conceal")</f>
        <v/>
      </c>
      <c r="C1883" t="inlineStr">
        <is>
          <t>Pro HD Conceal</t>
        </is>
      </c>
      <c r="D1883" t="inlineStr">
        <is>
          <t>L.A. Girl Pro Coneal Hd. High Definiton Concealer 0.28 Oz</t>
        </is>
      </c>
      <c r="E1883" s="2">
        <f>HYPERLINK("https://www.amazon.com/L-Girl-Coneal-Definiton-Concealer/dp/B00VKKIXD0/ref=sr_1_2?keywords=Pro+HD+Conceal&amp;qid=1695565414&amp;sr=8-2", "https://www.amazon.com/L-Girl-Coneal-Definiton-Concealer/dp/B00VKKIXD0/ref=sr_1_2?keywords=Pro+HD+Conceal&amp;qid=1695565414&amp;sr=8-2")</f>
        <v/>
      </c>
      <c r="F1883" t="inlineStr">
        <is>
          <t>B00VKKIXD0</t>
        </is>
      </c>
      <c r="G1883">
        <f>_xlfn.IMAGE("https://camerareadycosmetics.com/cdn/shop/products/LAG_pro_conceal_CG969_grande_8a359ed7-c069-492f-92a3-f048f9783c9a_50x.jpg?v=1689657132")</f>
        <v/>
      </c>
      <c r="H1883">
        <f>_xlfn.IMAGE("https://m.media-amazon.com/images/I/51YxTbvO-5L._AC_UL320_.jpg")</f>
        <v/>
      </c>
      <c r="K1883" t="inlineStr">
        <is>
          <t>6.0</t>
        </is>
      </c>
      <c r="L1883" t="n">
        <v>4.94</v>
      </c>
      <c r="M1883" s="1" t="inlineStr">
        <is>
          <t>-17.67%</t>
        </is>
      </c>
      <c r="N1883" t="n">
        <v>4.4</v>
      </c>
      <c r="O1883" t="n">
        <v>10320</v>
      </c>
      <c r="Q1883" t="inlineStr">
        <is>
          <t>InStock</t>
        </is>
      </c>
      <c r="R1883" t="inlineStr">
        <is>
          <t>undefined</t>
        </is>
      </c>
      <c r="S1883" t="inlineStr">
        <is>
          <t>7049959495</t>
        </is>
      </c>
    </row>
    <row r="1884" ht="75" customHeight="1">
      <c r="A1884" s="2">
        <f>HYPERLINK("https://camerareadycosmetics.com/products/l-a-girl-hd-pro-conceal", "https://camerareadycosmetics.com/products/l-a-girl-hd-pro-conceal")</f>
        <v/>
      </c>
      <c r="B1884" s="2">
        <f>HYPERLINK("https://camerareadycosmetics.com/products/l-a-girl-hd-pro-conceal", "https://camerareadycosmetics.com/products/l-a-girl-hd-pro-conceal")</f>
        <v/>
      </c>
      <c r="C1884" t="inlineStr">
        <is>
          <t>Pro HD Conceal</t>
        </is>
      </c>
      <c r="D1884" t="inlineStr">
        <is>
          <t>L.A. Girl Pro Conceal HD Concealer 995 Light Yellow Corrector, 1 Count</t>
        </is>
      </c>
      <c r="E1884" s="2">
        <f>HYPERLINK("https://www.amazon.com/Girl-Conceal-Concealer-Yellow-Corrector/dp/B01LYIO35R/ref=sr_1_5?keywords=Pro+HD+Conceal&amp;qid=1695565414&amp;sr=8-5", "https://www.amazon.com/Girl-Conceal-Concealer-Yellow-Corrector/dp/B01LYIO35R/ref=sr_1_5?keywords=Pro+HD+Conceal&amp;qid=1695565414&amp;sr=8-5")</f>
        <v/>
      </c>
      <c r="F1884" t="inlineStr">
        <is>
          <t>B01LYIO35R</t>
        </is>
      </c>
      <c r="G1884">
        <f>_xlfn.IMAGE("https://camerareadycosmetics.com/cdn/shop/products/LAG_pro_conceal_CG969_grande_8a359ed7-c069-492f-92a3-f048f9783c9a_50x.jpg?v=1689657132")</f>
        <v/>
      </c>
      <c r="H1884">
        <f>_xlfn.IMAGE("https://m.media-amazon.com/images/I/51M7oimxy0L._AC_UL320_.jpg")</f>
        <v/>
      </c>
      <c r="K1884" t="inlineStr">
        <is>
          <t>6.0</t>
        </is>
      </c>
      <c r="L1884" t="n">
        <v>4.9</v>
      </c>
      <c r="M1884" s="1" t="inlineStr">
        <is>
          <t>-18.33%</t>
        </is>
      </c>
      <c r="N1884" t="n">
        <v>4.2</v>
      </c>
      <c r="O1884" t="n">
        <v>249</v>
      </c>
      <c r="Q1884" t="inlineStr">
        <is>
          <t>InStock</t>
        </is>
      </c>
      <c r="R1884" t="inlineStr">
        <is>
          <t>undefined</t>
        </is>
      </c>
      <c r="S1884" t="inlineStr">
        <is>
          <t>7049959495</t>
        </is>
      </c>
    </row>
    <row r="1885" ht="75" customHeight="1">
      <c r="A1885" s="2">
        <f>HYPERLINK("https://camerareadycosmetics.com/products/l-a-girl-hd-pro-conceal", "https://camerareadycosmetics.com/products/l-a-girl-hd-pro-conceal")</f>
        <v/>
      </c>
      <c r="B1885" s="2">
        <f>HYPERLINK("https://camerareadycosmetics.com/products/l-a-girl-hd-pro-conceal", "https://camerareadycosmetics.com/products/l-a-girl-hd-pro-conceal")</f>
        <v/>
      </c>
      <c r="C1885" t="inlineStr">
        <is>
          <t>Pro HD Conceal</t>
        </is>
      </c>
      <c r="D1885" t="inlineStr">
        <is>
          <t>L.A. Girl Pro Conceal HD Concealer, Creamy Beige, 0.28 Ounce</t>
        </is>
      </c>
      <c r="E1885" s="2">
        <f>HYPERLINK("https://www.amazon.com/L-Girl-Conceal-Concealer-Creamy/dp/B007MJKHPA/ref=sr_1_1?keywords=Pro+HD+Conceal&amp;qid=1695565414&amp;sr=8-1", "https://www.amazon.com/L-Girl-Conceal-Concealer-Creamy/dp/B007MJKHPA/ref=sr_1_1?keywords=Pro+HD+Conceal&amp;qid=1695565414&amp;sr=8-1")</f>
        <v/>
      </c>
      <c r="F1885" t="inlineStr">
        <is>
          <t>B007MJKHPA</t>
        </is>
      </c>
      <c r="G1885">
        <f>_xlfn.IMAGE("https://camerareadycosmetics.com/cdn/shop/products/LAG_pro_conceal_CG969_grande_8a359ed7-c069-492f-92a3-f048f9783c9a_50x.jpg?v=1689657132")</f>
        <v/>
      </c>
      <c r="H1885">
        <f>_xlfn.IMAGE("https://m.media-amazon.com/images/I/51qdlTmtPLL._AC_UL320_.jpg")</f>
        <v/>
      </c>
      <c r="K1885" t="inlineStr">
        <is>
          <t>6.0</t>
        </is>
      </c>
      <c r="L1885" t="n">
        <v>3.84</v>
      </c>
      <c r="M1885" s="1" t="inlineStr">
        <is>
          <t>-36.00%</t>
        </is>
      </c>
      <c r="N1885" t="n">
        <v>4.3</v>
      </c>
      <c r="O1885" t="n">
        <v>47768</v>
      </c>
      <c r="Q1885" t="inlineStr">
        <is>
          <t>InStock</t>
        </is>
      </c>
      <c r="R1885" t="inlineStr">
        <is>
          <t>undefined</t>
        </is>
      </c>
      <c r="S1885" t="inlineStr">
        <is>
          <t>7049959495</t>
        </is>
      </c>
    </row>
    <row r="1886" ht="75" customHeight="1">
      <c r="A1886" s="2">
        <f>HYPERLINK("https://camerareadycosmetics.com/products/l-a-girl-hd-pro-primer-eyeshadow-stick", "https://camerareadycosmetics.com/products/l-a-girl-hd-pro-primer-eyeshadow-stick")</f>
        <v/>
      </c>
      <c r="B1886" s="2">
        <f>HYPERLINK("https://camerareadycosmetics.com/products/l-a-girl-hd-pro-primer-eyeshadow-stick", "https://camerareadycosmetics.com/products/l-a-girl-hd-pro-primer-eyeshadow-stick")</f>
        <v/>
      </c>
      <c r="C1886" t="inlineStr">
        <is>
          <t>HD PRO Primer Eyeshadow Stick White (GEB195)</t>
        </is>
      </c>
      <c r="D1886" t="inlineStr">
        <is>
          <t>L.A. Girl Pro Primer HD Eyeshadow Primer, White, 2.1 Ounce, (Pack of 3) (GEB195)</t>
        </is>
      </c>
      <c r="E1886" s="2">
        <f>HYPERLINK("https://www.amazon.com/L-Girl-Primer-Eyeshadow/dp/B01MYMHN0K/ref=sr_1_1?keywords=HD+PRO+Primer+Eyeshadow+Stick+White+%28GEB195%29&amp;qid=1695565596&amp;sr=8-1", "https://www.amazon.com/L-Girl-Primer-Eyeshadow/dp/B01MYMHN0K/ref=sr_1_1?keywords=HD+PRO+Primer+Eyeshadow+Stick+White+%28GEB195%29&amp;qid=1695565596&amp;sr=8-1")</f>
        <v/>
      </c>
      <c r="F1886" t="inlineStr">
        <is>
          <t>B01MYMHN0K</t>
        </is>
      </c>
      <c r="G1886">
        <f>_xlfn.IMAGE("https://camerareadycosmetics.com/cdn/shop/products/LAG_pro_primer_GEB197_grande_1_50x.jpg?v=1568413484")</f>
        <v/>
      </c>
      <c r="H1886">
        <f>_xlfn.IMAGE("https://m.media-amazon.com/images/I/51Pk6JVNzgL._AC_UL320_.jpg")</f>
        <v/>
      </c>
      <c r="K1886" t="inlineStr">
        <is>
          <t>4.0</t>
        </is>
      </c>
      <c r="L1886" t="n">
        <v>7.94</v>
      </c>
      <c r="M1886" s="1" t="inlineStr">
        <is>
          <t>98.50%</t>
        </is>
      </c>
      <c r="N1886" t="n">
        <v>4.2</v>
      </c>
      <c r="O1886" t="n">
        <v>429</v>
      </c>
      <c r="Q1886" t="inlineStr">
        <is>
          <t>InStock</t>
        </is>
      </c>
      <c r="R1886" t="inlineStr">
        <is>
          <t>undefined</t>
        </is>
      </c>
      <c r="S1886" t="inlineStr">
        <is>
          <t>10385346826</t>
        </is>
      </c>
    </row>
    <row r="1887" ht="75" customHeight="1">
      <c r="A1887" s="2">
        <f>HYPERLINK("https://camerareadycosmetics.com/products/l-a-girl-hd-pro-primer-eyeshadow-stick", "https://camerareadycosmetics.com/products/l-a-girl-hd-pro-primer-eyeshadow-stick")</f>
        <v/>
      </c>
      <c r="B1887" s="2">
        <f>HYPERLINK("https://camerareadycosmetics.com/products/l-a-girl-hd-pro-primer-eyeshadow-stick", "https://camerareadycosmetics.com/products/l-a-girl-hd-pro-primer-eyeshadow-stick")</f>
        <v/>
      </c>
      <c r="C1887" t="inlineStr">
        <is>
          <t>HD PRO Primer Eyeshadow Stick White (GEB195)</t>
        </is>
      </c>
      <c r="D1887" t="inlineStr">
        <is>
          <t>White Eyeshadow Stick Makeup，Cream Shimmer Smooth Glitter Eye Shadow Pencil Base Primer Palette, Waterproof Long Lasting EyeShadow Pen White Liner, Highlighter Stick Multi-Dimensional Eyes Look</t>
        </is>
      </c>
      <c r="E1887" s="2">
        <f>HYPERLINK("https://www.amazon.com/Eyeshadow-Glitter-Waterproof-Highlighter-Hypoallergenic/dp/B0B3W5C9K9/ref=sr_1_5?keywords=HD+PRO+Primer+Eyeshadow+Stick+White+%28GEB195%29&amp;qid=1695565596&amp;sr=8-5", "https://www.amazon.com/Eyeshadow-Glitter-Waterproof-Highlighter-Hypoallergenic/dp/B0B3W5C9K9/ref=sr_1_5?keywords=HD+PRO+Primer+Eyeshadow+Stick+White+%28GEB195%29&amp;qid=1695565596&amp;sr=8-5")</f>
        <v/>
      </c>
      <c r="F1887" t="inlineStr">
        <is>
          <t>B0B3W5C9K9</t>
        </is>
      </c>
      <c r="G1887">
        <f>_xlfn.IMAGE("https://camerareadycosmetics.com/cdn/shop/products/LAG_pro_primer_GEB197_grande_1_50x.jpg?v=1568413484")</f>
        <v/>
      </c>
      <c r="H1887">
        <f>_xlfn.IMAGE("https://m.media-amazon.com/images/I/71byfTDrXiL._AC_UL320_.jpg")</f>
        <v/>
      </c>
      <c r="K1887" t="inlineStr">
        <is>
          <t>4.0</t>
        </is>
      </c>
      <c r="L1887" t="n">
        <v>6.98</v>
      </c>
      <c r="M1887" s="1" t="inlineStr">
        <is>
          <t>74.50%</t>
        </is>
      </c>
      <c r="N1887" t="n">
        <v>3.7</v>
      </c>
      <c r="O1887" t="n">
        <v>253</v>
      </c>
      <c r="Q1887" t="inlineStr">
        <is>
          <t>InStock</t>
        </is>
      </c>
      <c r="R1887" t="inlineStr">
        <is>
          <t>undefined</t>
        </is>
      </c>
      <c r="S1887" t="inlineStr">
        <is>
          <t>10385346826</t>
        </is>
      </c>
    </row>
    <row r="1888" ht="75" customHeight="1">
      <c r="A1888" s="2">
        <f>HYPERLINK("https://camerareadycosmetics.com/products/l-a-girl-hd-pro-primer-eyeshadow-stick", "https://camerareadycosmetics.com/products/l-a-girl-hd-pro-primer-eyeshadow-stick")</f>
        <v/>
      </c>
      <c r="B1888" s="2">
        <f>HYPERLINK("https://camerareadycosmetics.com/products/l-a-girl-hd-pro-primer-eyeshadow-stick", "https://camerareadycosmetics.com/products/l-a-girl-hd-pro-primer-eyeshadow-stick")</f>
        <v/>
      </c>
      <c r="C1888" t="inlineStr">
        <is>
          <t>HD PRO Primer Eyeshadow Stick White (GEB195)</t>
        </is>
      </c>
      <c r="D1888" t="inlineStr">
        <is>
          <t>White Eyeshadow Stick 2 in 1 Eye Makeup Cream Shimmer Smooth Eyeshadow Pencil Base Primer Eyeliner Hypoallergenic Waterproof Long Lasting Eye Shadow Pen Highlighter Stick Multi-Dimensional Eyes Look</t>
        </is>
      </c>
      <c r="E1888" s="2">
        <f>HYPERLINK("https://www.amazon.com/Hypoallergenic-Waterproof-Highlighter-High-Impact-Multi-Dimensional/dp/B0B6GLMKBN/ref=sr_1_4?keywords=HD+PRO+Primer+Eyeshadow+Stick+White+%28GEB195%29&amp;qid=1695565596&amp;sr=8-4", "https://www.amazon.com/Hypoallergenic-Waterproof-Highlighter-High-Impact-Multi-Dimensional/dp/B0B6GLMKBN/ref=sr_1_4?keywords=HD+PRO+Primer+Eyeshadow+Stick+White+%28GEB195%29&amp;qid=1695565596&amp;sr=8-4")</f>
        <v/>
      </c>
      <c r="F1888" t="inlineStr">
        <is>
          <t>B0B6GLMKBN</t>
        </is>
      </c>
      <c r="G1888">
        <f>_xlfn.IMAGE("https://camerareadycosmetics.com/cdn/shop/products/LAG_pro_primer_GEB197_grande_1_50x.jpg?v=1568413484")</f>
        <v/>
      </c>
      <c r="H1888">
        <f>_xlfn.IMAGE("https://m.media-amazon.com/images/I/71hBp7gIh0L._AC_UL320_.jpg")</f>
        <v/>
      </c>
      <c r="K1888" t="inlineStr">
        <is>
          <t>4.0</t>
        </is>
      </c>
      <c r="L1888" t="n">
        <v>6.98</v>
      </c>
      <c r="M1888" s="1" t="inlineStr">
        <is>
          <t>74.50%</t>
        </is>
      </c>
      <c r="N1888" t="n">
        <v>3.8</v>
      </c>
      <c r="O1888" t="n">
        <v>598</v>
      </c>
      <c r="Q1888" t="inlineStr">
        <is>
          <t>InStock</t>
        </is>
      </c>
      <c r="R1888" t="inlineStr">
        <is>
          <t>undefined</t>
        </is>
      </c>
      <c r="S1888" t="inlineStr">
        <is>
          <t>10385346826</t>
        </is>
      </c>
    </row>
    <row r="1889" ht="75" customHeight="1">
      <c r="A1889" s="2">
        <f>HYPERLINK("https://camerareadycosmetics.com/products/l-a-girl-hd-pro-primer-eyeshadow-stick", "https://camerareadycosmetics.com/products/l-a-girl-hd-pro-primer-eyeshadow-stick")</f>
        <v/>
      </c>
      <c r="B1889" s="2">
        <f>HYPERLINK("https://camerareadycosmetics.com/products/l-a-girl-hd-pro-primer-eyeshadow-stick", "https://camerareadycosmetics.com/products/l-a-girl-hd-pro-primer-eyeshadow-stick")</f>
        <v/>
      </c>
      <c r="C1889" t="inlineStr">
        <is>
          <t>HD PRO Primer Eyeshadow Stick White (GEB195)</t>
        </is>
      </c>
      <c r="D1889" t="inlineStr">
        <is>
          <t>HD PRO Primer Eyeshadow Stick</t>
        </is>
      </c>
      <c r="E1889" s="2">
        <f>HYPERLINK("https://www.amazon.com/Girl-Definition-Shadow-Primer-Smokey/dp/B004YM7SMS/ref=sr_1_3?keywords=HD+PRO+Primer+Eyeshadow+Stick+White+%28GEB195%29&amp;qid=1695565596&amp;sr=8-3", "https://www.amazon.com/Girl-Definition-Shadow-Primer-Smokey/dp/B004YM7SMS/ref=sr_1_3?keywords=HD+PRO+Primer+Eyeshadow+Stick+White+%28GEB195%29&amp;qid=1695565596&amp;sr=8-3")</f>
        <v/>
      </c>
      <c r="F1889" t="inlineStr">
        <is>
          <t>B004YM7SMS</t>
        </is>
      </c>
      <c r="G1889">
        <f>_xlfn.IMAGE("https://camerareadycosmetics.com/cdn/shop/products/LAG_pro_primer_GEB197_grande_1_50x.jpg?v=1568413484")</f>
        <v/>
      </c>
      <c r="H1889">
        <f>_xlfn.IMAGE("https://m.media-amazon.com/images/I/51floG5bq1L._AC_UL320_.jpg")</f>
        <v/>
      </c>
      <c r="K1889" t="inlineStr">
        <is>
          <t>4.0</t>
        </is>
      </c>
      <c r="L1889" t="n">
        <v>6</v>
      </c>
      <c r="M1889" s="1" t="inlineStr">
        <is>
          <t>50.00%</t>
        </is>
      </c>
      <c r="N1889" t="n">
        <v>3.9</v>
      </c>
      <c r="O1889" t="n">
        <v>28</v>
      </c>
      <c r="Q1889" t="inlineStr">
        <is>
          <t>InStock</t>
        </is>
      </c>
      <c r="R1889" t="inlineStr">
        <is>
          <t>undefined</t>
        </is>
      </c>
      <c r="S1889" t="inlineStr">
        <is>
          <t>10385346826</t>
        </is>
      </c>
    </row>
    <row r="1890" ht="75" customHeight="1">
      <c r="A1890" s="2">
        <f>HYPERLINK("https://camerareadycosmetics.com/products/l-a-girl-hd-pro-primer-eyeshadow-stick", "https://camerareadycosmetics.com/products/l-a-girl-hd-pro-primer-eyeshadow-stick")</f>
        <v/>
      </c>
      <c r="B1890" s="2">
        <f>HYPERLINK("https://camerareadycosmetics.com/products/l-a-girl-hd-pro-primer-eyeshadow-stick", "https://camerareadycosmetics.com/products/l-a-girl-hd-pro-primer-eyeshadow-stick")</f>
        <v/>
      </c>
      <c r="C1890" t="inlineStr">
        <is>
          <t>HD PRO Primer Eyeshadow Stick White (GEB195)</t>
        </is>
      </c>
      <c r="D1890" t="inlineStr">
        <is>
          <t>HD PRO Primer Eyeshadow Stick</t>
        </is>
      </c>
      <c r="E1890" s="2">
        <f>HYPERLINK("https://www.amazon.com/Girl-Definition-Shadow-Primer-White/dp/B004YM41RS/ref=sr_1_2?keywords=HD+PRO+Primer+Eyeshadow+Stick+White+%28GEB195%29&amp;qid=1695565596&amp;sr=8-2", "https://www.amazon.com/Girl-Definition-Shadow-Primer-White/dp/B004YM41RS/ref=sr_1_2?keywords=HD+PRO+Primer+Eyeshadow+Stick+White+%28GEB195%29&amp;qid=1695565596&amp;sr=8-2")</f>
        <v/>
      </c>
      <c r="F1890" t="inlineStr">
        <is>
          <t>B004YM41RS</t>
        </is>
      </c>
      <c r="G1890">
        <f>_xlfn.IMAGE("https://camerareadycosmetics.com/cdn/shop/products/LAG_pro_primer_GEB197_grande_1_50x.jpg?v=1568413484")</f>
        <v/>
      </c>
      <c r="H1890">
        <f>_xlfn.IMAGE("https://m.media-amazon.com/images/I/51ceelnlZ2L._AC_UL320_.jpg")</f>
        <v/>
      </c>
      <c r="K1890" t="inlineStr">
        <is>
          <t>4.0</t>
        </is>
      </c>
      <c r="L1890" t="n">
        <v>3.96</v>
      </c>
      <c r="M1890" s="1" t="inlineStr">
        <is>
          <t>-1.00%</t>
        </is>
      </c>
      <c r="N1890" t="n">
        <v>4.3</v>
      </c>
      <c r="O1890" t="n">
        <v>273</v>
      </c>
      <c r="Q1890" t="inlineStr">
        <is>
          <t>InStock</t>
        </is>
      </c>
      <c r="R1890" t="inlineStr">
        <is>
          <t>undefined</t>
        </is>
      </c>
      <c r="S1890" t="inlineStr">
        <is>
          <t>10385346826</t>
        </is>
      </c>
    </row>
    <row r="1891" ht="75" customHeight="1">
      <c r="A1891" s="2">
        <f>HYPERLINK("https://camerareadycosmetics.com/products/l-a-girl-hd-pro-setting-powder", "https://camerareadycosmetics.com/products/l-a-girl-hd-pro-setting-powder")</f>
        <v/>
      </c>
      <c r="B1891" s="2">
        <f>HYPERLINK("https://camerareadycosmetics.com/products/l-a-girl-hd-pro-setting-powder", "https://camerareadycosmetics.com/products/l-a-girl-hd-pro-setting-powder")</f>
        <v/>
      </c>
      <c r="C1891" t="inlineStr">
        <is>
          <t>HD PRO Setting Powder Translucent (GPP939)</t>
        </is>
      </c>
      <c r="D1891" t="inlineStr">
        <is>
          <t>NYX PROFESSIONAL MAKEUP HD Finishing Powder, Pressed Setting Powder - Translucent</t>
        </is>
      </c>
      <c r="E1891" s="2">
        <f>HYPERLINK("https://www.amazon.com/NYX-PROFESSIONAL-MAKEUP-Definition-Translucent/dp/B014WOHZES/ref=sr_1_5?keywords=HD+PRO+Setting+Powder+Translucent+%28GPP939%29&amp;qid=1695565590&amp;sr=8-5", "https://www.amazon.com/NYX-PROFESSIONAL-MAKEUP-Definition-Translucent/dp/B014WOHZES/ref=sr_1_5?keywords=HD+PRO+Setting+Powder+Translucent+%28GPP939%29&amp;qid=1695565590&amp;sr=8-5")</f>
        <v/>
      </c>
      <c r="F1891" t="inlineStr">
        <is>
          <t>B014WOHZES</t>
        </is>
      </c>
      <c r="G1891">
        <f>_xlfn.IMAGE("https://camerareadycosmetics.com/cdn/shop/products/TRANSLUCENT_1_50x.jpg?v=1694446157")</f>
        <v/>
      </c>
      <c r="H1891">
        <f>_xlfn.IMAGE("https://m.media-amazon.com/images/I/818RJ9MCfNL._AC_UL320_.jpg")</f>
        <v/>
      </c>
      <c r="K1891" t="inlineStr">
        <is>
          <t>8.0</t>
        </is>
      </c>
      <c r="L1891" t="n">
        <v>10.37</v>
      </c>
      <c r="M1891" s="1" t="inlineStr">
        <is>
          <t>29.62%</t>
        </is>
      </c>
      <c r="N1891" t="n">
        <v>4.5</v>
      </c>
      <c r="O1891" t="n">
        <v>8265</v>
      </c>
      <c r="Q1891" t="inlineStr">
        <is>
          <t>InStock</t>
        </is>
      </c>
      <c r="R1891" t="inlineStr">
        <is>
          <t>undefined</t>
        </is>
      </c>
      <c r="S1891" t="inlineStr">
        <is>
          <t>10365896010</t>
        </is>
      </c>
    </row>
    <row r="1892" ht="75" customHeight="1">
      <c r="A1892" s="2">
        <f>HYPERLINK("https://camerareadycosmetics.com/products/l-a-girl-hd-pro-setting-powder", "https://camerareadycosmetics.com/products/l-a-girl-hd-pro-setting-powder")</f>
        <v/>
      </c>
      <c r="B1892" s="2">
        <f>HYPERLINK("https://camerareadycosmetics.com/products/l-a-girl-hd-pro-setting-powder", "https://camerareadycosmetics.com/products/l-a-girl-hd-pro-setting-powder")</f>
        <v/>
      </c>
      <c r="C1892" t="inlineStr">
        <is>
          <t>HD PRO Setting Powder Translucent (GPP939)</t>
        </is>
      </c>
      <c r="D1892" t="inlineStr">
        <is>
          <t>NYX PROFESSIONAL MAKEUP HD Studio Finishing Powder, Loose Setting Powder - Translucent Finish</t>
        </is>
      </c>
      <c r="E1892" s="2">
        <f>HYPERLINK("https://www.amazon.com/NYX-Professional-Makeup-Finishing-Translucent/dp/B009GLQG6Q/ref=sr_1_2?keywords=HD+PRO+Setting+Powder+Translucent+%28GPP939%29&amp;qid=1695565590&amp;sr=8-2", "https://www.amazon.com/NYX-Professional-Makeup-Finishing-Translucent/dp/B009GLQG6Q/ref=sr_1_2?keywords=HD+PRO+Setting+Powder+Translucent+%28GPP939%29&amp;qid=1695565590&amp;sr=8-2")</f>
        <v/>
      </c>
      <c r="F1892" t="inlineStr">
        <is>
          <t>B009GLQG6Q</t>
        </is>
      </c>
      <c r="G1892">
        <f>_xlfn.IMAGE("https://camerareadycosmetics.com/cdn/shop/products/TRANSLUCENT_1_50x.jpg?v=1694446157")</f>
        <v/>
      </c>
      <c r="H1892">
        <f>_xlfn.IMAGE("https://m.media-amazon.com/images/I/5196xGH0ZvL._AC_UL320_.jpg")</f>
        <v/>
      </c>
      <c r="K1892" t="inlineStr">
        <is>
          <t>8.0</t>
        </is>
      </c>
      <c r="L1892" t="n">
        <v>9.16</v>
      </c>
      <c r="M1892" s="1" t="inlineStr">
        <is>
          <t>14.50%</t>
        </is>
      </c>
      <c r="N1892" t="n">
        <v>4.3</v>
      </c>
      <c r="O1892" t="n">
        <v>14881</v>
      </c>
      <c r="Q1892" t="inlineStr">
        <is>
          <t>InStock</t>
        </is>
      </c>
      <c r="R1892" t="inlineStr">
        <is>
          <t>undefined</t>
        </is>
      </c>
      <c r="S1892" t="inlineStr">
        <is>
          <t>10365896010</t>
        </is>
      </c>
    </row>
    <row r="1893" ht="75" customHeight="1">
      <c r="A1893" s="2">
        <f>HYPERLINK("https://camerareadycosmetics.com/products/l-a-girl-just-blushing", "https://camerareadycosmetics.com/products/l-a-girl-just-blushing")</f>
        <v/>
      </c>
      <c r="B1893" s="2">
        <f>HYPERLINK("https://camerareadycosmetics.com/products/l-a-girl-just-blushing", "https://camerareadycosmetics.com/products/l-a-girl-just-blushing")</f>
        <v/>
      </c>
      <c r="C1893" t="inlineStr">
        <is>
          <t>Just Blushing</t>
        </is>
      </c>
      <c r="D1893" t="inlineStr">
        <is>
          <t>IBD Just Gel Nail Polish, She's Blushing, 0.5 Fluid Ounce</t>
        </is>
      </c>
      <c r="E1893" s="2">
        <f>HYPERLINK("https://www.amazon.com/IBD-Polish-Blushing-Fluid-Ounce/dp/B008D6HMAY/ref=sr_1_2?keywords=Just+Blushing&amp;qid=1695565499&amp;sr=8-2", "https://www.amazon.com/IBD-Polish-Blushing-Fluid-Ounce/dp/B008D6HMAY/ref=sr_1_2?keywords=Just+Blushing&amp;qid=1695565499&amp;sr=8-2")</f>
        <v/>
      </c>
      <c r="F1893" t="inlineStr">
        <is>
          <t>B008D6HMAY</t>
        </is>
      </c>
      <c r="G1893">
        <f>_xlfn.IMAGE("https://camerareadycosmetics.com/cdn/shop/products/GBL488_prod_img_grande_ba3c5295-4dda-47cc-901f-48e6f5c148b2_50x.jpg?v=1694446265")</f>
        <v/>
      </c>
      <c r="H1893">
        <f>_xlfn.IMAGE("https://m.media-amazon.com/images/I/61r14t8r1cL._AC_UL320_.jpg")</f>
        <v/>
      </c>
      <c r="K1893" t="inlineStr">
        <is>
          <t>7.0</t>
        </is>
      </c>
      <c r="L1893" t="n">
        <v>9</v>
      </c>
      <c r="M1893" s="1" t="inlineStr">
        <is>
          <t>28.57%</t>
        </is>
      </c>
      <c r="N1893" t="n">
        <v>4.2</v>
      </c>
      <c r="O1893" t="n">
        <v>19</v>
      </c>
      <c r="Q1893" t="inlineStr">
        <is>
          <t>InStock</t>
        </is>
      </c>
      <c r="R1893" t="inlineStr">
        <is>
          <t>undefined</t>
        </is>
      </c>
      <c r="S1893" t="inlineStr">
        <is>
          <t>10367560394</t>
        </is>
      </c>
    </row>
    <row r="1894" ht="75" customHeight="1">
      <c r="A1894" s="2">
        <f>HYPERLINK("https://camerareadycosmetics.com/products/l-a-girl-line-art-matte-eyeliner", "https://camerareadycosmetics.com/products/l-a-girl-line-art-matte-eyeliner")</f>
        <v/>
      </c>
      <c r="B1894" s="2">
        <f>HYPERLINK("https://camerareadycosmetics.com/products/l-a-girl-line-art-matte-eyeliner", "https://camerareadycosmetics.com/products/l-a-girl-line-art-matte-eyeliner")</f>
        <v/>
      </c>
      <c r="C1894" t="inlineStr">
        <is>
          <t>Line Art Matte Eyeliner Intense Black (GLE712)</t>
        </is>
      </c>
      <c r="D1894" t="inlineStr">
        <is>
          <t>L.A. Girl Line Art Matte Eyeliner, Intense Black, 0.014 Fl. Oz. (Pack of 3),GLE712</t>
        </is>
      </c>
      <c r="E1894" s="2">
        <f>HYPERLINK("https://www.amazon.com/L-Girl-Eyeliner-Intense/dp/B01MSQR4T5/ref=sr_1_1?keywords=Line+Art+Matte+Eyeliner+Intense+Black+%28GLE712%29&amp;qid=1695565619&amp;sr=8-1", "https://www.amazon.com/L-Girl-Eyeliner-Intense/dp/B01MSQR4T5/ref=sr_1_1?keywords=Line+Art+Matte+Eyeliner+Intense+Black+%28GLE712%29&amp;qid=1695565619&amp;sr=8-1")</f>
        <v/>
      </c>
      <c r="F1894" t="inlineStr">
        <is>
          <t>B01MSQR4T5</t>
        </is>
      </c>
      <c r="G1894">
        <f>_xlfn.IMAGE("https://camerareadycosmetics.com/cdn/shop/products/LAG_Line_Art_Eyeliner_GLE712_grande_1_50x.jpg?v=1568652696")</f>
        <v/>
      </c>
      <c r="H1894">
        <f>_xlfn.IMAGE("https://m.media-amazon.com/images/I/51ihQkIB5YL._AC_UL320_.jpg")</f>
        <v/>
      </c>
      <c r="K1894" t="inlineStr">
        <is>
          <t>9.0</t>
        </is>
      </c>
      <c r="L1894" t="n">
        <v>17.97</v>
      </c>
      <c r="M1894" s="1" t="inlineStr">
        <is>
          <t>99.67%</t>
        </is>
      </c>
      <c r="N1894" t="n">
        <v>4.5</v>
      </c>
      <c r="O1894" t="n">
        <v>41</v>
      </c>
      <c r="Q1894" t="inlineStr">
        <is>
          <t>InStock</t>
        </is>
      </c>
      <c r="R1894" t="inlineStr">
        <is>
          <t>undefined</t>
        </is>
      </c>
      <c r="S1894" t="inlineStr">
        <is>
          <t>10385276298</t>
        </is>
      </c>
    </row>
    <row r="1895" ht="75" customHeight="1">
      <c r="A1895" s="2">
        <f>HYPERLINK("https://camerareadycosmetics.com/products/l-a-girl-lipliner-pencil", "https://camerareadycosmetics.com/products/l-a-girl-lipliner-pencil")</f>
        <v/>
      </c>
      <c r="B1895" s="2">
        <f>HYPERLINK("https://camerareadycosmetics.com/products/l-a-girl-lipliner-pencil", "https://camerareadycosmetics.com/products/l-a-girl-lipliner-pencil")</f>
        <v/>
      </c>
      <c r="C1895" t="inlineStr">
        <is>
          <t>Lipliner Pencil</t>
        </is>
      </c>
      <c r="D1895" t="inlineStr">
        <is>
          <t>Milani Understatement Lipliner Pencil - Highly Pigmented Retractable Soft, Easy to Use For Makeup</t>
        </is>
      </c>
      <c r="E1895" s="2">
        <f>HYPERLINK("https://www.amazon.com/Milani-Understatement-Lipliner-Pencil-Retractable/dp/B089N3BN88/ref=sr_1_10?keywords=Lipliner+Pencil&amp;qid=1695565438&amp;sr=8-10", "https://www.amazon.com/Milani-Understatement-Lipliner-Pencil-Retractable/dp/B089N3BN88/ref=sr_1_10?keywords=Lipliner+Pencil&amp;qid=1695565438&amp;sr=8-10")</f>
        <v/>
      </c>
      <c r="F1895" t="inlineStr">
        <is>
          <t>B089N3BN88</t>
        </is>
      </c>
      <c r="G1895">
        <f>_xlfn.IMAGE("https://camerareadycosmetics.com/cdn/shop/products/Pencils_50x.jpg?v=1694446792")</f>
        <v/>
      </c>
      <c r="H1895">
        <f>_xlfn.IMAGE("https://m.media-amazon.com/images/I/61DINh+4XXL._AC_UL320_.jpg")</f>
        <v/>
      </c>
      <c r="K1895" t="inlineStr">
        <is>
          <t>3.0</t>
        </is>
      </c>
      <c r="L1895" t="n">
        <v>7.97</v>
      </c>
      <c r="M1895" s="1" t="inlineStr">
        <is>
          <t>165.67%</t>
        </is>
      </c>
      <c r="N1895" t="n">
        <v>4.6</v>
      </c>
      <c r="O1895" t="n">
        <v>907</v>
      </c>
      <c r="Q1895" t="inlineStr">
        <is>
          <t>InStock</t>
        </is>
      </c>
      <c r="R1895" t="inlineStr">
        <is>
          <t>undefined</t>
        </is>
      </c>
      <c r="S1895" t="inlineStr">
        <is>
          <t>10389571786</t>
        </is>
      </c>
    </row>
    <row r="1896" ht="75" customHeight="1">
      <c r="A1896" s="2">
        <f>HYPERLINK("https://camerareadycosmetics.com/products/l-a-girl-matte-flat-velvet-lipstick", "https://camerareadycosmetics.com/products/l-a-girl-matte-flat-velvet-lipstick")</f>
        <v/>
      </c>
      <c r="B1896" s="2">
        <f>HYPERLINK("https://camerareadycosmetics.com/products/l-a-girl-matte-flat-velvet-lipstick", "https://camerareadycosmetics.com/products/l-a-girl-matte-flat-velvet-lipstick")</f>
        <v/>
      </c>
      <c r="C1896" t="inlineStr">
        <is>
          <t>Matte Flat Velvet Lipstick</t>
        </is>
      </c>
      <c r="D1896" t="inlineStr">
        <is>
          <t>L.A. Girl Matte Flat Velvet Lipstick, Carried Away, 3 Count(Pack of 1)</t>
        </is>
      </c>
      <c r="E1896" s="2">
        <f>HYPERLINK("https://www.amazon.com/L-Girl-Velvet-Lipstick-GLC802/dp/B01MQNSPZ7/ref=sr_1_6?keywords=Matte+Flat+Velvet+Lipstick&amp;qid=1695565439&amp;sr=8-6", "https://www.amazon.com/L-Girl-Velvet-Lipstick-GLC802/dp/B01MQNSPZ7/ref=sr_1_6?keywords=Matte+Flat+Velvet+Lipstick&amp;qid=1695565439&amp;sr=8-6")</f>
        <v/>
      </c>
      <c r="F1896" t="inlineStr">
        <is>
          <t>B01MQNSPZ7</t>
        </is>
      </c>
      <c r="G1896">
        <f>_xlfn.IMAGE("https://camerareadycosmetics.com/cdn/shop/products/LA-Girl-Matte-Flat__41091.1464901512.600.600_50x.jpeg?v=1689657483")</f>
        <v/>
      </c>
      <c r="H1896">
        <f>_xlfn.IMAGE("https://m.media-amazon.com/images/I/51qTSaG95cL._AC_UL320_.jpg")</f>
        <v/>
      </c>
      <c r="K1896" t="inlineStr">
        <is>
          <t>5.0</t>
        </is>
      </c>
      <c r="L1896" t="n">
        <v>14.05</v>
      </c>
      <c r="M1896" s="1" t="inlineStr">
        <is>
          <t>181.00%</t>
        </is>
      </c>
      <c r="N1896" t="n">
        <v>4</v>
      </c>
      <c r="O1896" t="n">
        <v>40</v>
      </c>
      <c r="Q1896" t="inlineStr">
        <is>
          <t>InStock</t>
        </is>
      </c>
      <c r="R1896" t="inlineStr">
        <is>
          <t>undefined</t>
        </is>
      </c>
      <c r="S1896" t="inlineStr">
        <is>
          <t>7049971911</t>
        </is>
      </c>
    </row>
    <row r="1897" ht="75" customHeight="1">
      <c r="A1897" s="2">
        <f>HYPERLINK("https://camerareadycosmetics.com/products/l-a-girl-matte-flat-velvet-lipstick", "https://camerareadycosmetics.com/products/l-a-girl-matte-flat-velvet-lipstick")</f>
        <v/>
      </c>
      <c r="B1897" s="2">
        <f>HYPERLINK("https://camerareadycosmetics.com/products/l-a-girl-matte-flat-velvet-lipstick", "https://camerareadycosmetics.com/products/l-a-girl-matte-flat-velvet-lipstick")</f>
        <v/>
      </c>
      <c r="C1897" t="inlineStr">
        <is>
          <t>Matte Flat Velvet Lipstick</t>
        </is>
      </c>
      <c r="D1897" t="inlineStr">
        <is>
          <t>(3 Pack) L.A. GIRL Matte Flat Velvet Lipstick - Snuggle</t>
        </is>
      </c>
      <c r="E1897" s="2">
        <f>HYPERLINK("https://www.amazon.com/L-Matte-Velvet-Lipstick/dp/B01AE5UA6O/ref=sr_1_1?keywords=Matte+Flat+Velvet+Lipstick&amp;qid=1695565439&amp;sr=8-1", "https://www.amazon.com/L-Matte-Velvet-Lipstick/dp/B01AE5UA6O/ref=sr_1_1?keywords=Matte+Flat+Velvet+Lipstick&amp;qid=1695565439&amp;sr=8-1")</f>
        <v/>
      </c>
      <c r="F1897" t="inlineStr">
        <is>
          <t>B01AE5UA6O</t>
        </is>
      </c>
      <c r="G1897">
        <f>_xlfn.IMAGE("https://camerareadycosmetics.com/cdn/shop/products/LA-Girl-Matte-Flat__41091.1464901512.600.600_50x.jpeg?v=1689657483")</f>
        <v/>
      </c>
      <c r="H1897">
        <f>_xlfn.IMAGE("https://m.media-amazon.com/images/I/61v8-w4fb8L._AC_UL320_.jpg")</f>
        <v/>
      </c>
      <c r="K1897" t="inlineStr">
        <is>
          <t>5.0</t>
        </is>
      </c>
      <c r="L1897" t="n">
        <v>9.949999999999999</v>
      </c>
      <c r="M1897" s="1" t="inlineStr">
        <is>
          <t>99.00%</t>
        </is>
      </c>
      <c r="N1897" t="n">
        <v>4.4</v>
      </c>
      <c r="O1897" t="n">
        <v>96</v>
      </c>
      <c r="Q1897" t="inlineStr">
        <is>
          <t>InStock</t>
        </is>
      </c>
      <c r="R1897" t="inlineStr">
        <is>
          <t>undefined</t>
        </is>
      </c>
      <c r="S1897" t="inlineStr">
        <is>
          <t>7049971911</t>
        </is>
      </c>
    </row>
    <row r="1898" ht="75" customHeight="1">
      <c r="A1898" s="2">
        <f>HYPERLINK("https://camerareadycosmetics.com/products/l-a-girl-matte-flat-velvet-lipstick", "https://camerareadycosmetics.com/products/l-a-girl-matte-flat-velvet-lipstick")</f>
        <v/>
      </c>
      <c r="B1898" s="2">
        <f>HYPERLINK("https://camerareadycosmetics.com/products/l-a-girl-matte-flat-velvet-lipstick", "https://camerareadycosmetics.com/products/l-a-girl-matte-flat-velvet-lipstick")</f>
        <v/>
      </c>
      <c r="C1898" t="inlineStr">
        <is>
          <t>Matte Flat Velvet Lipstick</t>
        </is>
      </c>
      <c r="D1898" t="inlineStr">
        <is>
          <t>L.A. Girl Matte Flat Velvet Lipstick, Snuggle, 0.1 Ounce</t>
        </is>
      </c>
      <c r="E1898" s="2">
        <f>HYPERLINK("https://www.amazon.com/L-Girl-Velvet-Lipstick-Snuggle/dp/B014I58W7U/ref=sr_1_9?keywords=Matte+Flat+Velvet+Lipstick&amp;qid=1695565439&amp;sr=8-9", "https://www.amazon.com/L-Girl-Velvet-Lipstick-Snuggle/dp/B014I58W7U/ref=sr_1_9?keywords=Matte+Flat+Velvet+Lipstick&amp;qid=1695565439&amp;sr=8-9")</f>
        <v/>
      </c>
      <c r="F1898" t="inlineStr">
        <is>
          <t>B014I58W7U</t>
        </is>
      </c>
      <c r="G1898">
        <f>_xlfn.IMAGE("https://camerareadycosmetics.com/cdn/shop/products/LA-Girl-Matte-Flat__41091.1464901512.600.600_50x.jpeg?v=1689657483")</f>
        <v/>
      </c>
      <c r="H1898">
        <f>_xlfn.IMAGE("https://m.media-amazon.com/images/I/51JCtWRFqQL._AC_UL320_.jpg")</f>
        <v/>
      </c>
      <c r="K1898" t="inlineStr">
        <is>
          <t>5.0</t>
        </is>
      </c>
      <c r="L1898" t="n">
        <v>6.95</v>
      </c>
      <c r="M1898" s="1" t="inlineStr">
        <is>
          <t>39.00%</t>
        </is>
      </c>
      <c r="N1898" t="n">
        <v>4.1</v>
      </c>
      <c r="O1898" t="n">
        <v>200</v>
      </c>
      <c r="Q1898" t="inlineStr">
        <is>
          <t>InStock</t>
        </is>
      </c>
      <c r="R1898" t="inlineStr">
        <is>
          <t>undefined</t>
        </is>
      </c>
      <c r="S1898" t="inlineStr">
        <is>
          <t>7049971911</t>
        </is>
      </c>
    </row>
    <row r="1899" ht="75" customHeight="1">
      <c r="A1899" s="2">
        <f>HYPERLINK("https://camerareadycosmetics.com/products/l-a-girl-matte-flat-velvet-lipstick", "https://camerareadycosmetics.com/products/l-a-girl-matte-flat-velvet-lipstick")</f>
        <v/>
      </c>
      <c r="B1899" s="2">
        <f>HYPERLINK("https://camerareadycosmetics.com/products/l-a-girl-matte-flat-velvet-lipstick", "https://camerareadycosmetics.com/products/l-a-girl-matte-flat-velvet-lipstick")</f>
        <v/>
      </c>
      <c r="C1899" t="inlineStr">
        <is>
          <t>Matte Flat Velvet Lipstick</t>
        </is>
      </c>
      <c r="D1899" t="inlineStr">
        <is>
          <t>L.A. Girl Matte Flat Velvet Lipstick, Electric, 0.1 Ounce</t>
        </is>
      </c>
      <c r="E1899" s="2">
        <f>HYPERLINK("https://www.amazon.com/L-Girl-Velvet-Lipstick-Electric/dp/B014I5DB44/ref=sr_1_7?keywords=Matte+Flat+Velvet+Lipstick&amp;qid=1695565439&amp;sr=8-7", "https://www.amazon.com/L-Girl-Velvet-Lipstick-Electric/dp/B014I5DB44/ref=sr_1_7?keywords=Matte+Flat+Velvet+Lipstick&amp;qid=1695565439&amp;sr=8-7")</f>
        <v/>
      </c>
      <c r="F1899" t="inlineStr">
        <is>
          <t>B014I5DB44</t>
        </is>
      </c>
      <c r="G1899">
        <f>_xlfn.IMAGE("https://camerareadycosmetics.com/cdn/shop/products/LA-Girl-Matte-Flat__41091.1464901512.600.600_50x.jpeg?v=1689657483")</f>
        <v/>
      </c>
      <c r="H1899">
        <f>_xlfn.IMAGE("https://m.media-amazon.com/images/I/51e6iRgLrsL._AC_UL320_.jpg")</f>
        <v/>
      </c>
      <c r="K1899" t="inlineStr">
        <is>
          <t>5.0</t>
        </is>
      </c>
      <c r="L1899" t="n">
        <v>6.3</v>
      </c>
      <c r="M1899" s="1" t="inlineStr">
        <is>
          <t>26.00%</t>
        </is>
      </c>
      <c r="N1899" t="n">
        <v>4.1</v>
      </c>
      <c r="O1899" t="n">
        <v>386</v>
      </c>
      <c r="Q1899" t="inlineStr">
        <is>
          <t>InStock</t>
        </is>
      </c>
      <c r="R1899" t="inlineStr">
        <is>
          <t>undefined</t>
        </is>
      </c>
      <c r="S1899" t="inlineStr">
        <is>
          <t>7049971911</t>
        </is>
      </c>
    </row>
    <row r="1900" ht="75" customHeight="1">
      <c r="A1900" s="2">
        <f>HYPERLINK("https://camerareadycosmetics.com/products/l-a-girl-matte-flat-velvet-lipstick", "https://camerareadycosmetics.com/products/l-a-girl-matte-flat-velvet-lipstick")</f>
        <v/>
      </c>
      <c r="B1900" s="2">
        <f>HYPERLINK("https://camerareadycosmetics.com/products/l-a-girl-matte-flat-velvet-lipstick", "https://camerareadycosmetics.com/products/l-a-girl-matte-flat-velvet-lipstick")</f>
        <v/>
      </c>
      <c r="C1900" t="inlineStr">
        <is>
          <t>Matte Flat Velvet Lipstick</t>
        </is>
      </c>
      <c r="D1900" t="inlineStr">
        <is>
          <t>L.A. Girl Matte Flat Velvet Lipstick (GLC813 hush)</t>
        </is>
      </c>
      <c r="E1900" s="2">
        <f>HYPERLINK("https://www.amazon.com/L-Girl-Velvet-Lipstick-GLC813/dp/B014I59UEE/ref=sr_1_10?keywords=Matte+Flat+Velvet+Lipstick&amp;qid=1695565439&amp;sr=8-10", "https://www.amazon.com/L-Girl-Velvet-Lipstick-GLC813/dp/B014I59UEE/ref=sr_1_10?keywords=Matte+Flat+Velvet+Lipstick&amp;qid=1695565439&amp;sr=8-10")</f>
        <v/>
      </c>
      <c r="F1900" t="inlineStr">
        <is>
          <t>B014I59UEE</t>
        </is>
      </c>
      <c r="G1900">
        <f>_xlfn.IMAGE("https://camerareadycosmetics.com/cdn/shop/products/LA-Girl-Matte-Flat__41091.1464901512.600.600_50x.jpeg?v=1689657483")</f>
        <v/>
      </c>
      <c r="H1900">
        <f>_xlfn.IMAGE("https://m.media-amazon.com/images/I/616R-KKmzzL._AC_UL320_.jpg")</f>
        <v/>
      </c>
      <c r="K1900" t="inlineStr">
        <is>
          <t>5.0</t>
        </is>
      </c>
      <c r="L1900" t="n">
        <v>4.49</v>
      </c>
      <c r="M1900" s="1" t="inlineStr">
        <is>
          <t>-10.20%</t>
        </is>
      </c>
      <c r="N1900" t="n">
        <v>4.1</v>
      </c>
      <c r="O1900" t="n">
        <v>69</v>
      </c>
      <c r="Q1900" t="inlineStr">
        <is>
          <t>InStock</t>
        </is>
      </c>
      <c r="R1900" t="inlineStr">
        <is>
          <t>undefined</t>
        </is>
      </c>
      <c r="S1900" t="inlineStr">
        <is>
          <t>7049971911</t>
        </is>
      </c>
    </row>
    <row r="1901" ht="75" customHeight="1">
      <c r="A1901" s="2">
        <f>HYPERLINK("https://camerareadycosmetics.com/products/l-a-girl-matte-flat-velvet-lipstick", "https://camerareadycosmetics.com/products/l-a-girl-matte-flat-velvet-lipstick")</f>
        <v/>
      </c>
      <c r="B1901" s="2">
        <f>HYPERLINK("https://camerareadycosmetics.com/products/l-a-girl-matte-flat-velvet-lipstick", "https://camerareadycosmetics.com/products/l-a-girl-matte-flat-velvet-lipstick")</f>
        <v/>
      </c>
      <c r="C1901" t="inlineStr">
        <is>
          <t>Matte Flat Velvet Lipstick</t>
        </is>
      </c>
      <c r="D1901" t="inlineStr">
        <is>
          <t>Matte Flat Velvet Lipstick</t>
        </is>
      </c>
      <c r="E1901" s="2">
        <f>HYPERLINK("https://www.amazon.com/L-Girl-Velvet-Lipstick-Pigment/dp/B014I2JL8C/ref=sr_1_2?keywords=Matte+Flat+Velvet+Lipstick&amp;qid=1695565439&amp;sr=8-2", "https://www.amazon.com/L-Girl-Velvet-Lipstick-Pigment/dp/B014I2JL8C/ref=sr_1_2?keywords=Matte+Flat+Velvet+Lipstick&amp;qid=1695565439&amp;sr=8-2")</f>
        <v/>
      </c>
      <c r="F1901" t="inlineStr">
        <is>
          <t>B014I2JL8C</t>
        </is>
      </c>
      <c r="G1901">
        <f>_xlfn.IMAGE("https://camerareadycosmetics.com/cdn/shop/products/LA-Girl-Matte-Flat__41091.1464901512.600.600_50x.jpeg?v=1689657483")</f>
        <v/>
      </c>
      <c r="H1901">
        <f>_xlfn.IMAGE("https://m.media-amazon.com/images/I/51-Q+oPdiEL._AC_UL320_.jpg")</f>
        <v/>
      </c>
      <c r="K1901" t="inlineStr">
        <is>
          <t>5.0</t>
        </is>
      </c>
      <c r="L1901" t="n">
        <v>4.49</v>
      </c>
      <c r="M1901" s="1" t="inlineStr">
        <is>
          <t>-10.20%</t>
        </is>
      </c>
      <c r="N1901" t="n">
        <v>3.4</v>
      </c>
      <c r="O1901" t="n">
        <v>39</v>
      </c>
      <c r="Q1901" t="inlineStr">
        <is>
          <t>InStock</t>
        </is>
      </c>
      <c r="R1901" t="inlineStr">
        <is>
          <t>undefined</t>
        </is>
      </c>
      <c r="S1901" t="inlineStr">
        <is>
          <t>7049971911</t>
        </is>
      </c>
    </row>
    <row r="1902" ht="75" customHeight="1">
      <c r="A1902" s="2">
        <f>HYPERLINK("https://camerareadycosmetics.com/products/l-a-girl-matte-flat-velvet-lipstick", "https://camerareadycosmetics.com/products/l-a-girl-matte-flat-velvet-lipstick")</f>
        <v/>
      </c>
      <c r="B1902" s="2">
        <f>HYPERLINK("https://camerareadycosmetics.com/products/l-a-girl-matte-flat-velvet-lipstick", "https://camerareadycosmetics.com/products/l-a-girl-matte-flat-velvet-lipstick")</f>
        <v/>
      </c>
      <c r="C1902" t="inlineStr">
        <is>
          <t>Matte Flat Velvet Lipstick</t>
        </is>
      </c>
      <c r="D1902" t="inlineStr">
        <is>
          <t>L.A. GIRL Matte Flat Velvet Lipstick 0.1oz - GLC810 Bite Me</t>
        </is>
      </c>
      <c r="E1902" s="2">
        <f>HYPERLINK("https://www.amazon.com/L-Matte-Velvet-Lipstick/dp/B014I57VGS/ref=sr_1_5?keywords=Matte+Flat+Velvet+Lipstick&amp;qid=1695565439&amp;sr=8-5", "https://www.amazon.com/L-Matte-Velvet-Lipstick/dp/B014I57VGS/ref=sr_1_5?keywords=Matte+Flat+Velvet+Lipstick&amp;qid=1695565439&amp;sr=8-5")</f>
        <v/>
      </c>
      <c r="F1902" t="inlineStr">
        <is>
          <t>B014I57VGS</t>
        </is>
      </c>
      <c r="G1902">
        <f>_xlfn.IMAGE("https://camerareadycosmetics.com/cdn/shop/products/LA-Girl-Matte-Flat__41091.1464901512.600.600_50x.jpeg?v=1689657483")</f>
        <v/>
      </c>
      <c r="H1902">
        <f>_xlfn.IMAGE("https://m.media-amazon.com/images/I/61xA+mq611L._AC_UL320_.jpg")</f>
        <v/>
      </c>
      <c r="K1902" t="inlineStr">
        <is>
          <t>5.0</t>
        </is>
      </c>
      <c r="L1902" t="n">
        <v>3.46</v>
      </c>
      <c r="M1902" s="1" t="inlineStr">
        <is>
          <t>-30.80%</t>
        </is>
      </c>
      <c r="N1902" t="n">
        <v>3.8</v>
      </c>
      <c r="O1902" t="n">
        <v>92</v>
      </c>
      <c r="Q1902" t="inlineStr">
        <is>
          <t>InStock</t>
        </is>
      </c>
      <c r="R1902" t="inlineStr">
        <is>
          <t>undefined</t>
        </is>
      </c>
      <c r="S1902" t="inlineStr">
        <is>
          <t>7049971911</t>
        </is>
      </c>
    </row>
    <row r="1903" ht="75" customHeight="1">
      <c r="A1903" s="2">
        <f>HYPERLINK("https://camerareadycosmetics.com/products/l-a-girl-pro-bb-cream", "https://camerareadycosmetics.com/products/l-a-girl-pro-bb-cream")</f>
        <v/>
      </c>
      <c r="B1903" s="2">
        <f>HYPERLINK("https://camerareadycosmetics.com/products/l-a-girl-pro-bb-cream", "https://camerareadycosmetics.com/products/l-a-girl-pro-bb-cream")</f>
        <v/>
      </c>
      <c r="C1903" t="inlineStr">
        <is>
          <t>L. A. Girl Pro BB Cream Neutral (GBB944)</t>
        </is>
      </c>
      <c r="D1903" t="inlineStr">
        <is>
          <t>L.A. Girl Pro BB Cream HD Beauty Balm, Deep, 1 fl. Oz</t>
        </is>
      </c>
      <c r="E1903" s="2">
        <f>HYPERLINK("https://www.amazon.com/L-Girl-Cream-Beauty/dp/B00NQIF3IC/ref=sr_1_5?keywords=L.+A.+Girl+Pro+BB+Cream+Neutral+%28GBB944%29&amp;qid=1695565603&amp;sr=8-5", "https://www.amazon.com/L-Girl-Cream-Beauty/dp/B00NQIF3IC/ref=sr_1_5?keywords=L.+A.+Girl+Pro+BB+Cream+Neutral+%28GBB944%29&amp;qid=1695565603&amp;sr=8-5")</f>
        <v/>
      </c>
      <c r="F1903" t="inlineStr">
        <is>
          <t>B00NQIF3IC</t>
        </is>
      </c>
      <c r="G1903">
        <f>_xlfn.IMAGE("https://camerareadycosmetics.com/cdn/shop/products/LAG_BBcream_GBB948_grande_1c0af64d-841a-4d84-b6c0-0439861113ae_50x.jpg?v=1694446184")</f>
        <v/>
      </c>
      <c r="H1903">
        <f>_xlfn.IMAGE("https://m.media-amazon.com/images/I/71q7ouCnbpL._AC_UL320_.jpg")</f>
        <v/>
      </c>
      <c r="K1903" t="inlineStr">
        <is>
          <t>7.0</t>
        </is>
      </c>
      <c r="L1903" t="n">
        <v>8.93</v>
      </c>
      <c r="M1903" s="1" t="inlineStr">
        <is>
          <t>27.57%</t>
        </is>
      </c>
      <c r="N1903" t="n">
        <v>4.1</v>
      </c>
      <c r="O1903" t="n">
        <v>95</v>
      </c>
      <c r="Q1903" t="inlineStr">
        <is>
          <t>InStock</t>
        </is>
      </c>
      <c r="R1903" t="inlineStr">
        <is>
          <t>undefined</t>
        </is>
      </c>
      <c r="S1903" t="inlineStr">
        <is>
          <t>10365948682</t>
        </is>
      </c>
    </row>
    <row r="1904" ht="75" customHeight="1">
      <c r="A1904" s="2">
        <f>HYPERLINK("https://camerareadycosmetics.com/products/l-a-girl-pro-bb-cream", "https://camerareadycosmetics.com/products/l-a-girl-pro-bb-cream")</f>
        <v/>
      </c>
      <c r="B1904" s="2">
        <f>HYPERLINK("https://camerareadycosmetics.com/products/l-a-girl-pro-bb-cream", "https://camerareadycosmetics.com/products/l-a-girl-pro-bb-cream")</f>
        <v/>
      </c>
      <c r="C1904" t="inlineStr">
        <is>
          <t>L. A. Girl Pro BB Cream Neutral (GBB944)</t>
        </is>
      </c>
      <c r="D1904" t="inlineStr">
        <is>
          <t>L.A. Girl Pro BB Cream High Definition Beauty Balm (GBB945 - Medium)</t>
        </is>
      </c>
      <c r="E1904" s="2">
        <f>HYPERLINK("https://www.amazon.com/L-Girl-Definition-Beauty-GBB945/dp/B00T859JUA/ref=sr_1_2?keywords=L.+A.+Girl+Pro+BB+Cream+Neutral+%28GBB944%29&amp;qid=1695565603&amp;sr=8-2", "https://www.amazon.com/L-Girl-Definition-Beauty-GBB945/dp/B00T859JUA/ref=sr_1_2?keywords=L.+A.+Girl+Pro+BB+Cream+Neutral+%28GBB944%29&amp;qid=1695565603&amp;sr=8-2")</f>
        <v/>
      </c>
      <c r="F1904" t="inlineStr">
        <is>
          <t>B00T859JUA</t>
        </is>
      </c>
      <c r="G1904">
        <f>_xlfn.IMAGE("https://camerareadycosmetics.com/cdn/shop/products/LAG_BBcream_GBB948_grande_1c0af64d-841a-4d84-b6c0-0439861113ae_50x.jpg?v=1694446184")</f>
        <v/>
      </c>
      <c r="H1904">
        <f>_xlfn.IMAGE("https://m.media-amazon.com/images/I/61YJwvLqJbL._AC_UL320_.jpg")</f>
        <v/>
      </c>
      <c r="K1904" t="inlineStr">
        <is>
          <t>7.0</t>
        </is>
      </c>
      <c r="L1904" t="n">
        <v>8.42</v>
      </c>
      <c r="M1904" s="1" t="inlineStr">
        <is>
          <t>20.29%</t>
        </is>
      </c>
      <c r="N1904" t="n">
        <v>4.3</v>
      </c>
      <c r="O1904" t="n">
        <v>10</v>
      </c>
      <c r="Q1904" t="inlineStr">
        <is>
          <t>InStock</t>
        </is>
      </c>
      <c r="R1904" t="inlineStr">
        <is>
          <t>undefined</t>
        </is>
      </c>
      <c r="S1904" t="inlineStr">
        <is>
          <t>10365948682</t>
        </is>
      </c>
    </row>
    <row r="1905" ht="75" customHeight="1">
      <c r="A1905" s="2">
        <f>HYPERLINK("https://camerareadycosmetics.com/products/l-a-girl-pro-bb-cream", "https://camerareadycosmetics.com/products/l-a-girl-pro-bb-cream")</f>
        <v/>
      </c>
      <c r="B1905" s="2">
        <f>HYPERLINK("https://camerareadycosmetics.com/products/l-a-girl-pro-bb-cream", "https://camerareadycosmetics.com/products/l-a-girl-pro-bb-cream")</f>
        <v/>
      </c>
      <c r="C1905" t="inlineStr">
        <is>
          <t>L. A. Girl Pro BB Cream Neutral (GBB944)</t>
        </is>
      </c>
      <c r="D1905" t="inlineStr">
        <is>
          <t>L.A. Girl Pro BB Cream HD Beauty Balm, Dark, 1 fl. oz</t>
        </is>
      </c>
      <c r="E1905" s="2">
        <f>HYPERLINK("https://www.amazon.com/L-Girl-Cream-Beauty/dp/B00NQIG1I8/ref=sr_1_6?keywords=L.+A.+Girl+Pro+BB+Cream+Neutral+%28GBB944%29&amp;qid=1695565603&amp;sr=8-6", "https://www.amazon.com/L-Girl-Cream-Beauty/dp/B00NQIG1I8/ref=sr_1_6?keywords=L.+A.+Girl+Pro+BB+Cream+Neutral+%28GBB944%29&amp;qid=1695565603&amp;sr=8-6")</f>
        <v/>
      </c>
      <c r="F1905" t="inlineStr">
        <is>
          <t>B00NQIG1I8</t>
        </is>
      </c>
      <c r="G1905">
        <f>_xlfn.IMAGE("https://camerareadycosmetics.com/cdn/shop/products/LAG_BBcream_GBB948_grande_1c0af64d-841a-4d84-b6c0-0439861113ae_50x.jpg?v=1694446184")</f>
        <v/>
      </c>
      <c r="H1905">
        <f>_xlfn.IMAGE("https://m.media-amazon.com/images/I/511nIFfh1iL._AC_UL320_.jpg")</f>
        <v/>
      </c>
      <c r="K1905" t="inlineStr">
        <is>
          <t>7.0</t>
        </is>
      </c>
      <c r="L1905" t="n">
        <v>7.99</v>
      </c>
      <c r="M1905" s="1" t="inlineStr">
        <is>
          <t>14.14%</t>
        </is>
      </c>
      <c r="N1905" t="n">
        <v>4.2</v>
      </c>
      <c r="O1905" t="n">
        <v>115</v>
      </c>
      <c r="Q1905" t="inlineStr">
        <is>
          <t>InStock</t>
        </is>
      </c>
      <c r="R1905" t="inlineStr">
        <is>
          <t>undefined</t>
        </is>
      </c>
      <c r="S1905" t="inlineStr">
        <is>
          <t>10365948682</t>
        </is>
      </c>
    </row>
    <row r="1906" ht="75" customHeight="1">
      <c r="A1906" s="2">
        <f>HYPERLINK("https://camerareadycosmetics.com/products/l-a-girl-pro-bb-cream", "https://camerareadycosmetics.com/products/l-a-girl-pro-bb-cream")</f>
        <v/>
      </c>
      <c r="B1906" s="2">
        <f>HYPERLINK("https://camerareadycosmetics.com/products/l-a-girl-pro-bb-cream", "https://camerareadycosmetics.com/products/l-a-girl-pro-bb-cream")</f>
        <v/>
      </c>
      <c r="C1906" t="inlineStr">
        <is>
          <t>L. A. Girl Pro BB Cream Neutral (GBB944)</t>
        </is>
      </c>
      <c r="D1906" t="inlineStr">
        <is>
          <t>COVERGIRL Smoothers Lightweight BB Cream, 1 Tube (1.35 Ounce), Light to Medium 810 Skin Tones, Hydrating BB Cream with SPF 21 Sun Protection (Packaging May Vary)</t>
        </is>
      </c>
      <c r="E1906" s="2">
        <f>HYPERLINK("https://www.amazon.com/COVERGIRL-Smoothers-Lightweight-Hydrating-Protection/dp/B001SZ1MRQ/ref=sr_1_9?keywords=L.+A.+Girl+Pro+BB+Cream+Neutral+%28GBB944%29&amp;qid=1695565603&amp;sr=8-9", "https://www.amazon.com/COVERGIRL-Smoothers-Lightweight-Hydrating-Protection/dp/B001SZ1MRQ/ref=sr_1_9?keywords=L.+A.+Girl+Pro+BB+Cream+Neutral+%28GBB944%29&amp;qid=1695565603&amp;sr=8-9")</f>
        <v/>
      </c>
      <c r="F1906" t="inlineStr">
        <is>
          <t>B001SZ1MRQ</t>
        </is>
      </c>
      <c r="G1906">
        <f>_xlfn.IMAGE("https://camerareadycosmetics.com/cdn/shop/products/LAG_BBcream_GBB948_grande_1c0af64d-841a-4d84-b6c0-0439861113ae_50x.jpg?v=1694446184")</f>
        <v/>
      </c>
      <c r="H1906">
        <f>_xlfn.IMAGE("https://m.media-amazon.com/images/I/61YppNATt9S._AC_UL320_.jpg")</f>
        <v/>
      </c>
      <c r="K1906" t="inlineStr">
        <is>
          <t>7.0</t>
        </is>
      </c>
      <c r="L1906" t="n">
        <v>6.91</v>
      </c>
      <c r="M1906" s="1" t="inlineStr">
        <is>
          <t>-1.29%</t>
        </is>
      </c>
      <c r="N1906" t="n">
        <v>4.4</v>
      </c>
      <c r="O1906" t="n">
        <v>8702</v>
      </c>
      <c r="Q1906" t="inlineStr">
        <is>
          <t>InStock</t>
        </is>
      </c>
      <c r="R1906" t="inlineStr">
        <is>
          <t>undefined</t>
        </is>
      </c>
      <c r="S1906" t="inlineStr">
        <is>
          <t>10365948682</t>
        </is>
      </c>
    </row>
    <row r="1907" ht="75" customHeight="1">
      <c r="A1907" s="2">
        <f>HYPERLINK("https://camerareadycosmetics.com/products/l-a-girl-pro-bb-cream", "https://camerareadycosmetics.com/products/l-a-girl-pro-bb-cream")</f>
        <v/>
      </c>
      <c r="B1907" s="2">
        <f>HYPERLINK("https://camerareadycosmetics.com/products/l-a-girl-pro-bb-cream", "https://camerareadycosmetics.com/products/l-a-girl-pro-bb-cream")</f>
        <v/>
      </c>
      <c r="C1907" t="inlineStr">
        <is>
          <t>L. A. Girl Pro BB Cream Neutral (GBB944)</t>
        </is>
      </c>
      <c r="D1907" t="inlineStr">
        <is>
          <t>L.A. Girl Pro BB Cream HD Beauty Balm, Light, 1 fl. Oz</t>
        </is>
      </c>
      <c r="E1907" s="2">
        <f>HYPERLINK("https://www.amazon.com/L-Girl-Cream-Beauty/dp/B00R616QCC/ref=sr_1_3?keywords=L.+A.+Girl+Pro+BB+Cream+Neutral+%28GBB944%29&amp;qid=1695565603&amp;sr=8-3", "https://www.amazon.com/L-Girl-Cream-Beauty/dp/B00R616QCC/ref=sr_1_3?keywords=L.+A.+Girl+Pro+BB+Cream+Neutral+%28GBB944%29&amp;qid=1695565603&amp;sr=8-3")</f>
        <v/>
      </c>
      <c r="F1907" t="inlineStr">
        <is>
          <t>B00R616QCC</t>
        </is>
      </c>
      <c r="G1907">
        <f>_xlfn.IMAGE("https://camerareadycosmetics.com/cdn/shop/products/LAG_BBcream_GBB948_grande_1c0af64d-841a-4d84-b6c0-0439861113ae_50x.jpg?v=1694446184")</f>
        <v/>
      </c>
      <c r="H1907">
        <f>_xlfn.IMAGE("https://m.media-amazon.com/images/I/71Px7p79-2L._AC_UL320_.jpg")</f>
        <v/>
      </c>
      <c r="K1907" t="inlineStr">
        <is>
          <t>7.0</t>
        </is>
      </c>
      <c r="L1907" t="n">
        <v>5.98</v>
      </c>
      <c r="M1907" s="1" t="inlineStr">
        <is>
          <t>-14.57%</t>
        </is>
      </c>
      <c r="N1907" t="n">
        <v>4.3</v>
      </c>
      <c r="O1907" t="n">
        <v>98</v>
      </c>
      <c r="Q1907" t="inlineStr">
        <is>
          <t>InStock</t>
        </is>
      </c>
      <c r="R1907" t="inlineStr">
        <is>
          <t>undefined</t>
        </is>
      </c>
      <c r="S1907" t="inlineStr">
        <is>
          <t>10365948682</t>
        </is>
      </c>
    </row>
    <row r="1908" ht="75" customHeight="1">
      <c r="A1908" s="2">
        <f>HYPERLINK("https://camerareadycosmetics.com/products/l-a-girl-pro-bb-cream", "https://camerareadycosmetics.com/products/l-a-girl-pro-bb-cream")</f>
        <v/>
      </c>
      <c r="B1908" s="2">
        <f>HYPERLINK("https://camerareadycosmetics.com/products/l-a-girl-pro-bb-cream", "https://camerareadycosmetics.com/products/l-a-girl-pro-bb-cream")</f>
        <v/>
      </c>
      <c r="C1908" t="inlineStr">
        <is>
          <t>L. A. Girl Pro BB Cream Neutral (GBB944)</t>
        </is>
      </c>
      <c r="D1908" t="inlineStr">
        <is>
          <t>L.A. Girl Pro BB Cream HD Beauty Balm, Neutral, 1 fl. Oz</t>
        </is>
      </c>
      <c r="E1908" s="2">
        <f>HYPERLINK("https://www.amazon.com/L-Girl-Beauty-Neutral/dp/B00NQIAV0W/ref=sr_1_1?keywords=L.+A.+Girl+Pro+BB+Cream+Neutral+%28GBB944%29&amp;qid=1695565603&amp;sr=8-1", "https://www.amazon.com/L-Girl-Beauty-Neutral/dp/B00NQIAV0W/ref=sr_1_1?keywords=L.+A.+Girl+Pro+BB+Cream+Neutral+%28GBB944%29&amp;qid=1695565603&amp;sr=8-1")</f>
        <v/>
      </c>
      <c r="F1908" t="inlineStr">
        <is>
          <t>B00NQIAV0W</t>
        </is>
      </c>
      <c r="G1908">
        <f>_xlfn.IMAGE("https://camerareadycosmetics.com/cdn/shop/products/LAG_BBcream_GBB948_grande_1c0af64d-841a-4d84-b6c0-0439861113ae_50x.jpg?v=1694446184")</f>
        <v/>
      </c>
      <c r="H1908">
        <f>_xlfn.IMAGE("https://m.media-amazon.com/images/I/51pAef4g5mL._AC_UL320_.jpg")</f>
        <v/>
      </c>
      <c r="K1908" t="inlineStr">
        <is>
          <t>7.0</t>
        </is>
      </c>
      <c r="L1908" t="n">
        <v>5.95</v>
      </c>
      <c r="M1908" s="1" t="inlineStr">
        <is>
          <t>-15.00%</t>
        </is>
      </c>
      <c r="N1908" t="n">
        <v>4.3</v>
      </c>
      <c r="O1908" t="n">
        <v>420</v>
      </c>
      <c r="Q1908" t="inlineStr">
        <is>
          <t>InStock</t>
        </is>
      </c>
      <c r="R1908" t="inlineStr">
        <is>
          <t>undefined</t>
        </is>
      </c>
      <c r="S1908" t="inlineStr">
        <is>
          <t>10365948682</t>
        </is>
      </c>
    </row>
    <row r="1909" ht="75" customHeight="1">
      <c r="A1909" s="2">
        <f>HYPERLINK("https://camerareadycosmetics.com/products/l-a-girl-pro-bb-cream", "https://camerareadycosmetics.com/products/l-a-girl-pro-bb-cream")</f>
        <v/>
      </c>
      <c r="B1909" s="2">
        <f>HYPERLINK("https://camerareadycosmetics.com/products/l-a-girl-pro-bb-cream", "https://camerareadycosmetics.com/products/l-a-girl-pro-bb-cream")</f>
        <v/>
      </c>
      <c r="C1909" t="inlineStr">
        <is>
          <t>L. A. Girl Pro BB Cream Neutral (GBB944)</t>
        </is>
      </c>
      <c r="D1909" t="inlineStr">
        <is>
          <t>L.A. Girl Pro BB Cream HD Beauty Balm, Medium, 1 fl. Oz</t>
        </is>
      </c>
      <c r="E1909" s="2">
        <f>HYPERLINK("https://www.amazon.com/L-Girl-Beauty-Medium/dp/B00NQICTDE/ref=sr_1_4?keywords=L.+A.+Girl+Pro+BB+Cream+Neutral+%28GBB944%29&amp;qid=1695565603&amp;sr=8-4", "https://www.amazon.com/L-Girl-Beauty-Medium/dp/B00NQICTDE/ref=sr_1_4?keywords=L.+A.+Girl+Pro+BB+Cream+Neutral+%28GBB944%29&amp;qid=1695565603&amp;sr=8-4")</f>
        <v/>
      </c>
      <c r="F1909" t="inlineStr">
        <is>
          <t>B00NQICTDE</t>
        </is>
      </c>
      <c r="G1909">
        <f>_xlfn.IMAGE("https://camerareadycosmetics.com/cdn/shop/products/LAG_BBcream_GBB948_grande_1c0af64d-841a-4d84-b6c0-0439861113ae_50x.jpg?v=1694446184")</f>
        <v/>
      </c>
      <c r="H1909">
        <f>_xlfn.IMAGE("https://m.media-amazon.com/images/I/71C7U0V7-VL._AC_UL320_.jpg")</f>
        <v/>
      </c>
      <c r="K1909" t="inlineStr">
        <is>
          <t>7.0</t>
        </is>
      </c>
      <c r="L1909" t="n">
        <v>5.64</v>
      </c>
      <c r="M1909" s="1" t="inlineStr">
        <is>
          <t>-19.43%</t>
        </is>
      </c>
      <c r="N1909" t="n">
        <v>4</v>
      </c>
      <c r="O1909" t="n">
        <v>139</v>
      </c>
      <c r="Q1909" t="inlineStr">
        <is>
          <t>InStock</t>
        </is>
      </c>
      <c r="R1909" t="inlineStr">
        <is>
          <t>undefined</t>
        </is>
      </c>
      <c r="S1909" t="inlineStr">
        <is>
          <t>10365948682</t>
        </is>
      </c>
    </row>
    <row r="1910" ht="75" customHeight="1">
      <c r="A1910" s="2">
        <f>HYPERLINK("https://camerareadycosmetics.com/products/l-a-girl-pro-bb-cream", "https://camerareadycosmetics.com/products/l-a-girl-pro-bb-cream")</f>
        <v/>
      </c>
      <c r="B1910" s="2">
        <f>HYPERLINK("https://camerareadycosmetics.com/products/l-a-girl-pro-bb-cream", "https://camerareadycosmetics.com/products/l-a-girl-pro-bb-cream")</f>
        <v/>
      </c>
      <c r="C1910" t="inlineStr">
        <is>
          <t>L. A. Girl Pro BB Cream Neutral (GBB944)</t>
        </is>
      </c>
      <c r="D1910" t="inlineStr">
        <is>
          <t>L.A. Girl Pro BB Cream HD Beauty Balm, Fair, 1 fl. Oz</t>
        </is>
      </c>
      <c r="E1910" s="2">
        <f>HYPERLINK("https://www.amazon.com/L-Girl-Cream-Beauty/dp/B00NQI6GGU/ref=sr_1_7?keywords=L.+A.+Girl+Pro+BB+Cream+Neutral+%28GBB944%29&amp;qid=1695565603&amp;sr=8-7", "https://www.amazon.com/L-Girl-Cream-Beauty/dp/B00NQI6GGU/ref=sr_1_7?keywords=L.+A.+Girl+Pro+BB+Cream+Neutral+%28GBB944%29&amp;qid=1695565603&amp;sr=8-7")</f>
        <v/>
      </c>
      <c r="F1910" t="inlineStr">
        <is>
          <t>B00NQI6GGU</t>
        </is>
      </c>
      <c r="G1910">
        <f>_xlfn.IMAGE("https://camerareadycosmetics.com/cdn/shop/products/LAG_BBcream_GBB948_grande_1c0af64d-841a-4d84-b6c0-0439861113ae_50x.jpg?v=1694446184")</f>
        <v/>
      </c>
      <c r="H1910">
        <f>_xlfn.IMAGE("https://m.media-amazon.com/images/I/61z4D49WRBS._AC_UL320_.jpg")</f>
        <v/>
      </c>
      <c r="K1910" t="inlineStr">
        <is>
          <t>7.0</t>
        </is>
      </c>
      <c r="L1910" t="n">
        <v>3.75</v>
      </c>
      <c r="M1910" s="1" t="inlineStr">
        <is>
          <t>-46.43%</t>
        </is>
      </c>
      <c r="N1910" t="n">
        <v>4.1</v>
      </c>
      <c r="O1910" t="n">
        <v>100</v>
      </c>
      <c r="Q1910" t="inlineStr">
        <is>
          <t>InStock</t>
        </is>
      </c>
      <c r="R1910" t="inlineStr">
        <is>
          <t>undefined</t>
        </is>
      </c>
      <c r="S1910" t="inlineStr">
        <is>
          <t>10365948682</t>
        </is>
      </c>
    </row>
    <row r="1911" ht="75" customHeight="1">
      <c r="A1911" s="2">
        <f>HYPERLINK("https://camerareadycosmetics.com/products/l-a-girl-pro-color-foundation-mixing-pigment", "https://camerareadycosmetics.com/products/l-a-girl-pro-color-foundation-mixing-pigment")</f>
        <v/>
      </c>
      <c r="B1911" s="2">
        <f>HYPERLINK("https://camerareadycosmetics.com/products/l-a-girl-pro-color-foundation-mixing-pigment", "https://camerareadycosmetics.com/products/l-a-girl-pro-color-foundation-mixing-pigment")</f>
        <v/>
      </c>
      <c r="C1911" t="inlineStr">
        <is>
          <t>PRO.Color Foundation Mixing Pigment</t>
        </is>
      </c>
      <c r="D1911" t="inlineStr">
        <is>
          <t>4 Pcs Foundation Mixing Pigment Set, Liquid Foundation Mixing Pigment for Adjusting Shade Foundation Color Corrector, Sweat-Proof Long Lasting Silky-Smooth Liquid Foundation,1.33 oz/pcs</t>
        </is>
      </c>
      <c r="E1911" s="2">
        <f>HYPERLINK("https://www.amazon.com/Foundation-Adjusting-Corrector-Sweat-Proof-Silky-Smooth/dp/B0C3M6HLD2/ref=sr_1_5?keywords=PRO.Color+Foundation+Mixing+Pigment&amp;qid=1695565530&amp;sr=8-5", "https://www.amazon.com/Foundation-Adjusting-Corrector-Sweat-Proof-Silky-Smooth/dp/B0C3M6HLD2/ref=sr_1_5?keywords=PRO.Color+Foundation+Mixing+Pigment&amp;qid=1695565530&amp;sr=8-5")</f>
        <v/>
      </c>
      <c r="F1911" t="inlineStr">
        <is>
          <t>B0C3M6HLD2</t>
        </is>
      </c>
      <c r="G1911">
        <f>_xlfn.IMAGE("https://camerareadycosmetics.com/cdn/shop/products/L.A.GirlPRO.colorFoundationMixingPigment-GLM711-714_prod_glam_1000x_f735fc60-843c-4fd4-85d2-bfb60c3a916c_50x.jpg?v=1631303662")</f>
        <v/>
      </c>
      <c r="H1911">
        <f>_xlfn.IMAGE("https://m.media-amazon.com/images/I/71FVdeOYJ9L._AC_UL320_.jpg")</f>
        <v/>
      </c>
      <c r="K1911" t="inlineStr">
        <is>
          <t>10.0</t>
        </is>
      </c>
      <c r="L1911" t="n">
        <v>18.99</v>
      </c>
      <c r="M1911" s="1" t="inlineStr">
        <is>
          <t>89.90%</t>
        </is>
      </c>
      <c r="N1911" t="n">
        <v>5</v>
      </c>
      <c r="O1911" t="n">
        <v>1</v>
      </c>
      <c r="Q1911" t="inlineStr">
        <is>
          <t>InStock</t>
        </is>
      </c>
      <c r="R1911" t="inlineStr">
        <is>
          <t>undefined</t>
        </is>
      </c>
      <c r="S1911" t="inlineStr">
        <is>
          <t>6957003374777</t>
        </is>
      </c>
    </row>
    <row r="1912" ht="75" customHeight="1">
      <c r="A1912" s="2">
        <f>HYPERLINK("https://camerareadycosmetics.com/products/l-a-girl-pro-color-foundation-mixing-pigment", "https://camerareadycosmetics.com/products/l-a-girl-pro-color-foundation-mixing-pigment")</f>
        <v/>
      </c>
      <c r="B1912" s="2">
        <f>HYPERLINK("https://camerareadycosmetics.com/products/l-a-girl-pro-color-foundation-mixing-pigment", "https://camerareadycosmetics.com/products/l-a-girl-pro-color-foundation-mixing-pigment")</f>
        <v/>
      </c>
      <c r="C1912" t="inlineStr">
        <is>
          <t>PRO.Color Foundation Mixing Pigment</t>
        </is>
      </c>
      <c r="D1912" t="inlineStr">
        <is>
          <t>Foundation Mixing Pigment,Luxsea White Pigment Mixer, Pro Foundation Lightener, White Liquid Foundation Makeup for Adjusting Base Foundationfrom Deep to Shallow, Smooth and Light Texture, Natural Blends with Face Base Makeup</t>
        </is>
      </c>
      <c r="E1912" s="2">
        <f>HYPERLINK("https://www.amazon.com/Foundation-Luxsea-Lightener-Adjusting-Foundationfrom/dp/B0C7KFZS5J/ref=sr_1_1?keywords=PRO.Color+Foundation+Mixing+Pigment&amp;qid=1695565530&amp;sr=8-1", "https://www.amazon.com/Foundation-Luxsea-Lightener-Adjusting-Foundationfrom/dp/B0C7KFZS5J/ref=sr_1_1?keywords=PRO.Color+Foundation+Mixing+Pigment&amp;qid=1695565530&amp;sr=8-1")</f>
        <v/>
      </c>
      <c r="F1912" t="inlineStr">
        <is>
          <t>B0C7KFZS5J</t>
        </is>
      </c>
      <c r="G1912">
        <f>_xlfn.IMAGE("https://camerareadycosmetics.com/cdn/shop/products/L.A.GirlPRO.colorFoundationMixingPigment-GLM711-714_prod_glam_1000x_f735fc60-843c-4fd4-85d2-bfb60c3a916c_50x.jpg?v=1631303662")</f>
        <v/>
      </c>
      <c r="H1912">
        <f>_xlfn.IMAGE("https://m.media-amazon.com/images/I/51aOwrho4TL._AC_UL320_.jpg")</f>
        <v/>
      </c>
      <c r="K1912" t="inlineStr">
        <is>
          <t>10.0</t>
        </is>
      </c>
      <c r="L1912" t="n">
        <v>9.99</v>
      </c>
      <c r="M1912" s="1" t="inlineStr">
        <is>
          <t>-0.10%</t>
        </is>
      </c>
      <c r="N1912" t="n">
        <v>3.2</v>
      </c>
      <c r="O1912" t="n">
        <v>8</v>
      </c>
      <c r="Q1912" t="inlineStr">
        <is>
          <t>InStock</t>
        </is>
      </c>
      <c r="R1912" t="inlineStr">
        <is>
          <t>undefined</t>
        </is>
      </c>
      <c r="S1912" t="inlineStr">
        <is>
          <t>6957003374777</t>
        </is>
      </c>
    </row>
    <row r="1913" ht="75" customHeight="1">
      <c r="A1913" s="2">
        <f>HYPERLINK("https://camerareadycosmetics.com/products/l-a-girl-pro-color-foundation-mixing-pigment", "https://camerareadycosmetics.com/products/l-a-girl-pro-color-foundation-mixing-pigment")</f>
        <v/>
      </c>
      <c r="B1913" s="2">
        <f>HYPERLINK("https://camerareadycosmetics.com/products/l-a-girl-pro-color-foundation-mixing-pigment", "https://camerareadycosmetics.com/products/l-a-girl-pro-color-foundation-mixing-pigment")</f>
        <v/>
      </c>
      <c r="C1913" t="inlineStr">
        <is>
          <t>PRO.Color Foundation Mixing Pigment</t>
        </is>
      </c>
      <c r="D1913" t="inlineStr">
        <is>
          <t>AYWFEY 2 Pack Makeup Palette and Spatula Set,Professional Pro Stainless Steel Cosmetic Mirror Lady Mixing Palette Tool Artist For Nail Art Eye Shadow Eyelash Pigment Blending Foundation,Silver</t>
        </is>
      </c>
      <c r="E1913" s="2">
        <f>HYPERLINK("https://www.amazon.com/AYWFEY-Professional-Stainless-Cosmetic-Foundation/dp/B07WPYF9TT/ref=sr_1_2?keywords=PRO.Color+Foundation+Mixing+Pigment&amp;qid=1695565530&amp;sr=8-2", "https://www.amazon.com/AYWFEY-Professional-Stainless-Cosmetic-Foundation/dp/B07WPYF9TT/ref=sr_1_2?keywords=PRO.Color+Foundation+Mixing+Pigment&amp;qid=1695565530&amp;sr=8-2")</f>
        <v/>
      </c>
      <c r="F1913" t="inlineStr">
        <is>
          <t>B07WPYF9TT</t>
        </is>
      </c>
      <c r="G1913">
        <f>_xlfn.IMAGE("https://camerareadycosmetics.com/cdn/shop/products/L.A.GirlPRO.colorFoundationMixingPigment-GLM711-714_prod_glam_1000x_f735fc60-843c-4fd4-85d2-bfb60c3a916c_50x.jpg?v=1631303662")</f>
        <v/>
      </c>
      <c r="H1913">
        <f>_xlfn.IMAGE("https://m.media-amazon.com/images/I/518U7IXhqRL._AC_UL320_.jpg")</f>
        <v/>
      </c>
      <c r="K1913" t="inlineStr">
        <is>
          <t>10.0</t>
        </is>
      </c>
      <c r="L1913" t="n">
        <v>8.99</v>
      </c>
      <c r="M1913" s="1" t="inlineStr">
        <is>
          <t>-10.10%</t>
        </is>
      </c>
      <c r="N1913" t="n">
        <v>4.8</v>
      </c>
      <c r="O1913" t="n">
        <v>178</v>
      </c>
      <c r="Q1913" t="inlineStr">
        <is>
          <t>InStock</t>
        </is>
      </c>
      <c r="R1913" t="inlineStr">
        <is>
          <t>undefined</t>
        </is>
      </c>
      <c r="S1913" t="inlineStr">
        <is>
          <t>6957003374777</t>
        </is>
      </c>
    </row>
    <row r="1914" ht="75" customHeight="1">
      <c r="A1914" s="2">
        <f>HYPERLINK("https://camerareadycosmetics.com/products/l-a-girl-pro-color-foundation-mixing-pigment", "https://camerareadycosmetics.com/products/l-a-girl-pro-color-foundation-mixing-pigment")</f>
        <v/>
      </c>
      <c r="B1914" s="2">
        <f>HYPERLINK("https://camerareadycosmetics.com/products/l-a-girl-pro-color-foundation-mixing-pigment", "https://camerareadycosmetics.com/products/l-a-girl-pro-color-foundation-mixing-pigment")</f>
        <v/>
      </c>
      <c r="C1914" t="inlineStr">
        <is>
          <t>PRO.Color Foundation Mixing Pigment</t>
        </is>
      </c>
      <c r="D1914" t="inlineStr">
        <is>
          <t>Jutqut Blue Foundation, Foundation Mixing Pigment, Smooth and Light Liquid Foundation, Blends Easily with Foundation, Warm to Cold, 0.67oz (Blue)</t>
        </is>
      </c>
      <c r="E1914" s="2">
        <f>HYPERLINK("https://www.amazon.com/Jutqut-Foundation-Mixing-Pigment-Smooth/dp/B0BW87XD6X/ref=sr_1_9?keywords=PRO.Color+Foundation+Mixing+Pigment&amp;qid=1695565530&amp;sr=8-9", "https://www.amazon.com/Jutqut-Foundation-Mixing-Pigment-Smooth/dp/B0BW87XD6X/ref=sr_1_9?keywords=PRO.Color+Foundation+Mixing+Pigment&amp;qid=1695565530&amp;sr=8-9")</f>
        <v/>
      </c>
      <c r="F1914" t="inlineStr">
        <is>
          <t>B0BW87XD6X</t>
        </is>
      </c>
      <c r="G1914">
        <f>_xlfn.IMAGE("https://camerareadycosmetics.com/cdn/shop/products/L.A.GirlPRO.colorFoundationMixingPigment-GLM711-714_prod_glam_1000x_f735fc60-843c-4fd4-85d2-bfb60c3a916c_50x.jpg?v=1631303662")</f>
        <v/>
      </c>
      <c r="H1914">
        <f>_xlfn.IMAGE("https://m.media-amazon.com/images/I/613MDK8ClPL._AC_UL320_.jpg")</f>
        <v/>
      </c>
      <c r="K1914" t="inlineStr">
        <is>
          <t>10.0</t>
        </is>
      </c>
      <c r="L1914" t="n">
        <v>6.99</v>
      </c>
      <c r="M1914" s="1" t="inlineStr">
        <is>
          <t>-30.10%</t>
        </is>
      </c>
      <c r="N1914" t="n">
        <v>4.2</v>
      </c>
      <c r="O1914" t="n">
        <v>61</v>
      </c>
      <c r="Q1914" t="inlineStr">
        <is>
          <t>InStock</t>
        </is>
      </c>
      <c r="R1914" t="inlineStr">
        <is>
          <t>undefined</t>
        </is>
      </c>
      <c r="S1914" t="inlineStr">
        <is>
          <t>6957003374777</t>
        </is>
      </c>
    </row>
    <row r="1915" ht="75" customHeight="1">
      <c r="A1915" s="2">
        <f>HYPERLINK("https://camerareadycosmetics.com/products/l-a-girl-pro-color-foundation-mixing-pigment", "https://camerareadycosmetics.com/products/l-a-girl-pro-color-foundation-mixing-pigment")</f>
        <v/>
      </c>
      <c r="B1915" s="2">
        <f>HYPERLINK("https://camerareadycosmetics.com/products/l-a-girl-pro-color-foundation-mixing-pigment", "https://camerareadycosmetics.com/products/l-a-girl-pro-color-foundation-mixing-pigment")</f>
        <v/>
      </c>
      <c r="C1915" t="inlineStr">
        <is>
          <t>PRO.Color Foundation Mixing Pigment</t>
        </is>
      </c>
      <c r="D1915" t="inlineStr">
        <is>
          <t>FREEORR Yellow Foundation Mixing Pigment, Yellow Foundation Shade Adjuster Foundation Color Corrector Delicate and Smooth, Easy to Blend Pink to Yellow 03#Maple Leaf,Pack of 1, 0.67oz</t>
        </is>
      </c>
      <c r="E1915" s="2">
        <f>HYPERLINK("https://www.amazon.com/FREEORR-Foundation-Adjuster-Corrector-Delicate/dp/B0BY26XRQ8/ref=sr_1_6?keywords=PRO.Color+Foundation+Mixing+Pigment&amp;qid=1695565530&amp;sr=8-6", "https://www.amazon.com/FREEORR-Foundation-Adjuster-Corrector-Delicate/dp/B0BY26XRQ8/ref=sr_1_6?keywords=PRO.Color+Foundation+Mixing+Pigment&amp;qid=1695565530&amp;sr=8-6")</f>
        <v/>
      </c>
      <c r="F1915" t="inlineStr">
        <is>
          <t>B0BY26XRQ8</t>
        </is>
      </c>
      <c r="G1915">
        <f>_xlfn.IMAGE("https://camerareadycosmetics.com/cdn/shop/products/L.A.GirlPRO.colorFoundationMixingPigment-GLM711-714_prod_glam_1000x_f735fc60-843c-4fd4-85d2-bfb60c3a916c_50x.jpg?v=1631303662")</f>
        <v/>
      </c>
      <c r="H1915">
        <f>_xlfn.IMAGE("https://m.media-amazon.com/images/I/61LKX3iVf-L._AC_UL320_.jpg")</f>
        <v/>
      </c>
      <c r="K1915" t="inlineStr">
        <is>
          <t>10.0</t>
        </is>
      </c>
      <c r="L1915" t="n">
        <v>5.99</v>
      </c>
      <c r="M1915" s="1" t="inlineStr">
        <is>
          <t>-40.10%</t>
        </is>
      </c>
      <c r="N1915" t="n">
        <v>4.1</v>
      </c>
      <c r="O1915" t="n">
        <v>15</v>
      </c>
      <c r="Q1915" t="inlineStr">
        <is>
          <t>InStock</t>
        </is>
      </c>
      <c r="R1915" t="inlineStr">
        <is>
          <t>undefined</t>
        </is>
      </c>
      <c r="S1915" t="inlineStr">
        <is>
          <t>6957003374777</t>
        </is>
      </c>
    </row>
    <row r="1916" ht="75" customHeight="1">
      <c r="A1916" s="2">
        <f>HYPERLINK("https://camerareadycosmetics.com/products/l-a-girl-pro-coverage-illuminating-foundation", "https://camerareadycosmetics.com/products/l-a-girl-pro-coverage-illuminating-foundation")</f>
        <v/>
      </c>
      <c r="B1916" s="2">
        <f>HYPERLINK("https://camerareadycosmetics.com/products/l-a-girl-pro-coverage-illuminating-foundation", "https://camerareadycosmetics.com/products/l-a-girl-pro-coverage-illuminating-foundation")</f>
        <v/>
      </c>
      <c r="C1916" t="inlineStr">
        <is>
          <t>Pro Coverage Illuminating Foundation</t>
        </is>
      </c>
      <c r="D1916" t="inlineStr">
        <is>
          <t>LAURA GELLER NEW YORK Baked Balance-N-Glow Illuminating Foundation - Deep - Buildable Sheer to Light Coverage - Satin Finish</t>
        </is>
      </c>
      <c r="E1916" s="2">
        <f>HYPERLINK("https://www.amazon.com/LAURA-GELLER-NEW-YORK-Dermatologist/dp/B077SS8ZNY/ref=sr_1_7?keywords=Pro+Coverage+Illuminating+Foundation&amp;qid=1695565434&amp;sr=8-7", "https://www.amazon.com/LAURA-GELLER-NEW-YORK-Dermatologist/dp/B077SS8ZNY/ref=sr_1_7?keywords=Pro+Coverage+Illuminating+Foundation&amp;qid=1695565434&amp;sr=8-7")</f>
        <v/>
      </c>
      <c r="F1916" t="inlineStr">
        <is>
          <t>B077SS8ZNY</t>
        </is>
      </c>
      <c r="G1916">
        <f>_xlfn.IMAGE("https://camerareadycosmetics.com/cdn/shop/products/LAG_proCoverage_GLM648_grande_6341c7ec-d0eb-4b67-beef-c08bafc39ebd_50x.jpg?v=1694446354")</f>
        <v/>
      </c>
      <c r="H1916">
        <f>_xlfn.IMAGE("https://m.media-amazon.com/images/I/81Le8-R6nOL._AC_UL320_.jpg")</f>
        <v/>
      </c>
      <c r="K1916" t="inlineStr">
        <is>
          <t>5.0</t>
        </is>
      </c>
      <c r="L1916" t="n">
        <v>28</v>
      </c>
      <c r="M1916" s="1" t="inlineStr">
        <is>
          <t>460.00%</t>
        </is>
      </c>
      <c r="N1916" t="n">
        <v>4.2</v>
      </c>
      <c r="O1916" t="n">
        <v>6781</v>
      </c>
      <c r="Q1916" t="inlineStr">
        <is>
          <t>OutOfStock</t>
        </is>
      </c>
      <c r="R1916" t="inlineStr">
        <is>
          <t>10.0</t>
        </is>
      </c>
      <c r="S1916" t="inlineStr">
        <is>
          <t>10368508298</t>
        </is>
      </c>
    </row>
    <row r="1917" ht="75" customHeight="1">
      <c r="A1917" s="2">
        <f>HYPERLINK("https://camerareadycosmetics.com/products/l-a-girl-pro-coverage-illuminating-foundation", "https://camerareadycosmetics.com/products/l-a-girl-pro-coverage-illuminating-foundation")</f>
        <v/>
      </c>
      <c r="B1917" s="2">
        <f>HYPERLINK("https://camerareadycosmetics.com/products/l-a-girl-pro-coverage-illuminating-foundation", "https://camerareadycosmetics.com/products/l-a-girl-pro-coverage-illuminating-foundation")</f>
        <v/>
      </c>
      <c r="C1917" t="inlineStr">
        <is>
          <t>Pro Coverage Illuminating Foundation</t>
        </is>
      </c>
      <c r="D1917" t="inlineStr">
        <is>
          <t>L.A. Girl Pro Coverage Liquid Foundation, Natural, 0.95 Fl Oz</t>
        </is>
      </c>
      <c r="E1917" s="2">
        <f>HYPERLINK("https://www.amazon.com/L-Girl-Coverage-Foundation-Natural/dp/B01MF71U77/ref=sr_1_1?keywords=Pro+Coverage+Illuminating+Foundation&amp;qid=1695565434&amp;sr=8-1", "https://www.amazon.com/L-Girl-Coverage-Foundation-Natural/dp/B01MF71U77/ref=sr_1_1?keywords=Pro+Coverage+Illuminating+Foundation&amp;qid=1695565434&amp;sr=8-1")</f>
        <v/>
      </c>
      <c r="F1917" t="inlineStr">
        <is>
          <t>B01MF71U77</t>
        </is>
      </c>
      <c r="G1917">
        <f>_xlfn.IMAGE("https://camerareadycosmetics.com/cdn/shop/products/LAG_proCoverage_GLM648_grande_6341c7ec-d0eb-4b67-beef-c08bafc39ebd_50x.jpg?v=1694446354")</f>
        <v/>
      </c>
      <c r="H1917">
        <f>_xlfn.IMAGE("https://m.media-amazon.com/images/I/510-4vyDy9L._AC_UL320_.jpg")</f>
        <v/>
      </c>
      <c r="K1917" t="inlineStr">
        <is>
          <t>5.0</t>
        </is>
      </c>
      <c r="L1917" t="n">
        <v>5.6</v>
      </c>
      <c r="M1917" s="1" t="inlineStr">
        <is>
          <t>12.00%</t>
        </is>
      </c>
      <c r="N1917" t="n">
        <v>4.3</v>
      </c>
      <c r="O1917" t="n">
        <v>6287</v>
      </c>
      <c r="Q1917" t="inlineStr">
        <is>
          <t>OutOfStock</t>
        </is>
      </c>
      <c r="R1917" t="inlineStr">
        <is>
          <t>10.0</t>
        </is>
      </c>
      <c r="S1917" t="inlineStr">
        <is>
          <t>10368508298</t>
        </is>
      </c>
    </row>
    <row r="1918" ht="75" customHeight="1">
      <c r="A1918" s="2">
        <f>HYPERLINK("https://camerareadycosmetics.com/products/l-a-girl-pro-prep-primer", "https://camerareadycosmetics.com/products/l-a-girl-pro-prep-primer")</f>
        <v/>
      </c>
      <c r="B1918" s="2">
        <f>HYPERLINK("https://camerareadycosmetics.com/products/l-a-girl-pro-prep-primer", "https://camerareadycosmetics.com/products/l-a-girl-pro-prep-primer")</f>
        <v/>
      </c>
      <c r="C1918" t="inlineStr">
        <is>
          <t>L. A. Girl Pro Prep Primer</t>
        </is>
      </c>
      <c r="D1918" t="inlineStr">
        <is>
          <t>L.A. Girl Pro Prep HD Face Primer, Translucent, 0.5 Ounce (Pack of 3)</t>
        </is>
      </c>
      <c r="E1918" s="2">
        <f>HYPERLINK("https://www.amazon.com/L-Girl-Primer-Translucent/dp/B01N40GWCQ/ref=sr_1_3?keywords=L.+A.+Girl+Pro+Prep+Primer&amp;qid=1695565522&amp;sr=8-3", "https://www.amazon.com/L-Girl-Primer-Translucent/dp/B01N40GWCQ/ref=sr_1_3?keywords=L.+A.+Girl+Pro+Prep+Primer&amp;qid=1695565522&amp;sr=8-3")</f>
        <v/>
      </c>
      <c r="F1918" t="inlineStr">
        <is>
          <t>B01N40GWCQ</t>
        </is>
      </c>
      <c r="G1918">
        <f>_xlfn.IMAGE("https://camerareadycosmetics.com/cdn/shop/products/LAG_proprep_GFP949_2_grande_c39c56d7-cdf9-45e6-9173-6a1e93b117c2_50x.jpg?v=1694446164")</f>
        <v/>
      </c>
      <c r="H1918">
        <f>_xlfn.IMAGE("https://m.media-amazon.com/images/I/51tef8KOpZL._AC_UL320_.jpg")</f>
        <v/>
      </c>
      <c r="K1918" t="inlineStr">
        <is>
          <t>7.0</t>
        </is>
      </c>
      <c r="L1918" t="n">
        <v>15</v>
      </c>
      <c r="M1918" s="1" t="inlineStr">
        <is>
          <t>114.29%</t>
        </is>
      </c>
      <c r="N1918" t="n">
        <v>3.5</v>
      </c>
      <c r="O1918" t="n">
        <v>16</v>
      </c>
      <c r="Q1918" t="inlineStr">
        <is>
          <t>InStock</t>
        </is>
      </c>
      <c r="R1918" t="inlineStr">
        <is>
          <t>undefined</t>
        </is>
      </c>
      <c r="S1918" t="inlineStr">
        <is>
          <t>10365923210</t>
        </is>
      </c>
    </row>
    <row r="1919" ht="75" customHeight="1">
      <c r="A1919" s="2">
        <f>HYPERLINK("https://camerareadycosmetics.com/products/l-a-girl-pro-prep-primer", "https://camerareadycosmetics.com/products/l-a-girl-pro-prep-primer")</f>
        <v/>
      </c>
      <c r="B1919" s="2">
        <f>HYPERLINK("https://camerareadycosmetics.com/products/l-a-girl-pro-prep-primer", "https://camerareadycosmetics.com/products/l-a-girl-pro-prep-primer")</f>
        <v/>
      </c>
      <c r="C1919" t="inlineStr">
        <is>
          <t>L. A. Girl Pro Prep Primer</t>
        </is>
      </c>
      <c r="D1919" t="inlineStr">
        <is>
          <t>L.A. Girl Pro Prep Correcting Primer, Colorless, 1 Fluid Ounce</t>
        </is>
      </c>
      <c r="E1919" s="2">
        <f>HYPERLINK("https://www.amazon.com/L-Girl-Correcting-Primer-Colorless/dp/B07PDNQ3LX/ref=sr_1_5?keywords=L.+A.+Girl+Pro+Prep+Primer&amp;qid=1695565522&amp;sr=8-5", "https://www.amazon.com/L-Girl-Correcting-Primer-Colorless/dp/B07PDNQ3LX/ref=sr_1_5?keywords=L.+A.+Girl+Pro+Prep+Primer&amp;qid=1695565522&amp;sr=8-5")</f>
        <v/>
      </c>
      <c r="F1919" t="inlineStr">
        <is>
          <t>B07PDNQ3LX</t>
        </is>
      </c>
      <c r="G1919">
        <f>_xlfn.IMAGE("https://camerareadycosmetics.com/cdn/shop/products/LAG_proprep_GFP949_2_grande_c39c56d7-cdf9-45e6-9173-6a1e93b117c2_50x.jpg?v=1694446164")</f>
        <v/>
      </c>
      <c r="H1919">
        <f>_xlfn.IMAGE("https://m.media-amazon.com/images/I/61dx4SixOfL._AC_UL320_.jpg")</f>
        <v/>
      </c>
      <c r="K1919" t="inlineStr">
        <is>
          <t>7.0</t>
        </is>
      </c>
      <c r="L1919" t="n">
        <v>7.85</v>
      </c>
      <c r="M1919" s="1" t="inlineStr">
        <is>
          <t>12.14%</t>
        </is>
      </c>
      <c r="N1919" t="n">
        <v>4</v>
      </c>
      <c r="O1919" t="n">
        <v>62</v>
      </c>
      <c r="Q1919" t="inlineStr">
        <is>
          <t>InStock</t>
        </is>
      </c>
      <c r="R1919" t="inlineStr">
        <is>
          <t>undefined</t>
        </is>
      </c>
      <c r="S1919" t="inlineStr">
        <is>
          <t>10365923210</t>
        </is>
      </c>
    </row>
    <row r="1920" ht="75" customHeight="1">
      <c r="A1920" s="2">
        <f>HYPERLINK("https://camerareadycosmetics.com/products/l-a-girl-pro-prep-primer", "https://camerareadycosmetics.com/products/l-a-girl-pro-prep-primer")</f>
        <v/>
      </c>
      <c r="B1920" s="2">
        <f>HYPERLINK("https://camerareadycosmetics.com/products/l-a-girl-pro-prep-primer", "https://camerareadycosmetics.com/products/l-a-girl-pro-prep-primer")</f>
        <v/>
      </c>
      <c r="C1920" t="inlineStr">
        <is>
          <t>L. A. Girl Pro Prep Primer</t>
        </is>
      </c>
      <c r="D1920" t="inlineStr">
        <is>
          <t>L.A. Girl PRO Prep HD High Definition Smoothing Face Primer, Assortment, 0.5 Fl Oz</t>
        </is>
      </c>
      <c r="E1920" s="2">
        <f>HYPERLINK("https://www.amazon.com/L-Girl-Definition-Smoothing-Primer/dp/B00WNCS852/ref=sr_1_2?keywords=L.+A.+Girl+Pro+Prep+Primer&amp;qid=1695565522&amp;sr=8-2", "https://www.amazon.com/L-Girl-Definition-Smoothing-Primer/dp/B00WNCS852/ref=sr_1_2?keywords=L.+A.+Girl+Pro+Prep+Primer&amp;qid=1695565522&amp;sr=8-2")</f>
        <v/>
      </c>
      <c r="F1920" t="inlineStr">
        <is>
          <t>B00WNCS852</t>
        </is>
      </c>
      <c r="G1920">
        <f>_xlfn.IMAGE("https://camerareadycosmetics.com/cdn/shop/products/LAG_proprep_GFP949_2_grande_c39c56d7-cdf9-45e6-9173-6a1e93b117c2_50x.jpg?v=1694446164")</f>
        <v/>
      </c>
      <c r="H1920">
        <f>_xlfn.IMAGE("https://m.media-amazon.com/images/I/51xKKy+qUIL._AC_UL320_.jpg")</f>
        <v/>
      </c>
      <c r="K1920" t="inlineStr">
        <is>
          <t>7.0</t>
        </is>
      </c>
      <c r="L1920" t="n">
        <v>5</v>
      </c>
      <c r="M1920" s="1" t="inlineStr">
        <is>
          <t>-28.57%</t>
        </is>
      </c>
      <c r="N1920" t="n">
        <v>4.3</v>
      </c>
      <c r="O1920" t="n">
        <v>1116</v>
      </c>
      <c r="Q1920" t="inlineStr">
        <is>
          <t>InStock</t>
        </is>
      </c>
      <c r="R1920" t="inlineStr">
        <is>
          <t>undefined</t>
        </is>
      </c>
      <c r="S1920" t="inlineStr">
        <is>
          <t>10365923210</t>
        </is>
      </c>
    </row>
    <row r="1921" ht="75" customHeight="1">
      <c r="A1921" s="2">
        <f>HYPERLINK("https://camerareadycosmetics.com/products/l-a-girl-pro-setting-spray", "https://camerareadycosmetics.com/products/l-a-girl-pro-setting-spray")</f>
        <v/>
      </c>
      <c r="B1921" s="2">
        <f>HYPERLINK("https://camerareadycosmetics.com/products/l-a-girl-pro-setting-spray", "https://camerareadycosmetics.com/products/l-a-girl-pro-setting-spray")</f>
        <v/>
      </c>
      <c r="C1921" t="inlineStr">
        <is>
          <t>HD Pro Setting Spray</t>
        </is>
      </c>
      <c r="D1921" t="inlineStr">
        <is>
          <t>One size One Size Patrick Starr On Til Dawn Mattifying Waterproof Setting Spray 1 oz 1 Ounce (Pack of 1)</t>
        </is>
      </c>
      <c r="E1921" s="2">
        <f>HYPERLINK("https://www.amazon.com/One-size-Patrick-Mattifying-Waterproof/dp/B09HRNNPZV/ref=sr_1_8?keywords=HD+Pro+Setting+Spray&amp;qid=1695565596&amp;sr=8-8", "https://www.amazon.com/One-size-Patrick-Mattifying-Waterproof/dp/B09HRNNPZV/ref=sr_1_8?keywords=HD+Pro+Setting+Spray&amp;qid=1695565596&amp;sr=8-8")</f>
        <v/>
      </c>
      <c r="F1921" t="inlineStr">
        <is>
          <t>B09HRNNPZV</t>
        </is>
      </c>
      <c r="G1921">
        <f>_xlfn.IMAGE("https://camerareadycosmetics.com/cdn/shop/products/LAG_prosetting_GFS950_v3_grande_3b7ed575-1dbb-4dd1-a6fc-681e2ad93bb6_50x.jpg?v=1694446580")</f>
        <v/>
      </c>
      <c r="H1921">
        <f>_xlfn.IMAGE("https://m.media-amazon.com/images/I/41bdyjNxFgL._AC_UL320_.jpg")</f>
        <v/>
      </c>
      <c r="K1921" t="inlineStr">
        <is>
          <t>7.0</t>
        </is>
      </c>
      <c r="L1921" t="n">
        <v>30.04</v>
      </c>
      <c r="M1921" s="1" t="inlineStr">
        <is>
          <t>329.14%</t>
        </is>
      </c>
      <c r="N1921" t="n">
        <v>4.1</v>
      </c>
      <c r="O1921" t="n">
        <v>346</v>
      </c>
      <c r="Q1921" t="inlineStr">
        <is>
          <t>InStock</t>
        </is>
      </c>
      <c r="R1921" t="inlineStr">
        <is>
          <t>undefined</t>
        </is>
      </c>
      <c r="S1921" t="inlineStr">
        <is>
          <t>10385268106</t>
        </is>
      </c>
    </row>
    <row r="1922" ht="75" customHeight="1">
      <c r="A1922" s="2">
        <f>HYPERLINK("https://camerareadycosmetics.com/products/l-a-girl-pro-setting-spray", "https://camerareadycosmetics.com/products/l-a-girl-pro-setting-spray")</f>
        <v/>
      </c>
      <c r="B1922" s="2">
        <f>HYPERLINK("https://camerareadycosmetics.com/products/l-a-girl-pro-setting-spray", "https://camerareadycosmetics.com/products/l-a-girl-pro-setting-spray")</f>
        <v/>
      </c>
      <c r="C1922" t="inlineStr">
        <is>
          <t>HD Pro Setting Spray</t>
        </is>
      </c>
      <c r="D1922" t="inlineStr">
        <is>
          <t>L.A. Girl Pro Setting Hd Matte Finish Spray, 1 Ounce (Pack of 3)</t>
        </is>
      </c>
      <c r="E1922" s="2">
        <f>HYPERLINK("https://www.amazon.com/L-Girl-Setting-Finish/dp/B06XNWDRFG/ref=sr_1_1?keywords=HD+Pro+Setting+Spray&amp;qid=1695565596&amp;sr=8-1", "https://www.amazon.com/L-Girl-Setting-Finish/dp/B06XNWDRFG/ref=sr_1_1?keywords=HD+Pro+Setting+Spray&amp;qid=1695565596&amp;sr=8-1")</f>
        <v/>
      </c>
      <c r="F1922" t="inlineStr">
        <is>
          <t>B06XNWDRFG</t>
        </is>
      </c>
      <c r="G1922">
        <f>_xlfn.IMAGE("https://camerareadycosmetics.com/cdn/shop/products/LAG_prosetting_GFS950_v3_grande_3b7ed575-1dbb-4dd1-a6fc-681e2ad93bb6_50x.jpg?v=1694446580")</f>
        <v/>
      </c>
      <c r="H1922">
        <f>_xlfn.IMAGE("https://m.media-amazon.com/images/I/71ELSGOhGYL._AC_UL320_.jpg")</f>
        <v/>
      </c>
      <c r="K1922" t="inlineStr">
        <is>
          <t>7.0</t>
        </is>
      </c>
      <c r="L1922" t="n">
        <v>14.97</v>
      </c>
      <c r="M1922" s="1" t="inlineStr">
        <is>
          <t>113.86%</t>
        </is>
      </c>
      <c r="N1922" t="n">
        <v>3.9</v>
      </c>
      <c r="O1922" t="n">
        <v>3</v>
      </c>
      <c r="Q1922" t="inlineStr">
        <is>
          <t>InStock</t>
        </is>
      </c>
      <c r="R1922" t="inlineStr">
        <is>
          <t>undefined</t>
        </is>
      </c>
      <c r="S1922" t="inlineStr">
        <is>
          <t>10385268106</t>
        </is>
      </c>
    </row>
    <row r="1923" ht="75" customHeight="1">
      <c r="A1923" s="2">
        <f>HYPERLINK("https://camerareadycosmetics.com/products/l-a-girl-pro-setting-spray", "https://camerareadycosmetics.com/products/l-a-girl-pro-setting-spray")</f>
        <v/>
      </c>
      <c r="B1923" s="2">
        <f>HYPERLINK("https://camerareadycosmetics.com/products/l-a-girl-pro-setting-spray", "https://camerareadycosmetics.com/products/l-a-girl-pro-setting-spray")</f>
        <v/>
      </c>
      <c r="C1923" t="inlineStr">
        <is>
          <t>HD Pro Setting Spray</t>
        </is>
      </c>
      <c r="D1923" t="inlineStr">
        <is>
          <t>Revlon Colorstay 24 Hr Lock Setting Mist, Keeps Face Makeup from Melting &amp; Fading, Mattifying, Blurring &amp; Oil Absorbing Face Spray, Transfer-proof &amp; Mask Friendly, 1.9 fl oz.</t>
        </is>
      </c>
      <c r="E1923" s="2">
        <f>HYPERLINK("https://www.amazon.com/Colorstay-Mattifying-Blurring-Absorbing-Transfer-proof/dp/B09JBJSVC5/ref=sr_1_9?keywords=HD+Pro+Setting+Spray&amp;qid=1695565596&amp;sr=8-9", "https://www.amazon.com/Colorstay-Mattifying-Blurring-Absorbing-Transfer-proof/dp/B09JBJSVC5/ref=sr_1_9?keywords=HD+Pro+Setting+Spray&amp;qid=1695565596&amp;sr=8-9")</f>
        <v/>
      </c>
      <c r="F1923" t="inlineStr">
        <is>
          <t>B09JBJSVC5</t>
        </is>
      </c>
      <c r="G1923">
        <f>_xlfn.IMAGE("https://camerareadycosmetics.com/cdn/shop/products/LAG_prosetting_GFS950_v3_grande_3b7ed575-1dbb-4dd1-a6fc-681e2ad93bb6_50x.jpg?v=1694446580")</f>
        <v/>
      </c>
      <c r="H1923">
        <f>_xlfn.IMAGE("https://m.media-amazon.com/images/I/619EGJOnguL._AC_UL320_.jpg")</f>
        <v/>
      </c>
      <c r="K1923" t="inlineStr">
        <is>
          <t>7.0</t>
        </is>
      </c>
      <c r="L1923" t="n">
        <v>10.99</v>
      </c>
      <c r="M1923" s="1" t="inlineStr">
        <is>
          <t>57.00%</t>
        </is>
      </c>
      <c r="N1923" t="n">
        <v>4.2</v>
      </c>
      <c r="O1923" t="n">
        <v>2400</v>
      </c>
      <c r="Q1923" t="inlineStr">
        <is>
          <t>InStock</t>
        </is>
      </c>
      <c r="R1923" t="inlineStr">
        <is>
          <t>undefined</t>
        </is>
      </c>
      <c r="S1923" t="inlineStr">
        <is>
          <t>10385268106</t>
        </is>
      </c>
    </row>
    <row r="1924" ht="75" customHeight="1">
      <c r="A1924" s="2">
        <f>HYPERLINK("https://camerareadycosmetics.com/products/l-a-girl-pro-setting-spray", "https://camerareadycosmetics.com/products/l-a-girl-pro-setting-spray")</f>
        <v/>
      </c>
      <c r="B1924" s="2">
        <f>HYPERLINK("https://camerareadycosmetics.com/products/l-a-girl-pro-setting-spray", "https://camerareadycosmetics.com/products/l-a-girl-pro-setting-spray")</f>
        <v/>
      </c>
      <c r="C1924" t="inlineStr">
        <is>
          <t>HD Pro Setting Spray</t>
        </is>
      </c>
      <c r="D1924" t="inlineStr">
        <is>
          <t>L’Oréal Paris Makeup Infallible Pro-Spray and Set Makeup Extender Setting Spray, 3.4 Ounce</t>
        </is>
      </c>
      <c r="E1924" s="2">
        <f>HYPERLINK("https://www.amazon.com/LOreal-Paris-Infallible-Pro-Spray-Extender/dp/B00OAINK14/ref=sr_1_5?keywords=HD+Pro+Setting+Spray&amp;qid=1695565596&amp;sr=8-5", "https://www.amazon.com/LOreal-Paris-Infallible-Pro-Spray-Extender/dp/B00OAINK14/ref=sr_1_5?keywords=HD+Pro+Setting+Spray&amp;qid=1695565596&amp;sr=8-5")</f>
        <v/>
      </c>
      <c r="F1924" t="inlineStr">
        <is>
          <t>B00OAINK14</t>
        </is>
      </c>
      <c r="G1924">
        <f>_xlfn.IMAGE("https://camerareadycosmetics.com/cdn/shop/products/LAG_prosetting_GFS950_v3_grande_3b7ed575-1dbb-4dd1-a6fc-681e2ad93bb6_50x.jpg?v=1694446580")</f>
        <v/>
      </c>
      <c r="H1924">
        <f>_xlfn.IMAGE("https://m.media-amazon.com/images/I/513P-U0ZohL._AC_UL320_.jpg")</f>
        <v/>
      </c>
      <c r="K1924" t="inlineStr">
        <is>
          <t>7.0</t>
        </is>
      </c>
      <c r="L1924" t="n">
        <v>10.72</v>
      </c>
      <c r="M1924" s="1" t="inlineStr">
        <is>
          <t>53.14%</t>
        </is>
      </c>
      <c r="N1924" t="n">
        <v>4.5</v>
      </c>
      <c r="O1924" t="n">
        <v>4837</v>
      </c>
      <c r="Q1924" t="inlineStr">
        <is>
          <t>InStock</t>
        </is>
      </c>
      <c r="R1924" t="inlineStr">
        <is>
          <t>undefined</t>
        </is>
      </c>
      <c r="S1924" t="inlineStr">
        <is>
          <t>10385268106</t>
        </is>
      </c>
    </row>
    <row r="1925" ht="75" customHeight="1">
      <c r="A1925" s="2">
        <f>HYPERLINK("https://camerareadycosmetics.com/products/l-a-girl-pro-setting-spray", "https://camerareadycosmetics.com/products/l-a-girl-pro-setting-spray")</f>
        <v/>
      </c>
      <c r="B1925" s="2">
        <f>HYPERLINK("https://camerareadycosmetics.com/products/l-a-girl-pro-setting-spray", "https://camerareadycosmetics.com/products/l-a-girl-pro-setting-spray")</f>
        <v/>
      </c>
      <c r="C1925" t="inlineStr">
        <is>
          <t>HD Pro Setting Spray</t>
        </is>
      </c>
      <c r="D1925" t="inlineStr">
        <is>
          <t>NYX PROFESSIONAL MAKEUP Makeup Setting Spray, Matte Finish, 2.03 Fl Oz (Pack of 1)</t>
        </is>
      </c>
      <c r="E1925" s="2">
        <f>HYPERLINK("https://www.amazon.com/NYX-Professional-Makeup-Setting-Lasting/dp/B00B4YVU4G/ref=sr_1_6?keywords=HD+Pro+Setting+Spray&amp;qid=1695565596&amp;sr=8-6", "https://www.amazon.com/NYX-Professional-Makeup-Setting-Lasting/dp/B00B4YVU4G/ref=sr_1_6?keywords=HD+Pro+Setting+Spray&amp;qid=1695565596&amp;sr=8-6")</f>
        <v/>
      </c>
      <c r="F1925" t="inlineStr">
        <is>
          <t>B00B4YVU4G</t>
        </is>
      </c>
      <c r="G1925">
        <f>_xlfn.IMAGE("https://camerareadycosmetics.com/cdn/shop/products/LAG_prosetting_GFS950_v3_grande_3b7ed575-1dbb-4dd1-a6fc-681e2ad93bb6_50x.jpg?v=1694446580")</f>
        <v/>
      </c>
      <c r="H1925">
        <f>_xlfn.IMAGE("https://m.media-amazon.com/images/I/71UFdYoCJ3L._AC_UL320_.jpg")</f>
        <v/>
      </c>
      <c r="K1925" t="inlineStr">
        <is>
          <t>7.0</t>
        </is>
      </c>
      <c r="L1925" t="n">
        <v>7.84</v>
      </c>
      <c r="M1925" s="1" t="inlineStr">
        <is>
          <t>12.00%</t>
        </is>
      </c>
      <c r="N1925" t="n">
        <v>4.5</v>
      </c>
      <c r="O1925" t="n">
        <v>101187</v>
      </c>
      <c r="Q1925" t="inlineStr">
        <is>
          <t>InStock</t>
        </is>
      </c>
      <c r="R1925" t="inlineStr">
        <is>
          <t>undefined</t>
        </is>
      </c>
      <c r="S1925" t="inlineStr">
        <is>
          <t>10385268106</t>
        </is>
      </c>
    </row>
    <row r="1926" ht="75" customHeight="1">
      <c r="A1926" s="2">
        <f>HYPERLINK("https://camerareadycosmetics.com/products/l-a-girl-shady-slim-brow-pencil", "https://camerareadycosmetics.com/products/l-a-girl-shady-slim-brow-pencil")</f>
        <v/>
      </c>
      <c r="B1926" s="2">
        <f>HYPERLINK("https://camerareadycosmetics.com/products/l-a-girl-shady-slim-brow-pencil", "https://camerareadycosmetics.com/products/l-a-girl-shady-slim-brow-pencil")</f>
        <v/>
      </c>
      <c r="C1926" t="inlineStr">
        <is>
          <t>Shady Slim Brow Pencil</t>
        </is>
      </c>
      <c r="D1926" t="inlineStr">
        <is>
          <t>L.A.Girl Shady Slim Brow Pencil 3 Pcs - Blackest Brown</t>
        </is>
      </c>
      <c r="E1926" s="2">
        <f>HYPERLINK("https://www.amazon.com/L-Girl-Shady-Slim-Pencil/dp/B01N3L1G0C/ref=sr_1_1?keywords=Shady+Slim+Brow+Pencil&amp;qid=1695565476&amp;sr=8-1", "https://www.amazon.com/L-Girl-Shady-Slim-Pencil/dp/B01N3L1G0C/ref=sr_1_1?keywords=Shady+Slim+Brow+Pencil&amp;qid=1695565476&amp;sr=8-1")</f>
        <v/>
      </c>
      <c r="F1926" t="inlineStr">
        <is>
          <t>B01N3L1G0C</t>
        </is>
      </c>
      <c r="G1926">
        <f>_xlfn.IMAGE("https://camerareadycosmetics.com/cdn/shop/products/LAG_Shady_Slim_GB355_grande_a38ef410-4054-41c7-ad78-6c1eaf801419_50x.jpg?v=1694446296")</f>
        <v/>
      </c>
      <c r="H1926">
        <f>_xlfn.IMAGE("https://m.media-amazon.com/images/I/51lmuZtsslL._AC_UL320_.jpg")</f>
        <v/>
      </c>
      <c r="K1926" t="inlineStr">
        <is>
          <t>8.0</t>
        </is>
      </c>
      <c r="L1926" t="n">
        <v>14.95</v>
      </c>
      <c r="M1926" s="1" t="inlineStr">
        <is>
          <t>86.87%</t>
        </is>
      </c>
      <c r="N1926" t="n">
        <v>4.8</v>
      </c>
      <c r="O1926" t="n">
        <v>285</v>
      </c>
      <c r="Q1926" t="inlineStr">
        <is>
          <t>InStock</t>
        </is>
      </c>
      <c r="R1926" t="inlineStr">
        <is>
          <t>undefined</t>
        </is>
      </c>
      <c r="S1926" t="inlineStr">
        <is>
          <t>10367625098</t>
        </is>
      </c>
    </row>
    <row r="1927" ht="75" customHeight="1">
      <c r="A1927" s="2">
        <f>HYPERLINK("https://camerareadycosmetics.com/products/l-a-girl-shady-slim-brow-pencil", "https://camerareadycosmetics.com/products/l-a-girl-shady-slim-brow-pencil")</f>
        <v/>
      </c>
      <c r="B1927" s="2">
        <f>HYPERLINK("https://camerareadycosmetics.com/products/l-a-girl-shady-slim-brow-pencil", "https://camerareadycosmetics.com/products/l-a-girl-shady-slim-brow-pencil")</f>
        <v/>
      </c>
      <c r="C1927" t="inlineStr">
        <is>
          <t>Shady Slim Brow Pencil</t>
        </is>
      </c>
      <c r="D1927" t="inlineStr">
        <is>
          <t>L.A.Girl Shady Slim Brow Pencil 3 Pcs - Medium Brown</t>
        </is>
      </c>
      <c r="E1927" s="2">
        <f>HYPERLINK("https://www.amazon.com/L-Girl-Shady-Slim-Pencil/dp/B01N3KY8SW/ref=sr_1_3?keywords=Shady+Slim+Brow+Pencil&amp;qid=1695565476&amp;sr=8-3", "https://www.amazon.com/L-Girl-Shady-Slim-Pencil/dp/B01N3KY8SW/ref=sr_1_3?keywords=Shady+Slim+Brow+Pencil&amp;qid=1695565476&amp;sr=8-3")</f>
        <v/>
      </c>
      <c r="F1927" t="inlineStr">
        <is>
          <t>B01N3KY8SW</t>
        </is>
      </c>
      <c r="G1927">
        <f>_xlfn.IMAGE("https://camerareadycosmetics.com/cdn/shop/products/LAG_Shady_Slim_GB355_grande_a38ef410-4054-41c7-ad78-6c1eaf801419_50x.jpg?v=1694446296")</f>
        <v/>
      </c>
      <c r="H1927">
        <f>_xlfn.IMAGE("https://m.media-amazon.com/images/I/51lhqjec5XL._AC_UL320_.jpg")</f>
        <v/>
      </c>
      <c r="K1927" t="inlineStr">
        <is>
          <t>8.0</t>
        </is>
      </c>
      <c r="L1927" t="n">
        <v>14.95</v>
      </c>
      <c r="M1927" s="1" t="inlineStr">
        <is>
          <t>86.87%</t>
        </is>
      </c>
      <c r="N1927" t="n">
        <v>4.2</v>
      </c>
      <c r="O1927" t="n">
        <v>61</v>
      </c>
      <c r="Q1927" t="inlineStr">
        <is>
          <t>InStock</t>
        </is>
      </c>
      <c r="R1927" t="inlineStr">
        <is>
          <t>undefined</t>
        </is>
      </c>
      <c r="S1927" t="inlineStr">
        <is>
          <t>10367625098</t>
        </is>
      </c>
    </row>
    <row r="1928" ht="75" customHeight="1">
      <c r="A1928" s="2">
        <f>HYPERLINK("https://camerareadycosmetics.com/products/l-a-girl-shady-slim-brow-pencil", "https://camerareadycosmetics.com/products/l-a-girl-shady-slim-brow-pencil")</f>
        <v/>
      </c>
      <c r="B1928" s="2">
        <f>HYPERLINK("https://camerareadycosmetics.com/products/l-a-girl-shady-slim-brow-pencil", "https://camerareadycosmetics.com/products/l-a-girl-shady-slim-brow-pencil")</f>
        <v/>
      </c>
      <c r="C1928" t="inlineStr">
        <is>
          <t>Shady Slim Brow Pencil</t>
        </is>
      </c>
      <c r="D1928" t="inlineStr">
        <is>
          <t>L.A.Girl Shady Slim Brow Pencil 3 Pcs - Espresso</t>
        </is>
      </c>
      <c r="E1928" s="2">
        <f>HYPERLINK("https://www.amazon.com/L-Girl-Shady-Slim-Pencil/dp/B01MTK92VM/ref=sr_1_6?keywords=Shady+Slim+Brow+Pencil&amp;qid=1695565476&amp;sr=8-6", "https://www.amazon.com/L-Girl-Shady-Slim-Pencil/dp/B01MTK92VM/ref=sr_1_6?keywords=Shady+Slim+Brow+Pencil&amp;qid=1695565476&amp;sr=8-6")</f>
        <v/>
      </c>
      <c r="F1928" t="inlineStr">
        <is>
          <t>B01MTK92VM</t>
        </is>
      </c>
      <c r="G1928">
        <f>_xlfn.IMAGE("https://camerareadycosmetics.com/cdn/shop/products/LAG_Shady_Slim_GB355_grande_a38ef410-4054-41c7-ad78-6c1eaf801419_50x.jpg?v=1694446296")</f>
        <v/>
      </c>
      <c r="H1928">
        <f>_xlfn.IMAGE("https://m.media-amazon.com/images/I/519Mp1GRvvL._AC_UL320_.jpg")</f>
        <v/>
      </c>
      <c r="K1928" t="inlineStr">
        <is>
          <t>8.0</t>
        </is>
      </c>
      <c r="L1928" t="n">
        <v>12.98</v>
      </c>
      <c r="M1928" s="1" t="inlineStr">
        <is>
          <t>62.25%</t>
        </is>
      </c>
      <c r="N1928" t="n">
        <v>4.3</v>
      </c>
      <c r="O1928" t="n">
        <v>33</v>
      </c>
      <c r="Q1928" t="inlineStr">
        <is>
          <t>InStock</t>
        </is>
      </c>
      <c r="R1928" t="inlineStr">
        <is>
          <t>undefined</t>
        </is>
      </c>
      <c r="S1928" t="inlineStr">
        <is>
          <t>10367625098</t>
        </is>
      </c>
    </row>
    <row r="1929" ht="75" customHeight="1">
      <c r="A1929" s="2">
        <f>HYPERLINK("https://camerareadycosmetics.com/products/l-a-girl-shady-slim-brow-pencil", "https://camerareadycosmetics.com/products/l-a-girl-shady-slim-brow-pencil")</f>
        <v/>
      </c>
      <c r="B1929" s="2">
        <f>HYPERLINK("https://camerareadycosmetics.com/products/l-a-girl-shady-slim-brow-pencil", "https://camerareadycosmetics.com/products/l-a-girl-shady-slim-brow-pencil")</f>
        <v/>
      </c>
      <c r="C1929" t="inlineStr">
        <is>
          <t>Shady Slim Brow Pencil</t>
        </is>
      </c>
      <c r="D1929" t="inlineStr">
        <is>
          <t>L.A. Girl Shady Slim Brow Pencil, Brunette, 0.003 oz. (Pack of 3)</t>
        </is>
      </c>
      <c r="E1929" s="2">
        <f>HYPERLINK("https://www.amazon.com/L-Girl-Pencil-Brunette/dp/B01M4K69E3/ref=sr_1_2?keywords=Shady+Slim+Brow+Pencil&amp;qid=1695565476&amp;sr=8-2", "https://www.amazon.com/L-Girl-Pencil-Brunette/dp/B01M4K69E3/ref=sr_1_2?keywords=Shady+Slim+Brow+Pencil&amp;qid=1695565476&amp;sr=8-2")</f>
        <v/>
      </c>
      <c r="F1929" t="inlineStr">
        <is>
          <t>B01M4K69E3</t>
        </is>
      </c>
      <c r="G1929">
        <f>_xlfn.IMAGE("https://camerareadycosmetics.com/cdn/shop/products/LAG_Shady_Slim_GB355_grande_a38ef410-4054-41c7-ad78-6c1eaf801419_50x.jpg?v=1694446296")</f>
        <v/>
      </c>
      <c r="H1929">
        <f>_xlfn.IMAGE("https://m.media-amazon.com/images/I/41qVPtW-FiL._AC_UL320_.jpg")</f>
        <v/>
      </c>
      <c r="K1929" t="inlineStr">
        <is>
          <t>8.0</t>
        </is>
      </c>
      <c r="L1929" t="n">
        <v>8.220000000000001</v>
      </c>
      <c r="M1929" s="1" t="inlineStr">
        <is>
          <t>2.75%</t>
        </is>
      </c>
      <c r="N1929" t="n">
        <v>4.6</v>
      </c>
      <c r="O1929" t="n">
        <v>387</v>
      </c>
      <c r="Q1929" t="inlineStr">
        <is>
          <t>InStock</t>
        </is>
      </c>
      <c r="R1929" t="inlineStr">
        <is>
          <t>undefined</t>
        </is>
      </c>
      <c r="S1929" t="inlineStr">
        <is>
          <t>10367625098</t>
        </is>
      </c>
    </row>
    <row r="1930" ht="75" customHeight="1">
      <c r="A1930" s="2">
        <f>HYPERLINK("https://camerareadycosmetics.com/products/l-a-girl-shady-slim-brow-pencil", "https://camerareadycosmetics.com/products/l-a-girl-shady-slim-brow-pencil")</f>
        <v/>
      </c>
      <c r="B1930" s="2">
        <f>HYPERLINK("https://camerareadycosmetics.com/products/l-a-girl-shady-slim-brow-pencil", "https://camerareadycosmetics.com/products/l-a-girl-shady-slim-brow-pencil")</f>
        <v/>
      </c>
      <c r="C1930" t="inlineStr">
        <is>
          <t>Shady Slim Brow Pencil</t>
        </is>
      </c>
      <c r="D1930" t="inlineStr">
        <is>
          <t>Shady Slim Brow Pencil</t>
        </is>
      </c>
      <c r="E1930" s="2">
        <f>HYPERLINK("https://www.amazon.com/Girl-Shady-Slim-Pencil-Blonde/dp/B01M23YKXW/ref=sr_1_7?keywords=Shady+Slim+Brow+Pencil&amp;qid=1695565476&amp;sr=8-7", "https://www.amazon.com/Girl-Shady-Slim-Pencil-Blonde/dp/B01M23YKXW/ref=sr_1_7?keywords=Shady+Slim+Brow+Pencil&amp;qid=1695565476&amp;sr=8-7")</f>
        <v/>
      </c>
      <c r="F1930" t="inlineStr">
        <is>
          <t>B01M23YKXW</t>
        </is>
      </c>
      <c r="G1930">
        <f>_xlfn.IMAGE("https://camerareadycosmetics.com/cdn/shop/products/LAG_Shady_Slim_GB355_grande_a38ef410-4054-41c7-ad78-6c1eaf801419_50x.jpg?v=1694446296")</f>
        <v/>
      </c>
      <c r="H1930">
        <f>_xlfn.IMAGE("https://m.media-amazon.com/images/I/31ASj6wSL-L._AC_UL320_.jpg")</f>
        <v/>
      </c>
      <c r="K1930" t="inlineStr">
        <is>
          <t>8.0</t>
        </is>
      </c>
      <c r="L1930" t="n">
        <v>7.29</v>
      </c>
      <c r="M1930" s="1" t="inlineStr">
        <is>
          <t>-8.88%</t>
        </is>
      </c>
      <c r="N1930" t="n">
        <v>4</v>
      </c>
      <c r="O1930" t="n">
        <v>13</v>
      </c>
      <c r="Q1930" t="inlineStr">
        <is>
          <t>InStock</t>
        </is>
      </c>
      <c r="R1930" t="inlineStr">
        <is>
          <t>undefined</t>
        </is>
      </c>
      <c r="S1930" t="inlineStr">
        <is>
          <t>10367625098</t>
        </is>
      </c>
    </row>
    <row r="1931" ht="75" customHeight="1">
      <c r="A1931" s="2">
        <f>HYPERLINK("https://camerareadycosmetics.com/products/l-a-girl-shady-slim-brow-pencil", "https://camerareadycosmetics.com/products/l-a-girl-shady-slim-brow-pencil")</f>
        <v/>
      </c>
      <c r="B1931" s="2">
        <f>HYPERLINK("https://camerareadycosmetics.com/products/l-a-girl-shady-slim-brow-pencil", "https://camerareadycosmetics.com/products/l-a-girl-shady-slim-brow-pencil")</f>
        <v/>
      </c>
      <c r="C1931" t="inlineStr">
        <is>
          <t>Shady Slim Brow Pencil</t>
        </is>
      </c>
      <c r="D1931" t="inlineStr">
        <is>
          <t>L.A. Girl Shady Slim Brow Pencil 357 Brunette</t>
        </is>
      </c>
      <c r="E1931" s="2">
        <f>HYPERLINK("https://www.amazon.com/L-Girl-Pencil-Brunette/dp/B01N52S0DP/ref=sr_1_4?keywords=Shady+Slim+Brow+Pencil&amp;qid=1695565476&amp;sr=8-4", "https://www.amazon.com/L-Girl-Pencil-Brunette/dp/B01N52S0DP/ref=sr_1_4?keywords=Shady+Slim+Brow+Pencil&amp;qid=1695565476&amp;sr=8-4")</f>
        <v/>
      </c>
      <c r="F1931" t="inlineStr">
        <is>
          <t>B01N52S0DP</t>
        </is>
      </c>
      <c r="G1931">
        <f>_xlfn.IMAGE("https://camerareadycosmetics.com/cdn/shop/products/LAG_Shady_Slim_GB355_grande_a38ef410-4054-41c7-ad78-6c1eaf801419_50x.jpg?v=1694446296")</f>
        <v/>
      </c>
      <c r="H1931">
        <f>_xlfn.IMAGE("https://m.media-amazon.com/images/I/31r9+76fbTL._AC_UL320_.jpg")</f>
        <v/>
      </c>
      <c r="K1931" t="inlineStr">
        <is>
          <t>8.0</t>
        </is>
      </c>
      <c r="L1931" t="n">
        <v>6.95</v>
      </c>
      <c r="M1931" s="1" t="inlineStr">
        <is>
          <t>-13.12%</t>
        </is>
      </c>
      <c r="N1931" t="n">
        <v>4.5</v>
      </c>
      <c r="O1931" t="n">
        <v>144</v>
      </c>
      <c r="Q1931" t="inlineStr">
        <is>
          <t>InStock</t>
        </is>
      </c>
      <c r="R1931" t="inlineStr">
        <is>
          <t>undefined</t>
        </is>
      </c>
      <c r="S1931" t="inlineStr">
        <is>
          <t>10367625098</t>
        </is>
      </c>
    </row>
    <row r="1932" ht="75" customHeight="1">
      <c r="A1932" s="2">
        <f>HYPERLINK("https://camerareadycosmetics.com/products/l-a-girl-shady-slim-brow-pencil", "https://camerareadycosmetics.com/products/l-a-girl-shady-slim-brow-pencil")</f>
        <v/>
      </c>
      <c r="B1932" s="2">
        <f>HYPERLINK("https://camerareadycosmetics.com/products/l-a-girl-shady-slim-brow-pencil", "https://camerareadycosmetics.com/products/l-a-girl-shady-slim-brow-pencil")</f>
        <v/>
      </c>
      <c r="C1932" t="inlineStr">
        <is>
          <t>Shady Slim Brow Pencil</t>
        </is>
      </c>
      <c r="D1932" t="inlineStr">
        <is>
          <t>L.A. Girl Shady Slim Brow Pencil 359 Blackest Brown</t>
        </is>
      </c>
      <c r="E1932" s="2">
        <f>HYPERLINK("https://www.amazon.com/L-Girl-Pencil-Blackest/dp/B01M2DDITV/ref=sr_1_9?keywords=Shady+Slim+Brow+Pencil&amp;qid=1695565476&amp;sr=8-9", "https://www.amazon.com/L-Girl-Pencil-Blackest/dp/B01M2DDITV/ref=sr_1_9?keywords=Shady+Slim+Brow+Pencil&amp;qid=1695565476&amp;sr=8-9")</f>
        <v/>
      </c>
      <c r="F1932" t="inlineStr">
        <is>
          <t>B01M2DDITV</t>
        </is>
      </c>
      <c r="G1932">
        <f>_xlfn.IMAGE("https://camerareadycosmetics.com/cdn/shop/products/LAG_Shady_Slim_GB355_grande_a38ef410-4054-41c7-ad78-6c1eaf801419_50x.jpg?v=1694446296")</f>
        <v/>
      </c>
      <c r="H1932">
        <f>_xlfn.IMAGE("https://m.media-amazon.com/images/I/31ioYoV85fL._AC_UL320_.jpg")</f>
        <v/>
      </c>
      <c r="K1932" t="inlineStr">
        <is>
          <t>8.0</t>
        </is>
      </c>
      <c r="L1932" t="n">
        <v>5.99</v>
      </c>
      <c r="M1932" s="1" t="inlineStr">
        <is>
          <t>-25.12%</t>
        </is>
      </c>
      <c r="N1932" t="n">
        <v>4.4</v>
      </c>
      <c r="O1932" t="n">
        <v>115</v>
      </c>
      <c r="Q1932" t="inlineStr">
        <is>
          <t>InStock</t>
        </is>
      </c>
      <c r="R1932" t="inlineStr">
        <is>
          <t>undefined</t>
        </is>
      </c>
      <c r="S1932" t="inlineStr">
        <is>
          <t>10367625098</t>
        </is>
      </c>
    </row>
    <row r="1933" ht="75" customHeight="1">
      <c r="A1933" s="2">
        <f>HYPERLINK("https://camerareadycosmetics.com/products/l-a-girl-shady-slim-brow-pencil", "https://camerareadycosmetics.com/products/l-a-girl-shady-slim-brow-pencil")</f>
        <v/>
      </c>
      <c r="B1933" s="2">
        <f>HYPERLINK("https://camerareadycosmetics.com/products/l-a-girl-shady-slim-brow-pencil", "https://camerareadycosmetics.com/products/l-a-girl-shady-slim-brow-pencil")</f>
        <v/>
      </c>
      <c r="C1933" t="inlineStr">
        <is>
          <t>Shady Slim Brow Pencil</t>
        </is>
      </c>
      <c r="D1933" t="inlineStr">
        <is>
          <t>L.A. Girl Shady Slim Brow Pencil 353 Soft Brown</t>
        </is>
      </c>
      <c r="E1933" s="2">
        <f>HYPERLINK("https://www.amazon.com/L-Girl-Shady-Pencil/dp/B01N52DBKM/ref=sr_1_5?keywords=Shady+Slim+Brow+Pencil&amp;qid=1695565476&amp;sr=8-5", "https://www.amazon.com/L-Girl-Shady-Pencil/dp/B01N52DBKM/ref=sr_1_5?keywords=Shady+Slim+Brow+Pencil&amp;qid=1695565476&amp;sr=8-5")</f>
        <v/>
      </c>
      <c r="F1933" t="inlineStr">
        <is>
          <t>B01N52DBKM</t>
        </is>
      </c>
      <c r="G1933">
        <f>_xlfn.IMAGE("https://camerareadycosmetics.com/cdn/shop/products/LAG_Shady_Slim_GB355_grande_a38ef410-4054-41c7-ad78-6c1eaf801419_50x.jpg?v=1694446296")</f>
        <v/>
      </c>
      <c r="H1933">
        <f>_xlfn.IMAGE("https://m.media-amazon.com/images/I/31P0KAM6sXL._AC_UL320_.jpg")</f>
        <v/>
      </c>
      <c r="K1933" t="inlineStr">
        <is>
          <t>8.0</t>
        </is>
      </c>
      <c r="L1933" t="n">
        <v>5.77</v>
      </c>
      <c r="M1933" s="1" t="inlineStr">
        <is>
          <t>-27.88%</t>
        </is>
      </c>
      <c r="N1933" t="n">
        <v>4.4</v>
      </c>
      <c r="O1933" t="n">
        <v>111</v>
      </c>
      <c r="Q1933" t="inlineStr">
        <is>
          <t>InStock</t>
        </is>
      </c>
      <c r="R1933" t="inlineStr">
        <is>
          <t>undefined</t>
        </is>
      </c>
      <c r="S1933" t="inlineStr">
        <is>
          <t>10367625098</t>
        </is>
      </c>
    </row>
    <row r="1934" ht="75" customHeight="1">
      <c r="A1934" s="2">
        <f>HYPERLINK("https://camerareadycosmetics.com/products/la-girl-ultimate-intense-stay-auto-eyeliner", "https://camerareadycosmetics.com/products/la-girl-ultimate-intense-stay-auto-eyeliner")</f>
        <v/>
      </c>
      <c r="B1934" s="2">
        <f>HYPERLINK("https://camerareadycosmetics.com/products/la-girl-ultimate-intense-stay-auto-eyeliner", "https://camerareadycosmetics.com/products/la-girl-ultimate-intense-stay-auto-eyeliner")</f>
        <v/>
      </c>
      <c r="C1934" t="inlineStr">
        <is>
          <t>Ultimate Intense Stay Auto Eyeliner</t>
        </is>
      </c>
      <c r="D1934" t="inlineStr">
        <is>
          <t>L.A. Girl Ultimate Intense Stay Auto Eyeliner, Totally Teal, 0.01 oz.</t>
        </is>
      </c>
      <c r="E1934" s="2">
        <f>HYPERLINK("https://www.amazon.com/Girl-Ultimate-Intense-Eyeliner-Totally/dp/B0759YVSQF/ref=sr_1_4?keywords=Ultimate+Intense+Stay+Auto+Eyeliner&amp;qid=1695565555&amp;sr=8-4", "https://www.amazon.com/Girl-Ultimate-Intense-Eyeliner-Totally/dp/B0759YVSQF/ref=sr_1_4?keywords=Ultimate+Intense+Stay+Auto+Eyeliner&amp;qid=1695565555&amp;sr=8-4")</f>
        <v/>
      </c>
      <c r="F1934" t="inlineStr">
        <is>
          <t>B0759YVSQF</t>
        </is>
      </c>
      <c r="G1934">
        <f>_xlfn.IMAGE("https://camerareadycosmetics.com/cdn/shop/products/GP328_prod_img_50x.jpg?v=1568652330")</f>
        <v/>
      </c>
      <c r="H1934">
        <f>_xlfn.IMAGE("https://m.media-amazon.com/images/I/51Zv8rb1QdL._AC_UL320_.jpg")</f>
        <v/>
      </c>
      <c r="K1934" t="inlineStr">
        <is>
          <t>7.5</t>
        </is>
      </c>
      <c r="L1934" t="n">
        <v>6.41</v>
      </c>
      <c r="M1934" s="1" t="inlineStr">
        <is>
          <t>-14.53%</t>
        </is>
      </c>
      <c r="N1934" t="n">
        <v>4.5</v>
      </c>
      <c r="O1934" t="n">
        <v>90</v>
      </c>
      <c r="Q1934" t="inlineStr">
        <is>
          <t>InStock</t>
        </is>
      </c>
      <c r="R1934" t="inlineStr">
        <is>
          <t>undefined</t>
        </is>
      </c>
      <c r="S1934" t="inlineStr">
        <is>
          <t>572317990922</t>
        </is>
      </c>
    </row>
    <row r="1935" ht="75" customHeight="1">
      <c r="A1935" s="2">
        <f>HYPERLINK("https://camerareadycosmetics.com/products/la-girl-ultimate-intense-stay-auto-eyeliner", "https://camerareadycosmetics.com/products/la-girl-ultimate-intense-stay-auto-eyeliner")</f>
        <v/>
      </c>
      <c r="B1935" s="2">
        <f>HYPERLINK("https://camerareadycosmetics.com/products/la-girl-ultimate-intense-stay-auto-eyeliner", "https://camerareadycosmetics.com/products/la-girl-ultimate-intense-stay-auto-eyeliner")</f>
        <v/>
      </c>
      <c r="C1935" t="inlineStr">
        <is>
          <t>Ultimate Intense Stay Auto Eyeliner</t>
        </is>
      </c>
      <c r="D1935" t="inlineStr">
        <is>
          <t>L.A. Girl Ultimate Intense Stay Auto Eyeliner- Never Ending Blue,Gel</t>
        </is>
      </c>
      <c r="E1935" s="2">
        <f>HYPERLINK("https://www.amazon.com/Girl-Ultimate-eyeliner-NEVER-ENDING/dp/B0759VZJW2/ref=sr_1_3?keywords=Ultimate+Intense+Stay+Auto+Eyeliner&amp;qid=1695565555&amp;sr=8-3", "https://www.amazon.com/Girl-Ultimate-eyeliner-NEVER-ENDING/dp/B0759VZJW2/ref=sr_1_3?keywords=Ultimate+Intense+Stay+Auto+Eyeliner&amp;qid=1695565555&amp;sr=8-3")</f>
        <v/>
      </c>
      <c r="F1935" t="inlineStr">
        <is>
          <t>B0759VZJW2</t>
        </is>
      </c>
      <c r="G1935">
        <f>_xlfn.IMAGE("https://camerareadycosmetics.com/cdn/shop/products/GP328_prod_img_50x.jpg?v=1568652330")</f>
        <v/>
      </c>
      <c r="H1935">
        <f>_xlfn.IMAGE("https://m.media-amazon.com/images/I/61PsTsdYF5L._AC_UL320_.jpg")</f>
        <v/>
      </c>
      <c r="K1935" t="inlineStr">
        <is>
          <t>7.5</t>
        </is>
      </c>
      <c r="L1935" t="n">
        <v>5.49</v>
      </c>
      <c r="M1935" s="1" t="inlineStr">
        <is>
          <t>-26.80%</t>
        </is>
      </c>
      <c r="N1935" t="n">
        <v>4.3</v>
      </c>
      <c r="O1935" t="n">
        <v>372</v>
      </c>
      <c r="Q1935" t="inlineStr">
        <is>
          <t>InStock</t>
        </is>
      </c>
      <c r="R1935" t="inlineStr">
        <is>
          <t>undefined</t>
        </is>
      </c>
      <c r="S1935" t="inlineStr">
        <is>
          <t>572317990922</t>
        </is>
      </c>
    </row>
    <row r="1936" ht="75" customHeight="1">
      <c r="A1936" s="2">
        <f>HYPERLINK("https://camerareadycosmetics.com/products/la-girl-ultimate-intense-stay-auto-eyeliner", "https://camerareadycosmetics.com/products/la-girl-ultimate-intense-stay-auto-eyeliner")</f>
        <v/>
      </c>
      <c r="B1936" s="2">
        <f>HYPERLINK("https://camerareadycosmetics.com/products/la-girl-ultimate-intense-stay-auto-eyeliner", "https://camerareadycosmetics.com/products/la-girl-ultimate-intense-stay-auto-eyeliner")</f>
        <v/>
      </c>
      <c r="C1936" t="inlineStr">
        <is>
          <t>Ultimate Intense Stay Auto Eyeliner</t>
        </is>
      </c>
      <c r="D1936" t="inlineStr">
        <is>
          <t>L.A. Girl Ultimate Intense Stay Auto Eyeliner, Super Bright, 0.01 oz.</t>
        </is>
      </c>
      <c r="E1936" s="2">
        <f>HYPERLINK("https://www.amazon.com/Girl-Ultimate-Intense-Eyeliner-Bright/dp/B0759WR4Y9/ref=sr_1_2?keywords=Ultimate+Intense+Stay+Auto+Eyeliner&amp;qid=1695565555&amp;sr=8-2", "https://www.amazon.com/Girl-Ultimate-Intense-Eyeliner-Bright/dp/B0759WR4Y9/ref=sr_1_2?keywords=Ultimate+Intense+Stay+Auto+Eyeliner&amp;qid=1695565555&amp;sr=8-2")</f>
        <v/>
      </c>
      <c r="F1936" t="inlineStr">
        <is>
          <t>B0759WR4Y9</t>
        </is>
      </c>
      <c r="G1936">
        <f>_xlfn.IMAGE("https://camerareadycosmetics.com/cdn/shop/products/GP328_prod_img_50x.jpg?v=1568652330")</f>
        <v/>
      </c>
      <c r="H1936">
        <f>_xlfn.IMAGE("https://m.media-amazon.com/images/I/41Ssg-ZgyYL._AC_UL320_.jpg")</f>
        <v/>
      </c>
      <c r="K1936" t="inlineStr">
        <is>
          <t>7.5</t>
        </is>
      </c>
      <c r="L1936" t="n">
        <v>5.48</v>
      </c>
      <c r="M1936" s="1" t="inlineStr">
        <is>
          <t>-26.93%</t>
        </is>
      </c>
      <c r="N1936" t="n">
        <v>4.7</v>
      </c>
      <c r="O1936" t="n">
        <v>44</v>
      </c>
      <c r="Q1936" t="inlineStr">
        <is>
          <t>InStock</t>
        </is>
      </c>
      <c r="R1936" t="inlineStr">
        <is>
          <t>undefined</t>
        </is>
      </c>
      <c r="S1936" t="inlineStr">
        <is>
          <t>572317990922</t>
        </is>
      </c>
    </row>
    <row r="1937" ht="75" customHeight="1">
      <c r="A1937" s="2">
        <f>HYPERLINK("https://camerareadycosmetics.com/products/la-girl-ultimate-intense-stay-auto-eyeliner", "https://camerareadycosmetics.com/products/la-girl-ultimate-intense-stay-auto-eyeliner")</f>
        <v/>
      </c>
      <c r="B1937" s="2">
        <f>HYPERLINK("https://camerareadycosmetics.com/products/la-girl-ultimate-intense-stay-auto-eyeliner", "https://camerareadycosmetics.com/products/la-girl-ultimate-intense-stay-auto-eyeliner")</f>
        <v/>
      </c>
      <c r="C1937" t="inlineStr">
        <is>
          <t>Ultimate Intense Stay Auto Eyeliner</t>
        </is>
      </c>
      <c r="D1937" t="inlineStr">
        <is>
          <t>L.A. Girl Ultimate Intense Stay Auto Eyeliner- Continuous Charcoal</t>
        </is>
      </c>
      <c r="E1937" s="2">
        <f>HYPERLINK("https://www.amazon.com/GIRL-Ultimate-Auto-Eyeliner-Continuous/dp/B0759T274X/ref=sr_1_1?keywords=Ultimate+Intense+Stay+Auto+Eyeliner&amp;qid=1695565555&amp;sr=8-1", "https://www.amazon.com/GIRL-Ultimate-Auto-Eyeliner-Continuous/dp/B0759T274X/ref=sr_1_1?keywords=Ultimate+Intense+Stay+Auto+Eyeliner&amp;qid=1695565555&amp;sr=8-1")</f>
        <v/>
      </c>
      <c r="F1937" t="inlineStr">
        <is>
          <t>B0759T274X</t>
        </is>
      </c>
      <c r="G1937">
        <f>_xlfn.IMAGE("https://camerareadycosmetics.com/cdn/shop/products/GP328_prod_img_50x.jpg?v=1568652330")</f>
        <v/>
      </c>
      <c r="H1937">
        <f>_xlfn.IMAGE("https://m.media-amazon.com/images/I/61NTdeuVaSL._AC_UL320_.jpg")</f>
        <v/>
      </c>
      <c r="K1937" t="inlineStr">
        <is>
          <t>7.5</t>
        </is>
      </c>
      <c r="L1937" t="n">
        <v>3.84</v>
      </c>
      <c r="M1937" s="1" t="inlineStr">
        <is>
          <t>-48.80%</t>
        </is>
      </c>
      <c r="N1937" t="n">
        <v>4.5</v>
      </c>
      <c r="O1937" t="n">
        <v>525</v>
      </c>
      <c r="Q1937" t="inlineStr">
        <is>
          <t>InStock</t>
        </is>
      </c>
      <c r="R1937" t="inlineStr">
        <is>
          <t>undefined</t>
        </is>
      </c>
      <c r="S1937" t="inlineStr">
        <is>
          <t>572317990922</t>
        </is>
      </c>
    </row>
    <row r="1938" ht="75" customHeight="1">
      <c r="A1938" s="2">
        <f>HYPERLINK("https://camerareadycosmetics.com/products/la-girl-ultimate-intense-stay-auto-eyeliner", "https://camerareadycosmetics.com/products/la-girl-ultimate-intense-stay-auto-eyeliner")</f>
        <v/>
      </c>
      <c r="B1938" s="2">
        <f>HYPERLINK("https://camerareadycosmetics.com/products/la-girl-ultimate-intense-stay-auto-eyeliner", "https://camerareadycosmetics.com/products/la-girl-ultimate-intense-stay-auto-eyeliner")</f>
        <v/>
      </c>
      <c r="C1938" t="inlineStr">
        <is>
          <t>Ultimate Intense Stay Auto Eyeliner</t>
        </is>
      </c>
      <c r="D1938" t="inlineStr">
        <is>
          <t>L.A. Girl Ultimate Intense Stay Auto Eyeliner- Continuous Charcoal</t>
        </is>
      </c>
      <c r="E1938" s="2">
        <f>HYPERLINK("https://www.amazon.com/GIRL-Ultimate-Auto-Eyeliner-Continuous/dp/B0759T274X/ref=sr_1_1?keywords=Ultimate+Intense+Stay+Auto+Eyeliner&amp;qid=1695565555&amp;sr=8-1", "https://www.amazon.com/GIRL-Ultimate-Auto-Eyeliner-Continuous/dp/B0759T274X/ref=sr_1_1?keywords=Ultimate+Intense+Stay+Auto+Eyeliner&amp;qid=1695565555&amp;sr=8-1")</f>
        <v/>
      </c>
      <c r="F1938" t="inlineStr">
        <is>
          <t>B0759T274X</t>
        </is>
      </c>
      <c r="G1938">
        <f>_xlfn.IMAGE("https://camerareadycosmetics.com/cdn/shop/products/GP328_prod_img_50x.jpg?v=1568652330")</f>
        <v/>
      </c>
      <c r="H1938">
        <f>_xlfn.IMAGE("https://m.media-amazon.com/images/I/61NTdeuVaSL._AC_UL320_.jpg")</f>
        <v/>
      </c>
      <c r="K1938" t="inlineStr">
        <is>
          <t>7.5</t>
        </is>
      </c>
      <c r="L1938" t="n">
        <v>3.84</v>
      </c>
      <c r="M1938" s="1" t="inlineStr">
        <is>
          <t>-48.80%</t>
        </is>
      </c>
      <c r="N1938" t="n">
        <v>4.5</v>
      </c>
      <c r="O1938" t="n">
        <v>525</v>
      </c>
      <c r="Q1938" t="inlineStr">
        <is>
          <t>InStock</t>
        </is>
      </c>
      <c r="R1938" t="inlineStr">
        <is>
          <t>undefined</t>
        </is>
      </c>
      <c r="S1938" t="inlineStr">
        <is>
          <t>572317990922</t>
        </is>
      </c>
    </row>
    <row r="1939" ht="75" customHeight="1">
      <c r="A1939" s="2">
        <f>HYPERLINK("https://camerareadycosmetics.com/products/laura-mercier-caviar-stick-eye-colour-eyeshadow", "https://camerareadycosmetics.com/products/laura-mercier-caviar-stick-eye-colour-eyeshadow")</f>
        <v/>
      </c>
      <c r="B1939" s="2">
        <f>HYPERLINK("https://camerareadycosmetics.com/products/laura-mercier-caviar-stick-eye-colour-eyeshadow", "https://camerareadycosmetics.com/products/laura-mercier-caviar-stick-eye-colour-eyeshadow")</f>
        <v/>
      </c>
      <c r="C1939" t="inlineStr">
        <is>
          <t>Caviar Stick Eye Colour Eyeshadow</t>
        </is>
      </c>
      <c r="D1939" t="inlineStr">
        <is>
          <t>Laura Mercier Caviar Stick Eye Colour Eyeshadow - Magenta (Fuchsia Shimmer)</t>
        </is>
      </c>
      <c r="E1939" s="2">
        <f>HYPERLINK("https://www.amazon.com/Laura-Mercier-Caviar-Colour-Eyeshadow/dp/B086MHWRGH/ref=sr_1_5?keywords=Caviar+Stick+Eye+Colour+Eyeshadow&amp;qid=1695565594&amp;sr=8-5", "https://www.amazon.com/Laura-Mercier-Caviar-Colour-Eyeshadow/dp/B086MHWRGH/ref=sr_1_5?keywords=Caviar+Stick+Eye+Colour+Eyeshadow&amp;qid=1695565594&amp;sr=8-5")</f>
        <v/>
      </c>
      <c r="F1939" t="inlineStr">
        <is>
          <t>B086MHWRGH</t>
        </is>
      </c>
      <c r="G1939">
        <f>_xlfn.IMAGE("https://camerareadycosmetics.com/cdn/shop/products/laura_mercier_Caviar_Stick_Eye_Colour_Tuxedo_12611004-1_50x.jpg?v=1579346492")</f>
        <v/>
      </c>
      <c r="H1939">
        <f>_xlfn.IMAGE("https://m.media-amazon.com/images/I/61qOA-FmCgL._AC_UL320_.jpg")</f>
        <v/>
      </c>
      <c r="K1939" t="inlineStr">
        <is>
          <t>32.0</t>
        </is>
      </c>
      <c r="L1939" t="n">
        <v>36.99</v>
      </c>
      <c r="M1939" s="1" t="inlineStr">
        <is>
          <t>15.59%</t>
        </is>
      </c>
      <c r="N1939" t="n">
        <v>4.5</v>
      </c>
      <c r="O1939" t="n">
        <v>2</v>
      </c>
      <c r="Q1939" t="inlineStr">
        <is>
          <t>InStock</t>
        </is>
      </c>
      <c r="R1939" t="inlineStr">
        <is>
          <t>undefined</t>
        </is>
      </c>
      <c r="S1939" t="inlineStr">
        <is>
          <t>4369027235951</t>
        </is>
      </c>
    </row>
    <row r="1940" ht="75" customHeight="1">
      <c r="A1940" s="2">
        <f>HYPERLINK("https://camerareadycosmetics.com/products/laura-mercier-caviar-stick-eye-colour-eyeshadow", "https://camerareadycosmetics.com/products/laura-mercier-caviar-stick-eye-colour-eyeshadow")</f>
        <v/>
      </c>
      <c r="B1940" s="2">
        <f>HYPERLINK("https://camerareadycosmetics.com/products/laura-mercier-caviar-stick-eye-colour-eyeshadow", "https://camerareadycosmetics.com/products/laura-mercier-caviar-stick-eye-colour-eyeshadow")</f>
        <v/>
      </c>
      <c r="C1940" t="inlineStr">
        <is>
          <t>Caviar Stick Eye Colour Eyeshadow</t>
        </is>
      </c>
      <c r="D1940" t="inlineStr">
        <is>
          <t>Laura Mercier Caviar Stick Eye Colour, Cocoa</t>
        </is>
      </c>
      <c r="E1940" s="2">
        <f>HYPERLINK("https://www.amazon.com/Laura-Mercier-Caviar-Colour-Shadow/dp/B005EQOHMC/ref=sr_1_1?keywords=Caviar+Stick+Eye+Colour+Eyeshadow&amp;qid=1695565594&amp;sr=8-1", "https://www.amazon.com/Laura-Mercier-Caviar-Colour-Shadow/dp/B005EQOHMC/ref=sr_1_1?keywords=Caviar+Stick+Eye+Colour+Eyeshadow&amp;qid=1695565594&amp;sr=8-1")</f>
        <v/>
      </c>
      <c r="F1940" t="inlineStr">
        <is>
          <t>B005EQOHMC</t>
        </is>
      </c>
      <c r="G1940">
        <f>_xlfn.IMAGE("https://camerareadycosmetics.com/cdn/shop/products/laura_mercier_Caviar_Stick_Eye_Colour_Tuxedo_12611004-1_50x.jpg?v=1579346492")</f>
        <v/>
      </c>
      <c r="H1940">
        <f>_xlfn.IMAGE("https://m.media-amazon.com/images/I/516WC4kYR1L._AC_UL320_.jpg")</f>
        <v/>
      </c>
      <c r="K1940" t="inlineStr">
        <is>
          <t>32.0</t>
        </is>
      </c>
      <c r="L1940" t="n">
        <v>31.5</v>
      </c>
      <c r="M1940" s="1" t="inlineStr">
        <is>
          <t>-1.56%</t>
        </is>
      </c>
      <c r="N1940" t="n">
        <v>4.4</v>
      </c>
      <c r="O1940" t="n">
        <v>180</v>
      </c>
      <c r="Q1940" t="inlineStr">
        <is>
          <t>InStock</t>
        </is>
      </c>
      <c r="R1940" t="inlineStr">
        <is>
          <t>undefined</t>
        </is>
      </c>
      <c r="S1940" t="inlineStr">
        <is>
          <t>4369027235951</t>
        </is>
      </c>
    </row>
    <row r="1941" ht="75" customHeight="1">
      <c r="A1941" s="2">
        <f>HYPERLINK("https://camerareadycosmetics.com/products/laura-mercier-caviar-stick-eye-colour-eyeshadow", "https://camerareadycosmetics.com/products/laura-mercier-caviar-stick-eye-colour-eyeshadow")</f>
        <v/>
      </c>
      <c r="B1941" s="2">
        <f>HYPERLINK("https://camerareadycosmetics.com/products/laura-mercier-caviar-stick-eye-colour-eyeshadow", "https://camerareadycosmetics.com/products/laura-mercier-caviar-stick-eye-colour-eyeshadow")</f>
        <v/>
      </c>
      <c r="C1941" t="inlineStr">
        <is>
          <t>Caviar Stick Eye Colour Eyeshadow</t>
        </is>
      </c>
      <c r="D1941" t="inlineStr">
        <is>
          <t>laura mercier Caviar Stick Eye Colour - Gilded Gold, 0.05 Ounce</t>
        </is>
      </c>
      <c r="E1941" s="2">
        <f>HYPERLINK("https://www.amazon.com/Mercier-Caviar-Colour-Shadow-Gilded/dp/B00L6G8MPM/ref=sr_1_9?keywords=Caviar+Stick+Eye+Colour+Eyeshadow&amp;qid=1695565594&amp;sr=8-9", "https://www.amazon.com/Mercier-Caviar-Colour-Shadow-Gilded/dp/B00L6G8MPM/ref=sr_1_9?keywords=Caviar+Stick+Eye+Colour+Eyeshadow&amp;qid=1695565594&amp;sr=8-9")</f>
        <v/>
      </c>
      <c r="F1941" t="inlineStr">
        <is>
          <t>B00L6G8MPM</t>
        </is>
      </c>
      <c r="G1941">
        <f>_xlfn.IMAGE("https://camerareadycosmetics.com/cdn/shop/products/laura_mercier_Caviar_Stick_Eye_Colour_Tuxedo_12611004-1_50x.jpg?v=1579346492")</f>
        <v/>
      </c>
      <c r="H1941">
        <f>_xlfn.IMAGE("https://m.media-amazon.com/images/I/61eKs2x1byL._AC_UL320_.jpg")</f>
        <v/>
      </c>
      <c r="K1941" t="inlineStr">
        <is>
          <t>32.0</t>
        </is>
      </c>
      <c r="L1941" t="n">
        <v>19.95</v>
      </c>
      <c r="M1941" s="1" t="inlineStr">
        <is>
          <t>-37.66%</t>
        </is>
      </c>
      <c r="N1941" t="n">
        <v>3.6</v>
      </c>
      <c r="O1941" t="n">
        <v>5</v>
      </c>
      <c r="Q1941" t="inlineStr">
        <is>
          <t>InStock</t>
        </is>
      </c>
      <c r="R1941" t="inlineStr">
        <is>
          <t>undefined</t>
        </is>
      </c>
      <c r="S1941" t="inlineStr">
        <is>
          <t>4369027235951</t>
        </is>
      </c>
    </row>
    <row r="1942" ht="75" customHeight="1">
      <c r="A1942" s="2">
        <f>HYPERLINK("https://camerareadycosmetics.com/products/laura-mercier-caviar-stick-eye-colour-eyeshadow", "https://camerareadycosmetics.com/products/laura-mercier-caviar-stick-eye-colour-eyeshadow")</f>
        <v/>
      </c>
      <c r="B1942" s="2">
        <f>HYPERLINK("https://camerareadycosmetics.com/products/laura-mercier-caviar-stick-eye-colour-eyeshadow", "https://camerareadycosmetics.com/products/laura-mercier-caviar-stick-eye-colour-eyeshadow")</f>
        <v/>
      </c>
      <c r="C1942" t="inlineStr">
        <is>
          <t>Caviar Stick Eye Colour Eyeshadow</t>
        </is>
      </c>
      <c r="D1942" t="inlineStr">
        <is>
          <t>Laura Mercier Caviar Stick Eye Colour Liquid Eyeshadow Stick Azure Indigo Blue, 0.05 Ounce</t>
        </is>
      </c>
      <c r="E1942" s="2">
        <f>HYPERLINK("https://www.amazon.com/Laura-Mercier-Caviar-Colour-Eyeshadow/dp/B07SC1F1T5/ref=sr_1_7?keywords=Caviar+Stick+Eye+Colour+Eyeshadow&amp;qid=1695565594&amp;sr=8-7", "https://www.amazon.com/Laura-Mercier-Caviar-Colour-Eyeshadow/dp/B07SC1F1T5/ref=sr_1_7?keywords=Caviar+Stick+Eye+Colour+Eyeshadow&amp;qid=1695565594&amp;sr=8-7")</f>
        <v/>
      </c>
      <c r="F1942" t="inlineStr">
        <is>
          <t>B07SC1F1T5</t>
        </is>
      </c>
      <c r="G1942">
        <f>_xlfn.IMAGE("https://camerareadycosmetics.com/cdn/shop/products/laura_mercier_Caviar_Stick_Eye_Colour_Tuxedo_12611004-1_50x.jpg?v=1579346492")</f>
        <v/>
      </c>
      <c r="H1942">
        <f>_xlfn.IMAGE("https://m.media-amazon.com/images/I/41S+Q51YAzL._AC_UL320_.jpg")</f>
        <v/>
      </c>
      <c r="K1942" t="inlineStr">
        <is>
          <t>32.0</t>
        </is>
      </c>
      <c r="L1942" t="n">
        <v>15.11</v>
      </c>
      <c r="M1942" s="1" t="inlineStr">
        <is>
          <t>-52.78%</t>
        </is>
      </c>
      <c r="N1942" t="n">
        <v>4.4</v>
      </c>
      <c r="O1942" t="n">
        <v>3</v>
      </c>
      <c r="Q1942" t="inlineStr">
        <is>
          <t>InStock</t>
        </is>
      </c>
      <c r="R1942" t="inlineStr">
        <is>
          <t>undefined</t>
        </is>
      </c>
      <c r="S1942" t="inlineStr">
        <is>
          <t>4369027235951</t>
        </is>
      </c>
    </row>
    <row r="1943" ht="75" customHeight="1">
      <c r="A1943" s="2">
        <f>HYPERLINK("https://camerareadycosmetics.com/products/laura-mercier-caviar-stick-eye-colour-eyeshadow", "https://camerareadycosmetics.com/products/laura-mercier-caviar-stick-eye-colour-eyeshadow")</f>
        <v/>
      </c>
      <c r="B1943" s="2">
        <f>HYPERLINK("https://camerareadycosmetics.com/products/laura-mercier-caviar-stick-eye-colour-eyeshadow", "https://camerareadycosmetics.com/products/laura-mercier-caviar-stick-eye-colour-eyeshadow")</f>
        <v/>
      </c>
      <c r="C1943" t="inlineStr">
        <is>
          <t>Caviar Stick Eye Colour Eyeshadow</t>
        </is>
      </c>
      <c r="D1943" t="inlineStr">
        <is>
          <t>Laura Mercier Caviar Stick Eye Colour Mystic Gold</t>
        </is>
      </c>
      <c r="E1943" s="2">
        <f>HYPERLINK("https://www.amazon.com/Laura-Mercier-Caviar-Colour-Mystic/dp/B08LX2XWGP/ref=sr_1_4?keywords=Caviar+Stick+Eye+Colour+Eyeshadow&amp;qid=1695565594&amp;sr=8-4", "https://www.amazon.com/Laura-Mercier-Caviar-Colour-Mystic/dp/B08LX2XWGP/ref=sr_1_4?keywords=Caviar+Stick+Eye+Colour+Eyeshadow&amp;qid=1695565594&amp;sr=8-4")</f>
        <v/>
      </c>
      <c r="F1943" t="inlineStr">
        <is>
          <t>B08LX2XWGP</t>
        </is>
      </c>
      <c r="G1943">
        <f>_xlfn.IMAGE("https://camerareadycosmetics.com/cdn/shop/products/laura_mercier_Caviar_Stick_Eye_Colour_Tuxedo_12611004-1_50x.jpg?v=1579346492")</f>
        <v/>
      </c>
      <c r="H1943">
        <f>_xlfn.IMAGE("https://m.media-amazon.com/images/I/411VxKPbfTL._AC_UL320_.jpg")</f>
        <v/>
      </c>
      <c r="K1943" t="inlineStr">
        <is>
          <t>32.0</t>
        </is>
      </c>
      <c r="L1943" t="n">
        <v>14.55</v>
      </c>
      <c r="M1943" s="1" t="inlineStr">
        <is>
          <t>-54.53%</t>
        </is>
      </c>
      <c r="N1943" t="n">
        <v>4.5</v>
      </c>
      <c r="O1943" t="n">
        <v>29</v>
      </c>
      <c r="Q1943" t="inlineStr">
        <is>
          <t>InStock</t>
        </is>
      </c>
      <c r="R1943" t="inlineStr">
        <is>
          <t>undefined</t>
        </is>
      </c>
      <c r="S1943" t="inlineStr">
        <is>
          <t>4369027235951</t>
        </is>
      </c>
    </row>
    <row r="1944" ht="75" customHeight="1">
      <c r="A1944" s="2">
        <f>HYPERLINK("https://camerareadycosmetics.com/products/laura-mercier-caviar-stick-eye-colour-eyeshadow", "https://camerareadycosmetics.com/products/laura-mercier-caviar-stick-eye-colour-eyeshadow")</f>
        <v/>
      </c>
      <c r="B1944" s="2">
        <f>HYPERLINK("https://camerareadycosmetics.com/products/laura-mercier-caviar-stick-eye-colour-eyeshadow", "https://camerareadycosmetics.com/products/laura-mercier-caviar-stick-eye-colour-eyeshadow")</f>
        <v/>
      </c>
      <c r="C1944" t="inlineStr">
        <is>
          <t>Caviar Stick Eye Colour Eyeshadow</t>
        </is>
      </c>
      <c r="D1944" t="inlineStr">
        <is>
          <t>Laura Mercier Caviar Stick Eye Colour Liquid Eyeshadow Stick Azure Indigo Blue, 0.05 Ounce</t>
        </is>
      </c>
      <c r="E1944" s="2">
        <f>HYPERLINK("https://www.amazon.com/Laura-Mercier-Caviar-Colour-Eyeshadow/dp/B07SC1F1T5/ref=sr_1_7?keywords=Caviar+Stick+Eye+Colour+Eyeshadow&amp;qid=1695565594&amp;sr=8-7", "https://www.amazon.com/Laura-Mercier-Caviar-Colour-Eyeshadow/dp/B07SC1F1T5/ref=sr_1_7?keywords=Caviar+Stick+Eye+Colour+Eyeshadow&amp;qid=1695565594&amp;sr=8-7")</f>
        <v/>
      </c>
      <c r="F1944" t="inlineStr">
        <is>
          <t>B07SC1F1T5</t>
        </is>
      </c>
      <c r="G1944">
        <f>_xlfn.IMAGE("https://camerareadycosmetics.com/cdn/shop/products/laura_mercier_Caviar_Stick_Eye_Colour_Tuxedo_12611004-1_50x.jpg?v=1579346492")</f>
        <v/>
      </c>
      <c r="H1944">
        <f>_xlfn.IMAGE("https://m.media-amazon.com/images/I/41S+Q51YAzL._AC_UL320_.jpg")</f>
        <v/>
      </c>
      <c r="K1944" t="inlineStr">
        <is>
          <t>32.0</t>
        </is>
      </c>
      <c r="L1944" t="n">
        <v>15.11</v>
      </c>
      <c r="M1944" s="1" t="inlineStr">
        <is>
          <t>-52.78%</t>
        </is>
      </c>
      <c r="N1944" t="n">
        <v>4.4</v>
      </c>
      <c r="O1944" t="n">
        <v>3</v>
      </c>
      <c r="Q1944" t="inlineStr">
        <is>
          <t>InStock</t>
        </is>
      </c>
      <c r="R1944" t="inlineStr">
        <is>
          <t>undefined</t>
        </is>
      </c>
      <c r="S1944" t="inlineStr">
        <is>
          <t>4369027235951</t>
        </is>
      </c>
    </row>
    <row r="1945" ht="75" customHeight="1">
      <c r="A1945" s="2">
        <f>HYPERLINK("https://camerareadycosmetics.com/products/laura-mercier-caviar-stick-eye-colour-eyeshadow", "https://camerareadycosmetics.com/products/laura-mercier-caviar-stick-eye-colour-eyeshadow")</f>
        <v/>
      </c>
      <c r="B1945" s="2">
        <f>HYPERLINK("https://camerareadycosmetics.com/products/laura-mercier-caviar-stick-eye-colour-eyeshadow", "https://camerareadycosmetics.com/products/laura-mercier-caviar-stick-eye-colour-eyeshadow")</f>
        <v/>
      </c>
      <c r="C1945" t="inlineStr">
        <is>
          <t>Caviar Stick Eye Colour Eyeshadow</t>
        </is>
      </c>
      <c r="D1945" t="inlineStr">
        <is>
          <t>Laura Mercier Caviar Stick Eye Colour Mystic Gold</t>
        </is>
      </c>
      <c r="E1945" s="2">
        <f>HYPERLINK("https://www.amazon.com/Laura-Mercier-Caviar-Colour-Mystic/dp/B08LX2XWGP/ref=sr_1_4?keywords=Caviar+Stick+Eye+Colour+Eyeshadow&amp;qid=1695565594&amp;sr=8-4", "https://www.amazon.com/Laura-Mercier-Caviar-Colour-Mystic/dp/B08LX2XWGP/ref=sr_1_4?keywords=Caviar+Stick+Eye+Colour+Eyeshadow&amp;qid=1695565594&amp;sr=8-4")</f>
        <v/>
      </c>
      <c r="F1945" t="inlineStr">
        <is>
          <t>B08LX2XWGP</t>
        </is>
      </c>
      <c r="G1945">
        <f>_xlfn.IMAGE("https://camerareadycosmetics.com/cdn/shop/products/laura_mercier_Caviar_Stick_Eye_Colour_Tuxedo_12611004-1_50x.jpg?v=1579346492")</f>
        <v/>
      </c>
      <c r="H1945">
        <f>_xlfn.IMAGE("https://m.media-amazon.com/images/I/411VxKPbfTL._AC_UL320_.jpg")</f>
        <v/>
      </c>
      <c r="K1945" t="inlineStr">
        <is>
          <t>32.0</t>
        </is>
      </c>
      <c r="L1945" t="n">
        <v>14.55</v>
      </c>
      <c r="M1945" s="1" t="inlineStr">
        <is>
          <t>-54.53%</t>
        </is>
      </c>
      <c r="N1945" t="n">
        <v>4.5</v>
      </c>
      <c r="O1945" t="n">
        <v>29</v>
      </c>
      <c r="Q1945" t="inlineStr">
        <is>
          <t>InStock</t>
        </is>
      </c>
      <c r="R1945" t="inlineStr">
        <is>
          <t>undefined</t>
        </is>
      </c>
      <c r="S1945" t="inlineStr">
        <is>
          <t>4369027235951</t>
        </is>
      </c>
    </row>
    <row r="1946" ht="75" customHeight="1">
      <c r="A1946" s="2">
        <f>HYPERLINK("https://camerareadycosmetics.com/products/laura-mercier-caviar-volume-panoramic-mascara", "https://camerareadycosmetics.com/products/laura-mercier-caviar-volume-panoramic-mascara")</f>
        <v/>
      </c>
      <c r="B1946" s="2">
        <f>HYPERLINK("https://camerareadycosmetics.com/products/laura-mercier-caviar-volume-panoramic-mascara", "https://camerareadycosmetics.com/products/laura-mercier-caviar-volume-panoramic-mascara")</f>
        <v/>
      </c>
      <c r="C1946" t="inlineStr">
        <is>
          <t>Caviar Volume Panoramic Mascara</t>
        </is>
      </c>
      <c r="D1946" t="inlineStr">
        <is>
          <t>laura mercier Caviar Volume Panoramic Mascara - Glossy Black, 0.4 Ounce</t>
        </is>
      </c>
      <c r="E1946" s="2">
        <f>HYPERLINK("https://www.amazon.com/Laura-Mercier-Caviar-Panoramic-Mascara/dp/B07TMQ8MTB/ref=sr_1_1?keywords=Caviar+Volume+Panoramic+Mascara&amp;qid=1695565766&amp;sr=8-1", "https://www.amazon.com/Laura-Mercier-Caviar-Panoramic-Mascara/dp/B07TMQ8MTB/ref=sr_1_1?keywords=Caviar+Volume+Panoramic+Mascara&amp;qid=1695565766&amp;sr=8-1")</f>
        <v/>
      </c>
      <c r="F1946" t="inlineStr">
        <is>
          <t>B07TMQ8MTB</t>
        </is>
      </c>
      <c r="G1946">
        <f>_xlfn.IMAGE("https://camerareadycosmetics.com/cdn/shop/products/laura_mercier_Caviar_Volume_Panoramic_Mascara_12704581-1_50x.jpg?v=1579173966")</f>
        <v/>
      </c>
      <c r="H1946">
        <f>_xlfn.IMAGE("https://m.media-amazon.com/images/I/71-XFLzkzIL._AC_UL320_.jpg")</f>
        <v/>
      </c>
      <c r="K1946" t="inlineStr">
        <is>
          <t>26.0</t>
        </is>
      </c>
      <c r="L1946" t="n">
        <v>32.95</v>
      </c>
      <c r="M1946" s="1" t="inlineStr">
        <is>
          <t>26.73%</t>
        </is>
      </c>
      <c r="N1946" t="n">
        <v>4.3</v>
      </c>
      <c r="O1946" t="n">
        <v>23</v>
      </c>
      <c r="Q1946" t="inlineStr">
        <is>
          <t>InStock</t>
        </is>
      </c>
      <c r="R1946" t="inlineStr">
        <is>
          <t>undefined</t>
        </is>
      </c>
      <c r="S1946" t="inlineStr">
        <is>
          <t>4369024417903</t>
        </is>
      </c>
    </row>
    <row r="1947" ht="75" customHeight="1">
      <c r="A1947" s="2">
        <f>HYPERLINK("https://camerareadycosmetics.com/products/laura-mercier-caviar-volume-panoramic-mascara", "https://camerareadycosmetics.com/products/laura-mercier-caviar-volume-panoramic-mascara")</f>
        <v/>
      </c>
      <c r="B1947" s="2">
        <f>HYPERLINK("https://camerareadycosmetics.com/products/laura-mercier-caviar-volume-panoramic-mascara", "https://camerareadycosmetics.com/products/laura-mercier-caviar-volume-panoramic-mascara")</f>
        <v/>
      </c>
      <c r="C1947" t="inlineStr">
        <is>
          <t>Caviar Volume Panoramic Mascara</t>
        </is>
      </c>
      <c r="D1947" t="inlineStr">
        <is>
          <t>3INA MAKEUP - Vegan - Cruelty Free - The 24h Level Up Mascara 900 - Black Mascara Long Lashes - Extreme Definition - Volume Length Curve - Panoramic Effect - Metallic Tube - Hourglass Brush</t>
        </is>
      </c>
      <c r="E1947" s="2">
        <f>HYPERLINK("https://www.amazon.com/3INA-MAKEUP-Definition-Panoramic-Hourglass/dp/B099FFZSGL/ref=sr_1_9?keywords=Caviar+Volume+Panoramic+Mascara&amp;qid=1695565766&amp;sr=8-9", "https://www.amazon.com/3INA-MAKEUP-Definition-Panoramic-Hourglass/dp/B099FFZSGL/ref=sr_1_9?keywords=Caviar+Volume+Panoramic+Mascara&amp;qid=1695565766&amp;sr=8-9")</f>
        <v/>
      </c>
      <c r="F1947" t="inlineStr">
        <is>
          <t>B099FFZSGL</t>
        </is>
      </c>
      <c r="G1947">
        <f>_xlfn.IMAGE("https://camerareadycosmetics.com/cdn/shop/products/laura_mercier_Caviar_Volume_Panoramic_Mascara_12704581-1_50x.jpg?v=1579173966")</f>
        <v/>
      </c>
      <c r="H1947">
        <f>_xlfn.IMAGE("https://m.media-amazon.com/images/I/51L2cGhG0PL._AC_UL320_.jpg")</f>
        <v/>
      </c>
      <c r="K1947" t="inlineStr">
        <is>
          <t>26.0</t>
        </is>
      </c>
      <c r="L1947" t="n">
        <v>17.95</v>
      </c>
      <c r="M1947" s="1" t="inlineStr">
        <is>
          <t>-30.96%</t>
        </is>
      </c>
      <c r="N1947" t="n">
        <v>3.9</v>
      </c>
      <c r="O1947" t="n">
        <v>114</v>
      </c>
      <c r="Q1947" t="inlineStr">
        <is>
          <t>InStock</t>
        </is>
      </c>
      <c r="R1947" t="inlineStr">
        <is>
          <t>undefined</t>
        </is>
      </c>
      <c r="S1947" t="inlineStr">
        <is>
          <t>4369024417903</t>
        </is>
      </c>
    </row>
    <row r="1948" ht="75" customHeight="1">
      <c r="A1948" s="2">
        <f>HYPERLINK("https://camerareadycosmetics.com/products/laura-mercier-eye-basics-primer", "https://camerareadycosmetics.com/products/laura-mercier-eye-basics-primer")</f>
        <v/>
      </c>
      <c r="B1948" s="2">
        <f>HYPERLINK("https://camerareadycosmetics.com/products/laura-mercier-eye-basics-primer", "https://camerareadycosmetics.com/products/laura-mercier-eye-basics-primer")</f>
        <v/>
      </c>
      <c r="C1948" t="inlineStr">
        <is>
          <t>Eye Basics Primer</t>
        </is>
      </c>
      <c r="D1948" t="inlineStr">
        <is>
          <t>Laura Mercier Eye Basics Primer, Flax</t>
        </is>
      </c>
      <c r="E1948" s="2">
        <f>HYPERLINK("https://www.amazon.com/LAURA-MERCIER-Eye-Basics-Flax/dp/B00FCM25EU/ref=sr_1_3?keywords=Eye+Basics+Primer&amp;qid=1695565676&amp;sr=8-3", "https://www.amazon.com/LAURA-MERCIER-Eye-Basics-Flax/dp/B00FCM25EU/ref=sr_1_3?keywords=Eye+Basics+Primer&amp;qid=1695565676&amp;sr=8-3")</f>
        <v/>
      </c>
      <c r="F1948" t="inlineStr">
        <is>
          <t>B00FCM25EU</t>
        </is>
      </c>
      <c r="G1948">
        <f>_xlfn.IMAGE("https://camerareadycosmetics.com/cdn/shop/products/laura_mercier_Eye_Basics_Primer_Buff_12336477-1_50x.jpg?v=1579346496")</f>
        <v/>
      </c>
      <c r="H1948">
        <f>_xlfn.IMAGE("https://m.media-amazon.com/images/I/51+uhLbFtWL._AC_UL320_.jpg")</f>
        <v/>
      </c>
      <c r="K1948" t="inlineStr">
        <is>
          <t>28.0</t>
        </is>
      </c>
      <c r="L1948" t="n">
        <v>32.95</v>
      </c>
      <c r="M1948" s="1" t="inlineStr">
        <is>
          <t>17.68%</t>
        </is>
      </c>
      <c r="N1948" t="n">
        <v>4.6</v>
      </c>
      <c r="O1948" t="n">
        <v>172</v>
      </c>
      <c r="Q1948" t="inlineStr">
        <is>
          <t>InStock</t>
        </is>
      </c>
      <c r="R1948" t="inlineStr">
        <is>
          <t>undefined</t>
        </is>
      </c>
      <c r="S1948" t="inlineStr">
        <is>
          <t>4370615697519</t>
        </is>
      </c>
    </row>
    <row r="1949" ht="75" customHeight="1">
      <c r="A1949" s="2">
        <f>HYPERLINK("https://camerareadycosmetics.com/products/laura-mercier-face-illuminator-highlighting-powder", "https://camerareadycosmetics.com/products/laura-mercier-face-illuminator-highlighting-powder")</f>
        <v/>
      </c>
      <c r="B1949" s="2">
        <f>HYPERLINK("https://camerareadycosmetics.com/products/laura-mercier-face-illuminator-highlighting-powder", "https://camerareadycosmetics.com/products/laura-mercier-face-illuminator-highlighting-powder")</f>
        <v/>
      </c>
      <c r="C1949" t="inlineStr">
        <is>
          <t>Face Illuminator Highlighting Powder</t>
        </is>
      </c>
      <c r="D1949" t="inlineStr">
        <is>
          <t>PUR Afterglow Highlighting Skin Perfecting Powder - Brightening Setting Powder For Highlight Face Makeup - Blush And Highlighter Palette - Powder Illuminator Highlighter, 0.2 Ounce (Pack of 1)</t>
        </is>
      </c>
      <c r="E1949" s="2">
        <f>HYPERLINK("https://www.amazon.com/P%C3%9CR-Afterglow-Highlighting-Perfecting-Powder/dp/B07K8VDKZ6/ref=sr_1_2?keywords=Face+Illuminator+Highlighting+Powder&amp;qid=1695565776&amp;sr=8-2", "https://www.amazon.com/P%C3%9CR-Afterglow-Highlighting-Perfecting-Powder/dp/B07K8VDKZ6/ref=sr_1_2?keywords=Face+Illuminator+Highlighting+Powder&amp;qid=1695565776&amp;sr=8-2")</f>
        <v/>
      </c>
      <c r="F1949" t="inlineStr">
        <is>
          <t>B07K8VDKZ6</t>
        </is>
      </c>
      <c r="G1949">
        <f>_xlfn.IMAGE("https://camerareadycosmetics.com/cdn/shop/products/laura_mercier_Face_Illuminator_Highlighting_Powder_Indiscretion_11ff4730-0ff1-40a0-b3d0-9079627a796b_50x.jpg?v=1604143793")</f>
        <v/>
      </c>
      <c r="H1949">
        <f>_xlfn.IMAGE("https://m.media-amazon.com/images/I/81j-CwjWFdL._AC_UL320_.jpg")</f>
        <v/>
      </c>
      <c r="K1949" t="inlineStr">
        <is>
          <t>48.0</t>
        </is>
      </c>
      <c r="L1949" t="n">
        <v>26</v>
      </c>
      <c r="M1949" s="1" t="inlineStr">
        <is>
          <t>-45.83%</t>
        </is>
      </c>
      <c r="N1949" t="n">
        <v>4.2</v>
      </c>
      <c r="O1949" t="n">
        <v>61</v>
      </c>
      <c r="Q1949" t="inlineStr">
        <is>
          <t>InStock</t>
        </is>
      </c>
      <c r="R1949" t="inlineStr">
        <is>
          <t>undefined</t>
        </is>
      </c>
      <c r="S1949" t="inlineStr">
        <is>
          <t>6032007332025</t>
        </is>
      </c>
    </row>
    <row r="1950" ht="75" customHeight="1">
      <c r="A1950" s="2">
        <f>HYPERLINK("https://camerareadycosmetics.com/products/laura-mercier-face-illuminator-highlighting-powder", "https://camerareadycosmetics.com/products/laura-mercier-face-illuminator-highlighting-powder")</f>
        <v/>
      </c>
      <c r="B1950" s="2">
        <f>HYPERLINK("https://camerareadycosmetics.com/products/laura-mercier-face-illuminator-highlighting-powder", "https://camerareadycosmetics.com/products/laura-mercier-face-illuminator-highlighting-powder")</f>
        <v/>
      </c>
      <c r="C1950" t="inlineStr">
        <is>
          <t>Face Illuminator Highlighting Powder</t>
        </is>
      </c>
      <c r="D1950" t="inlineStr">
        <is>
          <t>e.l.f. Cosmetics Shimmer Highlighting Powder, Illuminating Face Makeup, Starlight Glow, 1 Count</t>
        </is>
      </c>
      <c r="E1950" s="2">
        <f>HYPERLINK("https://www.amazon.com/Cosmetics-Highlighting-Powder-Starlight-Pound/dp/B071KFB3H5/ref=sr_1_9?keywords=Face+Illuminator+Highlighting+Powder&amp;qid=1695565776&amp;sr=8-9", "https://www.amazon.com/Cosmetics-Highlighting-Powder-Starlight-Pound/dp/B071KFB3H5/ref=sr_1_9?keywords=Face+Illuminator+Highlighting+Powder&amp;qid=1695565776&amp;sr=8-9")</f>
        <v/>
      </c>
      <c r="F1950" t="inlineStr">
        <is>
          <t>B071KFB3H5</t>
        </is>
      </c>
      <c r="G1950">
        <f>_xlfn.IMAGE("https://camerareadycosmetics.com/cdn/shop/products/laura_mercier_Face_Illuminator_Highlighting_Powder_Indiscretion_11ff4730-0ff1-40a0-b3d0-9079627a796b_50x.jpg?v=1604143793")</f>
        <v/>
      </c>
      <c r="H1950">
        <f>_xlfn.IMAGE("https://m.media-amazon.com/images/I/71YKI2-oeLL._AC_UL320_.jpg")</f>
        <v/>
      </c>
      <c r="K1950" t="inlineStr">
        <is>
          <t>48.0</t>
        </is>
      </c>
      <c r="L1950" t="n">
        <v>12</v>
      </c>
      <c r="M1950" s="1" t="inlineStr">
        <is>
          <t>-75.00%</t>
        </is>
      </c>
      <c r="N1950" t="n">
        <v>4.4</v>
      </c>
      <c r="O1950" t="n">
        <v>608</v>
      </c>
      <c r="Q1950" t="inlineStr">
        <is>
          <t>InStock</t>
        </is>
      </c>
      <c r="R1950" t="inlineStr">
        <is>
          <t>undefined</t>
        </is>
      </c>
      <c r="S1950" t="inlineStr">
        <is>
          <t>6032007332025</t>
        </is>
      </c>
    </row>
    <row r="1951" ht="75" customHeight="1">
      <c r="A1951" s="2">
        <f>HYPERLINK("https://camerareadycosmetics.com/products/laura-mercier-face-illuminator-highlighting-powder", "https://camerareadycosmetics.com/products/laura-mercier-face-illuminator-highlighting-powder")</f>
        <v/>
      </c>
      <c r="B1951" s="2">
        <f>HYPERLINK("https://camerareadycosmetics.com/products/laura-mercier-face-illuminator-highlighting-powder", "https://camerareadycosmetics.com/products/laura-mercier-face-illuminator-highlighting-powder")</f>
        <v/>
      </c>
      <c r="C1951" t="inlineStr">
        <is>
          <t>Face Illuminator Highlighting Powder</t>
        </is>
      </c>
      <c r="D1951" t="inlineStr">
        <is>
          <t>DELISOUL 4 Colors Glistening Highlighter Palette,Glow Shimmer Professional Highlight Powder,Intensely Pigmented Brighten Face Shaping Highlighter makeup,Face Highlighting Illuminator Makeup with Brush</t>
        </is>
      </c>
      <c r="E1951" s="2">
        <f>HYPERLINK("https://www.amazon.com/DELISOUL-Highlighter-Professional-Highlighting-Illuminator/dp/B09QV9W1TB/ref=sr_1_3?keywords=Face+Illuminator+Highlighting+Powder&amp;qid=1695565776&amp;sr=8-3", "https://www.amazon.com/DELISOUL-Highlighter-Professional-Highlighting-Illuminator/dp/B09QV9W1TB/ref=sr_1_3?keywords=Face+Illuminator+Highlighting+Powder&amp;qid=1695565776&amp;sr=8-3")</f>
        <v/>
      </c>
      <c r="F1951" t="inlineStr">
        <is>
          <t>B09QV9W1TB</t>
        </is>
      </c>
      <c r="G1951">
        <f>_xlfn.IMAGE("https://camerareadycosmetics.com/cdn/shop/products/laura_mercier_Face_Illuminator_Highlighting_Powder_Indiscretion_11ff4730-0ff1-40a0-b3d0-9079627a796b_50x.jpg?v=1604143793")</f>
        <v/>
      </c>
      <c r="H1951">
        <f>_xlfn.IMAGE("https://m.media-amazon.com/images/I/81n3rPt0gGL._AC_UL320_.jpg")</f>
        <v/>
      </c>
      <c r="K1951" t="inlineStr">
        <is>
          <t>48.0</t>
        </is>
      </c>
      <c r="L1951" t="n">
        <v>9.99</v>
      </c>
      <c r="M1951" s="1" t="inlineStr">
        <is>
          <t>-79.19%</t>
        </is>
      </c>
      <c r="N1951" t="n">
        <v>4</v>
      </c>
      <c r="O1951" t="n">
        <v>1</v>
      </c>
      <c r="Q1951" t="inlineStr">
        <is>
          <t>InStock</t>
        </is>
      </c>
      <c r="R1951" t="inlineStr">
        <is>
          <t>undefined</t>
        </is>
      </c>
      <c r="S1951" t="inlineStr">
        <is>
          <t>6032007332025</t>
        </is>
      </c>
    </row>
    <row r="1952" ht="75" customHeight="1">
      <c r="A1952" s="2">
        <f>HYPERLINK("https://camerareadycosmetics.com/products/laura-mercier-face-illuminator-highlighting-powder", "https://camerareadycosmetics.com/products/laura-mercier-face-illuminator-highlighting-powder")</f>
        <v/>
      </c>
      <c r="B1952" s="2">
        <f>HYPERLINK("https://camerareadycosmetics.com/products/laura-mercier-face-illuminator-highlighting-powder", "https://camerareadycosmetics.com/products/laura-mercier-face-illuminator-highlighting-powder")</f>
        <v/>
      </c>
      <c r="C1952" t="inlineStr">
        <is>
          <t>Face Illuminator Highlighting Powder</t>
        </is>
      </c>
      <c r="D1952" t="inlineStr">
        <is>
          <t>Face Highlighter Powder Palette Shimmer Face Illuminator Highlighters Powder Palette Silky Long Lasting Natural Concealer Nude Contour Highlight Makeup Palette with Brush - SUN GLOW</t>
        </is>
      </c>
      <c r="E1952" s="2">
        <f>HYPERLINK("https://www.amazon.com/Highlighter-Illuminator-Highlighters-Concealer-Highlight/dp/B0BVQVJNDR/ref=sr_1_7?keywords=Face+Illuminator+Highlighting+Powder&amp;qid=1695565776&amp;sr=8-7", "https://www.amazon.com/Highlighter-Illuminator-Highlighters-Concealer-Highlight/dp/B0BVQVJNDR/ref=sr_1_7?keywords=Face+Illuminator+Highlighting+Powder&amp;qid=1695565776&amp;sr=8-7")</f>
        <v/>
      </c>
      <c r="F1952" t="inlineStr">
        <is>
          <t>B0BVQVJNDR</t>
        </is>
      </c>
      <c r="G1952">
        <f>_xlfn.IMAGE("https://camerareadycosmetics.com/cdn/shop/products/laura_mercier_Face_Illuminator_Highlighting_Powder_Indiscretion_11ff4730-0ff1-40a0-b3d0-9079627a796b_50x.jpg?v=1604143793")</f>
        <v/>
      </c>
      <c r="H1952">
        <f>_xlfn.IMAGE("https://m.media-amazon.com/images/I/71aizVKrk+L._AC_UL320_.jpg")</f>
        <v/>
      </c>
      <c r="K1952" t="inlineStr">
        <is>
          <t>48.0</t>
        </is>
      </c>
      <c r="L1952" t="n">
        <v>8.99</v>
      </c>
      <c r="M1952" s="1" t="inlineStr">
        <is>
          <t>-81.27%</t>
        </is>
      </c>
      <c r="N1952" t="n">
        <v>4.3</v>
      </c>
      <c r="O1952" t="n">
        <v>61</v>
      </c>
      <c r="Q1952" t="inlineStr">
        <is>
          <t>InStock</t>
        </is>
      </c>
      <c r="R1952" t="inlineStr">
        <is>
          <t>undefined</t>
        </is>
      </c>
      <c r="S1952" t="inlineStr">
        <is>
          <t>6032007332025</t>
        </is>
      </c>
    </row>
    <row r="1953" ht="75" customHeight="1">
      <c r="A1953" s="2">
        <f>HYPERLINK("https://camerareadycosmetics.com/products/laura-mercier-face-illuminator-highlighting-powder", "https://camerareadycosmetics.com/products/laura-mercier-face-illuminator-highlighting-powder")</f>
        <v/>
      </c>
      <c r="B1953" s="2">
        <f>HYPERLINK("https://camerareadycosmetics.com/products/laura-mercier-face-illuminator-highlighting-powder", "https://camerareadycosmetics.com/products/laura-mercier-face-illuminator-highlighting-powder")</f>
        <v/>
      </c>
      <c r="C1953" t="inlineStr">
        <is>
          <t>Face Illuminator Highlighting Powder</t>
        </is>
      </c>
      <c r="D1953" t="inlineStr">
        <is>
          <t>LIFUS Highlighter Palette，Highlighter Makeup Palette, Glow Bronzer Highlighter Powder Kit,Face illuminator makeup palette</t>
        </is>
      </c>
      <c r="E1953" s="2">
        <f>HYPERLINK("https://www.amazon.com/Highlighter-Palette%EF%BC%8CHighlighter-Makeup-Palette-Bronzer/dp/B07MV3N6QH/ref=sr_1_1?keywords=Face+Illuminator+Highlighting+Powder&amp;qid=1695565776&amp;sr=8-1", "https://www.amazon.com/Highlighter-Palette%EF%BC%8CHighlighter-Makeup-Palette-Bronzer/dp/B07MV3N6QH/ref=sr_1_1?keywords=Face+Illuminator+Highlighting+Powder&amp;qid=1695565776&amp;sr=8-1")</f>
        <v/>
      </c>
      <c r="F1953" t="inlineStr">
        <is>
          <t>B07MV3N6QH</t>
        </is>
      </c>
      <c r="G1953">
        <f>_xlfn.IMAGE("https://camerareadycosmetics.com/cdn/shop/products/laura_mercier_Face_Illuminator_Highlighting_Powder_Indiscretion_11ff4730-0ff1-40a0-b3d0-9079627a796b_50x.jpg?v=1604143793")</f>
        <v/>
      </c>
      <c r="H1953">
        <f>_xlfn.IMAGE("https://m.media-amazon.com/images/I/81q9sKS+A1L._AC_UL320_.jpg")</f>
        <v/>
      </c>
      <c r="K1953" t="inlineStr">
        <is>
          <t>48.0</t>
        </is>
      </c>
      <c r="L1953" t="n">
        <v>4.99</v>
      </c>
      <c r="M1953" s="1" t="inlineStr">
        <is>
          <t>-89.60%</t>
        </is>
      </c>
      <c r="N1953" t="n">
        <v>4.4</v>
      </c>
      <c r="O1953" t="n">
        <v>6798</v>
      </c>
      <c r="Q1953" t="inlineStr">
        <is>
          <t>InStock</t>
        </is>
      </c>
      <c r="R1953" t="inlineStr">
        <is>
          <t>undefined</t>
        </is>
      </c>
      <c r="S1953" t="inlineStr">
        <is>
          <t>6032007332025</t>
        </is>
      </c>
    </row>
    <row r="1954" ht="75" customHeight="1">
      <c r="A1954" s="2">
        <f>HYPERLINK("https://camerareadycosmetics.com/products/laura-mercier-face-illuminator-highlighting-powder", "https://camerareadycosmetics.com/products/laura-mercier-face-illuminator-highlighting-powder")</f>
        <v/>
      </c>
      <c r="B1954" s="2">
        <f>HYPERLINK("https://camerareadycosmetics.com/products/laura-mercier-face-illuminator-highlighting-powder", "https://camerareadycosmetics.com/products/laura-mercier-face-illuminator-highlighting-powder")</f>
        <v/>
      </c>
      <c r="C1954" t="inlineStr">
        <is>
          <t>Face Illuminator Highlighting Powder</t>
        </is>
      </c>
      <c r="D1954" t="inlineStr">
        <is>
          <t>e.l.f. Cosmetics Shimmer Highlighting Powder, Illuminating Face Makeup, Starlight Glow, 1 Count</t>
        </is>
      </c>
      <c r="E1954" s="2">
        <f>HYPERLINK("https://www.amazon.com/Cosmetics-Highlighting-Powder-Starlight-Pound/dp/B071KFB3H5/ref=sr_1_9?keywords=Face+Illuminator+Highlighting+Powder&amp;qid=1695565776&amp;sr=8-9", "https://www.amazon.com/Cosmetics-Highlighting-Powder-Starlight-Pound/dp/B071KFB3H5/ref=sr_1_9?keywords=Face+Illuminator+Highlighting+Powder&amp;qid=1695565776&amp;sr=8-9")</f>
        <v/>
      </c>
      <c r="F1954" t="inlineStr">
        <is>
          <t>B071KFB3H5</t>
        </is>
      </c>
      <c r="G1954">
        <f>_xlfn.IMAGE("https://camerareadycosmetics.com/cdn/shop/products/laura_mercier_Face_Illuminator_Highlighting_Powder_Indiscretion_11ff4730-0ff1-40a0-b3d0-9079627a796b_50x.jpg?v=1604143793")</f>
        <v/>
      </c>
      <c r="H1954">
        <f>_xlfn.IMAGE("https://m.media-amazon.com/images/I/71YKI2-oeLL._AC_UL320_.jpg")</f>
        <v/>
      </c>
      <c r="K1954" t="inlineStr">
        <is>
          <t>48.0</t>
        </is>
      </c>
      <c r="L1954" t="n">
        <v>12</v>
      </c>
      <c r="M1954" s="1" t="inlineStr">
        <is>
          <t>-75.00%</t>
        </is>
      </c>
      <c r="N1954" t="n">
        <v>4.4</v>
      </c>
      <c r="O1954" t="n">
        <v>608</v>
      </c>
      <c r="Q1954" t="inlineStr">
        <is>
          <t>InStock</t>
        </is>
      </c>
      <c r="R1954" t="inlineStr">
        <is>
          <t>undefined</t>
        </is>
      </c>
      <c r="S1954" t="inlineStr">
        <is>
          <t>6032007332025</t>
        </is>
      </c>
    </row>
    <row r="1955" ht="75" customHeight="1">
      <c r="A1955" s="2">
        <f>HYPERLINK("https://camerareadycosmetics.com/products/laura-mercier-face-illuminator-highlighting-powder", "https://camerareadycosmetics.com/products/laura-mercier-face-illuminator-highlighting-powder")</f>
        <v/>
      </c>
      <c r="B1955" s="2">
        <f>HYPERLINK("https://camerareadycosmetics.com/products/laura-mercier-face-illuminator-highlighting-powder", "https://camerareadycosmetics.com/products/laura-mercier-face-illuminator-highlighting-powder")</f>
        <v/>
      </c>
      <c r="C1955" t="inlineStr">
        <is>
          <t>Face Illuminator Highlighting Powder</t>
        </is>
      </c>
      <c r="D1955" t="inlineStr">
        <is>
          <t>DELISOUL 4 Colors Glistening Highlighter Palette,Glow Shimmer Professional Highlight Powder,Intensely Pigmented Brighten Face Shaping Highlighter makeup,Face Highlighting Illuminator Makeup with Brush</t>
        </is>
      </c>
      <c r="E1955" s="2">
        <f>HYPERLINK("https://www.amazon.com/DELISOUL-Highlighter-Professional-Highlighting-Illuminator/dp/B09QV9W1TB/ref=sr_1_3?keywords=Face+Illuminator+Highlighting+Powder&amp;qid=1695565776&amp;sr=8-3", "https://www.amazon.com/DELISOUL-Highlighter-Professional-Highlighting-Illuminator/dp/B09QV9W1TB/ref=sr_1_3?keywords=Face+Illuminator+Highlighting+Powder&amp;qid=1695565776&amp;sr=8-3")</f>
        <v/>
      </c>
      <c r="F1955" t="inlineStr">
        <is>
          <t>B09QV9W1TB</t>
        </is>
      </c>
      <c r="G1955">
        <f>_xlfn.IMAGE("https://camerareadycosmetics.com/cdn/shop/products/laura_mercier_Face_Illuminator_Highlighting_Powder_Indiscretion_11ff4730-0ff1-40a0-b3d0-9079627a796b_50x.jpg?v=1604143793")</f>
        <v/>
      </c>
      <c r="H1955">
        <f>_xlfn.IMAGE("https://m.media-amazon.com/images/I/81n3rPt0gGL._AC_UL320_.jpg")</f>
        <v/>
      </c>
      <c r="K1955" t="inlineStr">
        <is>
          <t>48.0</t>
        </is>
      </c>
      <c r="L1955" t="n">
        <v>9.99</v>
      </c>
      <c r="M1955" s="1" t="inlineStr">
        <is>
          <t>-79.19%</t>
        </is>
      </c>
      <c r="N1955" t="n">
        <v>4</v>
      </c>
      <c r="O1955" t="n">
        <v>1</v>
      </c>
      <c r="Q1955" t="inlineStr">
        <is>
          <t>InStock</t>
        </is>
      </c>
      <c r="R1955" t="inlineStr">
        <is>
          <t>undefined</t>
        </is>
      </c>
      <c r="S1955" t="inlineStr">
        <is>
          <t>6032007332025</t>
        </is>
      </c>
    </row>
    <row r="1956" ht="75" customHeight="1">
      <c r="A1956" s="2">
        <f>HYPERLINK("https://camerareadycosmetics.com/products/laura-mercier-face-illuminator-highlighting-powder", "https://camerareadycosmetics.com/products/laura-mercier-face-illuminator-highlighting-powder")</f>
        <v/>
      </c>
      <c r="B1956" s="2">
        <f>HYPERLINK("https://camerareadycosmetics.com/products/laura-mercier-face-illuminator-highlighting-powder", "https://camerareadycosmetics.com/products/laura-mercier-face-illuminator-highlighting-powder")</f>
        <v/>
      </c>
      <c r="C1956" t="inlineStr">
        <is>
          <t>Face Illuminator Highlighting Powder</t>
        </is>
      </c>
      <c r="D1956" t="inlineStr">
        <is>
          <t>Face Highlighter Powder Palette Shimmer Face Illuminator Highlighters Powder Palette Silky Long Lasting Natural Concealer Nude Contour Highlight Makeup Palette with Brush - SUN GLOW</t>
        </is>
      </c>
      <c r="E1956" s="2">
        <f>HYPERLINK("https://www.amazon.com/Highlighter-Illuminator-Highlighters-Concealer-Highlight/dp/B0BVQVJNDR/ref=sr_1_7?keywords=Face+Illuminator+Highlighting+Powder&amp;qid=1695565776&amp;sr=8-7", "https://www.amazon.com/Highlighter-Illuminator-Highlighters-Concealer-Highlight/dp/B0BVQVJNDR/ref=sr_1_7?keywords=Face+Illuminator+Highlighting+Powder&amp;qid=1695565776&amp;sr=8-7")</f>
        <v/>
      </c>
      <c r="F1956" t="inlineStr">
        <is>
          <t>B0BVQVJNDR</t>
        </is>
      </c>
      <c r="G1956">
        <f>_xlfn.IMAGE("https://camerareadycosmetics.com/cdn/shop/products/laura_mercier_Face_Illuminator_Highlighting_Powder_Indiscretion_11ff4730-0ff1-40a0-b3d0-9079627a796b_50x.jpg?v=1604143793")</f>
        <v/>
      </c>
      <c r="H1956">
        <f>_xlfn.IMAGE("https://m.media-amazon.com/images/I/71aizVKrk+L._AC_UL320_.jpg")</f>
        <v/>
      </c>
      <c r="K1956" t="inlineStr">
        <is>
          <t>48.0</t>
        </is>
      </c>
      <c r="L1956" t="n">
        <v>8.99</v>
      </c>
      <c r="M1956" s="1" t="inlineStr">
        <is>
          <t>-81.27%</t>
        </is>
      </c>
      <c r="N1956" t="n">
        <v>4.3</v>
      </c>
      <c r="O1956" t="n">
        <v>61</v>
      </c>
      <c r="Q1956" t="inlineStr">
        <is>
          <t>InStock</t>
        </is>
      </c>
      <c r="R1956" t="inlineStr">
        <is>
          <t>undefined</t>
        </is>
      </c>
      <c r="S1956" t="inlineStr">
        <is>
          <t>6032007332025</t>
        </is>
      </c>
    </row>
    <row r="1957" ht="75" customHeight="1">
      <c r="A1957" s="2">
        <f>HYPERLINK("https://camerareadycosmetics.com/products/laura-mercier-face-illuminator-highlighting-powder", "https://camerareadycosmetics.com/products/laura-mercier-face-illuminator-highlighting-powder")</f>
        <v/>
      </c>
      <c r="B1957" s="2">
        <f>HYPERLINK("https://camerareadycosmetics.com/products/laura-mercier-face-illuminator-highlighting-powder", "https://camerareadycosmetics.com/products/laura-mercier-face-illuminator-highlighting-powder")</f>
        <v/>
      </c>
      <c r="C1957" t="inlineStr">
        <is>
          <t>Face Illuminator Highlighting Powder</t>
        </is>
      </c>
      <c r="D1957" t="inlineStr">
        <is>
          <t>LIFUS Highlighter Palette，Highlighter Makeup Palette, Glow Bronzer Highlighter Powder Kit,Face illuminator makeup palette</t>
        </is>
      </c>
      <c r="E1957" s="2">
        <f>HYPERLINK("https://www.amazon.com/Highlighter-Palette%EF%BC%8CHighlighter-Makeup-Palette-Bronzer/dp/B07MV3N6QH/ref=sr_1_1?keywords=Face+Illuminator+Highlighting+Powder&amp;qid=1695565776&amp;sr=8-1", "https://www.amazon.com/Highlighter-Palette%EF%BC%8CHighlighter-Makeup-Palette-Bronzer/dp/B07MV3N6QH/ref=sr_1_1?keywords=Face+Illuminator+Highlighting+Powder&amp;qid=1695565776&amp;sr=8-1")</f>
        <v/>
      </c>
      <c r="F1957" t="inlineStr">
        <is>
          <t>B07MV3N6QH</t>
        </is>
      </c>
      <c r="G1957">
        <f>_xlfn.IMAGE("https://camerareadycosmetics.com/cdn/shop/products/laura_mercier_Face_Illuminator_Highlighting_Powder_Indiscretion_11ff4730-0ff1-40a0-b3d0-9079627a796b_50x.jpg?v=1604143793")</f>
        <v/>
      </c>
      <c r="H1957">
        <f>_xlfn.IMAGE("https://m.media-amazon.com/images/I/81q9sKS+A1L._AC_UL320_.jpg")</f>
        <v/>
      </c>
      <c r="K1957" t="inlineStr">
        <is>
          <t>48.0</t>
        </is>
      </c>
      <c r="L1957" t="n">
        <v>4.99</v>
      </c>
      <c r="M1957" s="1" t="inlineStr">
        <is>
          <t>-89.60%</t>
        </is>
      </c>
      <c r="N1957" t="n">
        <v>4.4</v>
      </c>
      <c r="O1957" t="n">
        <v>6798</v>
      </c>
      <c r="Q1957" t="inlineStr">
        <is>
          <t>InStock</t>
        </is>
      </c>
      <c r="R1957" t="inlineStr">
        <is>
          <t>undefined</t>
        </is>
      </c>
      <c r="S1957" t="inlineStr">
        <is>
          <t>6032007332025</t>
        </is>
      </c>
    </row>
    <row r="1958" ht="75" customHeight="1">
      <c r="A1958" s="2">
        <f>HYPERLINK("https://camerareadycosmetics.com/products/laura-mercier-flawless-fusion-ultra-longwear-concealer", "https://camerareadycosmetics.com/products/laura-mercier-flawless-fusion-ultra-longwear-concealer")</f>
        <v/>
      </c>
      <c r="B1958" s="2">
        <f>HYPERLINK("https://camerareadycosmetics.com/products/laura-mercier-flawless-fusion-ultra-longwear-concealer", "https://camerareadycosmetics.com/products/laura-mercier-flawless-fusion-ultra-longwear-concealer")</f>
        <v/>
      </c>
      <c r="C1958" t="inlineStr">
        <is>
          <t>Flawless Fusion Ultra-Longwear Concealer</t>
        </is>
      </c>
      <c r="D1958" t="inlineStr">
        <is>
          <t>Laura Mercier Flawless Fusion Ultra-Longwear Foundation, 1W1 Ivo, 1 Fl Oz</t>
        </is>
      </c>
      <c r="E1958" s="2">
        <f>HYPERLINK("https://www.amazon.com/Flawless-Fusion-Ultra-Longwear-Foundation-Ivory/dp/B075DDBDSL/ref=sr_1_2?keywords=Flawless+Fusion+Ultra-Longwear+Concealer&amp;qid=1695565615&amp;sr=8-2", "https://www.amazon.com/Flawless-Fusion-Ultra-Longwear-Foundation-Ivory/dp/B075DDBDSL/ref=sr_1_2?keywords=Flawless+Fusion+Ultra-Longwear+Concealer&amp;qid=1695565615&amp;sr=8-2")</f>
        <v/>
      </c>
      <c r="F1958" t="inlineStr">
        <is>
          <t>B075DDBDSL</t>
        </is>
      </c>
      <c r="G1958">
        <f>_xlfn.IMAGE("https://camerareadycosmetics.com/cdn/shop/products/laura_mercier_Flawless_Fusion_Ultra-Longwear_Concealer_05n_50x.jpg?v=1604084673")</f>
        <v/>
      </c>
      <c r="H1958">
        <f>_xlfn.IMAGE("https://m.media-amazon.com/images/I/41V5jUDyonL._AC_UL320_.jpg")</f>
        <v/>
      </c>
      <c r="K1958" t="inlineStr">
        <is>
          <t>33.0</t>
        </is>
      </c>
      <c r="L1958" t="n">
        <v>36.65</v>
      </c>
      <c r="M1958" s="1" t="inlineStr">
        <is>
          <t>11.06%</t>
        </is>
      </c>
      <c r="N1958" t="n">
        <v>4.3</v>
      </c>
      <c r="O1958" t="n">
        <v>242</v>
      </c>
      <c r="Q1958" t="inlineStr">
        <is>
          <t>InStock</t>
        </is>
      </c>
      <c r="R1958" t="inlineStr">
        <is>
          <t>undefined</t>
        </is>
      </c>
      <c r="S1958" t="inlineStr">
        <is>
          <t>6004285833401</t>
        </is>
      </c>
    </row>
    <row r="1959" ht="75" customHeight="1">
      <c r="A1959" s="2">
        <f>HYPERLINK("https://camerareadycosmetics.com/products/laura-mercier-flawless-fusion-ultra-longwear-concealer", "https://camerareadycosmetics.com/products/laura-mercier-flawless-fusion-ultra-longwear-concealer")</f>
        <v/>
      </c>
      <c r="B1959" s="2">
        <f>HYPERLINK("https://camerareadycosmetics.com/products/laura-mercier-flawless-fusion-ultra-longwear-concealer", "https://camerareadycosmetics.com/products/laura-mercier-flawless-fusion-ultra-longwear-concealer")</f>
        <v/>
      </c>
      <c r="C1959" t="inlineStr">
        <is>
          <t>Flawless Fusion Ultra-Longwear Concealer</t>
        </is>
      </c>
      <c r="D1959" t="inlineStr">
        <is>
          <t>Flawless Fusion Ultra-Longwear Foundation  5W1 Amber</t>
        </is>
      </c>
      <c r="E1959" s="2">
        <f>HYPERLINK("https://www.amazon.com/Flawless-Fusion-Ultra-Longwear-Foundation-Amber/dp/B07DZNJKRZ/ref=sr_1_4?keywords=Flawless+Fusion+Ultra-Longwear+Concealer&amp;qid=1695565615&amp;sr=8-4", "https://www.amazon.com/Flawless-Fusion-Ultra-Longwear-Foundation-Amber/dp/B07DZNJKRZ/ref=sr_1_4?keywords=Flawless+Fusion+Ultra-Longwear+Concealer&amp;qid=1695565615&amp;sr=8-4")</f>
        <v/>
      </c>
      <c r="F1959" t="inlineStr">
        <is>
          <t>B07DZNJKRZ</t>
        </is>
      </c>
      <c r="G1959">
        <f>_xlfn.IMAGE("https://camerareadycosmetics.com/cdn/shop/products/laura_mercier_Flawless_Fusion_Ultra-Longwear_Concealer_05n_50x.jpg?v=1604084673")</f>
        <v/>
      </c>
      <c r="H1959">
        <f>_xlfn.IMAGE("https://m.media-amazon.com/images/I/71bG4X1MzbL._AC_UL320_.jpg")</f>
        <v/>
      </c>
      <c r="K1959" t="inlineStr">
        <is>
          <t>33.0</t>
        </is>
      </c>
      <c r="L1959" t="n">
        <v>25.03</v>
      </c>
      <c r="M1959" s="1" t="inlineStr">
        <is>
          <t>-24.15%</t>
        </is>
      </c>
      <c r="N1959" t="n">
        <v>5</v>
      </c>
      <c r="O1959" t="n">
        <v>2</v>
      </c>
      <c r="Q1959" t="inlineStr">
        <is>
          <t>InStock</t>
        </is>
      </c>
      <c r="R1959" t="inlineStr">
        <is>
          <t>undefined</t>
        </is>
      </c>
      <c r="S1959" t="inlineStr">
        <is>
          <t>6004285833401</t>
        </is>
      </c>
    </row>
    <row r="1960" ht="75" customHeight="1">
      <c r="A1960" s="2">
        <f>HYPERLINK("https://camerareadycosmetics.com/products/laura-mercier-flawless-fusion-ultra-longwear-concealer", "https://camerareadycosmetics.com/products/laura-mercier-flawless-fusion-ultra-longwear-concealer")</f>
        <v/>
      </c>
      <c r="B1960" s="2">
        <f>HYPERLINK("https://camerareadycosmetics.com/products/laura-mercier-flawless-fusion-ultra-longwear-concealer", "https://camerareadycosmetics.com/products/laura-mercier-flawless-fusion-ultra-longwear-concealer")</f>
        <v/>
      </c>
      <c r="C1960" t="inlineStr">
        <is>
          <t>Flawless Fusion Ultra-Longwear Concealer</t>
        </is>
      </c>
      <c r="D1960" t="inlineStr">
        <is>
          <t>Flawless Fusion Ultra-Longwear Foundation  5N2 Hazelnut</t>
        </is>
      </c>
      <c r="E1960" s="2">
        <f>HYPERLINK("https://www.amazon.com/Flawless-Fusion-Ultra-Longwear-Foundation-Hazel/dp/B07DZMZLKH/ref=sr_1_5?keywords=Flawless+Fusion+Ultra-Longwear+Concealer&amp;qid=1695565615&amp;sr=8-5", "https://www.amazon.com/Flawless-Fusion-Ultra-Longwear-Foundation-Hazel/dp/B07DZMZLKH/ref=sr_1_5?keywords=Flawless+Fusion+Ultra-Longwear+Concealer&amp;qid=1695565615&amp;sr=8-5")</f>
        <v/>
      </c>
      <c r="F1960" t="inlineStr">
        <is>
          <t>B07DZMZLKH</t>
        </is>
      </c>
      <c r="G1960">
        <f>_xlfn.IMAGE("https://camerareadycosmetics.com/cdn/shop/products/laura_mercier_Flawless_Fusion_Ultra-Longwear_Concealer_05n_50x.jpg?v=1604084673")</f>
        <v/>
      </c>
      <c r="H1960">
        <f>_xlfn.IMAGE("https://m.media-amazon.com/images/I/71azQ7pqSXL._AC_UL320_.jpg")</f>
        <v/>
      </c>
      <c r="K1960" t="inlineStr">
        <is>
          <t>33.0</t>
        </is>
      </c>
      <c r="L1960" t="n">
        <v>20</v>
      </c>
      <c r="M1960" s="1" t="inlineStr">
        <is>
          <t>-39.39%</t>
        </is>
      </c>
      <c r="N1960" t="n">
        <v>5</v>
      </c>
      <c r="O1960" t="n">
        <v>1</v>
      </c>
      <c r="Q1960" t="inlineStr">
        <is>
          <t>InStock</t>
        </is>
      </c>
      <c r="R1960" t="inlineStr">
        <is>
          <t>undefined</t>
        </is>
      </c>
      <c r="S1960" t="inlineStr">
        <is>
          <t>6004285833401</t>
        </is>
      </c>
    </row>
    <row r="1961" ht="75" customHeight="1">
      <c r="A1961" s="2">
        <f>HYPERLINK("https://camerareadycosmetics.com/products/laura-mercier-flawless-fusion-ultra-longwear-foundation", "https://camerareadycosmetics.com/products/laura-mercier-flawless-fusion-ultra-longwear-foundation")</f>
        <v/>
      </c>
      <c r="B1961" s="2">
        <f>HYPERLINK("https://camerareadycosmetics.com/products/laura-mercier-flawless-fusion-ultra-longwear-foundation", "https://camerareadycosmetics.com/products/laura-mercier-flawless-fusion-ultra-longwear-foundation")</f>
        <v/>
      </c>
      <c r="C1961" t="inlineStr">
        <is>
          <t>Flawless Fusion Ultra-Longwear Foundation</t>
        </is>
      </c>
      <c r="D1961" t="inlineStr">
        <is>
          <t>Laura Mercier Flawless Fusion Ultra-Longwear Foundation, Linen, 1 Fl Oz</t>
        </is>
      </c>
      <c r="E1961" s="2">
        <f>HYPERLINK("https://www.amazon.com/Mercier-Flawless-Fusion-Ultra-Longwear-Foundation/dp/B075D24479/ref=sr_1_2?keywords=Flawless+Fusion+Ultra-Longwear+Foundation&amp;qid=1695565656&amp;sr=8-2", "https://www.amazon.com/Mercier-Flawless-Fusion-Ultra-Longwear-Foundation/dp/B075D24479/ref=sr_1_2?keywords=Flawless+Fusion+Ultra-Longwear+Foundation&amp;qid=1695565656&amp;sr=8-2")</f>
        <v/>
      </c>
      <c r="F1961" t="inlineStr">
        <is>
          <t>B075D24479</t>
        </is>
      </c>
      <c r="G1961">
        <f>_xlfn.IMAGE("https://camerareadycosmetics.com/cdn/shop/products/laura_mercier_Flawless_Fusion_Ultra-Longwear_Foundation_1C1_Shell_12701600-1_50x.jpg?v=1579931398")</f>
        <v/>
      </c>
      <c r="H1961">
        <f>_xlfn.IMAGE("https://m.media-amazon.com/images/I/41BOTfbfVXL._AC_UL320_.jpg")</f>
        <v/>
      </c>
      <c r="K1961" t="inlineStr">
        <is>
          <t>49.0</t>
        </is>
      </c>
      <c r="L1961" t="n">
        <v>39.25</v>
      </c>
      <c r="M1961" s="1" t="inlineStr">
        <is>
          <t>-19.90%</t>
        </is>
      </c>
      <c r="N1961" t="n">
        <v>4.3</v>
      </c>
      <c r="O1961" t="n">
        <v>23</v>
      </c>
      <c r="Q1961" t="inlineStr">
        <is>
          <t>InStock</t>
        </is>
      </c>
      <c r="R1961" t="inlineStr">
        <is>
          <t>undefined</t>
        </is>
      </c>
      <c r="S1961" t="inlineStr">
        <is>
          <t>4372358168687</t>
        </is>
      </c>
    </row>
    <row r="1962" ht="75" customHeight="1">
      <c r="A1962" s="2">
        <f>HYPERLINK("https://camerareadycosmetics.com/products/laura-mercier-flawless-fusion-ultra-longwear-foundation", "https://camerareadycosmetics.com/products/laura-mercier-flawless-fusion-ultra-longwear-foundation")</f>
        <v/>
      </c>
      <c r="B1962" s="2">
        <f>HYPERLINK("https://camerareadycosmetics.com/products/laura-mercier-flawless-fusion-ultra-longwear-foundation", "https://camerareadycosmetics.com/products/laura-mercier-flawless-fusion-ultra-longwear-foundation")</f>
        <v/>
      </c>
      <c r="C1962" t="inlineStr">
        <is>
          <t>Flawless Fusion Ultra-Longwear Foundation</t>
        </is>
      </c>
      <c r="D1962" t="inlineStr">
        <is>
          <t>Laura Mercier Flawless Fusion Ultra-Longwear Foundation, Ecru, 1 Fl Oz</t>
        </is>
      </c>
      <c r="E1962" s="2">
        <f>HYPERLINK("https://www.amazon.com/Mercier-Flawless-Fusion-Ultra-Longwear-Foundation/dp/B075DFNB54/ref=sr_1_1?keywords=Flawless+Fusion+Ultra-Longwear+Foundation&amp;qid=1695565656&amp;sr=8-1", "https://www.amazon.com/Mercier-Flawless-Fusion-Ultra-Longwear-Foundation/dp/B075DFNB54/ref=sr_1_1?keywords=Flawless+Fusion+Ultra-Longwear+Foundation&amp;qid=1695565656&amp;sr=8-1")</f>
        <v/>
      </c>
      <c r="F1962" t="inlineStr">
        <is>
          <t>B075DFNB54</t>
        </is>
      </c>
      <c r="G1962">
        <f>_xlfn.IMAGE("https://camerareadycosmetics.com/cdn/shop/products/laura_mercier_Flawless_Fusion_Ultra-Longwear_Foundation_1C1_Shell_12701600-1_50x.jpg?v=1579931398")</f>
        <v/>
      </c>
      <c r="H1962">
        <f>_xlfn.IMAGE("https://m.media-amazon.com/images/I/61D4VrIDYxL._AC_UL320_.jpg")</f>
        <v/>
      </c>
      <c r="K1962" t="inlineStr">
        <is>
          <t>49.0</t>
        </is>
      </c>
      <c r="L1962" t="n">
        <v>36.63</v>
      </c>
      <c r="M1962" s="1" t="inlineStr">
        <is>
          <t>-25.24%</t>
        </is>
      </c>
      <c r="N1962" t="n">
        <v>4.3</v>
      </c>
      <c r="O1962" t="n">
        <v>242</v>
      </c>
      <c r="Q1962" t="inlineStr">
        <is>
          <t>InStock</t>
        </is>
      </c>
      <c r="R1962" t="inlineStr">
        <is>
          <t>undefined</t>
        </is>
      </c>
      <c r="S1962" t="inlineStr">
        <is>
          <t>4372358168687</t>
        </is>
      </c>
    </row>
    <row r="1963" ht="75" customHeight="1">
      <c r="A1963" s="2">
        <f>HYPERLINK("https://camerareadycosmetics.com/products/laura-mercier-flawless-fusion-ultra-longwear-foundation", "https://camerareadycosmetics.com/products/laura-mercier-flawless-fusion-ultra-longwear-foundation")</f>
        <v/>
      </c>
      <c r="B1963" s="2">
        <f>HYPERLINK("https://camerareadycosmetics.com/products/laura-mercier-flawless-fusion-ultra-longwear-foundation", "https://camerareadycosmetics.com/products/laura-mercier-flawless-fusion-ultra-longwear-foundation")</f>
        <v/>
      </c>
      <c r="C1963" t="inlineStr">
        <is>
          <t>Flawless Fusion Ultra-Longwear Foundation</t>
        </is>
      </c>
      <c r="D1963" t="inlineStr">
        <is>
          <t>Flawless Fusion Ultra-Longwear Foundation  5W1 Amber</t>
        </is>
      </c>
      <c r="E1963" s="2">
        <f>HYPERLINK("https://www.amazon.com/Flawless-Fusion-Ultra-Longwear-Foundation-Amber/dp/B07DZNJKRZ/ref=sr_1_3?keywords=Flawless+Fusion+Ultra-Longwear+Foundation&amp;qid=1695565656&amp;sr=8-3", "https://www.amazon.com/Flawless-Fusion-Ultra-Longwear-Foundation-Amber/dp/B07DZNJKRZ/ref=sr_1_3?keywords=Flawless+Fusion+Ultra-Longwear+Foundation&amp;qid=1695565656&amp;sr=8-3")</f>
        <v/>
      </c>
      <c r="F1963" t="inlineStr">
        <is>
          <t>B07DZNJKRZ</t>
        </is>
      </c>
      <c r="G1963">
        <f>_xlfn.IMAGE("https://camerareadycosmetics.com/cdn/shop/products/laura_mercier_Flawless_Fusion_Ultra-Longwear_Foundation_1C1_Shell_12701600-1_50x.jpg?v=1579931398")</f>
        <v/>
      </c>
      <c r="H1963">
        <f>_xlfn.IMAGE("https://m.media-amazon.com/images/I/71bG4X1MzbL._AC_UL320_.jpg")</f>
        <v/>
      </c>
      <c r="K1963" t="inlineStr">
        <is>
          <t>49.0</t>
        </is>
      </c>
      <c r="L1963" t="n">
        <v>18</v>
      </c>
      <c r="M1963" s="1" t="inlineStr">
        <is>
          <t>-63.27%</t>
        </is>
      </c>
      <c r="N1963" t="n">
        <v>5</v>
      </c>
      <c r="O1963" t="n">
        <v>2</v>
      </c>
      <c r="Q1963" t="inlineStr">
        <is>
          <t>InStock</t>
        </is>
      </c>
      <c r="R1963" t="inlineStr">
        <is>
          <t>undefined</t>
        </is>
      </c>
      <c r="S1963" t="inlineStr">
        <is>
          <t>4372358168687</t>
        </is>
      </c>
    </row>
    <row r="1964" ht="75" customHeight="1">
      <c r="A1964" s="2">
        <f>HYPERLINK("https://camerareadycosmetics.com/products/laura-mercier-flawless-fusion-ultra-longwear-foundation", "https://camerareadycosmetics.com/products/laura-mercier-flawless-fusion-ultra-longwear-foundation")</f>
        <v/>
      </c>
      <c r="B1964" s="2">
        <f>HYPERLINK("https://camerareadycosmetics.com/products/laura-mercier-flawless-fusion-ultra-longwear-foundation", "https://camerareadycosmetics.com/products/laura-mercier-flawless-fusion-ultra-longwear-foundation")</f>
        <v/>
      </c>
      <c r="C1964" t="inlineStr">
        <is>
          <t>Flawless Fusion Ultra-Longwear Foundation</t>
        </is>
      </c>
      <c r="D1964" t="inlineStr">
        <is>
          <t>Flawless Fusion Ultra-Longwear Foundation  5N2 Hazelnut</t>
        </is>
      </c>
      <c r="E1964" s="2">
        <f>HYPERLINK("https://www.amazon.com/Flawless-Fusion-Ultra-Longwear-Foundation-Hazel/dp/B07DZMZLKH/ref=sr_1_4?keywords=Flawless+Fusion+Ultra-Longwear+Foundation&amp;qid=1695565656&amp;sr=8-4", "https://www.amazon.com/Flawless-Fusion-Ultra-Longwear-Foundation-Hazel/dp/B07DZMZLKH/ref=sr_1_4?keywords=Flawless+Fusion+Ultra-Longwear+Foundation&amp;qid=1695565656&amp;sr=8-4")</f>
        <v/>
      </c>
      <c r="F1964" t="inlineStr">
        <is>
          <t>B07DZMZLKH</t>
        </is>
      </c>
      <c r="G1964">
        <f>_xlfn.IMAGE("https://camerareadycosmetics.com/cdn/shop/products/laura_mercier_Flawless_Fusion_Ultra-Longwear_Foundation_1C1_Shell_12701600-1_50x.jpg?v=1579931398")</f>
        <v/>
      </c>
      <c r="H1964">
        <f>_xlfn.IMAGE("https://m.media-amazon.com/images/I/71azQ7pqSXL._AC_UL320_.jpg")</f>
        <v/>
      </c>
      <c r="K1964" t="inlineStr">
        <is>
          <t>49.0</t>
        </is>
      </c>
      <c r="L1964" t="n">
        <v>16.69</v>
      </c>
      <c r="M1964" s="1" t="inlineStr">
        <is>
          <t>-65.94%</t>
        </is>
      </c>
      <c r="N1964" t="n">
        <v>5</v>
      </c>
      <c r="O1964" t="n">
        <v>1</v>
      </c>
      <c r="Q1964" t="inlineStr">
        <is>
          <t>InStock</t>
        </is>
      </c>
      <c r="R1964" t="inlineStr">
        <is>
          <t>undefined</t>
        </is>
      </c>
      <c r="S1964" t="inlineStr">
        <is>
          <t>4372358168687</t>
        </is>
      </c>
    </row>
    <row r="1965" ht="75" customHeight="1">
      <c r="A1965" s="2">
        <f>HYPERLINK("https://camerareadycosmetics.com/products/laura-mercier-flawless-fusion-ultra-longwear-foundation", "https://camerareadycosmetics.com/products/laura-mercier-flawless-fusion-ultra-longwear-foundation")</f>
        <v/>
      </c>
      <c r="B1965" s="2">
        <f>HYPERLINK("https://camerareadycosmetics.com/products/laura-mercier-flawless-fusion-ultra-longwear-foundation", "https://camerareadycosmetics.com/products/laura-mercier-flawless-fusion-ultra-longwear-foundation")</f>
        <v/>
      </c>
      <c r="C1965" t="inlineStr">
        <is>
          <t>Flawless Fusion Ultra-Longwear Foundation</t>
        </is>
      </c>
      <c r="D1965" t="inlineStr">
        <is>
          <t>Flawless Fusion Ultra-Longwear Foundation  5W1 Amber</t>
        </is>
      </c>
      <c r="E1965" s="2">
        <f>HYPERLINK("https://www.amazon.com/Flawless-Fusion-Ultra-Longwear-Foundation-Amber/dp/B07DZNJKRZ/ref=sr_1_3?keywords=Flawless+Fusion+Ultra-Longwear+Foundation&amp;qid=1695565656&amp;sr=8-3", "https://www.amazon.com/Flawless-Fusion-Ultra-Longwear-Foundation-Amber/dp/B07DZNJKRZ/ref=sr_1_3?keywords=Flawless+Fusion+Ultra-Longwear+Foundation&amp;qid=1695565656&amp;sr=8-3")</f>
        <v/>
      </c>
      <c r="F1965" t="inlineStr">
        <is>
          <t>B07DZNJKRZ</t>
        </is>
      </c>
      <c r="G1965">
        <f>_xlfn.IMAGE("https://camerareadycosmetics.com/cdn/shop/products/laura_mercier_Flawless_Fusion_Ultra-Longwear_Foundation_1C1_Shell_12701600-1_50x.jpg?v=1579931398")</f>
        <v/>
      </c>
      <c r="H1965">
        <f>_xlfn.IMAGE("https://m.media-amazon.com/images/I/71bG4X1MzbL._AC_UL320_.jpg")</f>
        <v/>
      </c>
      <c r="K1965" t="inlineStr">
        <is>
          <t>49.0</t>
        </is>
      </c>
      <c r="L1965" t="n">
        <v>18</v>
      </c>
      <c r="M1965" s="1" t="inlineStr">
        <is>
          <t>-63.27%</t>
        </is>
      </c>
      <c r="N1965" t="n">
        <v>5</v>
      </c>
      <c r="O1965" t="n">
        <v>2</v>
      </c>
      <c r="Q1965" t="inlineStr">
        <is>
          <t>InStock</t>
        </is>
      </c>
      <c r="R1965" t="inlineStr">
        <is>
          <t>undefined</t>
        </is>
      </c>
      <c r="S1965" t="inlineStr">
        <is>
          <t>4372358168687</t>
        </is>
      </c>
    </row>
    <row r="1966" ht="75" customHeight="1">
      <c r="A1966" s="2">
        <f>HYPERLINK("https://camerareadycosmetics.com/products/laura-mercier-flawless-fusion-ultra-longwear-foundation", "https://camerareadycosmetics.com/products/laura-mercier-flawless-fusion-ultra-longwear-foundation")</f>
        <v/>
      </c>
      <c r="B1966" s="2">
        <f>HYPERLINK("https://camerareadycosmetics.com/products/laura-mercier-flawless-fusion-ultra-longwear-foundation", "https://camerareadycosmetics.com/products/laura-mercier-flawless-fusion-ultra-longwear-foundation")</f>
        <v/>
      </c>
      <c r="C1966" t="inlineStr">
        <is>
          <t>Flawless Fusion Ultra-Longwear Foundation</t>
        </is>
      </c>
      <c r="D1966" t="inlineStr">
        <is>
          <t>Flawless Fusion Ultra-Longwear Foundation  5N2 Hazelnut</t>
        </is>
      </c>
      <c r="E1966" s="2">
        <f>HYPERLINK("https://www.amazon.com/Flawless-Fusion-Ultra-Longwear-Foundation-Hazel/dp/B07DZMZLKH/ref=sr_1_4?keywords=Flawless+Fusion+Ultra-Longwear+Foundation&amp;qid=1695565656&amp;sr=8-4", "https://www.amazon.com/Flawless-Fusion-Ultra-Longwear-Foundation-Hazel/dp/B07DZMZLKH/ref=sr_1_4?keywords=Flawless+Fusion+Ultra-Longwear+Foundation&amp;qid=1695565656&amp;sr=8-4")</f>
        <v/>
      </c>
      <c r="F1966" t="inlineStr">
        <is>
          <t>B07DZMZLKH</t>
        </is>
      </c>
      <c r="G1966">
        <f>_xlfn.IMAGE("https://camerareadycosmetics.com/cdn/shop/products/laura_mercier_Flawless_Fusion_Ultra-Longwear_Foundation_1C1_Shell_12701600-1_50x.jpg?v=1579931398")</f>
        <v/>
      </c>
      <c r="H1966">
        <f>_xlfn.IMAGE("https://m.media-amazon.com/images/I/71azQ7pqSXL._AC_UL320_.jpg")</f>
        <v/>
      </c>
      <c r="K1966" t="inlineStr">
        <is>
          <t>49.0</t>
        </is>
      </c>
      <c r="L1966" t="n">
        <v>16.69</v>
      </c>
      <c r="M1966" s="1" t="inlineStr">
        <is>
          <t>-65.94%</t>
        </is>
      </c>
      <c r="N1966" t="n">
        <v>5</v>
      </c>
      <c r="O1966" t="n">
        <v>1</v>
      </c>
      <c r="Q1966" t="inlineStr">
        <is>
          <t>InStock</t>
        </is>
      </c>
      <c r="R1966" t="inlineStr">
        <is>
          <t>undefined</t>
        </is>
      </c>
      <c r="S1966" t="inlineStr">
        <is>
          <t>4372358168687</t>
        </is>
      </c>
    </row>
    <row r="1967" ht="75" customHeight="1">
      <c r="A1967" s="2">
        <f>HYPERLINK("https://camerareadycosmetics.com/products/laura-mercier-high-vibe-lip-color", "https://camerareadycosmetics.com/products/laura-mercier-high-vibe-lip-color")</f>
        <v/>
      </c>
      <c r="B1967" s="2">
        <f>HYPERLINK("https://camerareadycosmetics.com/products/laura-mercier-high-vibe-lip-color", "https://camerareadycosmetics.com/products/laura-mercier-high-vibe-lip-color")</f>
        <v/>
      </c>
      <c r="C1967" t="inlineStr">
        <is>
          <t>High Vibe Lip Color</t>
        </is>
      </c>
      <c r="D1967" t="inlineStr">
        <is>
          <t>Julep So Plush Hydrating Lip Gloss - Vibes - High-Shine Hydrating Lightweight Lip Color - Non-Sticky Formula - Vitamin E Soothes and Repairs Lips</t>
        </is>
      </c>
      <c r="E1967" s="2">
        <f>HYPERLINK("https://www.amazon.com/Julep-High-Shine-Hydrating-Lightweight-Comfortable/dp/B076NC9QCM/ref=sr_1_2?keywords=High+Vibe+Lip+Color&amp;qid=1695565883&amp;sr=8-2", "https://www.amazon.com/Julep-High-Shine-Hydrating-Lightweight-Comfortable/dp/B076NC9QCM/ref=sr_1_2?keywords=High+Vibe+Lip+Color&amp;qid=1695565883&amp;sr=8-2")</f>
        <v/>
      </c>
      <c r="F1967" t="inlineStr">
        <is>
          <t>B076NC9QCM</t>
        </is>
      </c>
      <c r="G1967">
        <f>_xlfn.IMAGE("https://camerareadycosmetics.com/cdn/shop/products/LM_SP23_HVLC_Macro_Peek_2000x2000_R300_50x.jpg?v=1688677871")</f>
        <v/>
      </c>
      <c r="H1967">
        <f>_xlfn.IMAGE("https://m.media-amazon.com/images/I/61PZl65eQUL._AC_UL320_.jpg")</f>
        <v/>
      </c>
      <c r="K1967" t="inlineStr">
        <is>
          <t>32.0</t>
        </is>
      </c>
      <c r="L1967" t="n">
        <v>16</v>
      </c>
      <c r="M1967" s="1" t="inlineStr">
        <is>
          <t>-50.00%</t>
        </is>
      </c>
      <c r="N1967" t="n">
        <v>4.3</v>
      </c>
      <c r="O1967" t="n">
        <v>570</v>
      </c>
      <c r="Q1967" t="inlineStr">
        <is>
          <t>InStock</t>
        </is>
      </c>
      <c r="R1967" t="inlineStr">
        <is>
          <t>undefined</t>
        </is>
      </c>
      <c r="S1967" t="inlineStr">
        <is>
          <t>7565408665785</t>
        </is>
      </c>
    </row>
    <row r="1968" ht="75" customHeight="1">
      <c r="A1968" s="2">
        <f>HYPERLINK("https://camerareadycosmetics.com/products/laura-mercier-high-vibe-lip-color", "https://camerareadycosmetics.com/products/laura-mercier-high-vibe-lip-color")</f>
        <v/>
      </c>
      <c r="B1968" s="2">
        <f>HYPERLINK("https://camerareadycosmetics.com/products/laura-mercier-high-vibe-lip-color", "https://camerareadycosmetics.com/products/laura-mercier-high-vibe-lip-color")</f>
        <v/>
      </c>
      <c r="C1968" t="inlineStr">
        <is>
          <t>High Vibe Lip Color</t>
        </is>
      </c>
      <c r="D1968" t="inlineStr">
        <is>
          <t>BINGBRUSH 3 Pcs Color Changing Lip Gloss Lip Oil Tinted, Peaches Strawberry Watermelon Magic Mood Lipstick, High-Shine Clear PH Color Change Lip Stain Lip Balm, Longlasting Lips Will Not Dry Out</t>
        </is>
      </c>
      <c r="E1968" s="2">
        <f>HYPERLINK("https://www.amazon.com/BINGBRUSH-Strawberry-Watermelon-High-Shine-Longlasting/dp/B0BY3ZGDDC/ref=sr_1_9?keywords=High+Vibe+Lip+Color&amp;qid=1695565883&amp;sr=8-9", "https://www.amazon.com/BINGBRUSH-Strawberry-Watermelon-High-Shine-Longlasting/dp/B0BY3ZGDDC/ref=sr_1_9?keywords=High+Vibe+Lip+Color&amp;qid=1695565883&amp;sr=8-9")</f>
        <v/>
      </c>
      <c r="F1968" t="inlineStr">
        <is>
          <t>B0BY3ZGDDC</t>
        </is>
      </c>
      <c r="G1968">
        <f>_xlfn.IMAGE("https://camerareadycosmetics.com/cdn/shop/products/LM_SP23_HVLC_Macro_Peek_2000x2000_R300_50x.jpg?v=1688677871")</f>
        <v/>
      </c>
      <c r="H1968">
        <f>_xlfn.IMAGE("https://m.media-amazon.com/images/I/61T3E2XBFxL._AC_UL320_.jpg")</f>
        <v/>
      </c>
      <c r="K1968" t="inlineStr">
        <is>
          <t>32.0</t>
        </is>
      </c>
      <c r="L1968" t="n">
        <v>9.98</v>
      </c>
      <c r="M1968" s="1" t="inlineStr">
        <is>
          <t>-68.81%</t>
        </is>
      </c>
      <c r="N1968" t="n">
        <v>4.1</v>
      </c>
      <c r="O1968" t="n">
        <v>726</v>
      </c>
      <c r="Q1968" t="inlineStr">
        <is>
          <t>InStock</t>
        </is>
      </c>
      <c r="R1968" t="inlineStr">
        <is>
          <t>undefined</t>
        </is>
      </c>
      <c r="S1968" t="inlineStr">
        <is>
          <t>7565408665785</t>
        </is>
      </c>
    </row>
    <row r="1969" ht="75" customHeight="1">
      <c r="A1969" s="2">
        <f>HYPERLINK("https://camerareadycosmetics.com/products/laura-mercier-high-vibe-lip-color", "https://camerareadycosmetics.com/products/laura-mercier-high-vibe-lip-color")</f>
        <v/>
      </c>
      <c r="B1969" s="2">
        <f>HYPERLINK("https://camerareadycosmetics.com/products/laura-mercier-high-vibe-lip-color", "https://camerareadycosmetics.com/products/laura-mercier-high-vibe-lip-color")</f>
        <v/>
      </c>
      <c r="C1969" t="inlineStr">
        <is>
          <t>High Vibe Lip Color</t>
        </is>
      </c>
      <c r="D1969" t="inlineStr">
        <is>
          <t>Avon Mark High Gleam Shimmering Lip Gloss, Violet Vibe</t>
        </is>
      </c>
      <c r="E1969" s="2">
        <f>HYPERLINK("https://www.amazon.com/Avon-Gleam-Shimmering-Gloss-Violet/dp/B00C403IXA/ref=sr_1_3?keywords=High+Vibe+Lip+Color&amp;qid=1695565883&amp;sr=8-3", "https://www.amazon.com/Avon-Gleam-Shimmering-Gloss-Violet/dp/B00C403IXA/ref=sr_1_3?keywords=High+Vibe+Lip+Color&amp;qid=1695565883&amp;sr=8-3")</f>
        <v/>
      </c>
      <c r="F1969" t="inlineStr">
        <is>
          <t>B00C403IXA</t>
        </is>
      </c>
      <c r="G1969">
        <f>_xlfn.IMAGE("https://camerareadycosmetics.com/cdn/shop/products/LM_SP23_HVLC_Macro_Peek_2000x2000_R300_50x.jpg?v=1688677871")</f>
        <v/>
      </c>
      <c r="H1969">
        <f>_xlfn.IMAGE("https://m.media-amazon.com/images/I/61PL9SydJpL._AC_UL320_.jpg")</f>
        <v/>
      </c>
      <c r="K1969" t="inlineStr">
        <is>
          <t>32.0</t>
        </is>
      </c>
      <c r="L1969" t="n">
        <v>4.95</v>
      </c>
      <c r="M1969" s="1" t="inlineStr">
        <is>
          <t>-84.53%</t>
        </is>
      </c>
      <c r="N1969" t="n">
        <v>4.6</v>
      </c>
      <c r="O1969" t="n">
        <v>12</v>
      </c>
      <c r="Q1969" t="inlineStr">
        <is>
          <t>InStock</t>
        </is>
      </c>
      <c r="R1969" t="inlineStr">
        <is>
          <t>undefined</t>
        </is>
      </c>
      <c r="S1969" t="inlineStr">
        <is>
          <t>7565408665785</t>
        </is>
      </c>
    </row>
    <row r="1970" ht="75" customHeight="1">
      <c r="A1970" s="2">
        <f>HYPERLINK("https://camerareadycosmetics.com/products/laura-mercier-high-vibe-lip-color", "https://camerareadycosmetics.com/products/laura-mercier-high-vibe-lip-color")</f>
        <v/>
      </c>
      <c r="B1970" s="2">
        <f>HYPERLINK("https://camerareadycosmetics.com/products/laura-mercier-high-vibe-lip-color", "https://camerareadycosmetics.com/products/laura-mercier-high-vibe-lip-color")</f>
        <v/>
      </c>
      <c r="C1970" t="inlineStr">
        <is>
          <t>High Vibe Lip Color</t>
        </is>
      </c>
      <c r="D1970" t="inlineStr">
        <is>
          <t>wet n wild Lipstick Mega Last High-Shine Lipstick Lip Color Makeup, Rosé And Slay</t>
        </is>
      </c>
      <c r="E1970" s="2">
        <f>HYPERLINK("https://www.amazon.com/wild-Mega-Last-High-Shine-Color/dp/B082YPRCMQ/ref=sr_1_1?keywords=High+Vibe+Lip+Color&amp;qid=1695565883&amp;sr=8-1", "https://www.amazon.com/wild-Mega-Last-High-Shine-Color/dp/B082YPRCMQ/ref=sr_1_1?keywords=High+Vibe+Lip+Color&amp;qid=1695565883&amp;sr=8-1")</f>
        <v/>
      </c>
      <c r="F1970" t="inlineStr">
        <is>
          <t>B082YPRCMQ</t>
        </is>
      </c>
      <c r="G1970">
        <f>_xlfn.IMAGE("https://camerareadycosmetics.com/cdn/shop/products/LM_SP23_HVLC_Macro_Peek_2000x2000_R300_50x.jpg?v=1688677871")</f>
        <v/>
      </c>
      <c r="H1970">
        <f>_xlfn.IMAGE("https://m.media-amazon.com/images/I/716wnZb7KyL._AC_UL320_.jpg")</f>
        <v/>
      </c>
      <c r="K1970" t="inlineStr">
        <is>
          <t>32.0</t>
        </is>
      </c>
      <c r="L1970" t="n">
        <v>2.28</v>
      </c>
      <c r="M1970" s="1" t="inlineStr">
        <is>
          <t>-92.88%</t>
        </is>
      </c>
      <c r="N1970" t="n">
        <v>4</v>
      </c>
      <c r="O1970" t="n">
        <v>23826</v>
      </c>
      <c r="Q1970" t="inlineStr">
        <is>
          <t>InStock</t>
        </is>
      </c>
      <c r="R1970" t="inlineStr">
        <is>
          <t>undefined</t>
        </is>
      </c>
      <c r="S1970" t="inlineStr">
        <is>
          <t>7565408665785</t>
        </is>
      </c>
    </row>
    <row r="1971" ht="75" customHeight="1">
      <c r="A1971" s="2">
        <f>HYPERLINK("https://camerareadycosmetics.com/products/laura-mercier-lip-glace", "https://camerareadycosmetics.com/products/laura-mercier-lip-glace")</f>
        <v/>
      </c>
      <c r="B1971" s="2">
        <f>HYPERLINK("https://camerareadycosmetics.com/products/laura-mercier-lip-glace", "https://camerareadycosmetics.com/products/laura-mercier-lip-glace")</f>
        <v/>
      </c>
      <c r="C1971" t="inlineStr">
        <is>
          <t>Lip Glacé</t>
        </is>
      </c>
      <c r="D1971" t="inlineStr">
        <is>
          <t>Laura Mercier Lip Glacé Lip Gloss 175 Baby Doll</t>
        </is>
      </c>
      <c r="E1971" s="2">
        <f>HYPERLINK("https://www.amazon.com/Laura-Mercier-Glace-Hydrating-Moisturizing/dp/B0B2224Y88/ref=sr_1_9?keywords=Lip+Glac%C3%A9&amp;qid=1695565786&amp;sr=8-9", "https://www.amazon.com/Laura-Mercier-Glace-Hydrating-Moisturizing/dp/B0B2224Y88/ref=sr_1_9?keywords=Lip+Glac%C3%A9&amp;qid=1695565786&amp;sr=8-9")</f>
        <v/>
      </c>
      <c r="F1971" t="inlineStr">
        <is>
          <t>B0B2224Y88</t>
        </is>
      </c>
      <c r="G1971">
        <f>_xlfn.IMAGE("https://camerareadycosmetics.com/cdn/shop/files/laura_mercier_Lip_Glac_C3_A9_Rose_Syrup_12719325-4_50x.jpg?v=1687203975")</f>
        <v/>
      </c>
      <c r="H1971">
        <f>_xlfn.IMAGE("https://m.media-amazon.com/images/I/31r5lWVmW7L._AC_UL320_.jpg")</f>
        <v/>
      </c>
      <c r="K1971" t="inlineStr">
        <is>
          <t>29.0</t>
        </is>
      </c>
      <c r="L1971" t="n">
        <v>33.95</v>
      </c>
      <c r="M1971" s="1" t="inlineStr">
        <is>
          <t>17.07%</t>
        </is>
      </c>
      <c r="N1971" t="n">
        <v>4</v>
      </c>
      <c r="O1971" t="n">
        <v>1</v>
      </c>
      <c r="Q1971" t="inlineStr">
        <is>
          <t>InStock</t>
        </is>
      </c>
      <c r="R1971" t="inlineStr">
        <is>
          <t>undefined</t>
        </is>
      </c>
      <c r="S1971" t="inlineStr">
        <is>
          <t>7381518352569</t>
        </is>
      </c>
    </row>
    <row r="1972" ht="75" customHeight="1">
      <c r="A1972" s="2">
        <f>HYPERLINK("https://camerareadycosmetics.com/products/laura-mercier-lip-glace", "https://camerareadycosmetics.com/products/laura-mercier-lip-glace")</f>
        <v/>
      </c>
      <c r="B1972" s="2">
        <f>HYPERLINK("https://camerareadycosmetics.com/products/laura-mercier-lip-glace", "https://camerareadycosmetics.com/products/laura-mercier-lip-glace")</f>
        <v/>
      </c>
      <c r="C1972" t="inlineStr">
        <is>
          <t>Lip Glacé</t>
        </is>
      </c>
      <c r="D1972" t="inlineStr">
        <is>
          <t>Laura Mercier Lip Glacé Lip Gloss 125 Rosé</t>
        </is>
      </c>
      <c r="E1972" s="2">
        <f>HYPERLINK("https://www.amazon.com/Laura-Mercier-Glace-Hydrating-Moisturizing/dp/B0B2237QPF/ref=sr_1_5?keywords=Lip+Glac%C3%A9&amp;qid=1695565786&amp;sr=8-5", "https://www.amazon.com/Laura-Mercier-Glace-Hydrating-Moisturizing/dp/B0B2237QPF/ref=sr_1_5?keywords=Lip+Glac%C3%A9&amp;qid=1695565786&amp;sr=8-5")</f>
        <v/>
      </c>
      <c r="F1972" t="inlineStr">
        <is>
          <t>B0B2237QPF</t>
        </is>
      </c>
      <c r="G1972">
        <f>_xlfn.IMAGE("https://camerareadycosmetics.com/cdn/shop/files/laura_mercier_Lip_Glac_C3_A9_Rose_Syrup_12719325-4_50x.jpg?v=1687203975")</f>
        <v/>
      </c>
      <c r="H1972">
        <f>_xlfn.IMAGE("https://m.media-amazon.com/images/I/3105a9ZMP2L._AC_UL320_.jpg")</f>
        <v/>
      </c>
      <c r="K1972" t="inlineStr">
        <is>
          <t>29.0</t>
        </is>
      </c>
      <c r="L1972" t="n">
        <v>33.95</v>
      </c>
      <c r="M1972" s="1" t="inlineStr">
        <is>
          <t>17.07%</t>
        </is>
      </c>
      <c r="N1972" t="n">
        <v>1</v>
      </c>
      <c r="O1972" t="n">
        <v>1</v>
      </c>
      <c r="Q1972" t="inlineStr">
        <is>
          <t>InStock</t>
        </is>
      </c>
      <c r="R1972" t="inlineStr">
        <is>
          <t>undefined</t>
        </is>
      </c>
      <c r="S1972" t="inlineStr">
        <is>
          <t>7381518352569</t>
        </is>
      </c>
    </row>
    <row r="1973" ht="75" customHeight="1">
      <c r="A1973" s="2">
        <f>HYPERLINK("https://camerareadycosmetics.com/products/laura-mercier-lip-glace", "https://camerareadycosmetics.com/products/laura-mercier-lip-glace")</f>
        <v/>
      </c>
      <c r="B1973" s="2">
        <f>HYPERLINK("https://camerareadycosmetics.com/products/laura-mercier-lip-glace", "https://camerareadycosmetics.com/products/laura-mercier-lip-glace")</f>
        <v/>
      </c>
      <c r="C1973" t="inlineStr">
        <is>
          <t>Lip Glacé</t>
        </is>
      </c>
      <c r="D1973" t="inlineStr">
        <is>
          <t>mude Glacé Lip Tint Long-Lasting Liquid Stain Buildable Layer with Glossy Finish for Juicy Glowy Lips K-Beauty K-Cosmetics</t>
        </is>
      </c>
      <c r="E1973" s="2">
        <f>HYPERLINK("https://www.amazon.com/mude-Long-Lasting-Buildable-K-Beauty-K-Cosmetics/dp/B0B9FY57TF/ref=sr_1_1?keywords=Lip+Glac%C3%A9&amp;qid=1695565786&amp;sr=8-1", "https://www.amazon.com/mude-Long-Lasting-Buildable-K-Beauty-K-Cosmetics/dp/B0B9FY57TF/ref=sr_1_1?keywords=Lip+Glac%C3%A9&amp;qid=1695565786&amp;sr=8-1")</f>
        <v/>
      </c>
      <c r="F1973" t="inlineStr">
        <is>
          <t>B0B9FY57TF</t>
        </is>
      </c>
      <c r="G1973">
        <f>_xlfn.IMAGE("https://camerareadycosmetics.com/cdn/shop/files/laura_mercier_Lip_Glac_C3_A9_Rose_Syrup_12719325-4_50x.jpg?v=1687203975")</f>
        <v/>
      </c>
      <c r="H1973">
        <f>_xlfn.IMAGE("https://m.media-amazon.com/images/I/51u8yapi-LL._AC_UL320_.jpg")</f>
        <v/>
      </c>
      <c r="K1973" t="inlineStr">
        <is>
          <t>29.0</t>
        </is>
      </c>
      <c r="L1973" t="n">
        <v>15.99</v>
      </c>
      <c r="M1973" s="1" t="inlineStr">
        <is>
          <t>-44.86%</t>
        </is>
      </c>
      <c r="N1973" t="n">
        <v>4.3</v>
      </c>
      <c r="O1973" t="n">
        <v>9</v>
      </c>
      <c r="Q1973" t="inlineStr">
        <is>
          <t>InStock</t>
        </is>
      </c>
      <c r="R1973" t="inlineStr">
        <is>
          <t>undefined</t>
        </is>
      </c>
      <c r="S1973" t="inlineStr">
        <is>
          <t>7381518352569</t>
        </is>
      </c>
    </row>
    <row r="1974" ht="75" customHeight="1">
      <c r="A1974" s="2">
        <f>HYPERLINK("https://camerareadycosmetics.com/products/laura-mercier-pure-canvas-primer-blurring", "https://camerareadycosmetics.com/products/laura-mercier-pure-canvas-primer-blurring")</f>
        <v/>
      </c>
      <c r="B1974" s="2">
        <f>HYPERLINK("https://camerareadycosmetics.com/products/laura-mercier-pure-canvas-primer-blurring", "https://camerareadycosmetics.com/products/laura-mercier-pure-canvas-primer-blurring")</f>
        <v/>
      </c>
      <c r="C1974" t="inlineStr">
        <is>
          <t>Pure Canvas Primer - Blurring</t>
        </is>
      </c>
      <c r="D1974" t="inlineStr">
        <is>
          <t>Laura Mercier Pure Canvas Primer Protecting, 1.7 Fl Oz</t>
        </is>
      </c>
      <c r="E1974" s="2">
        <f>HYPERLINK("https://www.amazon.com/Laura-Mercier-Canvas-Primer-Protecting/dp/B083V4CBX4/ref=sr_1_5?keywords=Pure+Canvas+Primer+-+Blurring&amp;qid=1695565703&amp;sr=8-5", "https://www.amazon.com/Laura-Mercier-Canvas-Primer-Protecting/dp/B083V4CBX4/ref=sr_1_5?keywords=Pure+Canvas+Primer+-+Blurring&amp;qid=1695565703&amp;sr=8-5")</f>
        <v/>
      </c>
      <c r="F1974" t="inlineStr">
        <is>
          <t>B083V4CBX4</t>
        </is>
      </c>
      <c r="G1974">
        <f>_xlfn.IMAGE("https://camerareadycosmetics.com/cdn/shop/products/Laura-Mercier-Pure-Canvas-Primer-Blurring-1.7oz_50x.jpg?v=1584283939")</f>
        <v/>
      </c>
      <c r="H1974">
        <f>_xlfn.IMAGE("https://m.media-amazon.com/images/I/61V5BE+bQJL._AC_UL320_.jpg")</f>
        <v/>
      </c>
      <c r="K1974" t="inlineStr">
        <is>
          <t>25.0</t>
        </is>
      </c>
      <c r="L1974" t="n">
        <v>51.95</v>
      </c>
      <c r="M1974" s="1" t="inlineStr">
        <is>
          <t>107.80%</t>
        </is>
      </c>
      <c r="N1974" t="n">
        <v>4.6</v>
      </c>
      <c r="O1974" t="n">
        <v>89</v>
      </c>
      <c r="Q1974" t="inlineStr">
        <is>
          <t>InStock</t>
        </is>
      </c>
      <c r="R1974" t="inlineStr">
        <is>
          <t>undefined</t>
        </is>
      </c>
      <c r="S1974" t="inlineStr">
        <is>
          <t>4398078263407</t>
        </is>
      </c>
    </row>
    <row r="1975" ht="75" customHeight="1">
      <c r="A1975" s="2">
        <f>HYPERLINK("https://camerareadycosmetics.com/products/laura-mercier-pure-canvas-primer-blurring", "https://camerareadycosmetics.com/products/laura-mercier-pure-canvas-primer-blurring")</f>
        <v/>
      </c>
      <c r="B1975" s="2">
        <f>HYPERLINK("https://camerareadycosmetics.com/products/laura-mercier-pure-canvas-primer-blurring", "https://camerareadycosmetics.com/products/laura-mercier-pure-canvas-primer-blurring")</f>
        <v/>
      </c>
      <c r="C1975" t="inlineStr">
        <is>
          <t>Pure Canvas Primer - Blurring</t>
        </is>
      </c>
      <c r="D1975" t="inlineStr">
        <is>
          <t>Laura Mercier Pure Canvas Primer Hydrating, 1.7 Fl Oz</t>
        </is>
      </c>
      <c r="E1975" s="2">
        <f>HYPERLINK("https://www.amazon.com/Laura-Mercier-Canvas-Primer-Hydrating/dp/B083V5BRLV/ref=sr_1_6?keywords=Pure+Canvas+Primer+-+Blurring&amp;qid=1695565703&amp;sr=8-6", "https://www.amazon.com/Laura-Mercier-Canvas-Primer-Hydrating/dp/B083V5BRLV/ref=sr_1_6?keywords=Pure+Canvas+Primer+-+Blurring&amp;qid=1695565703&amp;sr=8-6")</f>
        <v/>
      </c>
      <c r="F1975" t="inlineStr">
        <is>
          <t>B083V5BRLV</t>
        </is>
      </c>
      <c r="G1975">
        <f>_xlfn.IMAGE("https://camerareadycosmetics.com/cdn/shop/products/Laura-Mercier-Pure-Canvas-Primer-Blurring-1.7oz_50x.jpg?v=1584283939")</f>
        <v/>
      </c>
      <c r="H1975">
        <f>_xlfn.IMAGE("https://m.media-amazon.com/images/I/61qyy3D5iYL._AC_UL320_.jpg")</f>
        <v/>
      </c>
      <c r="K1975" t="inlineStr">
        <is>
          <t>25.0</t>
        </is>
      </c>
      <c r="L1975" t="n">
        <v>46.57</v>
      </c>
      <c r="M1975" s="1" t="inlineStr">
        <is>
          <t>86.28%</t>
        </is>
      </c>
      <c r="N1975" t="n">
        <v>4.5</v>
      </c>
      <c r="O1975" t="n">
        <v>300</v>
      </c>
      <c r="Q1975" t="inlineStr">
        <is>
          <t>InStock</t>
        </is>
      </c>
      <c r="R1975" t="inlineStr">
        <is>
          <t>undefined</t>
        </is>
      </c>
      <c r="S1975" t="inlineStr">
        <is>
          <t>4398078263407</t>
        </is>
      </c>
    </row>
    <row r="1976" ht="75" customHeight="1">
      <c r="A1976" s="2">
        <f>HYPERLINK("https://camerareadycosmetics.com/products/laura-mercier-pure-canvas-primer-blurring", "https://camerareadycosmetics.com/products/laura-mercier-pure-canvas-primer-blurring")</f>
        <v/>
      </c>
      <c r="B1976" s="2">
        <f>HYPERLINK("https://camerareadycosmetics.com/products/laura-mercier-pure-canvas-primer-blurring", "https://camerareadycosmetics.com/products/laura-mercier-pure-canvas-primer-blurring")</f>
        <v/>
      </c>
      <c r="C1976" t="inlineStr">
        <is>
          <t>Pure Canvas Primer - Blurring</t>
        </is>
      </c>
      <c r="D1976" t="inlineStr">
        <is>
          <t>Laura Mercier Pure Canvas Primer Blurring, 1.7 Fl Oz</t>
        </is>
      </c>
      <c r="E1976" s="2">
        <f>HYPERLINK("https://www.amazon.com/Laura-Mercier-Canvas-Primer-Blurring/dp/B083V567DT/ref=sr_1_1?keywords=Pure+Canvas+Primer+-+Blurring&amp;qid=1695565703&amp;sr=8-1", "https://www.amazon.com/Laura-Mercier-Canvas-Primer-Blurring/dp/B083V567DT/ref=sr_1_1?keywords=Pure+Canvas+Primer+-+Blurring&amp;qid=1695565703&amp;sr=8-1")</f>
        <v/>
      </c>
      <c r="F1976" t="inlineStr">
        <is>
          <t>B083V567DT</t>
        </is>
      </c>
      <c r="G1976">
        <f>_xlfn.IMAGE("https://camerareadycosmetics.com/cdn/shop/products/Laura-Mercier-Pure-Canvas-Primer-Blurring-1.7oz_50x.jpg?v=1584283939")</f>
        <v/>
      </c>
      <c r="H1976">
        <f>_xlfn.IMAGE("https://m.media-amazon.com/images/I/61UU1G5efbS._AC_UL320_.jpg")</f>
        <v/>
      </c>
      <c r="K1976" t="inlineStr">
        <is>
          <t>25.0</t>
        </is>
      </c>
      <c r="L1976" t="n">
        <v>32.09</v>
      </c>
      <c r="M1976" s="1" t="inlineStr">
        <is>
          <t>28.36%</t>
        </is>
      </c>
      <c r="N1976" t="n">
        <v>4.2</v>
      </c>
      <c r="O1976" t="n">
        <v>165</v>
      </c>
      <c r="Q1976" t="inlineStr">
        <is>
          <t>InStock</t>
        </is>
      </c>
      <c r="R1976" t="inlineStr">
        <is>
          <t>undefined</t>
        </is>
      </c>
      <c r="S1976" t="inlineStr">
        <is>
          <t>4398078263407</t>
        </is>
      </c>
    </row>
    <row r="1977" ht="75" customHeight="1">
      <c r="A1977" s="2">
        <f>HYPERLINK("https://camerareadycosmetics.com/products/laura-mercier-pure-canvas-primer-hydrating", "https://camerareadycosmetics.com/products/laura-mercier-pure-canvas-primer-hydrating")</f>
        <v/>
      </c>
      <c r="B1977" s="2">
        <f>HYPERLINK("https://camerareadycosmetics.com/products/laura-mercier-pure-canvas-primer-hydrating", "https://camerareadycosmetics.com/products/laura-mercier-pure-canvas-primer-hydrating")</f>
        <v/>
      </c>
      <c r="C1977" t="inlineStr">
        <is>
          <t>Pure Canvas Primer - Hydrating</t>
        </is>
      </c>
      <c r="D1977" t="inlineStr">
        <is>
          <t>Laura Mercier Pure Canvas Primer Protecting, 1.7 Fl Oz</t>
        </is>
      </c>
      <c r="E1977" s="2">
        <f>HYPERLINK("https://www.amazon.com/Laura-Mercier-Canvas-Primer-Protecting/dp/B083V4CBX4/ref=sr_1_6?keywords=Pure+Canvas+Primer+-+Hydrating&amp;qid=1695565761&amp;sr=8-6", "https://www.amazon.com/Laura-Mercier-Canvas-Primer-Protecting/dp/B083V4CBX4/ref=sr_1_6?keywords=Pure+Canvas+Primer+-+Hydrating&amp;qid=1695565761&amp;sr=8-6")</f>
        <v/>
      </c>
      <c r="F1977" t="inlineStr">
        <is>
          <t>B083V4CBX4</t>
        </is>
      </c>
      <c r="G1977">
        <f>_xlfn.IMAGE("https://camerareadycosmetics.com/cdn/shop/products/Laura-Mercier-Pure-Canvas-Primer-Hydrating-Travel-Size_50x.jpg?v=1584283939")</f>
        <v/>
      </c>
      <c r="H1977">
        <f>_xlfn.IMAGE("https://m.media-amazon.com/images/I/61V5BE+bQJL._AC_UL320_.jpg")</f>
        <v/>
      </c>
      <c r="K1977" t="inlineStr">
        <is>
          <t>25.0</t>
        </is>
      </c>
      <c r="L1977" t="n">
        <v>51.95</v>
      </c>
      <c r="M1977" s="1" t="inlineStr">
        <is>
          <t>107.80%</t>
        </is>
      </c>
      <c r="N1977" t="n">
        <v>4.6</v>
      </c>
      <c r="O1977" t="n">
        <v>89</v>
      </c>
      <c r="Q1977" t="inlineStr">
        <is>
          <t>InStock</t>
        </is>
      </c>
      <c r="R1977" t="inlineStr">
        <is>
          <t>undefined</t>
        </is>
      </c>
      <c r="S1977" t="inlineStr">
        <is>
          <t>4398140391535</t>
        </is>
      </c>
    </row>
    <row r="1978" ht="75" customHeight="1">
      <c r="A1978" s="2">
        <f>HYPERLINK("https://camerareadycosmetics.com/products/laura-mercier-pure-canvas-primer-hydrating", "https://camerareadycosmetics.com/products/laura-mercier-pure-canvas-primer-hydrating")</f>
        <v/>
      </c>
      <c r="B1978" s="2">
        <f>HYPERLINK("https://camerareadycosmetics.com/products/laura-mercier-pure-canvas-primer-hydrating", "https://camerareadycosmetics.com/products/laura-mercier-pure-canvas-primer-hydrating")</f>
        <v/>
      </c>
      <c r="C1978" t="inlineStr">
        <is>
          <t>Pure Canvas Primer - Hydrating</t>
        </is>
      </c>
      <c r="D1978" t="inlineStr">
        <is>
          <t>Laura Mercier Pure Canvas Primer Hydrating, 1.7 Fl Oz</t>
        </is>
      </c>
      <c r="E1978" s="2">
        <f>HYPERLINK("https://www.amazon.com/Laura-Mercier-Canvas-Primer-Hydrating/dp/B083V5BRLV/ref=sr_1_1?keywords=Pure+Canvas+Primer+-+Hydrating&amp;qid=1695565761&amp;sr=8-1", "https://www.amazon.com/Laura-Mercier-Canvas-Primer-Hydrating/dp/B083V5BRLV/ref=sr_1_1?keywords=Pure+Canvas+Primer+-+Hydrating&amp;qid=1695565761&amp;sr=8-1")</f>
        <v/>
      </c>
      <c r="F1978" t="inlineStr">
        <is>
          <t>B083V5BRLV</t>
        </is>
      </c>
      <c r="G1978">
        <f>_xlfn.IMAGE("https://camerareadycosmetics.com/cdn/shop/products/Laura-Mercier-Pure-Canvas-Primer-Hydrating-Travel-Size_50x.jpg?v=1584283939")</f>
        <v/>
      </c>
      <c r="H1978">
        <f>_xlfn.IMAGE("https://m.media-amazon.com/images/I/61qyy3D5iYL._AC_UL320_.jpg")</f>
        <v/>
      </c>
      <c r="K1978" t="inlineStr">
        <is>
          <t>25.0</t>
        </is>
      </c>
      <c r="L1978" t="n">
        <v>46.57</v>
      </c>
      <c r="M1978" s="1" t="inlineStr">
        <is>
          <t>86.28%</t>
        </is>
      </c>
      <c r="N1978" t="n">
        <v>4.5</v>
      </c>
      <c r="O1978" t="n">
        <v>300</v>
      </c>
      <c r="Q1978" t="inlineStr">
        <is>
          <t>InStock</t>
        </is>
      </c>
      <c r="R1978" t="inlineStr">
        <is>
          <t>undefined</t>
        </is>
      </c>
      <c r="S1978" t="inlineStr">
        <is>
          <t>4398140391535</t>
        </is>
      </c>
    </row>
    <row r="1979" ht="75" customHeight="1">
      <c r="A1979" s="2">
        <f>HYPERLINK("https://camerareadycosmetics.com/products/laura-mercier-pure-canvas-primer-hydrating", "https://camerareadycosmetics.com/products/laura-mercier-pure-canvas-primer-hydrating")</f>
        <v/>
      </c>
      <c r="B1979" s="2">
        <f>HYPERLINK("https://camerareadycosmetics.com/products/laura-mercier-pure-canvas-primer-hydrating", "https://camerareadycosmetics.com/products/laura-mercier-pure-canvas-primer-hydrating")</f>
        <v/>
      </c>
      <c r="C1979" t="inlineStr">
        <is>
          <t>Pure Canvas Primer - Hydrating</t>
        </is>
      </c>
      <c r="D1979" t="inlineStr">
        <is>
          <t>Laura Mercier Pure Canvas Primer Blurring, 1.7 Fl Oz</t>
        </is>
      </c>
      <c r="E1979" s="2">
        <f>HYPERLINK("https://www.amazon.com/Laura-Mercier-Canvas-Primer-Blurring/dp/B083V567DT/ref=sr_1_2?keywords=Pure+Canvas+Primer+-+Hydrating&amp;qid=1695565761&amp;sr=8-2", "https://www.amazon.com/Laura-Mercier-Canvas-Primer-Blurring/dp/B083V567DT/ref=sr_1_2?keywords=Pure+Canvas+Primer+-+Hydrating&amp;qid=1695565761&amp;sr=8-2")</f>
        <v/>
      </c>
      <c r="F1979" t="inlineStr">
        <is>
          <t>B083V567DT</t>
        </is>
      </c>
      <c r="G1979">
        <f>_xlfn.IMAGE("https://camerareadycosmetics.com/cdn/shop/products/Laura-Mercier-Pure-Canvas-Primer-Hydrating-Travel-Size_50x.jpg?v=1584283939")</f>
        <v/>
      </c>
      <c r="H1979">
        <f>_xlfn.IMAGE("https://m.media-amazon.com/images/I/61UU1G5efbS._AC_UL320_.jpg")</f>
        <v/>
      </c>
      <c r="K1979" t="inlineStr">
        <is>
          <t>25.0</t>
        </is>
      </c>
      <c r="L1979" t="n">
        <v>32.09</v>
      </c>
      <c r="M1979" s="1" t="inlineStr">
        <is>
          <t>28.36%</t>
        </is>
      </c>
      <c r="N1979" t="n">
        <v>4.2</v>
      </c>
      <c r="O1979" t="n">
        <v>165</v>
      </c>
      <c r="Q1979" t="inlineStr">
        <is>
          <t>InStock</t>
        </is>
      </c>
      <c r="R1979" t="inlineStr">
        <is>
          <t>undefined</t>
        </is>
      </c>
      <c r="S1979" t="inlineStr">
        <is>
          <t>4398140391535</t>
        </is>
      </c>
    </row>
    <row r="1980" ht="75" customHeight="1">
      <c r="A1980" s="2">
        <f>HYPERLINK("https://camerareadycosmetics.com/products/laura-mercier-pure-canvas-primer-hydrating", "https://camerareadycosmetics.com/products/laura-mercier-pure-canvas-primer-hydrating")</f>
        <v/>
      </c>
      <c r="B1980" s="2">
        <f>HYPERLINK("https://camerareadycosmetics.com/products/laura-mercier-pure-canvas-primer-hydrating", "https://camerareadycosmetics.com/products/laura-mercier-pure-canvas-primer-hydrating")</f>
        <v/>
      </c>
      <c r="C1980" t="inlineStr">
        <is>
          <t>Pure Canvas Primer - Hydrating</t>
        </is>
      </c>
      <c r="D1980" t="inlineStr">
        <is>
          <t>Laura Mercier Pure Canvas Primer Hydrating Silicone-Free, 1 Fl Oz</t>
        </is>
      </c>
      <c r="E1980" s="2">
        <f>HYPERLINK("https://www.amazon.com/Laura-Mercier-Canvas-Hydrating-Silicone-Free/dp/B083V4RZCY/ref=sr_1_3?keywords=Pure+Canvas+Primer+-+Hydrating&amp;qid=1695565761&amp;sr=8-3", "https://www.amazon.com/Laura-Mercier-Canvas-Hydrating-Silicone-Free/dp/B083V4RZCY/ref=sr_1_3?keywords=Pure+Canvas+Primer+-+Hydrating&amp;qid=1695565761&amp;sr=8-3")</f>
        <v/>
      </c>
      <c r="F1980" t="inlineStr">
        <is>
          <t>B083V4RZCY</t>
        </is>
      </c>
      <c r="G1980">
        <f>_xlfn.IMAGE("https://camerareadycosmetics.com/cdn/shop/products/Laura-Mercier-Pure-Canvas-Primer-Hydrating-Travel-Size_50x.jpg?v=1584283939")</f>
        <v/>
      </c>
      <c r="H1980">
        <f>_xlfn.IMAGE("https://m.media-amazon.com/images/I/41NmRQOqYyL._AC_UL320_.jpg")</f>
        <v/>
      </c>
      <c r="K1980" t="inlineStr">
        <is>
          <t>25.0</t>
        </is>
      </c>
      <c r="L1980" t="n">
        <v>25</v>
      </c>
      <c r="M1980" s="1" t="inlineStr">
        <is>
          <t>0.00%</t>
        </is>
      </c>
      <c r="N1980" t="n">
        <v>4.4</v>
      </c>
      <c r="O1980" t="n">
        <v>77</v>
      </c>
      <c r="Q1980" t="inlineStr">
        <is>
          <t>InStock</t>
        </is>
      </c>
      <c r="R1980" t="inlineStr">
        <is>
          <t>undefined</t>
        </is>
      </c>
      <c r="S1980" t="inlineStr">
        <is>
          <t>4398140391535</t>
        </is>
      </c>
    </row>
    <row r="1981" ht="75" customHeight="1">
      <c r="A1981" s="2">
        <f>HYPERLINK("https://camerareadycosmetics.com/products/laura-mercier-roseglow-highlighting-powder", "https://camerareadycosmetics.com/products/laura-mercier-roseglow-highlighting-powder")</f>
        <v/>
      </c>
      <c r="B1981" s="2">
        <f>HYPERLINK("https://camerareadycosmetics.com/products/laura-mercier-roseglow-highlighting-powder", "https://camerareadycosmetics.com/products/laura-mercier-roseglow-highlighting-powder")</f>
        <v/>
      </c>
      <c r="C1981" t="inlineStr">
        <is>
          <t>Rose Glow Highlighting Powder</t>
        </is>
      </c>
      <c r="D1981" t="inlineStr">
        <is>
          <t>Aesthetica Starlite Highlighter - Metallic Shimmer Highlighting Makeup Powder - Cosmos (Sparkling Rose Gold)</t>
        </is>
      </c>
      <c r="E1981" s="2">
        <f>HYPERLINK("https://www.amazon.com/Aesthetica-Starlite-Highlighter-Highlighting-Sparkling/dp/B07MTPDV46/ref=sr_1_5?keywords=Rose+Glow+Highlighting+Powder&amp;qid=1695565842&amp;sr=8-5", "https://www.amazon.com/Aesthetica-Starlite-Highlighter-Highlighting-Sparkling/dp/B07MTPDV46/ref=sr_1_5?keywords=Rose+Glow+Highlighting+Powder&amp;qid=1695565842&amp;sr=8-5")</f>
        <v/>
      </c>
      <c r="F1981" t="inlineStr">
        <is>
          <t>B07MTPDV46</t>
        </is>
      </c>
      <c r="G1981">
        <f>_xlfn.IMAGE("https://camerareadycosmetics.com/cdn/shop/products/RoseGlow_Highlighting_Powder_RoseGlow___12721521-1_50x.jpg?v=1636584986")</f>
        <v/>
      </c>
      <c r="H1981">
        <f>_xlfn.IMAGE("https://m.media-amazon.com/images/I/81pPPivWIaL._AC_UL320_.jpg")</f>
        <v/>
      </c>
      <c r="K1981" t="inlineStr">
        <is>
          <t>36.0</t>
        </is>
      </c>
      <c r="L1981" t="n">
        <v>12.8</v>
      </c>
      <c r="M1981" s="1" t="inlineStr">
        <is>
          <t>-64.44%</t>
        </is>
      </c>
      <c r="N1981" t="n">
        <v>4.3</v>
      </c>
      <c r="O1981" t="n">
        <v>645</v>
      </c>
      <c r="Q1981" t="inlineStr">
        <is>
          <t>InStock</t>
        </is>
      </c>
      <c r="R1981" t="inlineStr">
        <is>
          <t>undefined</t>
        </is>
      </c>
      <c r="S1981" t="inlineStr">
        <is>
          <t>7078653296825</t>
        </is>
      </c>
    </row>
    <row r="1982" ht="75" customHeight="1">
      <c r="A1982" s="2">
        <f>HYPERLINK("https://camerareadycosmetics.com/products/laura-mercier-roseglow-highlighting-powder", "https://camerareadycosmetics.com/products/laura-mercier-roseglow-highlighting-powder")</f>
        <v/>
      </c>
      <c r="B1982" s="2">
        <f>HYPERLINK("https://camerareadycosmetics.com/products/laura-mercier-roseglow-highlighting-powder", "https://camerareadycosmetics.com/products/laura-mercier-roseglow-highlighting-powder")</f>
        <v/>
      </c>
      <c r="C1982" t="inlineStr">
        <is>
          <t>Rose Glow Highlighting Powder</t>
        </is>
      </c>
      <c r="D1982" t="inlineStr">
        <is>
          <t>Revlon Highlighting Palette, Rose Glow, 0.26 Ounce</t>
        </is>
      </c>
      <c r="E1982" s="2">
        <f>HYPERLINK("https://www.amazon.com/Revlon-Highlighting-Palette-Rose-Ounce/dp/B00IZF3UF4/ref=sr_1_2?keywords=Rose+Glow+Highlighting+Powder&amp;qid=1695565842&amp;sr=8-2", "https://www.amazon.com/Revlon-Highlighting-Palette-Rose-Ounce/dp/B00IZF3UF4/ref=sr_1_2?keywords=Rose+Glow+Highlighting+Powder&amp;qid=1695565842&amp;sr=8-2")</f>
        <v/>
      </c>
      <c r="F1982" t="inlineStr">
        <is>
          <t>B00IZF3UF4</t>
        </is>
      </c>
      <c r="G1982">
        <f>_xlfn.IMAGE("https://camerareadycosmetics.com/cdn/shop/products/RoseGlow_Highlighting_Powder_RoseGlow___12721521-1_50x.jpg?v=1636584986")</f>
        <v/>
      </c>
      <c r="H1982">
        <f>_xlfn.IMAGE("https://m.media-amazon.com/images/I/61THI7cGx-L._AC_UL320_.jpg")</f>
        <v/>
      </c>
      <c r="K1982" t="inlineStr">
        <is>
          <t>36.0</t>
        </is>
      </c>
      <c r="L1982" t="n">
        <v>12.49</v>
      </c>
      <c r="M1982" s="1" t="inlineStr">
        <is>
          <t>-65.31%</t>
        </is>
      </c>
      <c r="N1982" t="n">
        <v>4.5</v>
      </c>
      <c r="O1982" t="n">
        <v>1352</v>
      </c>
      <c r="Q1982" t="inlineStr">
        <is>
          <t>InStock</t>
        </is>
      </c>
      <c r="R1982" t="inlineStr">
        <is>
          <t>undefined</t>
        </is>
      </c>
      <c r="S1982" t="inlineStr">
        <is>
          <t>7078653296825</t>
        </is>
      </c>
    </row>
    <row r="1983" ht="75" customHeight="1">
      <c r="A1983" s="2">
        <f>HYPERLINK("https://camerareadycosmetics.com/products/laura-mercier-roseglow-highlighting-powder", "https://camerareadycosmetics.com/products/laura-mercier-roseglow-highlighting-powder")</f>
        <v/>
      </c>
      <c r="B1983" s="2">
        <f>HYPERLINK("https://camerareadycosmetics.com/products/laura-mercier-roseglow-highlighting-powder", "https://camerareadycosmetics.com/products/laura-mercier-roseglow-highlighting-powder")</f>
        <v/>
      </c>
      <c r="C1983" t="inlineStr">
        <is>
          <t>Rose Glow Highlighting Powder</t>
        </is>
      </c>
      <c r="D1983" t="inlineStr">
        <is>
          <t>Physicians Formula Rosé All Day Set &amp; Glow Highlighting Powder Luminous Light, Dermatologist Approved</t>
        </is>
      </c>
      <c r="E1983" s="2">
        <f>HYPERLINK("https://www.amazon.com/Physicians-Formula-Powder-Highlighter-Luminous/dp/B0845CFPBN/ref=sr_1_1?keywords=Rose+Glow+Highlighting+Powder&amp;qid=1695565842&amp;sr=8-1", "https://www.amazon.com/Physicians-Formula-Powder-Highlighter-Luminous/dp/B0845CFPBN/ref=sr_1_1?keywords=Rose+Glow+Highlighting+Powder&amp;qid=1695565842&amp;sr=8-1")</f>
        <v/>
      </c>
      <c r="F1983" t="inlineStr">
        <is>
          <t>B0845CFPBN</t>
        </is>
      </c>
      <c r="G1983">
        <f>_xlfn.IMAGE("https://camerareadycosmetics.com/cdn/shop/products/RoseGlow_Highlighting_Powder_RoseGlow___12721521-1_50x.jpg?v=1636584986")</f>
        <v/>
      </c>
      <c r="H1983">
        <f>_xlfn.IMAGE("https://m.media-amazon.com/images/I/81um-qcPozL._AC_UL320_.jpg")</f>
        <v/>
      </c>
      <c r="K1983" t="inlineStr">
        <is>
          <t>36.0</t>
        </is>
      </c>
      <c r="L1983" t="n">
        <v>11.69</v>
      </c>
      <c r="M1983" s="1" t="inlineStr">
        <is>
          <t>-67.53%</t>
        </is>
      </c>
      <c r="N1983" t="n">
        <v>4.3</v>
      </c>
      <c r="O1983" t="n">
        <v>469</v>
      </c>
      <c r="Q1983" t="inlineStr">
        <is>
          <t>InStock</t>
        </is>
      </c>
      <c r="R1983" t="inlineStr">
        <is>
          <t>undefined</t>
        </is>
      </c>
      <c r="S1983" t="inlineStr">
        <is>
          <t>7078653296825</t>
        </is>
      </c>
    </row>
    <row r="1984" ht="75" customHeight="1">
      <c r="A1984" s="2">
        <f>HYPERLINK("https://camerareadycosmetics.com/products/laura-mercier-roseglow-highlighting-powder", "https://camerareadycosmetics.com/products/laura-mercier-roseglow-highlighting-powder")</f>
        <v/>
      </c>
      <c r="B1984" s="2">
        <f>HYPERLINK("https://camerareadycosmetics.com/products/laura-mercier-roseglow-highlighting-powder", "https://camerareadycosmetics.com/products/laura-mercier-roseglow-highlighting-powder")</f>
        <v/>
      </c>
      <c r="C1984" t="inlineStr">
        <is>
          <t>Rose Glow Highlighting Powder</t>
        </is>
      </c>
      <c r="D1984" t="inlineStr">
        <is>
          <t>Catrice | More Than Glow Powder Highlighter | Silky Soft Texture for a Subtle Glow | Vegan &amp; Cruelty Free (020 | Supreme Rose Beam)</t>
        </is>
      </c>
      <c r="E1984" s="2">
        <f>HYPERLINK("https://www.amazon.com/Catrice-Highlighter-Texture-Cruelty-Supreme/dp/B08HJN6TMS/ref=sr_1_6?keywords=Rose+Glow+Highlighting+Powder&amp;qid=1695565842&amp;sr=8-6", "https://www.amazon.com/Catrice-Highlighter-Texture-Cruelty-Supreme/dp/B08HJN6TMS/ref=sr_1_6?keywords=Rose+Glow+Highlighting+Powder&amp;qid=1695565842&amp;sr=8-6")</f>
        <v/>
      </c>
      <c r="F1984" t="inlineStr">
        <is>
          <t>B08HJN6TMS</t>
        </is>
      </c>
      <c r="G1984">
        <f>_xlfn.IMAGE("https://camerareadycosmetics.com/cdn/shop/products/RoseGlow_Highlighting_Powder_RoseGlow___12721521-1_50x.jpg?v=1636584986")</f>
        <v/>
      </c>
      <c r="H1984">
        <f>_xlfn.IMAGE("https://m.media-amazon.com/images/I/816g9H0FxdL._AC_UL320_.jpg")</f>
        <v/>
      </c>
      <c r="K1984" t="inlineStr">
        <is>
          <t>36.0</t>
        </is>
      </c>
      <c r="L1984" t="n">
        <v>6</v>
      </c>
      <c r="M1984" s="1" t="inlineStr">
        <is>
          <t>-83.33%</t>
        </is>
      </c>
      <c r="N1984" t="n">
        <v>4.4</v>
      </c>
      <c r="O1984" t="n">
        <v>740</v>
      </c>
      <c r="Q1984" t="inlineStr">
        <is>
          <t>InStock</t>
        </is>
      </c>
      <c r="R1984" t="inlineStr">
        <is>
          <t>undefined</t>
        </is>
      </c>
      <c r="S1984" t="inlineStr">
        <is>
          <t>7078653296825</t>
        </is>
      </c>
    </row>
    <row r="1985" ht="75" customHeight="1">
      <c r="A1985" s="2">
        <f>HYPERLINK("https://camerareadycosmetics.com/products/laura-mercier-roseglow-highlighting-powder", "https://camerareadycosmetics.com/products/laura-mercier-roseglow-highlighting-powder")</f>
        <v/>
      </c>
      <c r="B1985" s="2">
        <f>HYPERLINK("https://camerareadycosmetics.com/products/laura-mercier-roseglow-highlighting-powder", "https://camerareadycosmetics.com/products/laura-mercier-roseglow-highlighting-powder")</f>
        <v/>
      </c>
      <c r="C1985" t="inlineStr">
        <is>
          <t>Rose Glow Highlighting Powder</t>
        </is>
      </c>
      <c r="D1985" t="inlineStr">
        <is>
          <t>Aesthetica Starlite Highlighter - Metallic Shimmer Highlighting Makeup Powder - Cosmos (Sparkling Rose Gold)</t>
        </is>
      </c>
      <c r="E1985" s="2">
        <f>HYPERLINK("https://www.amazon.com/Aesthetica-Starlite-Highlighter-Highlighting-Sparkling/dp/B07MTPDV46/ref=sr_1_5?keywords=Rose+Glow+Highlighting+Powder&amp;qid=1695565842&amp;sr=8-5", "https://www.amazon.com/Aesthetica-Starlite-Highlighter-Highlighting-Sparkling/dp/B07MTPDV46/ref=sr_1_5?keywords=Rose+Glow+Highlighting+Powder&amp;qid=1695565842&amp;sr=8-5")</f>
        <v/>
      </c>
      <c r="F1985" t="inlineStr">
        <is>
          <t>B07MTPDV46</t>
        </is>
      </c>
      <c r="G1985">
        <f>_xlfn.IMAGE("https://camerareadycosmetics.com/cdn/shop/products/RoseGlow_Highlighting_Powder_RoseGlow___12721521-1_50x.jpg?v=1636584986")</f>
        <v/>
      </c>
      <c r="H1985">
        <f>_xlfn.IMAGE("https://m.media-amazon.com/images/I/81pPPivWIaL._AC_UL320_.jpg")</f>
        <v/>
      </c>
      <c r="K1985" t="inlineStr">
        <is>
          <t>36.0</t>
        </is>
      </c>
      <c r="L1985" t="n">
        <v>12.8</v>
      </c>
      <c r="M1985" s="1" t="inlineStr">
        <is>
          <t>-64.44%</t>
        </is>
      </c>
      <c r="N1985" t="n">
        <v>4.3</v>
      </c>
      <c r="O1985" t="n">
        <v>645</v>
      </c>
      <c r="Q1985" t="inlineStr">
        <is>
          <t>InStock</t>
        </is>
      </c>
      <c r="R1985" t="inlineStr">
        <is>
          <t>undefined</t>
        </is>
      </c>
      <c r="S1985" t="inlineStr">
        <is>
          <t>7078653296825</t>
        </is>
      </c>
    </row>
    <row r="1986" ht="75" customHeight="1">
      <c r="A1986" s="2">
        <f>HYPERLINK("https://camerareadycosmetics.com/products/laura-mercier-roseglow-highlighting-powder", "https://camerareadycosmetics.com/products/laura-mercier-roseglow-highlighting-powder")</f>
        <v/>
      </c>
      <c r="B1986" s="2">
        <f>HYPERLINK("https://camerareadycosmetics.com/products/laura-mercier-roseglow-highlighting-powder", "https://camerareadycosmetics.com/products/laura-mercier-roseglow-highlighting-powder")</f>
        <v/>
      </c>
      <c r="C1986" t="inlineStr">
        <is>
          <t>Rose Glow Highlighting Powder</t>
        </is>
      </c>
      <c r="D1986" t="inlineStr">
        <is>
          <t>Revlon Highlighting Palette, Rose Glow, 0.26 Ounce</t>
        </is>
      </c>
      <c r="E1986" s="2">
        <f>HYPERLINK("https://www.amazon.com/Revlon-Highlighting-Palette-Rose-Ounce/dp/B00IZF3UF4/ref=sr_1_2?keywords=Rose+Glow+Highlighting+Powder&amp;qid=1695565842&amp;sr=8-2", "https://www.amazon.com/Revlon-Highlighting-Palette-Rose-Ounce/dp/B00IZF3UF4/ref=sr_1_2?keywords=Rose+Glow+Highlighting+Powder&amp;qid=1695565842&amp;sr=8-2")</f>
        <v/>
      </c>
      <c r="F1986" t="inlineStr">
        <is>
          <t>B00IZF3UF4</t>
        </is>
      </c>
      <c r="G1986">
        <f>_xlfn.IMAGE("https://camerareadycosmetics.com/cdn/shop/products/RoseGlow_Highlighting_Powder_RoseGlow___12721521-1_50x.jpg?v=1636584986")</f>
        <v/>
      </c>
      <c r="H1986">
        <f>_xlfn.IMAGE("https://m.media-amazon.com/images/I/61THI7cGx-L._AC_UL320_.jpg")</f>
        <v/>
      </c>
      <c r="K1986" t="inlineStr">
        <is>
          <t>36.0</t>
        </is>
      </c>
      <c r="L1986" t="n">
        <v>12.49</v>
      </c>
      <c r="M1986" s="1" t="inlineStr">
        <is>
          <t>-65.31%</t>
        </is>
      </c>
      <c r="N1986" t="n">
        <v>4.5</v>
      </c>
      <c r="O1986" t="n">
        <v>1352</v>
      </c>
      <c r="Q1986" t="inlineStr">
        <is>
          <t>InStock</t>
        </is>
      </c>
      <c r="R1986" t="inlineStr">
        <is>
          <t>undefined</t>
        </is>
      </c>
      <c r="S1986" t="inlineStr">
        <is>
          <t>7078653296825</t>
        </is>
      </c>
    </row>
    <row r="1987" ht="75" customHeight="1">
      <c r="A1987" s="2">
        <f>HYPERLINK("https://camerareadycosmetics.com/products/laura-mercier-roseglow-highlighting-powder", "https://camerareadycosmetics.com/products/laura-mercier-roseglow-highlighting-powder")</f>
        <v/>
      </c>
      <c r="B1987" s="2">
        <f>HYPERLINK("https://camerareadycosmetics.com/products/laura-mercier-roseglow-highlighting-powder", "https://camerareadycosmetics.com/products/laura-mercier-roseglow-highlighting-powder")</f>
        <v/>
      </c>
      <c r="C1987" t="inlineStr">
        <is>
          <t>Rose Glow Highlighting Powder</t>
        </is>
      </c>
      <c r="D1987" t="inlineStr">
        <is>
          <t>Physicians Formula Rosé All Day Set &amp; Glow Highlighting Powder Luminous Light, Dermatologist Approved</t>
        </is>
      </c>
      <c r="E1987" s="2">
        <f>HYPERLINK("https://www.amazon.com/Physicians-Formula-Powder-Highlighter-Luminous/dp/B0845CFPBN/ref=sr_1_1?keywords=Rose+Glow+Highlighting+Powder&amp;qid=1695565842&amp;sr=8-1", "https://www.amazon.com/Physicians-Formula-Powder-Highlighter-Luminous/dp/B0845CFPBN/ref=sr_1_1?keywords=Rose+Glow+Highlighting+Powder&amp;qid=1695565842&amp;sr=8-1")</f>
        <v/>
      </c>
      <c r="F1987" t="inlineStr">
        <is>
          <t>B0845CFPBN</t>
        </is>
      </c>
      <c r="G1987">
        <f>_xlfn.IMAGE("https://camerareadycosmetics.com/cdn/shop/products/RoseGlow_Highlighting_Powder_RoseGlow___12721521-1_50x.jpg?v=1636584986")</f>
        <v/>
      </c>
      <c r="H1987">
        <f>_xlfn.IMAGE("https://m.media-amazon.com/images/I/81um-qcPozL._AC_UL320_.jpg")</f>
        <v/>
      </c>
      <c r="K1987" t="inlineStr">
        <is>
          <t>36.0</t>
        </is>
      </c>
      <c r="L1987" t="n">
        <v>11.69</v>
      </c>
      <c r="M1987" s="1" t="inlineStr">
        <is>
          <t>-67.53%</t>
        </is>
      </c>
      <c r="N1987" t="n">
        <v>4.3</v>
      </c>
      <c r="O1987" t="n">
        <v>469</v>
      </c>
      <c r="Q1987" t="inlineStr">
        <is>
          <t>InStock</t>
        </is>
      </c>
      <c r="R1987" t="inlineStr">
        <is>
          <t>undefined</t>
        </is>
      </c>
      <c r="S1987" t="inlineStr">
        <is>
          <t>7078653296825</t>
        </is>
      </c>
    </row>
    <row r="1988" ht="75" customHeight="1">
      <c r="A1988" s="2">
        <f>HYPERLINK("https://camerareadycosmetics.com/products/laura-mercier-roseglow-highlighting-powder", "https://camerareadycosmetics.com/products/laura-mercier-roseglow-highlighting-powder")</f>
        <v/>
      </c>
      <c r="B1988" s="2">
        <f>HYPERLINK("https://camerareadycosmetics.com/products/laura-mercier-roseglow-highlighting-powder", "https://camerareadycosmetics.com/products/laura-mercier-roseglow-highlighting-powder")</f>
        <v/>
      </c>
      <c r="C1988" t="inlineStr">
        <is>
          <t>Rose Glow Highlighting Powder</t>
        </is>
      </c>
      <c r="D1988" t="inlineStr">
        <is>
          <t>Catrice | More Than Glow Powder Highlighter | Silky Soft Texture for a Subtle Glow | Vegan &amp; Cruelty Free (020 | Supreme Rose Beam)</t>
        </is>
      </c>
      <c r="E1988" s="2">
        <f>HYPERLINK("https://www.amazon.com/Catrice-Highlighter-Texture-Cruelty-Supreme/dp/B08HJN6TMS/ref=sr_1_6?keywords=Rose+Glow+Highlighting+Powder&amp;qid=1695565842&amp;sr=8-6", "https://www.amazon.com/Catrice-Highlighter-Texture-Cruelty-Supreme/dp/B08HJN6TMS/ref=sr_1_6?keywords=Rose+Glow+Highlighting+Powder&amp;qid=1695565842&amp;sr=8-6")</f>
        <v/>
      </c>
      <c r="F1988" t="inlineStr">
        <is>
          <t>B08HJN6TMS</t>
        </is>
      </c>
      <c r="G1988">
        <f>_xlfn.IMAGE("https://camerareadycosmetics.com/cdn/shop/products/RoseGlow_Highlighting_Powder_RoseGlow___12721521-1_50x.jpg?v=1636584986")</f>
        <v/>
      </c>
      <c r="H1988">
        <f>_xlfn.IMAGE("https://m.media-amazon.com/images/I/816g9H0FxdL._AC_UL320_.jpg")</f>
        <v/>
      </c>
      <c r="K1988" t="inlineStr">
        <is>
          <t>36.0</t>
        </is>
      </c>
      <c r="L1988" t="n">
        <v>6</v>
      </c>
      <c r="M1988" s="1" t="inlineStr">
        <is>
          <t>-83.33%</t>
        </is>
      </c>
      <c r="N1988" t="n">
        <v>4.4</v>
      </c>
      <c r="O1988" t="n">
        <v>740</v>
      </c>
      <c r="Q1988" t="inlineStr">
        <is>
          <t>InStock</t>
        </is>
      </c>
      <c r="R1988" t="inlineStr">
        <is>
          <t>undefined</t>
        </is>
      </c>
      <c r="S1988" t="inlineStr">
        <is>
          <t>7078653296825</t>
        </is>
      </c>
    </row>
    <row r="1989" ht="75" customHeight="1">
      <c r="A1989" s="2">
        <f>HYPERLINK("https://camerareadycosmetics.com/products/laura-mercier-rose-glow-liquid-highlighter", "https://camerareadycosmetics.com/products/laura-mercier-rose-glow-liquid-highlighter")</f>
        <v/>
      </c>
      <c r="B1989" s="2">
        <f>HYPERLINK("https://camerareadycosmetics.com/products/laura-mercier-rose-glow-liquid-highlighter", "https://camerareadycosmetics.com/products/laura-mercier-rose-glow-liquid-highlighter")</f>
        <v/>
      </c>
      <c r="C1989" t="inlineStr">
        <is>
          <t>Rose Glow Liquid Highlighter</t>
        </is>
      </c>
      <c r="D1989" t="inlineStr">
        <is>
          <t>COVER FX Custom Enhancer Drops - Rose Gold: Bronzed Pink Finish - 15mL - Radiant Glow - Liquid Highlighter</t>
        </is>
      </c>
      <c r="E1989" s="2">
        <f>HYPERLINK("https://www.amazon.com/Cover-FX-Custom-Enhancer-Drops/dp/B06XDXBB54/ref=sr_1_6?keywords=Rose+Glow+Liquid+Highlighter&amp;qid=1695565879&amp;sr=8-6", "https://www.amazon.com/Cover-FX-Custom-Enhancer-Drops/dp/B06XDXBB54/ref=sr_1_6?keywords=Rose+Glow+Liquid+Highlighter&amp;qid=1695565879&amp;sr=8-6")</f>
        <v/>
      </c>
      <c r="F1989" t="inlineStr">
        <is>
          <t>B06XDXBB54</t>
        </is>
      </c>
      <c r="G1989">
        <f>_xlfn.IMAGE("https://camerareadycosmetics.com/cdn/shop/files/LM_SU23_RGLH_Silo_CLOSED_3000x3000_R300_1_50x.jpg?v=1688426845")</f>
        <v/>
      </c>
      <c r="H1989">
        <f>_xlfn.IMAGE("https://m.media-amazon.com/images/I/81zxzgGM6CL._AC_UL320_.jpg")</f>
        <v/>
      </c>
      <c r="K1989" t="inlineStr">
        <is>
          <t>40.0</t>
        </is>
      </c>
      <c r="L1989" t="n">
        <v>41.3</v>
      </c>
      <c r="M1989" s="1" t="inlineStr">
        <is>
          <t>3.25%</t>
        </is>
      </c>
      <c r="N1989" t="n">
        <v>4.1</v>
      </c>
      <c r="O1989" t="n">
        <v>458</v>
      </c>
      <c r="Q1989" t="inlineStr">
        <is>
          <t>InStock</t>
        </is>
      </c>
      <c r="R1989" t="inlineStr">
        <is>
          <t>undefined</t>
        </is>
      </c>
      <c r="S1989" t="inlineStr">
        <is>
          <t>7598699806905</t>
        </is>
      </c>
    </row>
    <row r="1990" ht="75" customHeight="1">
      <c r="A1990" s="2">
        <f>HYPERLINK("https://camerareadycosmetics.com/products/laura-mercier-rose-glow-liquid-highlighter", "https://camerareadycosmetics.com/products/laura-mercier-rose-glow-liquid-highlighter")</f>
        <v/>
      </c>
      <c r="B1990" s="2">
        <f>HYPERLINK("https://camerareadycosmetics.com/products/laura-mercier-rose-glow-liquid-highlighter", "https://camerareadycosmetics.com/products/laura-mercier-rose-glow-liquid-highlighter")</f>
        <v/>
      </c>
      <c r="C1990" t="inlineStr">
        <is>
          <t>Rose Glow Liquid Highlighter</t>
        </is>
      </c>
      <c r="D1990" t="inlineStr">
        <is>
          <t>Body Shimmer Oil, Waterproof Long Lasting Moisturizing Bronze Body Luminizer Glow For Face &amp; Body, Liquid Illuminator Body Highlighter 1oz/Jars, Makeup Brush Include (Rose Gold #01)</t>
        </is>
      </c>
      <c r="E1990" s="2">
        <f>HYPERLINK("https://www.amazon.com/Waterproof-Moisturizing-Luminizer-Illuminator-Highlighter/dp/B0B7SLSKC1/ref=sr_1_7?keywords=Rose+Glow+Liquid+Highlighter&amp;qid=1695565879&amp;sr=8-7", "https://www.amazon.com/Waterproof-Moisturizing-Luminizer-Illuminator-Highlighter/dp/B0B7SLSKC1/ref=sr_1_7?keywords=Rose+Glow+Liquid+Highlighter&amp;qid=1695565879&amp;sr=8-7")</f>
        <v/>
      </c>
      <c r="F1990" t="inlineStr">
        <is>
          <t>B0B7SLSKC1</t>
        </is>
      </c>
      <c r="G1990">
        <f>_xlfn.IMAGE("https://camerareadycosmetics.com/cdn/shop/files/LM_SU23_RGLH_Silo_CLOSED_3000x3000_R300_1_50x.jpg?v=1688426845")</f>
        <v/>
      </c>
      <c r="H1990">
        <f>_xlfn.IMAGE("https://m.media-amazon.com/images/I/61PPnbWbQmL._AC_UL320_.jpg")</f>
        <v/>
      </c>
      <c r="K1990" t="inlineStr">
        <is>
          <t>40.0</t>
        </is>
      </c>
      <c r="L1990" t="n">
        <v>9.99</v>
      </c>
      <c r="M1990" s="1" t="inlineStr">
        <is>
          <t>-75.02%</t>
        </is>
      </c>
      <c r="N1990" t="n">
        <v>4.3</v>
      </c>
      <c r="O1990" t="n">
        <v>561</v>
      </c>
      <c r="Q1990" t="inlineStr">
        <is>
          <t>InStock</t>
        </is>
      </c>
      <c r="R1990" t="inlineStr">
        <is>
          <t>undefined</t>
        </is>
      </c>
      <c r="S1990" t="inlineStr">
        <is>
          <t>7598699806905</t>
        </is>
      </c>
    </row>
    <row r="1991" ht="75" customHeight="1">
      <c r="A1991" s="2">
        <f>HYPERLINK("https://camerareadycosmetics.com/products/laura-mercier-rose-glow-liquid-highlighter", "https://camerareadycosmetics.com/products/laura-mercier-rose-glow-liquid-highlighter")</f>
        <v/>
      </c>
      <c r="B1991" s="2">
        <f>HYPERLINK("https://camerareadycosmetics.com/products/laura-mercier-rose-glow-liquid-highlighter", "https://camerareadycosmetics.com/products/laura-mercier-rose-glow-liquid-highlighter")</f>
        <v/>
      </c>
      <c r="C1991" t="inlineStr">
        <is>
          <t>Rose Glow Liquid Highlighter</t>
        </is>
      </c>
      <c r="D1991" t="inlineStr">
        <is>
          <t>e.l.f. Halo Glow Highlight Beauty Wand, Liquid Highlighter Wand For Luminous, Glowing Skin, Buildable Formula, Vegan &amp; Cruelty-free, Rose Quartz</t>
        </is>
      </c>
      <c r="E1991" s="2">
        <f>HYPERLINK("https://www.amazon.com/l-f-Highlight-Highlighter-Buildable-Cruelty-free/dp/B0C35LT2MN/ref=sr_1_1?keywords=Rose+Glow+Liquid+Highlighter&amp;qid=1695565879&amp;sr=8-1", "https://www.amazon.com/l-f-Highlight-Highlighter-Buildable-Cruelty-free/dp/B0C35LT2MN/ref=sr_1_1?keywords=Rose+Glow+Liquid+Highlighter&amp;qid=1695565879&amp;sr=8-1")</f>
        <v/>
      </c>
      <c r="F1991" t="inlineStr">
        <is>
          <t>B0C35LT2MN</t>
        </is>
      </c>
      <c r="G1991">
        <f>_xlfn.IMAGE("https://camerareadycosmetics.com/cdn/shop/files/LM_SU23_RGLH_Silo_CLOSED_3000x3000_R300_1_50x.jpg?v=1688426845")</f>
        <v/>
      </c>
      <c r="H1991">
        <f>_xlfn.IMAGE("https://m.media-amazon.com/images/I/61O+dM1XKnL._AC_UL320_.jpg")</f>
        <v/>
      </c>
      <c r="K1991" t="inlineStr">
        <is>
          <t>40.0</t>
        </is>
      </c>
      <c r="L1991" t="n">
        <v>9</v>
      </c>
      <c r="M1991" s="1" t="inlineStr">
        <is>
          <t>-77.50%</t>
        </is>
      </c>
      <c r="N1991" t="n">
        <v>4.5</v>
      </c>
      <c r="O1991" t="n">
        <v>231</v>
      </c>
      <c r="Q1991" t="inlineStr">
        <is>
          <t>InStock</t>
        </is>
      </c>
      <c r="R1991" t="inlineStr">
        <is>
          <t>undefined</t>
        </is>
      </c>
      <c r="S1991" t="inlineStr">
        <is>
          <t>7598699806905</t>
        </is>
      </c>
    </row>
    <row r="1992" ht="75" customHeight="1">
      <c r="A1992" s="2">
        <f>HYPERLINK("https://camerareadycosmetics.com/products/laura-mercier-rose-glow-liquid-highlighter", "https://camerareadycosmetics.com/products/laura-mercier-rose-glow-liquid-highlighter")</f>
        <v/>
      </c>
      <c r="B1992" s="2">
        <f>HYPERLINK("https://camerareadycosmetics.com/products/laura-mercier-rose-glow-liquid-highlighter", "https://camerareadycosmetics.com/products/laura-mercier-rose-glow-liquid-highlighter")</f>
        <v/>
      </c>
      <c r="C1992" t="inlineStr">
        <is>
          <t>Rose Glow Liquid Highlighter</t>
        </is>
      </c>
      <c r="D1992" t="inlineStr">
        <is>
          <t>Liquid Body Luminizer, Highlighter All In One Makeup Illuminator, Smooth Shimmer Body Oil Glow Waterproof For Face &amp; Body, Long Lasting Moisturizing (#01 Rose Gold)</t>
        </is>
      </c>
      <c r="E1992" s="2">
        <f>HYPERLINK("https://www.amazon.com/Illuminator-Highlighter-Makeup-Shimmer-Foundation/dp/B09B7BGRP6/ref=sr_1_3?keywords=Rose+Glow+Liquid+Highlighter&amp;qid=1695565879&amp;sr=8-3", "https://www.amazon.com/Illuminator-Highlighter-Makeup-Shimmer-Foundation/dp/B09B7BGRP6/ref=sr_1_3?keywords=Rose+Glow+Liquid+Highlighter&amp;qid=1695565879&amp;sr=8-3")</f>
        <v/>
      </c>
      <c r="F1992" t="inlineStr">
        <is>
          <t>B09B7BGRP6</t>
        </is>
      </c>
      <c r="G1992">
        <f>_xlfn.IMAGE("https://camerareadycosmetics.com/cdn/shop/files/LM_SU23_RGLH_Silo_CLOSED_3000x3000_R300_1_50x.jpg?v=1688426845")</f>
        <v/>
      </c>
      <c r="H1992">
        <f>_xlfn.IMAGE("https://m.media-amazon.com/images/I/61mJwFB03WL._AC_UL320_.jpg")</f>
        <v/>
      </c>
      <c r="K1992" t="inlineStr">
        <is>
          <t>40.0</t>
        </is>
      </c>
      <c r="L1992" t="n">
        <v>8.99</v>
      </c>
      <c r="M1992" s="1" t="inlineStr">
        <is>
          <t>-77.53%</t>
        </is>
      </c>
      <c r="N1992" t="n">
        <v>4</v>
      </c>
      <c r="O1992" t="n">
        <v>92</v>
      </c>
      <c r="Q1992" t="inlineStr">
        <is>
          <t>InStock</t>
        </is>
      </c>
      <c r="R1992" t="inlineStr">
        <is>
          <t>undefined</t>
        </is>
      </c>
      <c r="S1992" t="inlineStr">
        <is>
          <t>7598699806905</t>
        </is>
      </c>
    </row>
    <row r="1993" ht="75" customHeight="1">
      <c r="A1993" s="2">
        <f>HYPERLINK("https://camerareadycosmetics.com/products/laura-mercier-rose-glow-liquid-highlighter", "https://camerareadycosmetics.com/products/laura-mercier-rose-glow-liquid-highlighter")</f>
        <v/>
      </c>
      <c r="B1993" s="2">
        <f>HYPERLINK("https://camerareadycosmetics.com/products/laura-mercier-rose-glow-liquid-highlighter", "https://camerareadycosmetics.com/products/laura-mercier-rose-glow-liquid-highlighter")</f>
        <v/>
      </c>
      <c r="C1993" t="inlineStr">
        <is>
          <t>Rose Glow Liquid Highlighter</t>
        </is>
      </c>
      <c r="D1993" t="inlineStr">
        <is>
          <t>J.CAT BEAUTY Halo Glow Liquid Highlighter - Bella Rose</t>
        </is>
      </c>
      <c r="E1993" s="2">
        <f>HYPERLINK("https://www.amazon.com/Halo-Glow-Liquid-Highlighter-Bella/dp/B07CT61QD8/ref=sr_1_5?keywords=Rose+Glow+Liquid+Highlighter&amp;qid=1695565879&amp;sr=8-5", "https://www.amazon.com/Halo-Glow-Liquid-Highlighter-Bella/dp/B07CT61QD8/ref=sr_1_5?keywords=Rose+Glow+Liquid+Highlighter&amp;qid=1695565879&amp;sr=8-5")</f>
        <v/>
      </c>
      <c r="F1993" t="inlineStr">
        <is>
          <t>B07CT61QD8</t>
        </is>
      </c>
      <c r="G1993">
        <f>_xlfn.IMAGE("https://camerareadycosmetics.com/cdn/shop/files/LM_SU23_RGLH_Silo_CLOSED_3000x3000_R300_1_50x.jpg?v=1688426845")</f>
        <v/>
      </c>
      <c r="H1993">
        <f>_xlfn.IMAGE("https://m.media-amazon.com/images/I/31QRv9FbyEL._AC_UL320_.jpg")</f>
        <v/>
      </c>
      <c r="K1993" t="inlineStr">
        <is>
          <t>40.0</t>
        </is>
      </c>
      <c r="L1993" t="n">
        <v>8.19</v>
      </c>
      <c r="M1993" s="1" t="inlineStr">
        <is>
          <t>-79.53%</t>
        </is>
      </c>
      <c r="N1993" t="n">
        <v>4.1</v>
      </c>
      <c r="O1993" t="n">
        <v>44</v>
      </c>
      <c r="Q1993" t="inlineStr">
        <is>
          <t>InStock</t>
        </is>
      </c>
      <c r="R1993" t="inlineStr">
        <is>
          <t>undefined</t>
        </is>
      </c>
      <c r="S1993" t="inlineStr">
        <is>
          <t>7598699806905</t>
        </is>
      </c>
    </row>
    <row r="1994" ht="75" customHeight="1">
      <c r="A1994" s="2">
        <f>HYPERLINK("https://camerareadycosmetics.com/products/laura-mercier-rose-glow-liquid-highlighter", "https://camerareadycosmetics.com/products/laura-mercier-rose-glow-liquid-highlighter")</f>
        <v/>
      </c>
      <c r="B1994" s="2">
        <f>HYPERLINK("https://camerareadycosmetics.com/products/laura-mercier-rose-glow-liquid-highlighter", "https://camerareadycosmetics.com/products/laura-mercier-rose-glow-liquid-highlighter")</f>
        <v/>
      </c>
      <c r="C1994" t="inlineStr">
        <is>
          <t>Rose Glow Liquid Highlighter</t>
        </is>
      </c>
      <c r="D1994" t="inlineStr">
        <is>
          <t>DAGEDA Liquid Highlighter, Beauty Glow Highlight Body Shimmer, Waterproof Smooth Cream Highlighter, Longlasting Face Liquid Highlighter, Body Highlighter for Women Highlighter Makeup(Rose Gold)</t>
        </is>
      </c>
      <c r="E1994" s="2">
        <f>HYPERLINK("https://www.amazon.com/DAGEDA-Highlighter-Highlight-Waterproof-Longlasting/dp/B0C3PZQ9J9/ref=sr_1_9?keywords=Rose+Glow+Liquid+Highlighter&amp;qid=1695565879&amp;sr=8-9", "https://www.amazon.com/DAGEDA-Highlighter-Highlight-Waterproof-Longlasting/dp/B0C3PZQ9J9/ref=sr_1_9?keywords=Rose+Glow+Liquid+Highlighter&amp;qid=1695565879&amp;sr=8-9")</f>
        <v/>
      </c>
      <c r="F1994" t="inlineStr">
        <is>
          <t>B0C3PZQ9J9</t>
        </is>
      </c>
      <c r="G1994">
        <f>_xlfn.IMAGE("https://camerareadycosmetics.com/cdn/shop/files/LM_SU23_RGLH_Silo_CLOSED_3000x3000_R300_1_50x.jpg?v=1688426845")</f>
        <v/>
      </c>
      <c r="H1994">
        <f>_xlfn.IMAGE("https://m.media-amazon.com/images/I/51FO2l6D57L._AC_UL320_.jpg")</f>
        <v/>
      </c>
      <c r="K1994" t="inlineStr">
        <is>
          <t>40.0</t>
        </is>
      </c>
      <c r="L1994" t="n">
        <v>6.99</v>
      </c>
      <c r="M1994" s="1" t="inlineStr">
        <is>
          <t>-82.52%</t>
        </is>
      </c>
      <c r="N1994" t="n">
        <v>4</v>
      </c>
      <c r="O1994" t="n">
        <v>23</v>
      </c>
      <c r="Q1994" t="inlineStr">
        <is>
          <t>InStock</t>
        </is>
      </c>
      <c r="R1994" t="inlineStr">
        <is>
          <t>undefined</t>
        </is>
      </c>
      <c r="S1994" t="inlineStr">
        <is>
          <t>7598699806905</t>
        </is>
      </c>
    </row>
    <row r="1995" ht="75" customHeight="1">
      <c r="A1995" s="2">
        <f>HYPERLINK("https://camerareadycosmetics.com/products/laura-mercier-rose-glow-liquid-highlighter", "https://camerareadycosmetics.com/products/laura-mercier-rose-glow-liquid-highlighter")</f>
        <v/>
      </c>
      <c r="B1995" s="2">
        <f>HYPERLINK("https://camerareadycosmetics.com/products/laura-mercier-rose-glow-liquid-highlighter", "https://camerareadycosmetics.com/products/laura-mercier-rose-glow-liquid-highlighter")</f>
        <v/>
      </c>
      <c r="C1995" t="inlineStr">
        <is>
          <t>Rose Glow Liquid Highlighter</t>
        </is>
      </c>
      <c r="D1995" t="inlineStr">
        <is>
          <t>Mysense Liquid Highlighter Makeup, Natural Glow Face Highlighter Stick, Silky Smooth Light Liquid Luminizer, Long Lasting Highlight Face Illuminator Make up for Face, 03 Rose Gold</t>
        </is>
      </c>
      <c r="E1995" s="2">
        <f>HYPERLINK("https://www.amazon.com/Mysense-Highlighter-Luminizer-Highlight-Illuminator/dp/B0C9PFLW57/ref=sr_1_8?keywords=Rose+Glow+Liquid+Highlighter&amp;qid=1695565879&amp;sr=8-8", "https://www.amazon.com/Mysense-Highlighter-Luminizer-Highlight-Illuminator/dp/B0C9PFLW57/ref=sr_1_8?keywords=Rose+Glow+Liquid+Highlighter&amp;qid=1695565879&amp;sr=8-8")</f>
        <v/>
      </c>
      <c r="F1995" t="inlineStr">
        <is>
          <t>B0C9PFLW57</t>
        </is>
      </c>
      <c r="G1995">
        <f>_xlfn.IMAGE("https://camerareadycosmetics.com/cdn/shop/files/LM_SU23_RGLH_Silo_CLOSED_3000x3000_R300_1_50x.jpg?v=1688426845")</f>
        <v/>
      </c>
      <c r="H1995">
        <f>_xlfn.IMAGE("https://m.media-amazon.com/images/I/51+VE9vC9ZL._AC_UL320_.jpg")</f>
        <v/>
      </c>
      <c r="K1995" t="inlineStr">
        <is>
          <t>40.0</t>
        </is>
      </c>
      <c r="L1995" t="n">
        <v>6.99</v>
      </c>
      <c r="M1995" s="1" t="inlineStr">
        <is>
          <t>-82.52%</t>
        </is>
      </c>
      <c r="N1995" t="n">
        <v>4.2</v>
      </c>
      <c r="O1995" t="n">
        <v>79</v>
      </c>
      <c r="Q1995" t="inlineStr">
        <is>
          <t>InStock</t>
        </is>
      </c>
      <c r="R1995" t="inlineStr">
        <is>
          <t>undefined</t>
        </is>
      </c>
      <c r="S1995" t="inlineStr">
        <is>
          <t>7598699806905</t>
        </is>
      </c>
    </row>
    <row r="1996" ht="75" customHeight="1">
      <c r="A1996" s="2">
        <f>HYPERLINK("https://camerareadycosmetics.com/products/laura-mercier-rose-glow-liquid-highlighter", "https://camerareadycosmetics.com/products/laura-mercier-rose-glow-liquid-highlighter")</f>
        <v/>
      </c>
      <c r="B1996" s="2">
        <f>HYPERLINK("https://camerareadycosmetics.com/products/laura-mercier-rose-glow-liquid-highlighter", "https://camerareadycosmetics.com/products/laura-mercier-rose-glow-liquid-highlighter")</f>
        <v/>
      </c>
      <c r="C1996" t="inlineStr">
        <is>
          <t>Rose Glow Liquid Highlighter</t>
        </is>
      </c>
      <c r="D1996" t="inlineStr">
        <is>
          <t>Revlon Colorstay Endless Glow Liquid Highlighter, Rose Quartz, 0.3 Ounce</t>
        </is>
      </c>
      <c r="E1996" s="2">
        <f>HYPERLINK("https://www.amazon.com/Revlon-Colorstay-Endless-Liquid-Highlighter/dp/B07KCD373M/ref=sr_1_2?keywords=Rose+Glow+Liquid+Highlighter&amp;qid=1695565879&amp;sr=8-2", "https://www.amazon.com/Revlon-Colorstay-Endless-Liquid-Highlighter/dp/B07KCD373M/ref=sr_1_2?keywords=Rose+Glow+Liquid+Highlighter&amp;qid=1695565879&amp;sr=8-2")</f>
        <v/>
      </c>
      <c r="F1996" t="inlineStr">
        <is>
          <t>B07KCD373M</t>
        </is>
      </c>
      <c r="G1996">
        <f>_xlfn.IMAGE("https://camerareadycosmetics.com/cdn/shop/files/LM_SU23_RGLH_Silo_CLOSED_3000x3000_R300_1_50x.jpg?v=1688426845")</f>
        <v/>
      </c>
      <c r="H1996">
        <f>_xlfn.IMAGE("https://m.media-amazon.com/images/I/71Zj7F0z5bL._AC_UL320_.jpg")</f>
        <v/>
      </c>
      <c r="K1996" t="inlineStr">
        <is>
          <t>40.0</t>
        </is>
      </c>
      <c r="L1996" t="n">
        <v>6.42</v>
      </c>
      <c r="M1996" s="1" t="inlineStr">
        <is>
          <t>-83.95%</t>
        </is>
      </c>
      <c r="N1996" t="n">
        <v>3.7</v>
      </c>
      <c r="O1996" t="n">
        <v>958</v>
      </c>
      <c r="Q1996" t="inlineStr">
        <is>
          <t>InStock</t>
        </is>
      </c>
      <c r="R1996" t="inlineStr">
        <is>
          <t>undefined</t>
        </is>
      </c>
      <c r="S1996" t="inlineStr">
        <is>
          <t>7598699806905</t>
        </is>
      </c>
    </row>
    <row r="1997" ht="75" customHeight="1">
      <c r="A1997" s="2">
        <f>HYPERLINK("https://camerareadycosmetics.com/products/laura-mercier-rose-glow-liquid-highlighter", "https://camerareadycosmetics.com/products/laura-mercier-rose-glow-liquid-highlighter")</f>
        <v/>
      </c>
      <c r="B1997" s="2">
        <f>HYPERLINK("https://camerareadycosmetics.com/products/laura-mercier-rose-glow-liquid-highlighter", "https://camerareadycosmetics.com/products/laura-mercier-rose-glow-liquid-highlighter")</f>
        <v/>
      </c>
      <c r="C1997" t="inlineStr">
        <is>
          <t>Rose Glow Liquid Highlighter</t>
        </is>
      </c>
      <c r="D1997" t="inlineStr">
        <is>
          <t>MIESCHER Body Face Luminizer Highlighter Cream Spray Liquid Bronzer Illuminator Glow Glistening Makeup Foundation Cheekbone &amp; Blush Liquid Highlighter Bronzer Smooth Shimmer Glow Makeup(#2 Rose Gold)</t>
        </is>
      </c>
      <c r="E1997" s="2">
        <f>HYPERLINK("https://www.amazon.com/Luminizer-Highlighter-Illuminator-Glistening-Foundation/dp/B08THH5NLW/ref=sr_1_4?keywords=Rose+Glow+Liquid+Highlighter&amp;qid=1695565879&amp;sr=8-4", "https://www.amazon.com/Luminizer-Highlighter-Illuminator-Glistening-Foundation/dp/B08THH5NLW/ref=sr_1_4?keywords=Rose+Glow+Liquid+Highlighter&amp;qid=1695565879&amp;sr=8-4")</f>
        <v/>
      </c>
      <c r="F1997" t="inlineStr">
        <is>
          <t>B08THH5NLW</t>
        </is>
      </c>
      <c r="G1997">
        <f>_xlfn.IMAGE("https://camerareadycosmetics.com/cdn/shop/files/LM_SU23_RGLH_Silo_CLOSED_3000x3000_R300_1_50x.jpg?v=1688426845")</f>
        <v/>
      </c>
      <c r="H1997">
        <f>_xlfn.IMAGE("https://m.media-amazon.com/images/I/61TwZZr0UML._AC_UL320_.jpg")</f>
        <v/>
      </c>
      <c r="K1997" t="inlineStr">
        <is>
          <t>40.0</t>
        </is>
      </c>
      <c r="L1997" t="n">
        <v>5.99</v>
      </c>
      <c r="M1997" s="1" t="inlineStr">
        <is>
          <t>-85.02%</t>
        </is>
      </c>
      <c r="N1997" t="n">
        <v>3.9</v>
      </c>
      <c r="O1997" t="n">
        <v>226</v>
      </c>
      <c r="Q1997" t="inlineStr">
        <is>
          <t>InStock</t>
        </is>
      </c>
      <c r="R1997" t="inlineStr">
        <is>
          <t>undefined</t>
        </is>
      </c>
      <c r="S1997" t="inlineStr">
        <is>
          <t>7598699806905</t>
        </is>
      </c>
    </row>
    <row r="1998" ht="75" customHeight="1">
      <c r="A1998" s="2">
        <f>HYPERLINK("https://camerareadycosmetics.com/products/laura-mercier-secret-blurring-powder-for-under-eyes", "https://camerareadycosmetics.com/products/laura-mercier-secret-blurring-powder-for-under-eyes")</f>
        <v/>
      </c>
      <c r="B1998" s="2">
        <f>HYPERLINK("https://camerareadycosmetics.com/products/laura-mercier-secret-blurring-powder-for-under-eyes", "https://camerareadycosmetics.com/products/laura-mercier-secret-blurring-powder-for-under-eyes")</f>
        <v/>
      </c>
      <c r="C1998" t="inlineStr">
        <is>
          <t>Secret Blurring Powder for Under Eyes</t>
        </is>
      </c>
      <c r="D1998" t="inlineStr">
        <is>
          <t>Laura Mercier Secret Blurring Powder For Under Eyes, Light</t>
        </is>
      </c>
      <c r="E1998" s="2">
        <f>HYPERLINK("https://www.amazon.com/Secret-Blurring-Powder-Light-Medium-Skintones/dp/B07HFHM7HH/ref=sr_1_4?keywords=Secret+Blurring+Powder+for+Under+Eyes&amp;qid=1695565637&amp;sr=8-4", "https://www.amazon.com/Secret-Blurring-Powder-Light-Medium-Skintones/dp/B07HFHM7HH/ref=sr_1_4?keywords=Secret+Blurring+Powder+for+Under+Eyes&amp;qid=1695565637&amp;sr=8-4")</f>
        <v/>
      </c>
      <c r="F1998" t="inlineStr">
        <is>
          <t>B07HFHM7HH</t>
        </is>
      </c>
      <c r="G1998">
        <f>_xlfn.IMAGE("https://camerareadycosmetics.com/cdn/shop/products/laura_mercier_Secret_Blurring_Powder_for_Under_Eyes_Shade_1_12704133-1_50x.jpg?v=1580319755")</f>
        <v/>
      </c>
      <c r="H1998">
        <f>_xlfn.IMAGE("https://m.media-amazon.com/images/I/61p5giW5KWL._AC_UL320_.jpg")</f>
        <v/>
      </c>
      <c r="K1998" t="inlineStr">
        <is>
          <t>30.0</t>
        </is>
      </c>
      <c r="L1998" t="n">
        <v>49.77</v>
      </c>
      <c r="M1998" s="1" t="inlineStr">
        <is>
          <t>65.90%</t>
        </is>
      </c>
      <c r="N1998" t="n">
        <v>3.9</v>
      </c>
      <c r="O1998" t="n">
        <v>218</v>
      </c>
      <c r="Q1998" t="inlineStr">
        <is>
          <t>OutOfStock</t>
        </is>
      </c>
      <c r="R1998" t="inlineStr">
        <is>
          <t>undefined</t>
        </is>
      </c>
      <c r="S1998" t="inlineStr">
        <is>
          <t>4374666641519</t>
        </is>
      </c>
    </row>
    <row r="1999" ht="75" customHeight="1">
      <c r="A1999" s="2">
        <f>HYPERLINK("https://camerareadycosmetics.com/products/laura-mercier-secret-brightening-powder-for-under-eyes", "https://camerareadycosmetics.com/products/laura-mercier-secret-brightening-powder-for-under-eyes")</f>
        <v/>
      </c>
      <c r="B1999" s="2">
        <f>HYPERLINK("https://camerareadycosmetics.com/products/laura-mercier-secret-brightening-powder-for-under-eyes", "https://camerareadycosmetics.com/products/laura-mercier-secret-brightening-powder-for-under-eyes")</f>
        <v/>
      </c>
      <c r="C1999" t="inlineStr">
        <is>
          <t>Secret Brightening Powder For Under Eyes</t>
        </is>
      </c>
      <c r="D1999" t="inlineStr">
        <is>
          <t>Laura Mercier Secret Blurring Powder For Under Eyes, Medium</t>
        </is>
      </c>
      <c r="E1999" s="2">
        <f>HYPERLINK("https://www.amazon.com/Secret-Blurring-Powder-Medium-Deep-Skintones/dp/B07HFJ9MWJ/ref=sr_1_3?keywords=Secret+Brightening+Powder+For+Under+Eyes&amp;qid=1695565561&amp;sr=8-3", "https://www.amazon.com/Secret-Blurring-Powder-Medium-Deep-Skintones/dp/B07HFJ9MWJ/ref=sr_1_3?keywords=Secret+Brightening+Powder+For+Under+Eyes&amp;qid=1695565561&amp;sr=8-3")</f>
        <v/>
      </c>
      <c r="F1999" t="inlineStr">
        <is>
          <t>B07HFJ9MWJ</t>
        </is>
      </c>
      <c r="G1999">
        <f>_xlfn.IMAGE("https://camerareadycosmetics.com/cdn/shop/products/laura_mercier_Secret_Brightening_Powder_For_Under_Eyes_Shade_2_12704132-2_50x.jpg?v=1580319758")</f>
        <v/>
      </c>
      <c r="H1999">
        <f>_xlfn.IMAGE("https://m.media-amazon.com/images/I/51DQJozHXdL._AC_UL320_.jpg")</f>
        <v/>
      </c>
      <c r="K1999" t="inlineStr">
        <is>
          <t>33.0</t>
        </is>
      </c>
      <c r="L1999" t="n">
        <v>36.4</v>
      </c>
      <c r="M1999" s="1" t="inlineStr">
        <is>
          <t>10.30%</t>
        </is>
      </c>
      <c r="N1999" t="n">
        <v>3.9</v>
      </c>
      <c r="O1999" t="n">
        <v>218</v>
      </c>
      <c r="Q1999" t="inlineStr">
        <is>
          <t>InStock</t>
        </is>
      </c>
      <c r="R1999" t="inlineStr">
        <is>
          <t>undefined</t>
        </is>
      </c>
      <c r="S1999" t="inlineStr">
        <is>
          <t>4374660186223</t>
        </is>
      </c>
    </row>
    <row r="2000" ht="75" customHeight="1">
      <c r="A2000" s="2">
        <f>HYPERLINK("https://camerareadycosmetics.com/products/laura-mercier-secret-brightening-powder-for-under-eyes", "https://camerareadycosmetics.com/products/laura-mercier-secret-brightening-powder-for-under-eyes")</f>
        <v/>
      </c>
      <c r="B2000" s="2">
        <f>HYPERLINK("https://camerareadycosmetics.com/products/laura-mercier-secret-brightening-powder-for-under-eyes", "https://camerareadycosmetics.com/products/laura-mercier-secret-brightening-powder-for-under-eyes")</f>
        <v/>
      </c>
      <c r="C2000" t="inlineStr">
        <is>
          <t>Secret Brightening Powder For Under Eyes</t>
        </is>
      </c>
      <c r="D2000" t="inlineStr">
        <is>
          <t>Ruby Kisses Instant Bake Undereye Powder - Vegan, Cruelty Free Powder for Brightening Eyes and Smudge-Free Makeup (Banana)</t>
        </is>
      </c>
      <c r="E2000" s="2">
        <f>HYPERLINK("https://www.amazon.com/Ruby-Kisses-Instant-Undereye-Powder/dp/B0BWCJ8WB8/ref=sr_1_6?keywords=Secret+Brightening+Powder+For+Under+Eyes&amp;qid=1695565561&amp;sr=8-6", "https://www.amazon.com/Ruby-Kisses-Instant-Undereye-Powder/dp/B0BWCJ8WB8/ref=sr_1_6?keywords=Secret+Brightening+Powder+For+Under+Eyes&amp;qid=1695565561&amp;sr=8-6")</f>
        <v/>
      </c>
      <c r="F2000" t="inlineStr">
        <is>
          <t>B0BWCJ8WB8</t>
        </is>
      </c>
      <c r="G2000">
        <f>_xlfn.IMAGE("https://camerareadycosmetics.com/cdn/shop/products/laura_mercier_Secret_Brightening_Powder_For_Under_Eyes_Shade_2_12704132-2_50x.jpg?v=1580319758")</f>
        <v/>
      </c>
      <c r="H2000">
        <f>_xlfn.IMAGE("https://m.media-amazon.com/images/I/71Dvi-DYSIL._AC_UL320_.jpg")</f>
        <v/>
      </c>
      <c r="K2000" t="inlineStr">
        <is>
          <t>33.0</t>
        </is>
      </c>
      <c r="L2000" t="n">
        <v>5.19</v>
      </c>
      <c r="M2000" s="1" t="inlineStr">
        <is>
          <t>-84.27%</t>
        </is>
      </c>
      <c r="N2000" t="n">
        <v>4.3</v>
      </c>
      <c r="O2000" t="n">
        <v>75</v>
      </c>
      <c r="Q2000" t="inlineStr">
        <is>
          <t>InStock</t>
        </is>
      </c>
      <c r="R2000" t="inlineStr">
        <is>
          <t>undefined</t>
        </is>
      </c>
      <c r="S2000" t="inlineStr">
        <is>
          <t>4374660186223</t>
        </is>
      </c>
    </row>
    <row r="2001" ht="75" customHeight="1">
      <c r="A2001" s="2">
        <f>HYPERLINK("https://camerareadycosmetics.com/products/laura-mercier-secret-brightening-powder-for-under-eyes", "https://camerareadycosmetics.com/products/laura-mercier-secret-brightening-powder-for-under-eyes")</f>
        <v/>
      </c>
      <c r="B2001" s="2">
        <f>HYPERLINK("https://camerareadycosmetics.com/products/laura-mercier-secret-brightening-powder-for-under-eyes", "https://camerareadycosmetics.com/products/laura-mercier-secret-brightening-powder-for-under-eyes")</f>
        <v/>
      </c>
      <c r="C2001" t="inlineStr">
        <is>
          <t>Secret Brightening Powder For Under Eyes</t>
        </is>
      </c>
      <c r="D2001" t="inlineStr">
        <is>
          <t>Ruby Kisses Instant Bake Undereye Powder - Vegan, Cruelty Free Powder for Brightening Eyes and Smudge-Free Makeup (Banana)</t>
        </is>
      </c>
      <c r="E2001" s="2">
        <f>HYPERLINK("https://www.amazon.com/Ruby-Kisses-Instant-Undereye-Powder/dp/B0BWCJ8WB8/ref=sr_1_6?keywords=Secret+Brightening+Powder+For+Under+Eyes&amp;qid=1695565561&amp;sr=8-6", "https://www.amazon.com/Ruby-Kisses-Instant-Undereye-Powder/dp/B0BWCJ8WB8/ref=sr_1_6?keywords=Secret+Brightening+Powder+For+Under+Eyes&amp;qid=1695565561&amp;sr=8-6")</f>
        <v/>
      </c>
      <c r="F2001" t="inlineStr">
        <is>
          <t>B0BWCJ8WB8</t>
        </is>
      </c>
      <c r="G2001">
        <f>_xlfn.IMAGE("https://camerareadycosmetics.com/cdn/shop/products/laura_mercier_Secret_Brightening_Powder_For_Under_Eyes_Shade_2_12704132-2_50x.jpg?v=1580319758")</f>
        <v/>
      </c>
      <c r="H2001">
        <f>_xlfn.IMAGE("https://m.media-amazon.com/images/I/71Dvi-DYSIL._AC_UL320_.jpg")</f>
        <v/>
      </c>
      <c r="K2001" t="inlineStr">
        <is>
          <t>33.0</t>
        </is>
      </c>
      <c r="L2001" t="n">
        <v>5.19</v>
      </c>
      <c r="M2001" s="1" t="inlineStr">
        <is>
          <t>-84.27%</t>
        </is>
      </c>
      <c r="N2001" t="n">
        <v>4.3</v>
      </c>
      <c r="O2001" t="n">
        <v>75</v>
      </c>
      <c r="Q2001" t="inlineStr">
        <is>
          <t>InStock</t>
        </is>
      </c>
      <c r="R2001" t="inlineStr">
        <is>
          <t>undefined</t>
        </is>
      </c>
      <c r="S2001" t="inlineStr">
        <is>
          <t>4374660186223</t>
        </is>
      </c>
    </row>
    <row r="2002" ht="75" customHeight="1">
      <c r="A2002" s="2">
        <f>HYPERLINK("https://camerareadycosmetics.com/products/laura-mercier-secret-camouflage-concealer", "https://camerareadycosmetics.com/products/laura-mercier-secret-camouflage-concealer")</f>
        <v/>
      </c>
      <c r="B2002" s="2">
        <f>HYPERLINK("https://camerareadycosmetics.com/products/laura-mercier-secret-camouflage-concealer", "https://camerareadycosmetics.com/products/laura-mercier-secret-camouflage-concealer")</f>
        <v/>
      </c>
      <c r="C2002" t="inlineStr">
        <is>
          <t>Secret Camouflage Concealer</t>
        </is>
      </c>
      <c r="D2002" t="inlineStr">
        <is>
          <t>Victoria's Secret VS PRO Camouflage FX Universal Concealer Palette</t>
        </is>
      </c>
      <c r="E2002" s="2">
        <f>HYPERLINK("https://www.amazon.com/Victorias-Secret-Camouflage-Universal-Concealer/dp/B00E70W2U0/ref=sr_1_10?keywords=Secret+Camouflage+Concealer&amp;qid=1695565607&amp;sr=8-10", "https://www.amazon.com/Victorias-Secret-Camouflage-Universal-Concealer/dp/B00E70W2U0/ref=sr_1_10?keywords=Secret+Camouflage+Concealer&amp;qid=1695565607&amp;sr=8-10")</f>
        <v/>
      </c>
      <c r="F2002" t="inlineStr">
        <is>
          <t>B00E70W2U0</t>
        </is>
      </c>
      <c r="G2002">
        <f>_xlfn.IMAGE("https://camerareadycosmetics.com/cdn/shop/products/laura_mercier_Secret_Camouflage_SC-8_12342499-1_50x.jpg?v=1579006935")</f>
        <v/>
      </c>
      <c r="H2002">
        <f>_xlfn.IMAGE("https://m.media-amazon.com/images/I/21YH908IjLL._AC_UL320_.jpg")</f>
        <v/>
      </c>
      <c r="K2002" t="inlineStr">
        <is>
          <t>36.0</t>
        </is>
      </c>
      <c r="L2002" t="n">
        <v>38</v>
      </c>
      <c r="M2002" s="1" t="inlineStr">
        <is>
          <t>5.56%</t>
        </is>
      </c>
      <c r="N2002" t="n">
        <v>4.4</v>
      </c>
      <c r="O2002" t="n">
        <v>4</v>
      </c>
      <c r="Q2002" t="inlineStr">
        <is>
          <t>InStock</t>
        </is>
      </c>
      <c r="R2002" t="inlineStr">
        <is>
          <t>undefined</t>
        </is>
      </c>
      <c r="S2002" t="inlineStr">
        <is>
          <t>4368566059119</t>
        </is>
      </c>
    </row>
    <row r="2003" ht="75" customHeight="1">
      <c r="A2003" s="2">
        <f>HYPERLINK("https://camerareadycosmetics.com/products/laura-mercier-secret-camouflage-concealer", "https://camerareadycosmetics.com/products/laura-mercier-secret-camouflage-concealer")</f>
        <v/>
      </c>
      <c r="B2003" s="2">
        <f>HYPERLINK("https://camerareadycosmetics.com/products/laura-mercier-secret-camouflage-concealer", "https://camerareadycosmetics.com/products/laura-mercier-secret-camouflage-concealer")</f>
        <v/>
      </c>
      <c r="C2003" t="inlineStr">
        <is>
          <t>Secret Camouflage Concealer</t>
        </is>
      </c>
      <c r="D2003" t="inlineStr">
        <is>
          <t>Laura Mercier Secret Camouflage Correct and Brighten Concealer Duo Stick 0.5N</t>
        </is>
      </c>
      <c r="E2003" s="2">
        <f>HYPERLINK("https://www.amazon.com/Laura-Mercier-Secret-Camouflage-Concealer/dp/B09GW92Y51/ref=sr_1_7?keywords=Secret+Camouflage+Concealer&amp;qid=1695565607&amp;sr=8-7", "https://www.amazon.com/Laura-Mercier-Secret-Camouflage-Concealer/dp/B09GW92Y51/ref=sr_1_7?keywords=Secret+Camouflage+Concealer&amp;qid=1695565607&amp;sr=8-7")</f>
        <v/>
      </c>
      <c r="F2003" t="inlineStr">
        <is>
          <t>B09GW92Y51</t>
        </is>
      </c>
      <c r="G2003">
        <f>_xlfn.IMAGE("https://camerareadycosmetics.com/cdn/shop/products/laura_mercier_Secret_Camouflage_SC-8_12342499-1_50x.jpg?v=1579006935")</f>
        <v/>
      </c>
      <c r="H2003">
        <f>_xlfn.IMAGE("https://m.media-amazon.com/images/I/11id+Sl8L-L._AC_UL320_.jpg")</f>
        <v/>
      </c>
      <c r="K2003" t="inlineStr">
        <is>
          <t>36.0</t>
        </is>
      </c>
      <c r="L2003" t="n">
        <v>35</v>
      </c>
      <c r="M2003" s="1" t="inlineStr">
        <is>
          <t>-2.78%</t>
        </is>
      </c>
      <c r="N2003" t="n">
        <v>4.4</v>
      </c>
      <c r="O2003" t="n">
        <v>2</v>
      </c>
      <c r="Q2003" t="inlineStr">
        <is>
          <t>InStock</t>
        </is>
      </c>
      <c r="R2003" t="inlineStr">
        <is>
          <t>undefined</t>
        </is>
      </c>
      <c r="S2003" t="inlineStr">
        <is>
          <t>4368566059119</t>
        </is>
      </c>
    </row>
    <row r="2004" ht="75" customHeight="1">
      <c r="A2004" s="2">
        <f>HYPERLINK("https://camerareadycosmetics.com/products/laura-mercier-secret-camouflage-concealer", "https://camerareadycosmetics.com/products/laura-mercier-secret-camouflage-concealer")</f>
        <v/>
      </c>
      <c r="B2004" s="2">
        <f>HYPERLINK("https://camerareadycosmetics.com/products/laura-mercier-secret-camouflage-concealer", "https://camerareadycosmetics.com/products/laura-mercier-secret-camouflage-concealer")</f>
        <v/>
      </c>
      <c r="C2004" t="inlineStr">
        <is>
          <t>Secret Camouflage Concealer</t>
        </is>
      </c>
      <c r="D2004" t="inlineStr">
        <is>
          <t>Laura Mercier Secret Camouflage for WoMen, Concealer, SC-8, 0.2 Ounce</t>
        </is>
      </c>
      <c r="E2004" s="2">
        <f>HYPERLINK("https://www.amazon.com/Laura-Mercier-Secret-Camouflage-Concealer/dp/B004H0ZVHG/ref=sr_1_6?keywords=Secret+Camouflage+Concealer&amp;qid=1695565607&amp;sr=8-6", "https://www.amazon.com/Laura-Mercier-Secret-Camouflage-Concealer/dp/B004H0ZVHG/ref=sr_1_6?keywords=Secret+Camouflage+Concealer&amp;qid=1695565607&amp;sr=8-6")</f>
        <v/>
      </c>
      <c r="F2004" t="inlineStr">
        <is>
          <t>B004H0ZVHG</t>
        </is>
      </c>
      <c r="G2004">
        <f>_xlfn.IMAGE("https://camerareadycosmetics.com/cdn/shop/products/laura_mercier_Secret_Camouflage_SC-8_12342499-1_50x.jpg?v=1579006935")</f>
        <v/>
      </c>
      <c r="H2004">
        <f>_xlfn.IMAGE("https://m.media-amazon.com/images/I/61LoxL0FioL._AC_UL320_.jpg")</f>
        <v/>
      </c>
      <c r="K2004" t="inlineStr">
        <is>
          <t>36.0</t>
        </is>
      </c>
      <c r="L2004" t="n">
        <v>23.98</v>
      </c>
      <c r="M2004" s="1" t="inlineStr">
        <is>
          <t>-33.39%</t>
        </is>
      </c>
      <c r="N2004" t="n">
        <v>4.2</v>
      </c>
      <c r="O2004" t="n">
        <v>37</v>
      </c>
      <c r="Q2004" t="inlineStr">
        <is>
          <t>InStock</t>
        </is>
      </c>
      <c r="R2004" t="inlineStr">
        <is>
          <t>undefined</t>
        </is>
      </c>
      <c r="S2004" t="inlineStr">
        <is>
          <t>4368566059119</t>
        </is>
      </c>
    </row>
    <row r="2005" ht="75" customHeight="1">
      <c r="A2005" s="2">
        <f>HYPERLINK("https://camerareadycosmetics.com/products/laura-mercier-secret-camouflage-concealer", "https://camerareadycosmetics.com/products/laura-mercier-secret-camouflage-concealer")</f>
        <v/>
      </c>
      <c r="B2005" s="2">
        <f>HYPERLINK("https://camerareadycosmetics.com/products/laura-mercier-secret-camouflage-concealer", "https://camerareadycosmetics.com/products/laura-mercier-secret-camouflage-concealer")</f>
        <v/>
      </c>
      <c r="C2005" t="inlineStr">
        <is>
          <t>Secret Camouflage Concealer</t>
        </is>
      </c>
      <c r="D2005" t="inlineStr">
        <is>
          <t>Laura Mercier Secret Camouflage Concealer Duo Stick - 3W Medium with Warm Undertones Women 2 x 0.3 oz</t>
        </is>
      </c>
      <c r="E2005" s="2">
        <f>HYPERLINK("https://www.amazon.com/Laura-Mercier-Secret-Camouflage-Concealer/dp/B09GWBM5NS/ref=sr_1_2?keywords=Secret+Camouflage+Concealer&amp;qid=1695565607&amp;sr=8-2", "https://www.amazon.com/Laura-Mercier-Secret-Camouflage-Concealer/dp/B09GWBM5NS/ref=sr_1_2?keywords=Secret+Camouflage+Concealer&amp;qid=1695565607&amp;sr=8-2")</f>
        <v/>
      </c>
      <c r="F2005" t="inlineStr">
        <is>
          <t>B09GWBM5NS</t>
        </is>
      </c>
      <c r="G2005">
        <f>_xlfn.IMAGE("https://camerareadycosmetics.com/cdn/shop/products/laura_mercier_Secret_Camouflage_SC-8_12342499-1_50x.jpg?v=1579006935")</f>
        <v/>
      </c>
      <c r="H2005">
        <f>_xlfn.IMAGE("https://m.media-amazon.com/images/I/61zAdSfDWKL._AC_UL320_.jpg")</f>
        <v/>
      </c>
      <c r="K2005" t="inlineStr">
        <is>
          <t>36.0</t>
        </is>
      </c>
      <c r="L2005" t="n">
        <v>22.53</v>
      </c>
      <c r="M2005" s="1" t="inlineStr">
        <is>
          <t>-37.42%</t>
        </is>
      </c>
      <c r="N2005" t="n">
        <v>4.4</v>
      </c>
      <c r="O2005" t="n">
        <v>58</v>
      </c>
      <c r="Q2005" t="inlineStr">
        <is>
          <t>InStock</t>
        </is>
      </c>
      <c r="R2005" t="inlineStr">
        <is>
          <t>undefined</t>
        </is>
      </c>
      <c r="S2005" t="inlineStr">
        <is>
          <t>4368566059119</t>
        </is>
      </c>
    </row>
    <row r="2006" ht="75" customHeight="1">
      <c r="A2006" s="2">
        <f>HYPERLINK("https://camerareadycosmetics.com/products/laura-mercier-secret-camouflage-concealer-duo", "https://camerareadycosmetics.com/products/laura-mercier-secret-camouflage-concealer-duo")</f>
        <v/>
      </c>
      <c r="B2006" s="2">
        <f>HYPERLINK("https://camerareadycosmetics.com/products/laura-mercier-secret-camouflage-concealer-duo", "https://camerareadycosmetics.com/products/laura-mercier-secret-camouflage-concealer-duo")</f>
        <v/>
      </c>
      <c r="C2006" t="inlineStr">
        <is>
          <t>Secret Camouflage Concealer Duo</t>
        </is>
      </c>
      <c r="D2006" t="inlineStr">
        <is>
          <t>Laura Mercier Secret Camouflage Concealer Duo Stick - 1N Fair with Neutral Undertones Women 2 x1g/ 0.03 oz</t>
        </is>
      </c>
      <c r="E2006" s="2">
        <f>HYPERLINK("https://www.amazon.com/Laura-Mercier-Secret-Camouflage-Concealer/dp/B09GWC7CYM/ref=sr_1_1?keywords=Secret+Camouflage+Concealer+Duo&amp;qid=1695565774&amp;sr=8-1", "https://www.amazon.com/Laura-Mercier-Secret-Camouflage-Concealer/dp/B09GWC7CYM/ref=sr_1_1?keywords=Secret+Camouflage+Concealer+Duo&amp;qid=1695565774&amp;sr=8-1")</f>
        <v/>
      </c>
      <c r="F2006" t="inlineStr">
        <is>
          <t>B09GWC7CYM</t>
        </is>
      </c>
      <c r="G2006">
        <f>_xlfn.IMAGE("https://camerareadycosmetics.com/cdn/shop/products/0-5n-laura_mercier_Secret_Camouflage_Concealer_Duo_0_50x.jpg?v=1624903398")</f>
        <v/>
      </c>
      <c r="H2006">
        <f>_xlfn.IMAGE("https://m.media-amazon.com/images/I/61s10JEidYL._AC_UL320_.jpg")</f>
        <v/>
      </c>
      <c r="K2006" t="inlineStr">
        <is>
          <t>36.0</t>
        </is>
      </c>
      <c r="L2006" t="n">
        <v>40.95</v>
      </c>
      <c r="M2006" s="1" t="inlineStr">
        <is>
          <t>13.75%</t>
        </is>
      </c>
      <c r="N2006" t="n">
        <v>4.4</v>
      </c>
      <c r="O2006" t="n">
        <v>58</v>
      </c>
      <c r="Q2006" t="inlineStr">
        <is>
          <t>InStock</t>
        </is>
      </c>
      <c r="R2006" t="inlineStr">
        <is>
          <t>undefined</t>
        </is>
      </c>
      <c r="S2006" t="inlineStr">
        <is>
          <t>6789341020345</t>
        </is>
      </c>
    </row>
    <row r="2007" ht="75" customHeight="1">
      <c r="A2007" s="2">
        <f>HYPERLINK("https://camerareadycosmetics.com/products/laura-mercier-secret-camouflage-concealer-duo", "https://camerareadycosmetics.com/products/laura-mercier-secret-camouflage-concealer-duo")</f>
        <v/>
      </c>
      <c r="B2007" s="2">
        <f>HYPERLINK("https://camerareadycosmetics.com/products/laura-mercier-secret-camouflage-concealer-duo", "https://camerareadycosmetics.com/products/laura-mercier-secret-camouflage-concealer-duo")</f>
        <v/>
      </c>
      <c r="C2007" t="inlineStr">
        <is>
          <t>Secret Camouflage Concealer Duo</t>
        </is>
      </c>
      <c r="D2007" t="inlineStr">
        <is>
          <t>Laura Mercier Secret Camouflage Concealer, SC-4</t>
        </is>
      </c>
      <c r="E2007" s="2">
        <f>HYPERLINK("https://www.amazon.com/Mercier-Secret-Camouflage-Concealer-Medium/dp/B004H1198A/ref=sr_1_3?keywords=Secret+Camouflage+Concealer+Duo&amp;qid=1695565774&amp;sr=8-3", "https://www.amazon.com/Mercier-Secret-Camouflage-Concealer-Medium/dp/B004H1198A/ref=sr_1_3?keywords=Secret+Camouflage+Concealer+Duo&amp;qid=1695565774&amp;sr=8-3")</f>
        <v/>
      </c>
      <c r="F2007" t="inlineStr">
        <is>
          <t>B004H1198A</t>
        </is>
      </c>
      <c r="G2007">
        <f>_xlfn.IMAGE("https://camerareadycosmetics.com/cdn/shop/products/0-5n-laura_mercier_Secret_Camouflage_Concealer_Duo_0_50x.jpg?v=1624903398")</f>
        <v/>
      </c>
      <c r="H2007">
        <f>_xlfn.IMAGE("https://m.media-amazon.com/images/I/71qWRj6tmML._AC_UL320_.jpg")</f>
        <v/>
      </c>
      <c r="K2007" t="inlineStr">
        <is>
          <t>36.0</t>
        </is>
      </c>
      <c r="L2007" t="n">
        <v>38.5</v>
      </c>
      <c r="M2007" s="1" t="inlineStr">
        <is>
          <t>6.94%</t>
        </is>
      </c>
      <c r="N2007" t="n">
        <v>4.2</v>
      </c>
      <c r="O2007" t="n">
        <v>396</v>
      </c>
      <c r="Q2007" t="inlineStr">
        <is>
          <t>InStock</t>
        </is>
      </c>
      <c r="R2007" t="inlineStr">
        <is>
          <t>undefined</t>
        </is>
      </c>
      <c r="S2007" t="inlineStr">
        <is>
          <t>6789341020345</t>
        </is>
      </c>
    </row>
    <row r="2008" ht="75" customHeight="1">
      <c r="A2008" s="2">
        <f>HYPERLINK("https://camerareadycosmetics.com/products/laura-mercier-secret-camouflage-concealer-duo", "https://camerareadycosmetics.com/products/laura-mercier-secret-camouflage-concealer-duo")</f>
        <v/>
      </c>
      <c r="B2008" s="2">
        <f>HYPERLINK("https://camerareadycosmetics.com/products/laura-mercier-secret-camouflage-concealer-duo", "https://camerareadycosmetics.com/products/laura-mercier-secret-camouflage-concealer-duo")</f>
        <v/>
      </c>
      <c r="C2008" t="inlineStr">
        <is>
          <t>Secret Camouflage Concealer Duo</t>
        </is>
      </c>
      <c r="D2008" t="inlineStr">
        <is>
          <t>Laura Mercier Secret Camouflage Correct and Brighten Concealer Duo Stick 0.5N</t>
        </is>
      </c>
      <c r="E2008" s="2">
        <f>HYPERLINK("https://www.amazon.com/Laura-Mercier-Secret-Camouflage-Concealer/dp/B09GW92Y51/ref=sr_1_4?keywords=Secret+Camouflage+Concealer+Duo&amp;qid=1695565774&amp;sr=8-4", "https://www.amazon.com/Laura-Mercier-Secret-Camouflage-Concealer/dp/B09GW92Y51/ref=sr_1_4?keywords=Secret+Camouflage+Concealer+Duo&amp;qid=1695565774&amp;sr=8-4")</f>
        <v/>
      </c>
      <c r="F2008" t="inlineStr">
        <is>
          <t>B09GW92Y51</t>
        </is>
      </c>
      <c r="G2008">
        <f>_xlfn.IMAGE("https://camerareadycosmetics.com/cdn/shop/products/0-5n-laura_mercier_Secret_Camouflage_Concealer_Duo_0_50x.jpg?v=1624903398")</f>
        <v/>
      </c>
      <c r="H2008">
        <f>_xlfn.IMAGE("https://m.media-amazon.com/images/I/11id+Sl8L-L._AC_UL320_.jpg")</f>
        <v/>
      </c>
      <c r="K2008" t="inlineStr">
        <is>
          <t>36.0</t>
        </is>
      </c>
      <c r="L2008" t="n">
        <v>35</v>
      </c>
      <c r="M2008" s="1" t="inlineStr">
        <is>
          <t>-2.78%</t>
        </is>
      </c>
      <c r="N2008" t="n">
        <v>4.4</v>
      </c>
      <c r="O2008" t="n">
        <v>2</v>
      </c>
      <c r="Q2008" t="inlineStr">
        <is>
          <t>InStock</t>
        </is>
      </c>
      <c r="R2008" t="inlineStr">
        <is>
          <t>undefined</t>
        </is>
      </c>
      <c r="S2008" t="inlineStr">
        <is>
          <t>6789341020345</t>
        </is>
      </c>
    </row>
    <row r="2009" ht="75" customHeight="1">
      <c r="A2009" s="2">
        <f>HYPERLINK("https://camerareadycosmetics.com/products/laura-mercier-secret-camouflage-concealer-duo", "https://camerareadycosmetics.com/products/laura-mercier-secret-camouflage-concealer-duo")</f>
        <v/>
      </c>
      <c r="B2009" s="2">
        <f>HYPERLINK("https://camerareadycosmetics.com/products/laura-mercier-secret-camouflage-concealer-duo", "https://camerareadycosmetics.com/products/laura-mercier-secret-camouflage-concealer-duo")</f>
        <v/>
      </c>
      <c r="C2009" t="inlineStr">
        <is>
          <t>Secret Camouflage Concealer Duo</t>
        </is>
      </c>
      <c r="D2009" t="inlineStr">
        <is>
          <t>Laura Mercier Secret Camouflage for WoMen, Concealer, SC-8, 0.2 Ounce</t>
        </is>
      </c>
      <c r="E2009" s="2">
        <f>HYPERLINK("https://www.amazon.com/Laura-Mercier-Secret-Camouflage-Concealer/dp/B004H0ZVHG/ref=sr_1_10?keywords=Secret+Camouflage+Concealer+Duo&amp;qid=1695565774&amp;sr=8-10", "https://www.amazon.com/Laura-Mercier-Secret-Camouflage-Concealer/dp/B004H0ZVHG/ref=sr_1_10?keywords=Secret+Camouflage+Concealer+Duo&amp;qid=1695565774&amp;sr=8-10")</f>
        <v/>
      </c>
      <c r="F2009" t="inlineStr">
        <is>
          <t>B004H0ZVHG</t>
        </is>
      </c>
      <c r="G2009">
        <f>_xlfn.IMAGE("https://camerareadycosmetics.com/cdn/shop/products/0-5n-laura_mercier_Secret_Camouflage_Concealer_Duo_0_50x.jpg?v=1624903398")</f>
        <v/>
      </c>
      <c r="H2009">
        <f>_xlfn.IMAGE("https://m.media-amazon.com/images/I/61LoxL0FioL._AC_UL320_.jpg")</f>
        <v/>
      </c>
      <c r="K2009" t="inlineStr">
        <is>
          <t>36.0</t>
        </is>
      </c>
      <c r="L2009" t="n">
        <v>23.98</v>
      </c>
      <c r="M2009" s="1" t="inlineStr">
        <is>
          <t>-33.39%</t>
        </is>
      </c>
      <c r="N2009" t="n">
        <v>4.2</v>
      </c>
      <c r="O2009" t="n">
        <v>37</v>
      </c>
      <c r="Q2009" t="inlineStr">
        <is>
          <t>InStock</t>
        </is>
      </c>
      <c r="R2009" t="inlineStr">
        <is>
          <t>undefined</t>
        </is>
      </c>
      <c r="S2009" t="inlineStr">
        <is>
          <t>6789341020345</t>
        </is>
      </c>
    </row>
    <row r="2010" ht="75" customHeight="1">
      <c r="A2010" s="2">
        <f>HYPERLINK("https://camerareadycosmetics.com/products/laura-mercier-secret-concealer", "https://camerareadycosmetics.com/products/laura-mercier-secret-concealer")</f>
        <v/>
      </c>
      <c r="B2010" s="2">
        <f>HYPERLINK("https://camerareadycosmetics.com/products/laura-mercier-secret-concealer", "https://camerareadycosmetics.com/products/laura-mercier-secret-concealer")</f>
        <v/>
      </c>
      <c r="C2010" t="inlineStr">
        <is>
          <t>Secret Concealer</t>
        </is>
      </c>
      <c r="D2010" t="inlineStr">
        <is>
          <t>Laura Mercier Secret Concealer, Pink Beige 0.08 Ounce (Pack of 1)</t>
        </is>
      </c>
      <c r="E2010" s="2">
        <f>HYPERLINK("https://www.amazon.com/Mercier-Secret-Concealer-Makeup-Powder/dp/B00I7X7HPS/ref=sr_1_9?keywords=Secret+Concealer&amp;qid=1695565697&amp;sr=8-9", "https://www.amazon.com/Mercier-Secret-Concealer-Makeup-Powder/dp/B00I7X7HPS/ref=sr_1_9?keywords=Secret+Concealer&amp;qid=1695565697&amp;sr=8-9")</f>
        <v/>
      </c>
      <c r="F2010" t="inlineStr">
        <is>
          <t>B00I7X7HPS</t>
        </is>
      </c>
      <c r="G2010">
        <f>_xlfn.IMAGE("https://camerareadycosmetics.com/cdn/shop/files/laura_mercier_Secret_Concealer_0_50x.jpg?v=1687203325")</f>
        <v/>
      </c>
      <c r="H2010">
        <f>_xlfn.IMAGE("https://m.media-amazon.com/images/I/711u7bRU+wL._AC_UL320_.jpg")</f>
        <v/>
      </c>
      <c r="K2010" t="inlineStr">
        <is>
          <t>29.0</t>
        </is>
      </c>
      <c r="L2010" t="n">
        <v>28.77</v>
      </c>
      <c r="M2010" s="1" t="inlineStr">
        <is>
          <t>-0.79%</t>
        </is>
      </c>
      <c r="N2010" t="n">
        <v>4.2</v>
      </c>
      <c r="O2010" t="n">
        <v>98</v>
      </c>
      <c r="Q2010" t="inlineStr">
        <is>
          <t>InStock</t>
        </is>
      </c>
      <c r="R2010" t="inlineStr">
        <is>
          <t>undefined</t>
        </is>
      </c>
      <c r="S2010" t="inlineStr">
        <is>
          <t>4368577233007</t>
        </is>
      </c>
    </row>
    <row r="2011" ht="75" customHeight="1">
      <c r="A2011" s="2">
        <f>HYPERLINK("https://camerareadycosmetics.com/products/laura-mercier-secret-concealer", "https://camerareadycosmetics.com/products/laura-mercier-secret-concealer")</f>
        <v/>
      </c>
      <c r="B2011" s="2">
        <f>HYPERLINK("https://camerareadycosmetics.com/products/laura-mercier-secret-concealer", "https://camerareadycosmetics.com/products/laura-mercier-secret-concealer")</f>
        <v/>
      </c>
      <c r="C2011" t="inlineStr">
        <is>
          <t>Secret Concealer</t>
        </is>
      </c>
      <c r="D2011" t="inlineStr">
        <is>
          <t>Laura Mercier Secret Camouflage Concealer Duo Stick - 3W Medium with Warm Undertones Women 2 x 0.3 oz</t>
        </is>
      </c>
      <c r="E2011" s="2">
        <f>HYPERLINK("https://www.amazon.com/Laura-Mercier-Secret-Camouflage-Concealer/dp/B09GWBM5NS/ref=sr_1_1?keywords=Secret+Concealer&amp;qid=1695565697&amp;sr=8-1", "https://www.amazon.com/Laura-Mercier-Secret-Camouflage-Concealer/dp/B09GWBM5NS/ref=sr_1_1?keywords=Secret+Concealer&amp;qid=1695565697&amp;sr=8-1")</f>
        <v/>
      </c>
      <c r="F2011" t="inlineStr">
        <is>
          <t>B09GWBM5NS</t>
        </is>
      </c>
      <c r="G2011">
        <f>_xlfn.IMAGE("https://camerareadycosmetics.com/cdn/shop/files/laura_mercier_Secret_Concealer_0_50x.jpg?v=1687203325")</f>
        <v/>
      </c>
      <c r="H2011">
        <f>_xlfn.IMAGE("https://m.media-amazon.com/images/I/61zAdSfDWKL._AC_UL320_.jpg")</f>
        <v/>
      </c>
      <c r="K2011" t="inlineStr">
        <is>
          <t>29.0</t>
        </is>
      </c>
      <c r="L2011" t="n">
        <v>22.53</v>
      </c>
      <c r="M2011" s="1" t="inlineStr">
        <is>
          <t>-22.31%</t>
        </is>
      </c>
      <c r="N2011" t="n">
        <v>4.4</v>
      </c>
      <c r="O2011" t="n">
        <v>58</v>
      </c>
      <c r="Q2011" t="inlineStr">
        <is>
          <t>InStock</t>
        </is>
      </c>
      <c r="R2011" t="inlineStr">
        <is>
          <t>undefined</t>
        </is>
      </c>
      <c r="S2011" t="inlineStr">
        <is>
          <t>4368577233007</t>
        </is>
      </c>
    </row>
    <row r="2012" ht="75" customHeight="1">
      <c r="A2012" s="2">
        <f>HYPERLINK("https://camerareadycosmetics.com/products/laura-mercier-secret-concealer", "https://camerareadycosmetics.com/products/laura-mercier-secret-concealer")</f>
        <v/>
      </c>
      <c r="B2012" s="2">
        <f>HYPERLINK("https://camerareadycosmetics.com/products/laura-mercier-secret-concealer", "https://camerareadycosmetics.com/products/laura-mercier-secret-concealer")</f>
        <v/>
      </c>
      <c r="C2012" t="inlineStr">
        <is>
          <t>Secret Concealer</t>
        </is>
      </c>
      <c r="D2012" t="inlineStr">
        <is>
          <t>Hollywood Fashion Secrets No-Show Concealers</t>
        </is>
      </c>
      <c r="E2012" s="2">
        <f>HYPERLINK("https://www.amazon.com/Hollywood-Fashion-Secrets-Hypoallergenic-Concealers/dp/B08Z5VBRJY/ref=sr_1_5?keywords=Secret+Concealer&amp;qid=1695565697&amp;sr=8-5", "https://www.amazon.com/Hollywood-Fashion-Secrets-Hypoallergenic-Concealers/dp/B08Z5VBRJY/ref=sr_1_5?keywords=Secret+Concealer&amp;qid=1695565697&amp;sr=8-5")</f>
        <v/>
      </c>
      <c r="F2012" t="inlineStr">
        <is>
          <t>B08Z5VBRJY</t>
        </is>
      </c>
      <c r="G2012">
        <f>_xlfn.IMAGE("https://camerareadycosmetics.com/cdn/shop/files/laura_mercier_Secret_Concealer_0_50x.jpg?v=1687203325")</f>
        <v/>
      </c>
      <c r="H2012">
        <f>_xlfn.IMAGE("https://m.media-amazon.com/images/I/61OaVMpwWxL._AC_UL320_.jpg")</f>
        <v/>
      </c>
      <c r="K2012" t="inlineStr">
        <is>
          <t>29.0</t>
        </is>
      </c>
      <c r="L2012" t="n">
        <v>13.99</v>
      </c>
      <c r="M2012" s="1" t="inlineStr">
        <is>
          <t>-51.76%</t>
        </is>
      </c>
      <c r="N2012" t="n">
        <v>4.1</v>
      </c>
      <c r="O2012" t="n">
        <v>194</v>
      </c>
      <c r="Q2012" t="inlineStr">
        <is>
          <t>InStock</t>
        </is>
      </c>
      <c r="R2012" t="inlineStr">
        <is>
          <t>undefined</t>
        </is>
      </c>
      <c r="S2012" t="inlineStr">
        <is>
          <t>4368577233007</t>
        </is>
      </c>
    </row>
    <row r="2013" ht="75" customHeight="1">
      <c r="A2013" s="2">
        <f>HYPERLINK("https://camerareadycosmetics.com/products/laura-mercier-secret-concealer", "https://camerareadycosmetics.com/products/laura-mercier-secret-concealer")</f>
        <v/>
      </c>
      <c r="B2013" s="2">
        <f>HYPERLINK("https://camerareadycosmetics.com/products/laura-mercier-secret-concealer", "https://camerareadycosmetics.com/products/laura-mercier-secret-concealer")</f>
        <v/>
      </c>
      <c r="C2013" t="inlineStr">
        <is>
          <t>Secret Concealer</t>
        </is>
      </c>
      <c r="D2013" t="inlineStr">
        <is>
          <t>Hollywood Fashion Secrets No-Show Concealers</t>
        </is>
      </c>
      <c r="E2013" s="2">
        <f>HYPERLINK("https://www.amazon.com/Hollywood-Fashion-Secrets-Hypoallergenic-Concealers/dp/B08Z5VBRJY/ref=sr_1_5?keywords=Secret+Concealer&amp;qid=1695565697&amp;sr=8-5", "https://www.amazon.com/Hollywood-Fashion-Secrets-Hypoallergenic-Concealers/dp/B08Z5VBRJY/ref=sr_1_5?keywords=Secret+Concealer&amp;qid=1695565697&amp;sr=8-5")</f>
        <v/>
      </c>
      <c r="F2013" t="inlineStr">
        <is>
          <t>B08Z5VBRJY</t>
        </is>
      </c>
      <c r="G2013">
        <f>_xlfn.IMAGE("https://camerareadycosmetics.com/cdn/shop/files/laura_mercier_Secret_Concealer_0_50x.jpg?v=1687203325")</f>
        <v/>
      </c>
      <c r="H2013">
        <f>_xlfn.IMAGE("https://m.media-amazon.com/images/I/61OaVMpwWxL._AC_UL320_.jpg")</f>
        <v/>
      </c>
      <c r="K2013" t="inlineStr">
        <is>
          <t>29.0</t>
        </is>
      </c>
      <c r="L2013" t="n">
        <v>13.99</v>
      </c>
      <c r="M2013" s="1" t="inlineStr">
        <is>
          <t>-51.76%</t>
        </is>
      </c>
      <c r="N2013" t="n">
        <v>4.1</v>
      </c>
      <c r="O2013" t="n">
        <v>194</v>
      </c>
      <c r="Q2013" t="inlineStr">
        <is>
          <t>InStock</t>
        </is>
      </c>
      <c r="R2013" t="inlineStr">
        <is>
          <t>undefined</t>
        </is>
      </c>
      <c r="S2013" t="inlineStr">
        <is>
          <t>4368577233007</t>
        </is>
      </c>
    </row>
    <row r="2014" ht="75" customHeight="1">
      <c r="A2014" s="2">
        <f>HYPERLINK("https://camerareadycosmetics.com/products/laura-mercier-shine-control-pressed-setting-powder", "https://camerareadycosmetics.com/products/laura-mercier-shine-control-pressed-setting-powder")</f>
        <v/>
      </c>
      <c r="B2014" s="2">
        <f>HYPERLINK("https://camerareadycosmetics.com/products/laura-mercier-shine-control-pressed-setting-powder", "https://camerareadycosmetics.com/products/laura-mercier-shine-control-pressed-setting-powder")</f>
        <v/>
      </c>
      <c r="C2014" t="inlineStr">
        <is>
          <t>Shine Control Pressed Setting Powder</t>
        </is>
      </c>
      <c r="D2014" t="inlineStr">
        <is>
          <t>Kett Sett Powder Pressed - Ultra Translucent Setting Shine Control Face Powder - 10g</t>
        </is>
      </c>
      <c r="E2014" s="2">
        <f>HYPERLINK("https://www.amazon.com/Kett-Sett-Powder-Pressed-Translucent/dp/B00TTV8N64/ref=sr_1_7?keywords=Shine+Control+Pressed+Setting+Powder&amp;qid=1695565795&amp;sr=8-7", "https://www.amazon.com/Kett-Sett-Powder-Pressed-Translucent/dp/B00TTV8N64/ref=sr_1_7?keywords=Shine+Control+Pressed+Setting+Powder&amp;qid=1695565795&amp;sr=8-7")</f>
        <v/>
      </c>
      <c r="F2014" t="inlineStr">
        <is>
          <t>B00TTV8N64</t>
        </is>
      </c>
      <c r="G2014">
        <f>_xlfn.IMAGE("https://camerareadycosmetics.com/cdn/shop/products/laura_mercier_Shine_Control_Pressed_Setting_Powder_12322490-2_50x.jpg?v=1580319766")</f>
        <v/>
      </c>
      <c r="H2014">
        <f>_xlfn.IMAGE("https://m.media-amazon.com/images/I/21BeG7MnWRL._AC_UL320_.jpg")</f>
        <v/>
      </c>
      <c r="K2014" t="inlineStr">
        <is>
          <t>42.0</t>
        </is>
      </c>
      <c r="L2014" t="n">
        <v>24</v>
      </c>
      <c r="M2014" s="1" t="inlineStr">
        <is>
          <t>-42.86%</t>
        </is>
      </c>
      <c r="N2014" t="n">
        <v>4.2</v>
      </c>
      <c r="O2014" t="n">
        <v>36</v>
      </c>
      <c r="Q2014" t="inlineStr">
        <is>
          <t>OutOfStock</t>
        </is>
      </c>
      <c r="R2014" t="inlineStr">
        <is>
          <t>undefined</t>
        </is>
      </c>
      <c r="S2014" t="inlineStr">
        <is>
          <t>4374657630319</t>
        </is>
      </c>
    </row>
    <row r="2015" ht="75" customHeight="1">
      <c r="A2015" s="2">
        <f>HYPERLINK("https://camerareadycosmetics.com/products/laura-mercier-shine-control-pressed-setting-powder", "https://camerareadycosmetics.com/products/laura-mercier-shine-control-pressed-setting-powder")</f>
        <v/>
      </c>
      <c r="B2015" s="2">
        <f>HYPERLINK("https://camerareadycosmetics.com/products/laura-mercier-shine-control-pressed-setting-powder", "https://camerareadycosmetics.com/products/laura-mercier-shine-control-pressed-setting-powder")</f>
        <v/>
      </c>
      <c r="C2015" t="inlineStr">
        <is>
          <t>Shine Control Pressed Setting Powder</t>
        </is>
      </c>
      <c r="D2015" t="inlineStr">
        <is>
          <t>CARSLAN Oil Control Face Pressed Powder Compact, 24H Longlasting Waterproof Pressed Setting Powder Foundation Makeup, Shine Free, Poreless, Smooth, 01 for dry skin (0.28Oz)</t>
        </is>
      </c>
      <c r="E2015" s="2">
        <f>HYPERLINK("https://www.amazon.com/CARSLAN-Longlasting-Waterproof-Foundation-Poreless/dp/B0C287Z627/ref=sr_1_5?keywords=Shine+Control+Pressed+Setting+Powder&amp;qid=1695565795&amp;sr=8-5", "https://www.amazon.com/CARSLAN-Longlasting-Waterproof-Foundation-Poreless/dp/B0C287Z627/ref=sr_1_5?keywords=Shine+Control+Pressed+Setting+Powder&amp;qid=1695565795&amp;sr=8-5")</f>
        <v/>
      </c>
      <c r="F2015" t="inlineStr">
        <is>
          <t>B0C287Z627</t>
        </is>
      </c>
      <c r="G2015">
        <f>_xlfn.IMAGE("https://camerareadycosmetics.com/cdn/shop/products/laura_mercier_Shine_Control_Pressed_Setting_Powder_12322490-2_50x.jpg?v=1580319766")</f>
        <v/>
      </c>
      <c r="H2015">
        <f>_xlfn.IMAGE("https://m.media-amazon.com/images/I/61mhBwuqC3L._AC_UL320_.jpg")</f>
        <v/>
      </c>
      <c r="K2015" t="inlineStr">
        <is>
          <t>42.0</t>
        </is>
      </c>
      <c r="L2015" t="n">
        <v>16.99</v>
      </c>
      <c r="M2015" s="1" t="inlineStr">
        <is>
          <t>-59.55%</t>
        </is>
      </c>
      <c r="N2015" t="n">
        <v>4.2</v>
      </c>
      <c r="O2015" t="n">
        <v>75</v>
      </c>
      <c r="Q2015" t="inlineStr">
        <is>
          <t>OutOfStock</t>
        </is>
      </c>
      <c r="R2015" t="inlineStr">
        <is>
          <t>undefined</t>
        </is>
      </c>
      <c r="S2015" t="inlineStr">
        <is>
          <t>4374657630319</t>
        </is>
      </c>
    </row>
    <row r="2016" ht="75" customHeight="1">
      <c r="A2016" s="2">
        <f>HYPERLINK("https://camerareadycosmetics.com/products/laura-mercier-shine-control-pressed-setting-powder", "https://camerareadycosmetics.com/products/laura-mercier-shine-control-pressed-setting-powder")</f>
        <v/>
      </c>
      <c r="B2016" s="2">
        <f>HYPERLINK("https://camerareadycosmetics.com/products/laura-mercier-shine-control-pressed-setting-powder", "https://camerareadycosmetics.com/products/laura-mercier-shine-control-pressed-setting-powder")</f>
        <v/>
      </c>
      <c r="C2016" t="inlineStr">
        <is>
          <t>Shine Control Pressed Setting Powder</t>
        </is>
      </c>
      <c r="D2016" t="inlineStr">
        <is>
          <t>I'M MEME Compact - Oil Cut Pact | With Green Powder, Mineral, Setting Powder, Translucent, Sebum Control for Oily and Combination Skin Type, Mattifying Effect, Sebum Free, HD Face Makeup, Pressed Finishing Powder, One Size, Gift, 0.34 Oz</t>
        </is>
      </c>
      <c r="E2016" s="2">
        <f>HYPERLINK("https://www.amazon.com/Im-Meme-Compact-Mattifying-Absorbing/dp/B08BR1KLLR/ref=sr_1_4?keywords=Shine+Control+Pressed+Setting+Powder&amp;qid=1695565795&amp;sr=8-4", "https://www.amazon.com/Im-Meme-Compact-Mattifying-Absorbing/dp/B08BR1KLLR/ref=sr_1_4?keywords=Shine+Control+Pressed+Setting+Powder&amp;qid=1695565795&amp;sr=8-4")</f>
        <v/>
      </c>
      <c r="F2016" t="inlineStr">
        <is>
          <t>B08BR1KLLR</t>
        </is>
      </c>
      <c r="G2016">
        <f>_xlfn.IMAGE("https://camerareadycosmetics.com/cdn/shop/products/laura_mercier_Shine_Control_Pressed_Setting_Powder_12322490-2_50x.jpg?v=1580319766")</f>
        <v/>
      </c>
      <c r="H2016">
        <f>_xlfn.IMAGE("https://m.media-amazon.com/images/I/71dfN6LairL._AC_UL320_.jpg")</f>
        <v/>
      </c>
      <c r="K2016" t="inlineStr">
        <is>
          <t>42.0</t>
        </is>
      </c>
      <c r="L2016" t="n">
        <v>15</v>
      </c>
      <c r="M2016" s="1" t="inlineStr">
        <is>
          <t>-64.29%</t>
        </is>
      </c>
      <c r="N2016" t="n">
        <v>4.3</v>
      </c>
      <c r="O2016" t="n">
        <v>1178</v>
      </c>
      <c r="Q2016" t="inlineStr">
        <is>
          <t>OutOfStock</t>
        </is>
      </c>
      <c r="R2016" t="inlineStr">
        <is>
          <t>undefined</t>
        </is>
      </c>
      <c r="S2016" t="inlineStr">
        <is>
          <t>4374657630319</t>
        </is>
      </c>
    </row>
    <row r="2017" ht="75" customHeight="1">
      <c r="A2017" s="2">
        <f>HYPERLINK("https://camerareadycosmetics.com/products/laura-mercier-shine-control-pressed-setting-powder", "https://camerareadycosmetics.com/products/laura-mercier-shine-control-pressed-setting-powder")</f>
        <v/>
      </c>
      <c r="B2017" s="2">
        <f>HYPERLINK("https://camerareadycosmetics.com/products/laura-mercier-shine-control-pressed-setting-powder", "https://camerareadycosmetics.com/products/laura-mercier-shine-control-pressed-setting-powder")</f>
        <v/>
      </c>
      <c r="C2017" t="inlineStr">
        <is>
          <t>Shine Control Pressed Setting Powder</t>
        </is>
      </c>
      <c r="D2017" t="inlineStr">
        <is>
          <t>U-Shinein Oil Control Pressed Setting Powder, Matte Soft Jelly Texture Powder-free Face Powder, Long-Lasting Waterproof Pressed Powder Makeup, Flawless Lightweight Face Cosmetics to Brighten Skin</t>
        </is>
      </c>
      <c r="E2017" s="2">
        <f>HYPERLINK("https://www.amazon.com/U-Shinein-Powder-free-Long-Lasting-Waterproof-Lightweight/dp/B0BZYHF1B3/ref=sr_1_10?keywords=Shine+Control+Pressed+Setting+Powder&amp;qid=1695565795&amp;sr=8-10", "https://www.amazon.com/U-Shinein-Powder-free-Long-Lasting-Waterproof-Lightweight/dp/B0BZYHF1B3/ref=sr_1_10?keywords=Shine+Control+Pressed+Setting+Powder&amp;qid=1695565795&amp;sr=8-10")</f>
        <v/>
      </c>
      <c r="F2017" t="inlineStr">
        <is>
          <t>B0BZYHF1B3</t>
        </is>
      </c>
      <c r="G2017">
        <f>_xlfn.IMAGE("https://camerareadycosmetics.com/cdn/shop/products/laura_mercier_Shine_Control_Pressed_Setting_Powder_12322490-2_50x.jpg?v=1580319766")</f>
        <v/>
      </c>
      <c r="H2017">
        <f>_xlfn.IMAGE("https://m.media-amazon.com/images/I/61YgM1t3nqL._AC_UL320_.jpg")</f>
        <v/>
      </c>
      <c r="K2017" t="inlineStr">
        <is>
          <t>42.0</t>
        </is>
      </c>
      <c r="L2017" t="n">
        <v>11.99</v>
      </c>
      <c r="M2017" s="1" t="inlineStr">
        <is>
          <t>-71.45%</t>
        </is>
      </c>
      <c r="N2017" t="n">
        <v>4</v>
      </c>
      <c r="O2017" t="n">
        <v>24</v>
      </c>
      <c r="Q2017" t="inlineStr">
        <is>
          <t>OutOfStock</t>
        </is>
      </c>
      <c r="R2017" t="inlineStr">
        <is>
          <t>undefined</t>
        </is>
      </c>
      <c r="S2017" t="inlineStr">
        <is>
          <t>4374657630319</t>
        </is>
      </c>
    </row>
    <row r="2018" ht="75" customHeight="1">
      <c r="A2018" s="2">
        <f>HYPERLINK("https://camerareadycosmetics.com/products/laura-mercier-shine-control-pressed-setting-powder", "https://camerareadycosmetics.com/products/laura-mercier-shine-control-pressed-setting-powder")</f>
        <v/>
      </c>
      <c r="B2018" s="2">
        <f>HYPERLINK("https://camerareadycosmetics.com/products/laura-mercier-shine-control-pressed-setting-powder", "https://camerareadycosmetics.com/products/laura-mercier-shine-control-pressed-setting-powder")</f>
        <v/>
      </c>
      <c r="C2018" t="inlineStr">
        <is>
          <t>Shine Control Pressed Setting Powder</t>
        </is>
      </c>
      <c r="D2018" t="inlineStr">
        <is>
          <t>Oil Control Face Pressed Powder,Matte Smooth Setting Powder Makeup,Waterproof Long Lasting Finishing Powder,Cruelty Free Lightweight Face Cosmetics,Shine Control,Vegan Friendly,0.28Oz(CLASSIC IVORY)</t>
        </is>
      </c>
      <c r="E2018" s="2">
        <f>HYPERLINK("https://www.amazon.com/Waterproof-Finishing-Lightweight-Cosmetics-Friendly/dp/B0BVZZZQBM/ref=sr_1_2?keywords=Shine+Control+Pressed+Setting+Powder&amp;qid=1695565795&amp;sr=8-2", "https://www.amazon.com/Waterproof-Finishing-Lightweight-Cosmetics-Friendly/dp/B0BVZZZQBM/ref=sr_1_2?keywords=Shine+Control+Pressed+Setting+Powder&amp;qid=1695565795&amp;sr=8-2")</f>
        <v/>
      </c>
      <c r="F2018" t="inlineStr">
        <is>
          <t>B0BVZZZQBM</t>
        </is>
      </c>
      <c r="G2018">
        <f>_xlfn.IMAGE("https://camerareadycosmetics.com/cdn/shop/products/laura_mercier_Shine_Control_Pressed_Setting_Powder_12322490-2_50x.jpg?v=1580319766")</f>
        <v/>
      </c>
      <c r="H2018">
        <f>_xlfn.IMAGE("https://m.media-amazon.com/images/I/61L5SuYTkmL._AC_UL320_.jpg")</f>
        <v/>
      </c>
      <c r="K2018" t="inlineStr">
        <is>
          <t>42.0</t>
        </is>
      </c>
      <c r="L2018" t="n">
        <v>9.99</v>
      </c>
      <c r="M2018" s="1" t="inlineStr">
        <is>
          <t>-76.21%</t>
        </is>
      </c>
      <c r="N2018" t="n">
        <v>4</v>
      </c>
      <c r="O2018" t="n">
        <v>128</v>
      </c>
      <c r="Q2018" t="inlineStr">
        <is>
          <t>OutOfStock</t>
        </is>
      </c>
      <c r="R2018" t="inlineStr">
        <is>
          <t>undefined</t>
        </is>
      </c>
      <c r="S2018" t="inlineStr">
        <is>
          <t>4374657630319</t>
        </is>
      </c>
    </row>
    <row r="2019" ht="75" customHeight="1">
      <c r="A2019" s="2">
        <f>HYPERLINK("https://camerareadycosmetics.com/products/laura-mercier-shine-control-pressed-setting-powder", "https://camerareadycosmetics.com/products/laura-mercier-shine-control-pressed-setting-powder")</f>
        <v/>
      </c>
      <c r="B2019" s="2">
        <f>HYPERLINK("https://camerareadycosmetics.com/products/laura-mercier-shine-control-pressed-setting-powder", "https://camerareadycosmetics.com/products/laura-mercier-shine-control-pressed-setting-powder")</f>
        <v/>
      </c>
      <c r="C2019" t="inlineStr">
        <is>
          <t>Shine Control Pressed Setting Powder</t>
        </is>
      </c>
      <c r="D2019" t="inlineStr">
        <is>
          <t>FOCALLURE Flawless Pressed Powder, Control Shine &amp; Smooth Complexion, Pressed Setting Powder Foundation Makeup, Portable Face Powder Compact, Long-Lasting Matte Finish, Natural</t>
        </is>
      </c>
      <c r="E2019" s="2">
        <f>HYPERLINK("https://www.amazon.com/FOCALLURE-Finishing-Oil-Control-Breathable-Foundation/dp/B08P3YR3TZ/ref=sr_1_1?keywords=Shine+Control+Pressed+Setting+Powder&amp;qid=1695565795&amp;sr=8-1", "https://www.amazon.com/FOCALLURE-Finishing-Oil-Control-Breathable-Foundation/dp/B08P3YR3TZ/ref=sr_1_1?keywords=Shine+Control+Pressed+Setting+Powder&amp;qid=1695565795&amp;sr=8-1")</f>
        <v/>
      </c>
      <c r="F2019" t="inlineStr">
        <is>
          <t>B08P3YR3TZ</t>
        </is>
      </c>
      <c r="G2019">
        <f>_xlfn.IMAGE("https://camerareadycosmetics.com/cdn/shop/products/laura_mercier_Shine_Control_Pressed_Setting_Powder_12322490-2_50x.jpg?v=1580319766")</f>
        <v/>
      </c>
      <c r="H2019">
        <f>_xlfn.IMAGE("https://m.media-amazon.com/images/I/71Lh00JcsTL._AC_UL320_.jpg")</f>
        <v/>
      </c>
      <c r="K2019" t="inlineStr">
        <is>
          <t>42.0</t>
        </is>
      </c>
      <c r="L2019" t="n">
        <v>9.949999999999999</v>
      </c>
      <c r="M2019" s="1" t="inlineStr">
        <is>
          <t>-76.31%</t>
        </is>
      </c>
      <c r="N2019" t="n">
        <v>4.2</v>
      </c>
      <c r="O2019" t="n">
        <v>1505</v>
      </c>
      <c r="Q2019" t="inlineStr">
        <is>
          <t>OutOfStock</t>
        </is>
      </c>
      <c r="R2019" t="inlineStr">
        <is>
          <t>undefined</t>
        </is>
      </c>
      <c r="S2019" t="inlineStr">
        <is>
          <t>4374657630319</t>
        </is>
      </c>
    </row>
    <row r="2020" ht="75" customHeight="1">
      <c r="A2020" s="2">
        <f>HYPERLINK("https://camerareadycosmetics.com/products/laura-mercier-shine-control-pressed-setting-powder", "https://camerareadycosmetics.com/products/laura-mercier-shine-control-pressed-setting-powder")</f>
        <v/>
      </c>
      <c r="B2020" s="2">
        <f>HYPERLINK("https://camerareadycosmetics.com/products/laura-mercier-shine-control-pressed-setting-powder", "https://camerareadycosmetics.com/products/laura-mercier-shine-control-pressed-setting-powder")</f>
        <v/>
      </c>
      <c r="C2020" t="inlineStr">
        <is>
          <t>Shine Control Pressed Setting Powder</t>
        </is>
      </c>
      <c r="D2020" t="inlineStr">
        <is>
          <t>KISS Cover and Care Acne Control Pressed Powder Shine Free Face Light Weight Makeup Setting Powder - APP328 (Honey Beige)</t>
        </is>
      </c>
      <c r="E2020" s="2">
        <f>HYPERLINK("https://www.amazon.com/Cover-Control-Pressed-Powder-APP328/dp/B084R7W39H/ref=sr_1_6?keywords=Shine+Control+Pressed+Setting+Powder&amp;qid=1695565795&amp;sr=8-6", "https://www.amazon.com/Cover-Control-Pressed-Powder-APP328/dp/B084R7W39H/ref=sr_1_6?keywords=Shine+Control+Pressed+Setting+Powder&amp;qid=1695565795&amp;sr=8-6")</f>
        <v/>
      </c>
      <c r="F2020" t="inlineStr">
        <is>
          <t>B084R7W39H</t>
        </is>
      </c>
      <c r="G2020">
        <f>_xlfn.IMAGE("https://camerareadycosmetics.com/cdn/shop/products/laura_mercier_Shine_Control_Pressed_Setting_Powder_12322490-2_50x.jpg?v=1580319766")</f>
        <v/>
      </c>
      <c r="H2020">
        <f>_xlfn.IMAGE("https://m.media-amazon.com/images/I/91ocSRfE2dL._AC_UL320_.jpg")</f>
        <v/>
      </c>
      <c r="K2020" t="inlineStr">
        <is>
          <t>42.0</t>
        </is>
      </c>
      <c r="L2020" t="n">
        <v>7.99</v>
      </c>
      <c r="M2020" s="1" t="inlineStr">
        <is>
          <t>-80.98%</t>
        </is>
      </c>
      <c r="N2020" t="n">
        <v>4.5</v>
      </c>
      <c r="O2020" t="n">
        <v>232</v>
      </c>
      <c r="Q2020" t="inlineStr">
        <is>
          <t>OutOfStock</t>
        </is>
      </c>
      <c r="R2020" t="inlineStr">
        <is>
          <t>undefined</t>
        </is>
      </c>
      <c r="S2020" t="inlineStr">
        <is>
          <t>4374657630319</t>
        </is>
      </c>
    </row>
    <row r="2021" ht="75" customHeight="1">
      <c r="A2021" s="2">
        <f>HYPERLINK("https://camerareadycosmetics.com/products/laura-mercier-shine-control-pressed-setting-powder", "https://camerareadycosmetics.com/products/laura-mercier-shine-control-pressed-setting-powder")</f>
        <v/>
      </c>
      <c r="B2021" s="2">
        <f>HYPERLINK("https://camerareadycosmetics.com/products/laura-mercier-shine-control-pressed-setting-powder", "https://camerareadycosmetics.com/products/laura-mercier-shine-control-pressed-setting-powder")</f>
        <v/>
      </c>
      <c r="C2021" t="inlineStr">
        <is>
          <t>Shine Control Pressed Setting Powder</t>
        </is>
      </c>
      <c r="D2021" t="inlineStr">
        <is>
          <t>COVERGIRL Clean Matte Pressed Powder, Oil Control Powder, 1 container, .35 Fl Oz, Face Powder, Oil Free Loose Powder, Matte Finish, Lightweight, Shine Free Formula, Leaves Skin Smooth and Clean</t>
        </is>
      </c>
      <c r="E2021" s="2">
        <f>HYPERLINK("https://www.amazon.com/COVERGIRL-Pressed-Container-Fragrance-packaging/dp/B0037MIMK8/ref=sr_1_9?keywords=Shine+Control+Pressed+Setting+Powder&amp;qid=1695565795&amp;sr=8-9", "https://www.amazon.com/COVERGIRL-Pressed-Container-Fragrance-packaging/dp/B0037MIMK8/ref=sr_1_9?keywords=Shine+Control+Pressed+Setting+Powder&amp;qid=1695565795&amp;sr=8-9")</f>
        <v/>
      </c>
      <c r="F2021" t="inlineStr">
        <is>
          <t>B0037MIMK8</t>
        </is>
      </c>
      <c r="G2021">
        <f>_xlfn.IMAGE("https://camerareadycosmetics.com/cdn/shop/products/laura_mercier_Shine_Control_Pressed_Setting_Powder_12322490-2_50x.jpg?v=1580319766")</f>
        <v/>
      </c>
      <c r="H2021">
        <f>_xlfn.IMAGE("https://m.media-amazon.com/images/I/817NduDBSCL._AC_UL320_.jpg")</f>
        <v/>
      </c>
      <c r="K2021" t="inlineStr">
        <is>
          <t>42.0</t>
        </is>
      </c>
      <c r="L2021" t="n">
        <v>6.38</v>
      </c>
      <c r="M2021" s="1" t="inlineStr">
        <is>
          <t>-84.81%</t>
        </is>
      </c>
      <c r="N2021" t="n">
        <v>4.7</v>
      </c>
      <c r="O2021" t="n">
        <v>3744</v>
      </c>
      <c r="Q2021" t="inlineStr">
        <is>
          <t>OutOfStock</t>
        </is>
      </c>
      <c r="R2021" t="inlineStr">
        <is>
          <t>undefined</t>
        </is>
      </c>
      <c r="S2021" t="inlineStr">
        <is>
          <t>4374657630319</t>
        </is>
      </c>
    </row>
    <row r="2022" ht="75" customHeight="1">
      <c r="A2022" s="2">
        <f>HYPERLINK("https://camerareadycosmetics.com/products/laura-mercier-shine-control-pressed-setting-powder", "https://camerareadycosmetics.com/products/laura-mercier-shine-control-pressed-setting-powder")</f>
        <v/>
      </c>
      <c r="B2022" s="2">
        <f>HYPERLINK("https://camerareadycosmetics.com/products/laura-mercier-shine-control-pressed-setting-powder", "https://camerareadycosmetics.com/products/laura-mercier-shine-control-pressed-setting-powder")</f>
        <v/>
      </c>
      <c r="C2022" t="inlineStr">
        <is>
          <t>Shine Control Pressed Setting Powder</t>
        </is>
      </c>
      <c r="D2022" t="inlineStr">
        <is>
          <t>CARSLAN Oil Control Face Pressed Powder Compact, 24H Longlasting Waterproof Pressed Setting Powder Foundation Makeup, Shine Free, Poreless, Smooth, 01 for dry skin (0.28Oz)</t>
        </is>
      </c>
      <c r="E2022" s="2">
        <f>HYPERLINK("https://www.amazon.com/CARSLAN-Longlasting-Waterproof-Foundation-Poreless/dp/B0C287Z627/ref=sr_1_5?keywords=Shine+Control+Pressed+Setting+Powder&amp;qid=1695565795&amp;sr=8-5", "https://www.amazon.com/CARSLAN-Longlasting-Waterproof-Foundation-Poreless/dp/B0C287Z627/ref=sr_1_5?keywords=Shine+Control+Pressed+Setting+Powder&amp;qid=1695565795&amp;sr=8-5")</f>
        <v/>
      </c>
      <c r="F2022" t="inlineStr">
        <is>
          <t>B0C287Z627</t>
        </is>
      </c>
      <c r="G2022">
        <f>_xlfn.IMAGE("https://camerareadycosmetics.com/cdn/shop/products/laura_mercier_Shine_Control_Pressed_Setting_Powder_12322490-2_50x.jpg?v=1580319766")</f>
        <v/>
      </c>
      <c r="H2022">
        <f>_xlfn.IMAGE("https://m.media-amazon.com/images/I/61mhBwuqC3L._AC_UL320_.jpg")</f>
        <v/>
      </c>
      <c r="K2022" t="inlineStr">
        <is>
          <t>42.0</t>
        </is>
      </c>
      <c r="L2022" t="n">
        <v>16.99</v>
      </c>
      <c r="M2022" s="1" t="inlineStr">
        <is>
          <t>-59.55%</t>
        </is>
      </c>
      <c r="N2022" t="n">
        <v>4.2</v>
      </c>
      <c r="O2022" t="n">
        <v>75</v>
      </c>
      <c r="Q2022" t="inlineStr">
        <is>
          <t>OutOfStock</t>
        </is>
      </c>
      <c r="R2022" t="inlineStr">
        <is>
          <t>undefined</t>
        </is>
      </c>
      <c r="S2022" t="inlineStr">
        <is>
          <t>4374657630319</t>
        </is>
      </c>
    </row>
    <row r="2023" ht="75" customHeight="1">
      <c r="A2023" s="2">
        <f>HYPERLINK("https://camerareadycosmetics.com/products/laura-mercier-shine-control-pressed-setting-powder", "https://camerareadycosmetics.com/products/laura-mercier-shine-control-pressed-setting-powder")</f>
        <v/>
      </c>
      <c r="B2023" s="2">
        <f>HYPERLINK("https://camerareadycosmetics.com/products/laura-mercier-shine-control-pressed-setting-powder", "https://camerareadycosmetics.com/products/laura-mercier-shine-control-pressed-setting-powder")</f>
        <v/>
      </c>
      <c r="C2023" t="inlineStr">
        <is>
          <t>Shine Control Pressed Setting Powder</t>
        </is>
      </c>
      <c r="D2023" t="inlineStr">
        <is>
          <t>I'M MEME Compact - Oil Cut Pact | With Green Powder, Mineral, Setting Powder, Translucent, Sebum Control for Oily and Combination Skin Type, Mattifying Effect, Sebum Free, HD Face Makeup, Pressed Finishing Powder, One Size, Gift, 0.34 Oz</t>
        </is>
      </c>
      <c r="E2023" s="2">
        <f>HYPERLINK("https://www.amazon.com/Im-Meme-Compact-Mattifying-Absorbing/dp/B08BR1KLLR/ref=sr_1_4?keywords=Shine+Control+Pressed+Setting+Powder&amp;qid=1695565795&amp;sr=8-4", "https://www.amazon.com/Im-Meme-Compact-Mattifying-Absorbing/dp/B08BR1KLLR/ref=sr_1_4?keywords=Shine+Control+Pressed+Setting+Powder&amp;qid=1695565795&amp;sr=8-4")</f>
        <v/>
      </c>
      <c r="F2023" t="inlineStr">
        <is>
          <t>B08BR1KLLR</t>
        </is>
      </c>
      <c r="G2023">
        <f>_xlfn.IMAGE("https://camerareadycosmetics.com/cdn/shop/products/laura_mercier_Shine_Control_Pressed_Setting_Powder_12322490-2_50x.jpg?v=1580319766")</f>
        <v/>
      </c>
      <c r="H2023">
        <f>_xlfn.IMAGE("https://m.media-amazon.com/images/I/71dfN6LairL._AC_UL320_.jpg")</f>
        <v/>
      </c>
      <c r="K2023" t="inlineStr">
        <is>
          <t>42.0</t>
        </is>
      </c>
      <c r="L2023" t="n">
        <v>15</v>
      </c>
      <c r="M2023" s="1" t="inlineStr">
        <is>
          <t>-64.29%</t>
        </is>
      </c>
      <c r="N2023" t="n">
        <v>4.3</v>
      </c>
      <c r="O2023" t="n">
        <v>1178</v>
      </c>
      <c r="Q2023" t="inlineStr">
        <is>
          <t>OutOfStock</t>
        </is>
      </c>
      <c r="R2023" t="inlineStr">
        <is>
          <t>undefined</t>
        </is>
      </c>
      <c r="S2023" t="inlineStr">
        <is>
          <t>4374657630319</t>
        </is>
      </c>
    </row>
    <row r="2024" ht="75" customHeight="1">
      <c r="A2024" s="2">
        <f>HYPERLINK("https://camerareadycosmetics.com/products/laura-mercier-shine-control-pressed-setting-powder", "https://camerareadycosmetics.com/products/laura-mercier-shine-control-pressed-setting-powder")</f>
        <v/>
      </c>
      <c r="B2024" s="2">
        <f>HYPERLINK("https://camerareadycosmetics.com/products/laura-mercier-shine-control-pressed-setting-powder", "https://camerareadycosmetics.com/products/laura-mercier-shine-control-pressed-setting-powder")</f>
        <v/>
      </c>
      <c r="C2024" t="inlineStr">
        <is>
          <t>Shine Control Pressed Setting Powder</t>
        </is>
      </c>
      <c r="D2024" t="inlineStr">
        <is>
          <t>U-Shinein Oil Control Pressed Setting Powder, Matte Soft Jelly Texture Powder-free Face Powder, Long-Lasting Waterproof Pressed Powder Makeup, Flawless Lightweight Face Cosmetics to Brighten Skin</t>
        </is>
      </c>
      <c r="E2024" s="2">
        <f>HYPERLINK("https://www.amazon.com/U-Shinein-Powder-free-Long-Lasting-Waterproof-Lightweight/dp/B0BZYHF1B3/ref=sr_1_10?keywords=Shine+Control+Pressed+Setting+Powder&amp;qid=1695565795&amp;sr=8-10", "https://www.amazon.com/U-Shinein-Powder-free-Long-Lasting-Waterproof-Lightweight/dp/B0BZYHF1B3/ref=sr_1_10?keywords=Shine+Control+Pressed+Setting+Powder&amp;qid=1695565795&amp;sr=8-10")</f>
        <v/>
      </c>
      <c r="F2024" t="inlineStr">
        <is>
          <t>B0BZYHF1B3</t>
        </is>
      </c>
      <c r="G2024">
        <f>_xlfn.IMAGE("https://camerareadycosmetics.com/cdn/shop/products/laura_mercier_Shine_Control_Pressed_Setting_Powder_12322490-2_50x.jpg?v=1580319766")</f>
        <v/>
      </c>
      <c r="H2024">
        <f>_xlfn.IMAGE("https://m.media-amazon.com/images/I/61YgM1t3nqL._AC_UL320_.jpg")</f>
        <v/>
      </c>
      <c r="K2024" t="inlineStr">
        <is>
          <t>42.0</t>
        </is>
      </c>
      <c r="L2024" t="n">
        <v>11.99</v>
      </c>
      <c r="M2024" s="1" t="inlineStr">
        <is>
          <t>-71.45%</t>
        </is>
      </c>
      <c r="N2024" t="n">
        <v>4</v>
      </c>
      <c r="O2024" t="n">
        <v>24</v>
      </c>
      <c r="Q2024" t="inlineStr">
        <is>
          <t>OutOfStock</t>
        </is>
      </c>
      <c r="R2024" t="inlineStr">
        <is>
          <t>undefined</t>
        </is>
      </c>
      <c r="S2024" t="inlineStr">
        <is>
          <t>4374657630319</t>
        </is>
      </c>
    </row>
    <row r="2025" ht="75" customHeight="1">
      <c r="A2025" s="2">
        <f>HYPERLINK("https://camerareadycosmetics.com/products/laura-mercier-shine-control-pressed-setting-powder", "https://camerareadycosmetics.com/products/laura-mercier-shine-control-pressed-setting-powder")</f>
        <v/>
      </c>
      <c r="B2025" s="2">
        <f>HYPERLINK("https://camerareadycosmetics.com/products/laura-mercier-shine-control-pressed-setting-powder", "https://camerareadycosmetics.com/products/laura-mercier-shine-control-pressed-setting-powder")</f>
        <v/>
      </c>
      <c r="C2025" t="inlineStr">
        <is>
          <t>Shine Control Pressed Setting Powder</t>
        </is>
      </c>
      <c r="D2025" t="inlineStr">
        <is>
          <t>Oil Control Face Pressed Powder,Matte Smooth Setting Powder Makeup,Waterproof Long Lasting Finishing Powder,Cruelty Free Lightweight Face Cosmetics,Shine Control,Vegan Friendly,0.28Oz(CLASSIC IVORY)</t>
        </is>
      </c>
      <c r="E2025" s="2">
        <f>HYPERLINK("https://www.amazon.com/Waterproof-Finishing-Lightweight-Cosmetics-Friendly/dp/B0BVZZZQBM/ref=sr_1_2?keywords=Shine+Control+Pressed+Setting+Powder&amp;qid=1695565795&amp;sr=8-2", "https://www.amazon.com/Waterproof-Finishing-Lightweight-Cosmetics-Friendly/dp/B0BVZZZQBM/ref=sr_1_2?keywords=Shine+Control+Pressed+Setting+Powder&amp;qid=1695565795&amp;sr=8-2")</f>
        <v/>
      </c>
      <c r="F2025" t="inlineStr">
        <is>
          <t>B0BVZZZQBM</t>
        </is>
      </c>
      <c r="G2025">
        <f>_xlfn.IMAGE("https://camerareadycosmetics.com/cdn/shop/products/laura_mercier_Shine_Control_Pressed_Setting_Powder_12322490-2_50x.jpg?v=1580319766")</f>
        <v/>
      </c>
      <c r="H2025">
        <f>_xlfn.IMAGE("https://m.media-amazon.com/images/I/61L5SuYTkmL._AC_UL320_.jpg")</f>
        <v/>
      </c>
      <c r="K2025" t="inlineStr">
        <is>
          <t>42.0</t>
        </is>
      </c>
      <c r="L2025" t="n">
        <v>9.99</v>
      </c>
      <c r="M2025" s="1" t="inlineStr">
        <is>
          <t>-76.21%</t>
        </is>
      </c>
      <c r="N2025" t="n">
        <v>4</v>
      </c>
      <c r="O2025" t="n">
        <v>128</v>
      </c>
      <c r="Q2025" t="inlineStr">
        <is>
          <t>OutOfStock</t>
        </is>
      </c>
      <c r="R2025" t="inlineStr">
        <is>
          <t>undefined</t>
        </is>
      </c>
      <c r="S2025" t="inlineStr">
        <is>
          <t>4374657630319</t>
        </is>
      </c>
    </row>
    <row r="2026" ht="75" customHeight="1">
      <c r="A2026" s="2">
        <f>HYPERLINK("https://camerareadycosmetics.com/products/laura-mercier-shine-control-pressed-setting-powder", "https://camerareadycosmetics.com/products/laura-mercier-shine-control-pressed-setting-powder")</f>
        <v/>
      </c>
      <c r="B2026" s="2">
        <f>HYPERLINK("https://camerareadycosmetics.com/products/laura-mercier-shine-control-pressed-setting-powder", "https://camerareadycosmetics.com/products/laura-mercier-shine-control-pressed-setting-powder")</f>
        <v/>
      </c>
      <c r="C2026" t="inlineStr">
        <is>
          <t>Shine Control Pressed Setting Powder</t>
        </is>
      </c>
      <c r="D2026" t="inlineStr">
        <is>
          <t>FOCALLURE Flawless Pressed Powder, Control Shine &amp; Smooth Complexion, Pressed Setting Powder Foundation Makeup, Portable Face Powder Compact, Long-Lasting Matte Finish, Natural</t>
        </is>
      </c>
      <c r="E2026" s="2">
        <f>HYPERLINK("https://www.amazon.com/FOCALLURE-Finishing-Oil-Control-Breathable-Foundation/dp/B08P3YR3TZ/ref=sr_1_1?keywords=Shine+Control+Pressed+Setting+Powder&amp;qid=1695565795&amp;sr=8-1", "https://www.amazon.com/FOCALLURE-Finishing-Oil-Control-Breathable-Foundation/dp/B08P3YR3TZ/ref=sr_1_1?keywords=Shine+Control+Pressed+Setting+Powder&amp;qid=1695565795&amp;sr=8-1")</f>
        <v/>
      </c>
      <c r="F2026" t="inlineStr">
        <is>
          <t>B08P3YR3TZ</t>
        </is>
      </c>
      <c r="G2026">
        <f>_xlfn.IMAGE("https://camerareadycosmetics.com/cdn/shop/products/laura_mercier_Shine_Control_Pressed_Setting_Powder_12322490-2_50x.jpg?v=1580319766")</f>
        <v/>
      </c>
      <c r="H2026">
        <f>_xlfn.IMAGE("https://m.media-amazon.com/images/I/71Lh00JcsTL._AC_UL320_.jpg")</f>
        <v/>
      </c>
      <c r="K2026" t="inlineStr">
        <is>
          <t>42.0</t>
        </is>
      </c>
      <c r="L2026" t="n">
        <v>9.949999999999999</v>
      </c>
      <c r="M2026" s="1" t="inlineStr">
        <is>
          <t>-76.31%</t>
        </is>
      </c>
      <c r="N2026" t="n">
        <v>4.2</v>
      </c>
      <c r="O2026" t="n">
        <v>1505</v>
      </c>
      <c r="Q2026" t="inlineStr">
        <is>
          <t>OutOfStock</t>
        </is>
      </c>
      <c r="R2026" t="inlineStr">
        <is>
          <t>undefined</t>
        </is>
      </c>
      <c r="S2026" t="inlineStr">
        <is>
          <t>4374657630319</t>
        </is>
      </c>
    </row>
    <row r="2027" ht="75" customHeight="1">
      <c r="A2027" s="2">
        <f>HYPERLINK("https://camerareadycosmetics.com/products/laura-mercier-shine-control-pressed-setting-powder", "https://camerareadycosmetics.com/products/laura-mercier-shine-control-pressed-setting-powder")</f>
        <v/>
      </c>
      <c r="B2027" s="2">
        <f>HYPERLINK("https://camerareadycosmetics.com/products/laura-mercier-shine-control-pressed-setting-powder", "https://camerareadycosmetics.com/products/laura-mercier-shine-control-pressed-setting-powder")</f>
        <v/>
      </c>
      <c r="C2027" t="inlineStr">
        <is>
          <t>Shine Control Pressed Setting Powder</t>
        </is>
      </c>
      <c r="D2027" t="inlineStr">
        <is>
          <t>KISS Cover and Care Acne Control Pressed Powder Shine Free Face Light Weight Makeup Setting Powder - APP328 (Honey Beige)</t>
        </is>
      </c>
      <c r="E2027" s="2">
        <f>HYPERLINK("https://www.amazon.com/Cover-Control-Pressed-Powder-APP328/dp/B084R7W39H/ref=sr_1_6?keywords=Shine+Control+Pressed+Setting+Powder&amp;qid=1695565795&amp;sr=8-6", "https://www.amazon.com/Cover-Control-Pressed-Powder-APP328/dp/B084R7W39H/ref=sr_1_6?keywords=Shine+Control+Pressed+Setting+Powder&amp;qid=1695565795&amp;sr=8-6")</f>
        <v/>
      </c>
      <c r="F2027" t="inlineStr">
        <is>
          <t>B084R7W39H</t>
        </is>
      </c>
      <c r="G2027">
        <f>_xlfn.IMAGE("https://camerareadycosmetics.com/cdn/shop/products/laura_mercier_Shine_Control_Pressed_Setting_Powder_12322490-2_50x.jpg?v=1580319766")</f>
        <v/>
      </c>
      <c r="H2027">
        <f>_xlfn.IMAGE("https://m.media-amazon.com/images/I/91ocSRfE2dL._AC_UL320_.jpg")</f>
        <v/>
      </c>
      <c r="K2027" t="inlineStr">
        <is>
          <t>42.0</t>
        </is>
      </c>
      <c r="L2027" t="n">
        <v>7.99</v>
      </c>
      <c r="M2027" s="1" t="inlineStr">
        <is>
          <t>-80.98%</t>
        </is>
      </c>
      <c r="N2027" t="n">
        <v>4.5</v>
      </c>
      <c r="O2027" t="n">
        <v>232</v>
      </c>
      <c r="Q2027" t="inlineStr">
        <is>
          <t>OutOfStock</t>
        </is>
      </c>
      <c r="R2027" t="inlineStr">
        <is>
          <t>undefined</t>
        </is>
      </c>
      <c r="S2027" t="inlineStr">
        <is>
          <t>4374657630319</t>
        </is>
      </c>
    </row>
    <row r="2028" ht="75" customHeight="1">
      <c r="A2028" s="2">
        <f>HYPERLINK("https://camerareadycosmetics.com/products/laura-mercier-shine-control-pressed-setting-powder", "https://camerareadycosmetics.com/products/laura-mercier-shine-control-pressed-setting-powder")</f>
        <v/>
      </c>
      <c r="B2028" s="2">
        <f>HYPERLINK("https://camerareadycosmetics.com/products/laura-mercier-shine-control-pressed-setting-powder", "https://camerareadycosmetics.com/products/laura-mercier-shine-control-pressed-setting-powder")</f>
        <v/>
      </c>
      <c r="C2028" t="inlineStr">
        <is>
          <t>Shine Control Pressed Setting Powder</t>
        </is>
      </c>
      <c r="D2028" t="inlineStr">
        <is>
          <t>COVERGIRL Clean Matte Pressed Powder, Oil Control Powder, 1 container, .35 Fl Oz, Face Powder, Oil Free Loose Powder, Matte Finish, Lightweight, Shine Free Formula, Leaves Skin Smooth and Clean</t>
        </is>
      </c>
      <c r="E2028" s="2">
        <f>HYPERLINK("https://www.amazon.com/COVERGIRL-Pressed-Container-Fragrance-packaging/dp/B0037MIMK8/ref=sr_1_9?keywords=Shine+Control+Pressed+Setting+Powder&amp;qid=1695565795&amp;sr=8-9", "https://www.amazon.com/COVERGIRL-Pressed-Container-Fragrance-packaging/dp/B0037MIMK8/ref=sr_1_9?keywords=Shine+Control+Pressed+Setting+Powder&amp;qid=1695565795&amp;sr=8-9")</f>
        <v/>
      </c>
      <c r="F2028" t="inlineStr">
        <is>
          <t>B0037MIMK8</t>
        </is>
      </c>
      <c r="G2028">
        <f>_xlfn.IMAGE("https://camerareadycosmetics.com/cdn/shop/products/laura_mercier_Shine_Control_Pressed_Setting_Powder_12322490-2_50x.jpg?v=1580319766")</f>
        <v/>
      </c>
      <c r="H2028">
        <f>_xlfn.IMAGE("https://m.media-amazon.com/images/I/817NduDBSCL._AC_UL320_.jpg")</f>
        <v/>
      </c>
      <c r="K2028" t="inlineStr">
        <is>
          <t>42.0</t>
        </is>
      </c>
      <c r="L2028" t="n">
        <v>6.38</v>
      </c>
      <c r="M2028" s="1" t="inlineStr">
        <is>
          <t>-84.81%</t>
        </is>
      </c>
      <c r="N2028" t="n">
        <v>4.7</v>
      </c>
      <c r="O2028" t="n">
        <v>3744</v>
      </c>
      <c r="Q2028" t="inlineStr">
        <is>
          <t>OutOfStock</t>
        </is>
      </c>
      <c r="R2028" t="inlineStr">
        <is>
          <t>undefined</t>
        </is>
      </c>
      <c r="S2028" t="inlineStr">
        <is>
          <t>4374657630319</t>
        </is>
      </c>
    </row>
    <row r="2029" ht="75" customHeight="1">
      <c r="A2029" s="2">
        <f>HYPERLINK("https://camerareadycosmetics.com/products/laura-mercier-tinted-moisturizer-blush", "https://camerareadycosmetics.com/products/laura-mercier-tinted-moisturizer-blush")</f>
        <v/>
      </c>
      <c r="B2029" s="2">
        <f>HYPERLINK("https://camerareadycosmetics.com/products/laura-mercier-tinted-moisturizer-blush", "https://camerareadycosmetics.com/products/laura-mercier-tinted-moisturizer-blush")</f>
        <v/>
      </c>
      <c r="C2029" t="inlineStr">
        <is>
          <t>Tinted Moisturizer Blush</t>
        </is>
      </c>
      <c r="D2029" t="inlineStr">
        <is>
          <t>Multi-Use Makeup Blush Stick,Beauty Solid Moisturizer Stick,Waterproof Natural Nude Makeup,Tinted Solid Moisturizer Stick for Eyes Lips Cheek(3#Coral Orange)</t>
        </is>
      </c>
      <c r="E2029" s="2">
        <f>HYPERLINK("https://www.amazon.com/Multi-Use-Makeup-Moisturizer-Waterproof-Natural/dp/B0C77P95B5/ref=sr_1_8?keywords=Tinted+Moisturizer+Blush&amp;qid=1695565776&amp;sr=8-8", "https://www.amazon.com/Multi-Use-Makeup-Moisturizer-Waterproof-Natural/dp/B0C77P95B5/ref=sr_1_8?keywords=Tinted+Moisturizer+Blush&amp;qid=1695565776&amp;sr=8-8")</f>
        <v/>
      </c>
      <c r="F2029" t="inlineStr">
        <is>
          <t>B0C77P95B5</t>
        </is>
      </c>
      <c r="G2029">
        <f>_xlfn.IMAGE("https://camerareadycosmetics.com/cdn/shop/products/laura_mercier_Tinted_Moisturizer_Blush_Mistral___12726014-1_50x.jpg?v=1654201187")</f>
        <v/>
      </c>
      <c r="H2029">
        <f>_xlfn.IMAGE("https://m.media-amazon.com/images/I/61ov4IijsoL._AC_UL320_.jpg")</f>
        <v/>
      </c>
      <c r="K2029" t="inlineStr">
        <is>
          <t>30.0</t>
        </is>
      </c>
      <c r="L2029" t="n">
        <v>8.99</v>
      </c>
      <c r="M2029" s="1" t="inlineStr">
        <is>
          <t>-70.03%</t>
        </is>
      </c>
      <c r="N2029" t="n">
        <v>4.3</v>
      </c>
      <c r="O2029" t="n">
        <v>126</v>
      </c>
      <c r="Q2029" t="inlineStr">
        <is>
          <t>InStock</t>
        </is>
      </c>
      <c r="R2029" t="inlineStr">
        <is>
          <t>undefined</t>
        </is>
      </c>
      <c r="S2029" t="inlineStr">
        <is>
          <t>7373728383161</t>
        </is>
      </c>
    </row>
    <row r="2030" ht="75" customHeight="1">
      <c r="A2030" s="2">
        <f>HYPERLINK("https://camerareadycosmetics.com/products/laura-mercier-tinted-moisturizer-blush", "https://camerareadycosmetics.com/products/laura-mercier-tinted-moisturizer-blush")</f>
        <v/>
      </c>
      <c r="B2030" s="2">
        <f>HYPERLINK("https://camerareadycosmetics.com/products/laura-mercier-tinted-moisturizer-blush", "https://camerareadycosmetics.com/products/laura-mercier-tinted-moisturizer-blush")</f>
        <v/>
      </c>
      <c r="C2030" t="inlineStr">
        <is>
          <t>Tinted Moisturizer Blush</t>
        </is>
      </c>
      <c r="D2030" t="inlineStr">
        <is>
          <t>Cream Blush Stick,Contour Beauty Wand,Tinted Moisturizer Stick,Multi-Use Blush Beauty Wand for for Cheeks &amp; Lip Tint &amp; Eyeshadow Makeup,Suitable for All Skin(Hot Red #2)</t>
        </is>
      </c>
      <c r="E2030" s="2">
        <f>HYPERLINK("https://www.amazon.com/Contour-Moisturizer-Multi-Use-Eyeshadow-Suitable/dp/B0C74L6VVM/ref=sr_1_9?keywords=Tinted+Moisturizer+Blush&amp;qid=1695565776&amp;sr=8-9", "https://www.amazon.com/Contour-Moisturizer-Multi-Use-Eyeshadow-Suitable/dp/B0C74L6VVM/ref=sr_1_9?keywords=Tinted+Moisturizer+Blush&amp;qid=1695565776&amp;sr=8-9")</f>
        <v/>
      </c>
      <c r="F2030" t="inlineStr">
        <is>
          <t>B0C74L6VVM</t>
        </is>
      </c>
      <c r="G2030">
        <f>_xlfn.IMAGE("https://camerareadycosmetics.com/cdn/shop/products/laura_mercier_Tinted_Moisturizer_Blush_Mistral___12726014-1_50x.jpg?v=1654201187")</f>
        <v/>
      </c>
      <c r="H2030">
        <f>_xlfn.IMAGE("https://m.media-amazon.com/images/I/714WwQg-XSL._AC_UL320_.jpg")</f>
        <v/>
      </c>
      <c r="K2030" t="inlineStr">
        <is>
          <t>30.0</t>
        </is>
      </c>
      <c r="L2030" t="n">
        <v>8.59</v>
      </c>
      <c r="M2030" s="1" t="inlineStr">
        <is>
          <t>-71.37%</t>
        </is>
      </c>
      <c r="N2030" t="n">
        <v>4.3</v>
      </c>
      <c r="O2030" t="n">
        <v>104</v>
      </c>
      <c r="Q2030" t="inlineStr">
        <is>
          <t>InStock</t>
        </is>
      </c>
      <c r="R2030" t="inlineStr">
        <is>
          <t>undefined</t>
        </is>
      </c>
      <c r="S2030" t="inlineStr">
        <is>
          <t>7373728383161</t>
        </is>
      </c>
    </row>
    <row r="2031" ht="75" customHeight="1">
      <c r="A2031" s="2">
        <f>HYPERLINK("https://camerareadycosmetics.com/products/laura-mercier-tinted-moisturizer-blush", "https://camerareadycosmetics.com/products/laura-mercier-tinted-moisturizer-blush")</f>
        <v/>
      </c>
      <c r="B2031" s="2">
        <f>HYPERLINK("https://camerareadycosmetics.com/products/laura-mercier-tinted-moisturizer-blush", "https://camerareadycosmetics.com/products/laura-mercier-tinted-moisturizer-blush")</f>
        <v/>
      </c>
      <c r="C2031" t="inlineStr">
        <is>
          <t>Tinted Moisturizer Blush</t>
        </is>
      </c>
      <c r="D2031" t="inlineStr">
        <is>
          <t>VENYSIS Multi-Use Makeup Blush Stick,Solid Moisturizer Stick,Tinted Solid Moisturizer Stick for Cheek Eyes Lips,Waterproof Natural Finish Cream Blush Stick Makeup,Shadow Lips Cheek Blusher-#2 Hot Red</t>
        </is>
      </c>
      <c r="E2031" s="2">
        <f>HYPERLINK("https://www.amazon.com/VENYSIS-Multi-Use-Moisturizer-Waterproof-Blusher/dp/B0CB1G6T27/ref=sr_1_3?keywords=Tinted+Moisturizer+Blush&amp;qid=1695565776&amp;sr=8-3", "https://www.amazon.com/VENYSIS-Multi-Use-Moisturizer-Waterproof-Blusher/dp/B0CB1G6T27/ref=sr_1_3?keywords=Tinted+Moisturizer+Blush&amp;qid=1695565776&amp;sr=8-3")</f>
        <v/>
      </c>
      <c r="F2031" t="inlineStr">
        <is>
          <t>B0CB1G6T27</t>
        </is>
      </c>
      <c r="G2031">
        <f>_xlfn.IMAGE("https://camerareadycosmetics.com/cdn/shop/products/laura_mercier_Tinted_Moisturizer_Blush_Mistral___12726014-1_50x.jpg?v=1654201187")</f>
        <v/>
      </c>
      <c r="H2031">
        <f>_xlfn.IMAGE("https://m.media-amazon.com/images/I/71OUNgcfLjL._AC_UL320_.jpg")</f>
        <v/>
      </c>
      <c r="K2031" t="inlineStr">
        <is>
          <t>30.0</t>
        </is>
      </c>
      <c r="L2031" t="n">
        <v>7.99</v>
      </c>
      <c r="M2031" s="1" t="inlineStr">
        <is>
          <t>-73.37%</t>
        </is>
      </c>
      <c r="N2031" t="n">
        <v>4.3</v>
      </c>
      <c r="O2031" t="n">
        <v>64</v>
      </c>
      <c r="Q2031" t="inlineStr">
        <is>
          <t>InStock</t>
        </is>
      </c>
      <c r="R2031" t="inlineStr">
        <is>
          <t>undefined</t>
        </is>
      </c>
      <c r="S2031" t="inlineStr">
        <is>
          <t>7373728383161</t>
        </is>
      </c>
    </row>
    <row r="2032" ht="75" customHeight="1">
      <c r="A2032" s="2">
        <f>HYPERLINK("https://camerareadycosmetics.com/products/laura-mercier-tinted-moisturizer-blush", "https://camerareadycosmetics.com/products/laura-mercier-tinted-moisturizer-blush")</f>
        <v/>
      </c>
      <c r="B2032" s="2">
        <f>HYPERLINK("https://camerareadycosmetics.com/products/laura-mercier-tinted-moisturizer-blush", "https://camerareadycosmetics.com/products/laura-mercier-tinted-moisturizer-blush")</f>
        <v/>
      </c>
      <c r="C2032" t="inlineStr">
        <is>
          <t>Tinted Moisturizer Blush</t>
        </is>
      </c>
      <c r="D2032" t="inlineStr">
        <is>
          <t>Multi-Use Makeup Blush Stick,Beauty Solid Moisturizer Stick,Waterproof Natural Nude Makeup,Tinted Solid Moisturizer Stick for Eyes Lips Cheek(3#Coral Orange)</t>
        </is>
      </c>
      <c r="E2032" s="2">
        <f>HYPERLINK("https://www.amazon.com/Multi-Use-Makeup-Moisturizer-Waterproof-Natural/dp/B0C77P95B5/ref=sr_1_8?keywords=Tinted+Moisturizer+Blush&amp;qid=1695565776&amp;sr=8-8", "https://www.amazon.com/Multi-Use-Makeup-Moisturizer-Waterproof-Natural/dp/B0C77P95B5/ref=sr_1_8?keywords=Tinted+Moisturizer+Blush&amp;qid=1695565776&amp;sr=8-8")</f>
        <v/>
      </c>
      <c r="F2032" t="inlineStr">
        <is>
          <t>B0C77P95B5</t>
        </is>
      </c>
      <c r="G2032">
        <f>_xlfn.IMAGE("https://camerareadycosmetics.com/cdn/shop/products/laura_mercier_Tinted_Moisturizer_Blush_Mistral___12726014-1_50x.jpg?v=1654201187")</f>
        <v/>
      </c>
      <c r="H2032">
        <f>_xlfn.IMAGE("https://m.media-amazon.com/images/I/61ov4IijsoL._AC_UL320_.jpg")</f>
        <v/>
      </c>
      <c r="K2032" t="inlineStr">
        <is>
          <t>30.0</t>
        </is>
      </c>
      <c r="L2032" t="n">
        <v>8.99</v>
      </c>
      <c r="M2032" s="1" t="inlineStr">
        <is>
          <t>-70.03%</t>
        </is>
      </c>
      <c r="N2032" t="n">
        <v>4.3</v>
      </c>
      <c r="O2032" t="n">
        <v>126</v>
      </c>
      <c r="Q2032" t="inlineStr">
        <is>
          <t>InStock</t>
        </is>
      </c>
      <c r="R2032" t="inlineStr">
        <is>
          <t>undefined</t>
        </is>
      </c>
      <c r="S2032" t="inlineStr">
        <is>
          <t>7373728383161</t>
        </is>
      </c>
    </row>
    <row r="2033" ht="75" customHeight="1">
      <c r="A2033" s="2">
        <f>HYPERLINK("https://camerareadycosmetics.com/products/laura-mercier-tinted-moisturizer-blush", "https://camerareadycosmetics.com/products/laura-mercier-tinted-moisturizer-blush")</f>
        <v/>
      </c>
      <c r="B2033" s="2">
        <f>HYPERLINK("https://camerareadycosmetics.com/products/laura-mercier-tinted-moisturizer-blush", "https://camerareadycosmetics.com/products/laura-mercier-tinted-moisturizer-blush")</f>
        <v/>
      </c>
      <c r="C2033" t="inlineStr">
        <is>
          <t>Tinted Moisturizer Blush</t>
        </is>
      </c>
      <c r="D2033" t="inlineStr">
        <is>
          <t>Cream Blush Stick,Contour Beauty Wand,Tinted Moisturizer Stick,Multi-Use Blush Beauty Wand for for Cheeks &amp; Lip Tint &amp; Eyeshadow Makeup,Suitable for All Skin(Hot Red #2)</t>
        </is>
      </c>
      <c r="E2033" s="2">
        <f>HYPERLINK("https://www.amazon.com/Contour-Moisturizer-Multi-Use-Eyeshadow-Suitable/dp/B0C74L6VVM/ref=sr_1_9?keywords=Tinted+Moisturizer+Blush&amp;qid=1695565776&amp;sr=8-9", "https://www.amazon.com/Contour-Moisturizer-Multi-Use-Eyeshadow-Suitable/dp/B0C74L6VVM/ref=sr_1_9?keywords=Tinted+Moisturizer+Blush&amp;qid=1695565776&amp;sr=8-9")</f>
        <v/>
      </c>
      <c r="F2033" t="inlineStr">
        <is>
          <t>B0C74L6VVM</t>
        </is>
      </c>
      <c r="G2033">
        <f>_xlfn.IMAGE("https://camerareadycosmetics.com/cdn/shop/products/laura_mercier_Tinted_Moisturizer_Blush_Mistral___12726014-1_50x.jpg?v=1654201187")</f>
        <v/>
      </c>
      <c r="H2033">
        <f>_xlfn.IMAGE("https://m.media-amazon.com/images/I/714WwQg-XSL._AC_UL320_.jpg")</f>
        <v/>
      </c>
      <c r="K2033" t="inlineStr">
        <is>
          <t>30.0</t>
        </is>
      </c>
      <c r="L2033" t="n">
        <v>8.59</v>
      </c>
      <c r="M2033" s="1" t="inlineStr">
        <is>
          <t>-71.37%</t>
        </is>
      </c>
      <c r="N2033" t="n">
        <v>4.3</v>
      </c>
      <c r="O2033" t="n">
        <v>104</v>
      </c>
      <c r="Q2033" t="inlineStr">
        <is>
          <t>InStock</t>
        </is>
      </c>
      <c r="R2033" t="inlineStr">
        <is>
          <t>undefined</t>
        </is>
      </c>
      <c r="S2033" t="inlineStr">
        <is>
          <t>7373728383161</t>
        </is>
      </c>
    </row>
    <row r="2034" ht="75" customHeight="1">
      <c r="A2034" s="2">
        <f>HYPERLINK("https://camerareadycosmetics.com/products/laura-mercier-tinted-moisturizer-blush", "https://camerareadycosmetics.com/products/laura-mercier-tinted-moisturizer-blush")</f>
        <v/>
      </c>
      <c r="B2034" s="2">
        <f>HYPERLINK("https://camerareadycosmetics.com/products/laura-mercier-tinted-moisturizer-blush", "https://camerareadycosmetics.com/products/laura-mercier-tinted-moisturizer-blush")</f>
        <v/>
      </c>
      <c r="C2034" t="inlineStr">
        <is>
          <t>Tinted Moisturizer Blush</t>
        </is>
      </c>
      <c r="D2034" t="inlineStr">
        <is>
          <t>VENYSIS Multi-Use Makeup Blush Stick,Solid Moisturizer Stick,Tinted Solid Moisturizer Stick for Cheek Eyes Lips,Waterproof Natural Finish Cream Blush Stick Makeup,Shadow Lips Cheek Blusher-#2 Hot Red</t>
        </is>
      </c>
      <c r="E2034" s="2">
        <f>HYPERLINK("https://www.amazon.com/VENYSIS-Multi-Use-Moisturizer-Waterproof-Blusher/dp/B0CB1G6T27/ref=sr_1_3?keywords=Tinted+Moisturizer+Blush&amp;qid=1695565776&amp;sr=8-3", "https://www.amazon.com/VENYSIS-Multi-Use-Moisturizer-Waterproof-Blusher/dp/B0CB1G6T27/ref=sr_1_3?keywords=Tinted+Moisturizer+Blush&amp;qid=1695565776&amp;sr=8-3")</f>
        <v/>
      </c>
      <c r="F2034" t="inlineStr">
        <is>
          <t>B0CB1G6T27</t>
        </is>
      </c>
      <c r="G2034">
        <f>_xlfn.IMAGE("https://camerareadycosmetics.com/cdn/shop/products/laura_mercier_Tinted_Moisturizer_Blush_Mistral___12726014-1_50x.jpg?v=1654201187")</f>
        <v/>
      </c>
      <c r="H2034">
        <f>_xlfn.IMAGE("https://m.media-amazon.com/images/I/71OUNgcfLjL._AC_UL320_.jpg")</f>
        <v/>
      </c>
      <c r="K2034" t="inlineStr">
        <is>
          <t>30.0</t>
        </is>
      </c>
      <c r="L2034" t="n">
        <v>7.99</v>
      </c>
      <c r="M2034" s="1" t="inlineStr">
        <is>
          <t>-73.37%</t>
        </is>
      </c>
      <c r="N2034" t="n">
        <v>4.3</v>
      </c>
      <c r="O2034" t="n">
        <v>64</v>
      </c>
      <c r="Q2034" t="inlineStr">
        <is>
          <t>InStock</t>
        </is>
      </c>
      <c r="R2034" t="inlineStr">
        <is>
          <t>undefined</t>
        </is>
      </c>
      <c r="S2034" t="inlineStr">
        <is>
          <t>7373728383161</t>
        </is>
      </c>
    </row>
    <row r="2035" ht="75" customHeight="1">
      <c r="A2035" s="2">
        <f>HYPERLINK("https://camerareadycosmetics.com/products/laura-mercier-tinted-moisturizer-natural-skin-perfector-spf-30", "https://camerareadycosmetics.com/products/laura-mercier-tinted-moisturizer-natural-skin-perfector-spf-30")</f>
        <v/>
      </c>
      <c r="B2035" s="2">
        <f>HYPERLINK("https://camerareadycosmetics.com/products/laura-mercier-tinted-moisturizer-natural-skin-perfector-spf-30", "https://camerareadycosmetics.com/products/laura-mercier-tinted-moisturizer-natural-skin-perfector-spf-30")</f>
        <v/>
      </c>
      <c r="C2035" t="inlineStr">
        <is>
          <t>Tinted Moisturizer Natural Skin Perfector SPF 30</t>
        </is>
      </c>
      <c r="D2035" t="inlineStr">
        <is>
          <t>Laura Mercier Tinted Moisturizer Natural Skin Perfector SPF 30, #1W1, 1.7 oz</t>
        </is>
      </c>
      <c r="E2035" s="2">
        <f>HYPERLINK("https://www.amazon.com/Laura-Mercier-Moisturizer-Natural-Perfector/dp/B07Z8J1T4W/ref=sr_1_10?keywords=Tinted+Moisturizer+Natural+Skin+Perfector+SPF+30&amp;qid=1695565661&amp;sr=8-10", "https://www.amazon.com/Laura-Mercier-Moisturizer-Natural-Perfector/dp/B07Z8J1T4W/ref=sr_1_10?keywords=Tinted+Moisturizer+Natural+Skin+Perfector+SPF+30&amp;qid=1695565661&amp;sr=8-10")</f>
        <v/>
      </c>
      <c r="F2035" t="inlineStr">
        <is>
          <t>B07Z8J1T4W</t>
        </is>
      </c>
      <c r="G2035">
        <f>_xlfn.IMAGE("https://camerareadycosmetics.com/cdn/shop/products/Laura-Mercier_Tinted-Moisturizer_0N1-Petal_50x.jpg?v=1580319766")</f>
        <v/>
      </c>
      <c r="H2035">
        <f>_xlfn.IMAGE("https://m.media-amazon.com/images/I/51MgbRiX1LL._AC_UL320_.jpg")</f>
        <v/>
      </c>
      <c r="K2035" t="inlineStr">
        <is>
          <t>53.0</t>
        </is>
      </c>
      <c r="L2035" t="n">
        <v>52.87</v>
      </c>
      <c r="M2035" s="1" t="inlineStr">
        <is>
          <t>-0.25%</t>
        </is>
      </c>
      <c r="N2035" t="n">
        <v>4.4</v>
      </c>
      <c r="O2035" t="n">
        <v>108</v>
      </c>
      <c r="Q2035" t="inlineStr">
        <is>
          <t>InStock</t>
        </is>
      </c>
      <c r="R2035" t="inlineStr">
        <is>
          <t>undefined</t>
        </is>
      </c>
      <c r="S2035" t="inlineStr">
        <is>
          <t>4374673850479</t>
        </is>
      </c>
    </row>
    <row r="2036" ht="75" customHeight="1">
      <c r="A2036" s="2">
        <f>HYPERLINK("https://camerareadycosmetics.com/products/laura-mercier-tinted-moisturizer-natural-skin-perfector-spf-30", "https://camerareadycosmetics.com/products/laura-mercier-tinted-moisturizer-natural-skin-perfector-spf-30")</f>
        <v/>
      </c>
      <c r="B2036" s="2">
        <f>HYPERLINK("https://camerareadycosmetics.com/products/laura-mercier-tinted-moisturizer-natural-skin-perfector-spf-30", "https://camerareadycosmetics.com/products/laura-mercier-tinted-moisturizer-natural-skin-perfector-spf-30")</f>
        <v/>
      </c>
      <c r="C2036" t="inlineStr">
        <is>
          <t>Tinted Moisturizer Natural Skin Perfector SPF 30</t>
        </is>
      </c>
      <c r="D2036" t="inlineStr">
        <is>
          <t>Laura Mercier Tinted Moisturizer Natural Skin Perfector SPF 30, #1C0 Cameo, 1.7 oz</t>
        </is>
      </c>
      <c r="E2036" s="2">
        <f>HYPERLINK("https://www.amazon.com/Laura-Mercier-Moisturizer-Natural-Perfector/dp/B07Z8JGKS6/ref=sr_1_9?keywords=Tinted+Moisturizer+Natural+Skin+Perfector+SPF+30&amp;qid=1695565661&amp;sr=8-9", "https://www.amazon.com/Laura-Mercier-Moisturizer-Natural-Perfector/dp/B07Z8JGKS6/ref=sr_1_9?keywords=Tinted+Moisturizer+Natural+Skin+Perfector+SPF+30&amp;qid=1695565661&amp;sr=8-9")</f>
        <v/>
      </c>
      <c r="F2036" t="inlineStr">
        <is>
          <t>B07Z8JGKS6</t>
        </is>
      </c>
      <c r="G2036">
        <f>_xlfn.IMAGE("https://camerareadycosmetics.com/cdn/shop/products/Laura-Mercier_Tinted-Moisturizer_0N1-Petal_50x.jpg?v=1580319766")</f>
        <v/>
      </c>
      <c r="H2036">
        <f>_xlfn.IMAGE("https://m.media-amazon.com/images/I/51nDWOAVHiL._AC_UL320_.jpg")</f>
        <v/>
      </c>
      <c r="K2036" t="inlineStr">
        <is>
          <t>53.0</t>
        </is>
      </c>
      <c r="L2036" t="n">
        <v>51.97</v>
      </c>
      <c r="M2036" s="1" t="inlineStr">
        <is>
          <t>-1.94%</t>
        </is>
      </c>
      <c r="N2036" t="n">
        <v>4.4</v>
      </c>
      <c r="O2036" t="n">
        <v>67</v>
      </c>
      <c r="Q2036" t="inlineStr">
        <is>
          <t>InStock</t>
        </is>
      </c>
      <c r="R2036" t="inlineStr">
        <is>
          <t>undefined</t>
        </is>
      </c>
      <c r="S2036" t="inlineStr">
        <is>
          <t>4374673850479</t>
        </is>
      </c>
    </row>
    <row r="2037" ht="75" customHeight="1">
      <c r="A2037" s="2">
        <f>HYPERLINK("https://camerareadycosmetics.com/products/laura-mercier-tinted-moisturizer-natural-skin-perfector-spf-30", "https://camerareadycosmetics.com/products/laura-mercier-tinted-moisturizer-natural-skin-perfector-spf-30")</f>
        <v/>
      </c>
      <c r="B2037" s="2">
        <f>HYPERLINK("https://camerareadycosmetics.com/products/laura-mercier-tinted-moisturizer-natural-skin-perfector-spf-30", "https://camerareadycosmetics.com/products/laura-mercier-tinted-moisturizer-natural-skin-perfector-spf-30")</f>
        <v/>
      </c>
      <c r="C2037" t="inlineStr">
        <is>
          <t>Tinted Moisturizer Natural Skin Perfector SPF 30</t>
        </is>
      </c>
      <c r="D2037" t="inlineStr">
        <is>
          <t>Laura Mercier Tinted Moisturizer Natural Skin Perfector SPF 30, #2W1 Natural, 1.7 oz</t>
        </is>
      </c>
      <c r="E2037" s="2">
        <f>HYPERLINK("https://www.amazon.com/Laura-Mercier-Moisturizer-Natural-Perfector/dp/B07Z8J4HKX/ref=sr_1_5?keywords=Tinted+Moisturizer+Natural+Skin+Perfector+SPF+30&amp;qid=1695565661&amp;sr=8-5", "https://www.amazon.com/Laura-Mercier-Moisturizer-Natural-Perfector/dp/B07Z8J4HKX/ref=sr_1_5?keywords=Tinted+Moisturizer+Natural+Skin+Perfector+SPF+30&amp;qid=1695565661&amp;sr=8-5")</f>
        <v/>
      </c>
      <c r="F2037" t="inlineStr">
        <is>
          <t>B07Z8J4HKX</t>
        </is>
      </c>
      <c r="G2037">
        <f>_xlfn.IMAGE("https://camerareadycosmetics.com/cdn/shop/products/Laura-Mercier_Tinted-Moisturizer_0N1-Petal_50x.jpg?v=1580319766")</f>
        <v/>
      </c>
      <c r="H2037">
        <f>_xlfn.IMAGE("https://m.media-amazon.com/images/I/51aJMC8tf3L._AC_UL320_.jpg")</f>
        <v/>
      </c>
      <c r="K2037" t="inlineStr">
        <is>
          <t>53.0</t>
        </is>
      </c>
      <c r="L2037" t="n">
        <v>49.98</v>
      </c>
      <c r="M2037" s="1" t="inlineStr">
        <is>
          <t>-5.70%</t>
        </is>
      </c>
      <c r="N2037" t="n">
        <v>4.4</v>
      </c>
      <c r="O2037" t="n">
        <v>599</v>
      </c>
      <c r="Q2037" t="inlineStr">
        <is>
          <t>InStock</t>
        </is>
      </c>
      <c r="R2037" t="inlineStr">
        <is>
          <t>undefined</t>
        </is>
      </c>
      <c r="S2037" t="inlineStr">
        <is>
          <t>4374673850479</t>
        </is>
      </c>
    </row>
    <row r="2038" ht="75" customHeight="1">
      <c r="A2038" s="2">
        <f>HYPERLINK("https://camerareadycosmetics.com/products/laura-mercier-tinted-moisturizer-natural-skin-perfector-spf-30", "https://camerareadycosmetics.com/products/laura-mercier-tinted-moisturizer-natural-skin-perfector-spf-30")</f>
        <v/>
      </c>
      <c r="B2038" s="2">
        <f>HYPERLINK("https://camerareadycosmetics.com/products/laura-mercier-tinted-moisturizer-natural-skin-perfector-spf-30", "https://camerareadycosmetics.com/products/laura-mercier-tinted-moisturizer-natural-skin-perfector-spf-30")</f>
        <v/>
      </c>
      <c r="C2038" t="inlineStr">
        <is>
          <t>Tinted Moisturizer Natural Skin Perfector SPF 30</t>
        </is>
      </c>
      <c r="D2038" t="inlineStr">
        <is>
          <t>Laura Mercier Tinted Moisturizer Natural Skin Perfector SPF 30, #4C1, 1.7 oz</t>
        </is>
      </c>
      <c r="E2038" s="2">
        <f>HYPERLINK("https://www.amazon.com/Laura-Mercier-Moisturizer-Natural-Perfector/dp/B07Z8HPSBH/ref=sr_1_8?keywords=Tinted+Moisturizer+Natural+Skin+Perfector+SPF+30&amp;qid=1695565661&amp;sr=8-8", "https://www.amazon.com/Laura-Mercier-Moisturizer-Natural-Perfector/dp/B07Z8HPSBH/ref=sr_1_8?keywords=Tinted+Moisturizer+Natural+Skin+Perfector+SPF+30&amp;qid=1695565661&amp;sr=8-8")</f>
        <v/>
      </c>
      <c r="F2038" t="inlineStr">
        <is>
          <t>B07Z8HPSBH</t>
        </is>
      </c>
      <c r="G2038">
        <f>_xlfn.IMAGE("https://camerareadycosmetics.com/cdn/shop/products/Laura-Mercier_Tinted-Moisturizer_0N1-Petal_50x.jpg?v=1580319766")</f>
        <v/>
      </c>
      <c r="H2038">
        <f>_xlfn.IMAGE("https://m.media-amazon.com/images/I/61vjQ3wCPlS._AC_UL320_.jpg")</f>
        <v/>
      </c>
      <c r="K2038" t="inlineStr">
        <is>
          <t>53.0</t>
        </is>
      </c>
      <c r="L2038" t="n">
        <v>47.99</v>
      </c>
      <c r="M2038" s="1" t="inlineStr">
        <is>
          <t>-9.45%</t>
        </is>
      </c>
      <c r="N2038" t="n">
        <v>4</v>
      </c>
      <c r="O2038" t="n">
        <v>32</v>
      </c>
      <c r="Q2038" t="inlineStr">
        <is>
          <t>InStock</t>
        </is>
      </c>
      <c r="R2038" t="inlineStr">
        <is>
          <t>undefined</t>
        </is>
      </c>
      <c r="S2038" t="inlineStr">
        <is>
          <t>4374673850479</t>
        </is>
      </c>
    </row>
    <row r="2039" ht="75" customHeight="1">
      <c r="A2039" s="2">
        <f>HYPERLINK("https://camerareadycosmetics.com/products/laura-mercier-tinted-moisturizer-natural-skin-perfector-spf-30", "https://camerareadycosmetics.com/products/laura-mercier-tinted-moisturizer-natural-skin-perfector-spf-30")</f>
        <v/>
      </c>
      <c r="B2039" s="2">
        <f>HYPERLINK("https://camerareadycosmetics.com/products/laura-mercier-tinted-moisturizer-natural-skin-perfector-spf-30", "https://camerareadycosmetics.com/products/laura-mercier-tinted-moisturizer-natural-skin-perfector-spf-30")</f>
        <v/>
      </c>
      <c r="C2039" t="inlineStr">
        <is>
          <t>Tinted Moisturizer Natural Skin Perfector SPF 30</t>
        </is>
      </c>
      <c r="D2039" t="inlineStr">
        <is>
          <t>Laura Mercier Tinted Moisturizer Natural Skin Perfector SPF 30, #3W1 Bisque, 1.7 oz</t>
        </is>
      </c>
      <c r="E2039" s="2">
        <f>HYPERLINK("https://www.amazon.com/Laura-Mercier-Moisturizer-Natural-Perfector/dp/B07Z8JWGHM/ref=sr_1_7?keywords=Tinted+Moisturizer+Natural+Skin+Perfector+SPF+30&amp;qid=1695565661&amp;sr=8-7", "https://www.amazon.com/Laura-Mercier-Moisturizer-Natural-Perfector/dp/B07Z8JWGHM/ref=sr_1_7?keywords=Tinted+Moisturizer+Natural+Skin+Perfector+SPF+30&amp;qid=1695565661&amp;sr=8-7")</f>
        <v/>
      </c>
      <c r="F2039" t="inlineStr">
        <is>
          <t>B07Z8JWGHM</t>
        </is>
      </c>
      <c r="G2039">
        <f>_xlfn.IMAGE("https://camerareadycosmetics.com/cdn/shop/products/Laura-Mercier_Tinted-Moisturizer_0N1-Petal_50x.jpg?v=1580319766")</f>
        <v/>
      </c>
      <c r="H2039">
        <f>_xlfn.IMAGE("https://m.media-amazon.com/images/I/615fps6CAjL._AC_UL320_.jpg")</f>
        <v/>
      </c>
      <c r="K2039" t="inlineStr">
        <is>
          <t>53.0</t>
        </is>
      </c>
      <c r="L2039" t="n">
        <v>47</v>
      </c>
      <c r="M2039" s="1" t="inlineStr">
        <is>
          <t>-11.32%</t>
        </is>
      </c>
      <c r="N2039" t="n">
        <v>4.1</v>
      </c>
      <c r="O2039" t="n">
        <v>89</v>
      </c>
      <c r="Q2039" t="inlineStr">
        <is>
          <t>InStock</t>
        </is>
      </c>
      <c r="R2039" t="inlineStr">
        <is>
          <t>undefined</t>
        </is>
      </c>
      <c r="S2039" t="inlineStr">
        <is>
          <t>4374673850479</t>
        </is>
      </c>
    </row>
    <row r="2040" ht="75" customHeight="1">
      <c r="A2040" s="2">
        <f>HYPERLINK("https://camerareadycosmetics.com/products/laura-mercier-tinted-moisturizer-natural-skin-perfector-spf-30", "https://camerareadycosmetics.com/products/laura-mercier-tinted-moisturizer-natural-skin-perfector-spf-30")</f>
        <v/>
      </c>
      <c r="B2040" s="2">
        <f>HYPERLINK("https://camerareadycosmetics.com/products/laura-mercier-tinted-moisturizer-natural-skin-perfector-spf-30", "https://camerareadycosmetics.com/products/laura-mercier-tinted-moisturizer-natural-skin-perfector-spf-30")</f>
        <v/>
      </c>
      <c r="C2040" t="inlineStr">
        <is>
          <t>Tinted Moisturizer Natural Skin Perfector SPF 30</t>
        </is>
      </c>
      <c r="D2040" t="inlineStr">
        <is>
          <t>Well People Bio Tint SPF 30 Tinted Moisturizer, Skin-perfecting Moisturizer, Smoothes Imperfections &amp; Moisturizes Skin, Vegan &amp; Cruelty-free, 6W</t>
        </is>
      </c>
      <c r="E2040" s="2" t="n"/>
      <c r="F2040" t="inlineStr">
        <is>
          <t>B0BMW3VZ7D</t>
        </is>
      </c>
      <c r="G2040">
        <f>_xlfn.IMAGE("https://camerareadycosmetics.com/cdn/shop/products/Laura-Mercier_Tinted-Moisturizer_0N1-Petal_50x.jpg?v=1580319766")</f>
        <v/>
      </c>
      <c r="H2040">
        <f>_xlfn.IMAGE("https://m.media-amazon.com/images/I/51LhbW-Hx4L._AC_UL320_.jpg")</f>
        <v/>
      </c>
      <c r="K2040" t="inlineStr">
        <is>
          <t>53.0</t>
        </is>
      </c>
      <c r="L2040" t="n">
        <v>30</v>
      </c>
      <c r="M2040" s="1" t="inlineStr">
        <is>
          <t>-43.40%</t>
        </is>
      </c>
      <c r="N2040" t="n">
        <v>4.1</v>
      </c>
      <c r="O2040" t="n">
        <v>215</v>
      </c>
      <c r="Q2040" t="inlineStr">
        <is>
          <t>InStock</t>
        </is>
      </c>
      <c r="R2040" t="inlineStr">
        <is>
          <t>undefined</t>
        </is>
      </c>
      <c r="S2040" t="inlineStr">
        <is>
          <t>4374673850479</t>
        </is>
      </c>
    </row>
    <row r="2041" ht="75" customHeight="1">
      <c r="A2041" s="2">
        <f>HYPERLINK("https://camerareadycosmetics.com/products/laura-mercier-tinted-moisturizer-natural-skin-perfector-spf-30", "https://camerareadycosmetics.com/products/laura-mercier-tinted-moisturizer-natural-skin-perfector-spf-30")</f>
        <v/>
      </c>
      <c r="B2041" s="2">
        <f>HYPERLINK("https://camerareadycosmetics.com/products/laura-mercier-tinted-moisturizer-natural-skin-perfector-spf-30", "https://camerareadycosmetics.com/products/laura-mercier-tinted-moisturizer-natural-skin-perfector-spf-30")</f>
        <v/>
      </c>
      <c r="C2041" t="inlineStr">
        <is>
          <t>Tinted Moisturizer Natural Skin Perfector SPF 30</t>
        </is>
      </c>
      <c r="D2041" t="inlineStr">
        <is>
          <t>Neutrogena Healthy Skin Anti-Aging Perfector Tinted Facial Moisturizer and Retinol Treatment with Broad Spectrum SPF 20 Sunscreen with Titanium Dioxide, 30 Light to Neutral, 1 fl. oz</t>
        </is>
      </c>
      <c r="E2041" s="2">
        <f>HYPERLINK("https://www.amazon.com/Neutrogena-Healthy-Anti-Aging-Perfector-Treatment/dp/B01BF6UWTQ/ref=sr_1_6?keywords=Tinted+Moisturizer+Natural+Skin+Perfector+SPF+30&amp;qid=1695565661&amp;sr=8-6", "https://www.amazon.com/Neutrogena-Healthy-Anti-Aging-Perfector-Treatment/dp/B01BF6UWTQ/ref=sr_1_6?keywords=Tinted+Moisturizer+Natural+Skin+Perfector+SPF+30&amp;qid=1695565661&amp;sr=8-6")</f>
        <v/>
      </c>
      <c r="F2041" t="inlineStr">
        <is>
          <t>B01BF6UWTQ</t>
        </is>
      </c>
      <c r="G2041">
        <f>_xlfn.IMAGE("https://camerareadycosmetics.com/cdn/shop/products/Laura-Mercier_Tinted-Moisturizer_0N1-Petal_50x.jpg?v=1580319766")</f>
        <v/>
      </c>
      <c r="H2041">
        <f>_xlfn.IMAGE("https://m.media-amazon.com/images/I/61OYg44WsAL._AC_UL320_.jpg")</f>
        <v/>
      </c>
      <c r="K2041" t="inlineStr">
        <is>
          <t>53.0</t>
        </is>
      </c>
      <c r="L2041" t="n">
        <v>13.97</v>
      </c>
      <c r="M2041" s="1" t="inlineStr">
        <is>
          <t>-73.64%</t>
        </is>
      </c>
      <c r="N2041" t="n">
        <v>4.4</v>
      </c>
      <c r="O2041" t="n">
        <v>16584</v>
      </c>
      <c r="Q2041" t="inlineStr">
        <is>
          <t>InStock</t>
        </is>
      </c>
      <c r="R2041" t="inlineStr">
        <is>
          <t>undefined</t>
        </is>
      </c>
      <c r="S2041" t="inlineStr">
        <is>
          <t>4374673850479</t>
        </is>
      </c>
    </row>
    <row r="2042" ht="75" customHeight="1">
      <c r="A2042" s="2">
        <f>HYPERLINK("https://camerareadycosmetics.com/products/laura-mercier-tinted-moisturizer-natural-skin-perfector-spf-30", "https://camerareadycosmetics.com/products/laura-mercier-tinted-moisturizer-natural-skin-perfector-spf-30")</f>
        <v/>
      </c>
      <c r="B2042" s="2">
        <f>HYPERLINK("https://camerareadycosmetics.com/products/laura-mercier-tinted-moisturizer-natural-skin-perfector-spf-30", "https://camerareadycosmetics.com/products/laura-mercier-tinted-moisturizer-natural-skin-perfector-spf-30")</f>
        <v/>
      </c>
      <c r="C2042" t="inlineStr">
        <is>
          <t>Tinted Moisturizer Natural Skin Perfector SPF 30</t>
        </is>
      </c>
      <c r="D2042" t="inlineStr">
        <is>
          <t>Neutrogena Healthy Skin Anti-Aging Perfector Tinted Facial Moisturizer and Retinol Treatment with Broad Spectrum SPF 20 Sunscreen with Titanium Dioxide, 30 Light to Neutral, 1 fl. oz</t>
        </is>
      </c>
      <c r="E2042" s="2">
        <f>HYPERLINK("https://www.amazon.com/Neutrogena-Healthy-Anti-Aging-Perfector-Treatment/dp/B01BF6UWTQ/ref=sr_1_6?keywords=Tinted+Moisturizer+Natural+Skin+Perfector+SPF+30&amp;qid=1695565661&amp;sr=8-6", "https://www.amazon.com/Neutrogena-Healthy-Anti-Aging-Perfector-Treatment/dp/B01BF6UWTQ/ref=sr_1_6?keywords=Tinted+Moisturizer+Natural+Skin+Perfector+SPF+30&amp;qid=1695565661&amp;sr=8-6")</f>
        <v/>
      </c>
      <c r="F2042" t="inlineStr">
        <is>
          <t>B01BF6UWTQ</t>
        </is>
      </c>
      <c r="G2042">
        <f>_xlfn.IMAGE("https://camerareadycosmetics.com/cdn/shop/products/Laura-Mercier_Tinted-Moisturizer_0N1-Petal_50x.jpg?v=1580319766")</f>
        <v/>
      </c>
      <c r="H2042">
        <f>_xlfn.IMAGE("https://m.media-amazon.com/images/I/61OYg44WsAL._AC_UL320_.jpg")</f>
        <v/>
      </c>
      <c r="K2042" t="inlineStr">
        <is>
          <t>53.0</t>
        </is>
      </c>
      <c r="L2042" t="n">
        <v>13.97</v>
      </c>
      <c r="M2042" s="1" t="inlineStr">
        <is>
          <t>-73.64%</t>
        </is>
      </c>
      <c r="N2042" t="n">
        <v>4.4</v>
      </c>
      <c r="O2042" t="n">
        <v>16584</v>
      </c>
      <c r="Q2042" t="inlineStr">
        <is>
          <t>InStock</t>
        </is>
      </c>
      <c r="R2042" t="inlineStr">
        <is>
          <t>undefined</t>
        </is>
      </c>
      <c r="S2042" t="inlineStr">
        <is>
          <t>4374673850479</t>
        </is>
      </c>
    </row>
    <row r="2043" ht="75" customHeight="1">
      <c r="A2043" s="2">
        <f>HYPERLINK("https://camerareadycosmetics.com/products/laura-mercier-tinted-moisturizer-oil-free", "https://camerareadycosmetics.com/products/laura-mercier-tinted-moisturizer-oil-free")</f>
        <v/>
      </c>
      <c r="B2043" s="2">
        <f>HYPERLINK("https://camerareadycosmetics.com/products/laura-mercier-tinted-moisturizer-oil-free", "https://camerareadycosmetics.com/products/laura-mercier-tinted-moisturizer-oil-free")</f>
        <v/>
      </c>
      <c r="C2043" t="inlineStr">
        <is>
          <t>Tinted Moisturizer Oil Free SPF 20</t>
        </is>
      </c>
      <c r="D2043" t="inlineStr">
        <is>
          <t>Laura Mercier Tinted Moisturizer Oil Free SPF 20 Sunscreen, Almond, 1.7 Fl Oz</t>
        </is>
      </c>
      <c r="E2043" s="2">
        <f>HYPERLINK("https://www.amazon.com/Laura-Mercier-Tinted-Moisturizer-Spectrum/dp/B00E6F87K0/ref=sr_1_3?keywords=Tinted+Moisturizer+Oil+Free+SPF+20&amp;qid=1695565676&amp;sr=8-3", "https://www.amazon.com/Laura-Mercier-Tinted-Moisturizer-Spectrum/dp/B00E6F87K0/ref=sr_1_3?keywords=Tinted+Moisturizer+Oil+Free+SPF+20&amp;qid=1695565676&amp;sr=8-3")</f>
        <v/>
      </c>
      <c r="F2043" t="inlineStr">
        <is>
          <t>B00E6F87K0</t>
        </is>
      </c>
      <c r="G2043">
        <f>_xlfn.IMAGE("https://camerareadycosmetics.com/cdn/shop/products/fawn-Tinted-Moisturizer-Oil-Free_50x.jpg?v=1684951949")</f>
        <v/>
      </c>
      <c r="H2043">
        <f>_xlfn.IMAGE("https://m.media-amazon.com/images/I/51tJTM1tDYL._AC_UL320_.jpg")</f>
        <v/>
      </c>
      <c r="K2043" t="inlineStr">
        <is>
          <t>53.0</t>
        </is>
      </c>
      <c r="L2043" t="n">
        <v>71.98999999999999</v>
      </c>
      <c r="M2043" s="1" t="inlineStr">
        <is>
          <t>35.83%</t>
        </is>
      </c>
      <c r="N2043" t="n">
        <v>4.3</v>
      </c>
      <c r="O2043" t="n">
        <v>68</v>
      </c>
      <c r="Q2043" t="inlineStr">
        <is>
          <t>InStock</t>
        </is>
      </c>
      <c r="R2043" t="inlineStr">
        <is>
          <t>undefined</t>
        </is>
      </c>
      <c r="S2043" t="inlineStr">
        <is>
          <t>4374714450031</t>
        </is>
      </c>
    </row>
    <row r="2044" ht="75" customHeight="1">
      <c r="A2044" s="2">
        <f>HYPERLINK("https://camerareadycosmetics.com/products/laura-mercier-tinted-moisturizer-oil-free", "https://camerareadycosmetics.com/products/laura-mercier-tinted-moisturizer-oil-free")</f>
        <v/>
      </c>
      <c r="B2044" s="2">
        <f>HYPERLINK("https://camerareadycosmetics.com/products/laura-mercier-tinted-moisturizer-oil-free", "https://camerareadycosmetics.com/products/laura-mercier-tinted-moisturizer-oil-free")</f>
        <v/>
      </c>
      <c r="C2044" t="inlineStr">
        <is>
          <t>Tinted Moisturizer Oil Free SPF 20</t>
        </is>
      </c>
      <c r="D2044" t="inlineStr">
        <is>
          <t>Laura Mercier Women's Oil Free Tinted Moisturizer SPF 20, 2N1 NUDE, One Size</t>
        </is>
      </c>
      <c r="E2044" s="2">
        <f>HYPERLINK("https://www.amazon.com/Laura-Mercier-Moisturizer-Natural-Perfector/dp/B09GWB7ML7/ref=sr_1_1?keywords=Tinted+Moisturizer+Oil+Free+SPF+20&amp;qid=1695565676&amp;sr=8-1", "https://www.amazon.com/Laura-Mercier-Moisturizer-Natural-Perfector/dp/B09GWB7ML7/ref=sr_1_1?keywords=Tinted+Moisturizer+Oil+Free+SPF+20&amp;qid=1695565676&amp;sr=8-1")</f>
        <v/>
      </c>
      <c r="F2044" t="inlineStr">
        <is>
          <t>B09GWB7ML7</t>
        </is>
      </c>
      <c r="G2044">
        <f>_xlfn.IMAGE("https://camerareadycosmetics.com/cdn/shop/products/fawn-Tinted-Moisturizer-Oil-Free_50x.jpg?v=1684951949")</f>
        <v/>
      </c>
      <c r="H2044">
        <f>_xlfn.IMAGE("https://m.media-amazon.com/images/I/61XRhri1U5L._AC_UL320_.jpg")</f>
        <v/>
      </c>
      <c r="K2044" t="inlineStr">
        <is>
          <t>53.0</t>
        </is>
      </c>
      <c r="L2044" t="n">
        <v>47.99</v>
      </c>
      <c r="M2044" s="1" t="inlineStr">
        <is>
          <t>-9.45%</t>
        </is>
      </c>
      <c r="N2044" t="n">
        <v>4.5</v>
      </c>
      <c r="O2044" t="n">
        <v>16</v>
      </c>
      <c r="Q2044" t="inlineStr">
        <is>
          <t>InStock</t>
        </is>
      </c>
      <c r="R2044" t="inlineStr">
        <is>
          <t>undefined</t>
        </is>
      </c>
      <c r="S2044" t="inlineStr">
        <is>
          <t>4374714450031</t>
        </is>
      </c>
    </row>
    <row r="2045" ht="75" customHeight="1">
      <c r="A2045" s="2">
        <f>HYPERLINK("https://camerareadycosmetics.com/products/laura-mercier-tinted-moisturizer-oil-free", "https://camerareadycosmetics.com/products/laura-mercier-tinted-moisturizer-oil-free")</f>
        <v/>
      </c>
      <c r="B2045" s="2">
        <f>HYPERLINK("https://camerareadycosmetics.com/products/laura-mercier-tinted-moisturizer-oil-free", "https://camerareadycosmetics.com/products/laura-mercier-tinted-moisturizer-oil-free")</f>
        <v/>
      </c>
      <c r="C2045" t="inlineStr">
        <is>
          <t>Tinted Moisturizer Oil Free SPF 20</t>
        </is>
      </c>
      <c r="D2045" t="inlineStr">
        <is>
          <t>Laura Mercier Tinted Moisturizer Oil Free SPF 20 Foundation for Women, Bisque, 1.7 Ounce</t>
        </is>
      </c>
      <c r="E2045" s="2">
        <f>HYPERLINK("https://www.amazon.com/Mercier-Tinted-Moisturizer-Foundation-Bisque/dp/B0042GWEDE/ref=sr_1_4?keywords=Tinted+Moisturizer+Oil+Free+SPF+20&amp;qid=1695565676&amp;sr=8-4", "https://www.amazon.com/Mercier-Tinted-Moisturizer-Foundation-Bisque/dp/B0042GWEDE/ref=sr_1_4?keywords=Tinted+Moisturizer+Oil+Free+SPF+20&amp;qid=1695565676&amp;sr=8-4")</f>
        <v/>
      </c>
      <c r="F2045" t="inlineStr">
        <is>
          <t>B0042GWEDE</t>
        </is>
      </c>
      <c r="G2045">
        <f>_xlfn.IMAGE("https://camerareadycosmetics.com/cdn/shop/products/fawn-Tinted-Moisturizer-Oil-Free_50x.jpg?v=1684951949")</f>
        <v/>
      </c>
      <c r="H2045">
        <f>_xlfn.IMAGE("https://m.media-amazon.com/images/I/61pMd5T7kkL._AC_UL320_.jpg")</f>
        <v/>
      </c>
      <c r="K2045" t="inlineStr">
        <is>
          <t>53.0</t>
        </is>
      </c>
      <c r="L2045" t="n">
        <v>42.4</v>
      </c>
      <c r="M2045" s="1" t="inlineStr">
        <is>
          <t>-20.00%</t>
        </is>
      </c>
      <c r="N2045" t="n">
        <v>4.3</v>
      </c>
      <c r="O2045" t="n">
        <v>92</v>
      </c>
      <c r="Q2045" t="inlineStr">
        <is>
          <t>InStock</t>
        </is>
      </c>
      <c r="R2045" t="inlineStr">
        <is>
          <t>undefined</t>
        </is>
      </c>
      <c r="S2045" t="inlineStr">
        <is>
          <t>4374714450031</t>
        </is>
      </c>
    </row>
    <row r="2046" ht="75" customHeight="1">
      <c r="A2046" s="2">
        <f>HYPERLINK("https://camerareadycosmetics.com/products/laura-mercier-tinted-moisturizer-oil-free", "https://camerareadycosmetics.com/products/laura-mercier-tinted-moisturizer-oil-free")</f>
        <v/>
      </c>
      <c r="B2046" s="2">
        <f>HYPERLINK("https://camerareadycosmetics.com/products/laura-mercier-tinted-moisturizer-oil-free", "https://camerareadycosmetics.com/products/laura-mercier-tinted-moisturizer-oil-free")</f>
        <v/>
      </c>
      <c r="C2046" t="inlineStr">
        <is>
          <t>Tinted Moisturizer Oil Free SPF 20</t>
        </is>
      </c>
      <c r="D2046" t="inlineStr">
        <is>
          <t>PÜR 4-in-1 Tinted Moisturizer With SPF 20 - Hydrating Face Moisturizer, Primer, &amp; Foundation With Shea Butter, Aloe Vera &amp; Vitamin B3 - Vegan Friendly - Free of Paraben, Gluten &amp; BPA</t>
        </is>
      </c>
      <c r="E2046" s="2" t="n"/>
      <c r="F2046" t="inlineStr">
        <is>
          <t>B087S4GVL6</t>
        </is>
      </c>
      <c r="G2046">
        <f>_xlfn.IMAGE("https://camerareadycosmetics.com/cdn/shop/products/fawn-Tinted-Moisturizer-Oil-Free_50x.jpg?v=1684951949")</f>
        <v/>
      </c>
      <c r="H2046">
        <f>_xlfn.IMAGE("https://m.media-amazon.com/images/I/71J5SDeMi0L._AC_UL320_.jpg")</f>
        <v/>
      </c>
      <c r="K2046" t="inlineStr">
        <is>
          <t>53.0</t>
        </is>
      </c>
      <c r="L2046" t="n">
        <v>35</v>
      </c>
      <c r="M2046" s="1" t="inlineStr">
        <is>
          <t>-33.96%</t>
        </is>
      </c>
      <c r="N2046" t="n">
        <v>4.4</v>
      </c>
      <c r="O2046" t="n">
        <v>2721</v>
      </c>
      <c r="Q2046" t="inlineStr">
        <is>
          <t>InStock</t>
        </is>
      </c>
      <c r="R2046" t="inlineStr">
        <is>
          <t>undefined</t>
        </is>
      </c>
      <c r="S2046" t="inlineStr">
        <is>
          <t>4374714450031</t>
        </is>
      </c>
    </row>
    <row r="2047" ht="75" customHeight="1">
      <c r="A2047" s="2">
        <f>HYPERLINK("https://camerareadycosmetics.com/products/laura-mercier-tinted-moisturizer-oil-free", "https://camerareadycosmetics.com/products/laura-mercier-tinted-moisturizer-oil-free")</f>
        <v/>
      </c>
      <c r="B2047" s="2">
        <f>HYPERLINK("https://camerareadycosmetics.com/products/laura-mercier-tinted-moisturizer-oil-free", "https://camerareadycosmetics.com/products/laura-mercier-tinted-moisturizer-oil-free")</f>
        <v/>
      </c>
      <c r="C2047" t="inlineStr">
        <is>
          <t>Tinted Moisturizer Oil Free SPF 20</t>
        </is>
      </c>
      <c r="D2047" t="inlineStr">
        <is>
          <t>Jolie Mineral Sheer Tint SPF 20 Oil Free - Face Tinted Moisturizer - Hydration - Coverage - Sunscreen- Mineral Formula - Vegan (Medium)</t>
        </is>
      </c>
      <c r="E2047" s="2">
        <f>HYPERLINK("https://www.amazon.com/Jolie-Mineral-Tinted-Moisturizer-Medium/dp/B008BM2JG2/ref=sr_1_5?keywords=Tinted+Moisturizer+Oil+Free+SPF+20&amp;qid=1695565676&amp;sr=8-5", "https://www.amazon.com/Jolie-Mineral-Tinted-Moisturizer-Medium/dp/B008BM2JG2/ref=sr_1_5?keywords=Tinted+Moisturizer+Oil+Free+SPF+20&amp;qid=1695565676&amp;sr=8-5")</f>
        <v/>
      </c>
      <c r="F2047" t="inlineStr">
        <is>
          <t>B008BM2JG2</t>
        </is>
      </c>
      <c r="G2047">
        <f>_xlfn.IMAGE("https://camerareadycosmetics.com/cdn/shop/products/fawn-Tinted-Moisturizer-Oil-Free_50x.jpg?v=1684951949")</f>
        <v/>
      </c>
      <c r="H2047">
        <f>_xlfn.IMAGE("https://m.media-amazon.com/images/I/71AYlul86lL._AC_UL320_.jpg")</f>
        <v/>
      </c>
      <c r="K2047" t="inlineStr">
        <is>
          <t>53.0</t>
        </is>
      </c>
      <c r="L2047" t="n">
        <v>24.99</v>
      </c>
      <c r="M2047" s="1" t="inlineStr">
        <is>
          <t>-52.85%</t>
        </is>
      </c>
      <c r="N2047" t="n">
        <v>4.5</v>
      </c>
      <c r="O2047" t="n">
        <v>204</v>
      </c>
      <c r="Q2047" t="inlineStr">
        <is>
          <t>InStock</t>
        </is>
      </c>
      <c r="R2047" t="inlineStr">
        <is>
          <t>undefined</t>
        </is>
      </c>
      <c r="S2047" t="inlineStr">
        <is>
          <t>4374714450031</t>
        </is>
      </c>
    </row>
    <row r="2048" ht="75" customHeight="1">
      <c r="A2048" s="2">
        <f>HYPERLINK("https://camerareadycosmetics.com/products/laura-mercier-tinted-moisturizer-oil-free", "https://camerareadycosmetics.com/products/laura-mercier-tinted-moisturizer-oil-free")</f>
        <v/>
      </c>
      <c r="B2048" s="2">
        <f>HYPERLINK("https://camerareadycosmetics.com/products/laura-mercier-tinted-moisturizer-oil-free", "https://camerareadycosmetics.com/products/laura-mercier-tinted-moisturizer-oil-free")</f>
        <v/>
      </c>
      <c r="C2048" t="inlineStr">
        <is>
          <t>Tinted Moisturizer Oil Free SPF 20</t>
        </is>
      </c>
      <c r="D2048" t="inlineStr">
        <is>
          <t>Neutrogena Healthy Skin Radiant Tinted Facial Moisturizer with Broad Spectrum SPF 30 Sunscreen Vitamins A, C, &amp; E, Lightweight, Sheer, &amp; Oil-Free Coverage, Sheer Fair 20, 1.1 fl. oz</t>
        </is>
      </c>
      <c r="E2048" s="2">
        <f>HYPERLINK("https://www.amazon.com/Neutrogena-Moisturizer-Spectrum-Sunscreen-Lightweight/dp/B0814RCSJC/ref=sr_1_2?keywords=Tinted+Moisturizer+Oil+Free+SPF+20&amp;qid=1695565676&amp;sr=8-2", "https://www.amazon.com/Neutrogena-Moisturizer-Spectrum-Sunscreen-Lightweight/dp/B0814RCSJC/ref=sr_1_2?keywords=Tinted+Moisturizer+Oil+Free+SPF+20&amp;qid=1695565676&amp;sr=8-2")</f>
        <v/>
      </c>
      <c r="F2048" t="inlineStr">
        <is>
          <t>B0814RCSJC</t>
        </is>
      </c>
      <c r="G2048">
        <f>_xlfn.IMAGE("https://camerareadycosmetics.com/cdn/shop/products/fawn-Tinted-Moisturizer-Oil-Free_50x.jpg?v=1684951949")</f>
        <v/>
      </c>
      <c r="H2048">
        <f>_xlfn.IMAGE("https://m.media-amazon.com/images/I/71SD0SsLhwL._AC_UL320_.jpg")</f>
        <v/>
      </c>
      <c r="K2048" t="inlineStr">
        <is>
          <t>53.0</t>
        </is>
      </c>
      <c r="L2048" t="n">
        <v>12.97</v>
      </c>
      <c r="M2048" s="1" t="inlineStr">
        <is>
          <t>-75.53%</t>
        </is>
      </c>
      <c r="N2048" t="n">
        <v>4.4</v>
      </c>
      <c r="O2048" t="n">
        <v>2956</v>
      </c>
      <c r="Q2048" t="inlineStr">
        <is>
          <t>InStock</t>
        </is>
      </c>
      <c r="R2048" t="inlineStr">
        <is>
          <t>undefined</t>
        </is>
      </c>
      <c r="S2048" t="inlineStr">
        <is>
          <t>4374714450031</t>
        </is>
      </c>
    </row>
    <row r="2049" ht="75" customHeight="1">
      <c r="A2049" s="2">
        <f>HYPERLINK("https://camerareadycosmetics.com/products/laura-mercier-tinted-moisturizer-oil-free", "https://camerareadycosmetics.com/products/laura-mercier-tinted-moisturizer-oil-free")</f>
        <v/>
      </c>
      <c r="B2049" s="2">
        <f>HYPERLINK("https://camerareadycosmetics.com/products/laura-mercier-tinted-moisturizer-oil-free", "https://camerareadycosmetics.com/products/laura-mercier-tinted-moisturizer-oil-free")</f>
        <v/>
      </c>
      <c r="C2049" t="inlineStr">
        <is>
          <t>Tinted Moisturizer Oil Free SPF 20</t>
        </is>
      </c>
      <c r="D2049" t="inlineStr">
        <is>
          <t>Jolie Mineral Sheer Tint SPF 20 Oil Free - Face Tinted Moisturizer - Hydration - Coverage - Sunscreen- Mineral Formula - Vegan (Medium)</t>
        </is>
      </c>
      <c r="E2049" s="2">
        <f>HYPERLINK("https://www.amazon.com/Jolie-Mineral-Tinted-Moisturizer-Medium/dp/B008BM2JG2/ref=sr_1_5?keywords=Tinted+Moisturizer+Oil+Free+SPF+20&amp;qid=1695565676&amp;sr=8-5", "https://www.amazon.com/Jolie-Mineral-Tinted-Moisturizer-Medium/dp/B008BM2JG2/ref=sr_1_5?keywords=Tinted+Moisturizer+Oil+Free+SPF+20&amp;qid=1695565676&amp;sr=8-5")</f>
        <v/>
      </c>
      <c r="F2049" t="inlineStr">
        <is>
          <t>B008BM2JG2</t>
        </is>
      </c>
      <c r="G2049">
        <f>_xlfn.IMAGE("https://camerareadycosmetics.com/cdn/shop/products/fawn-Tinted-Moisturizer-Oil-Free_50x.jpg?v=1684951949")</f>
        <v/>
      </c>
      <c r="H2049">
        <f>_xlfn.IMAGE("https://m.media-amazon.com/images/I/71AYlul86lL._AC_UL320_.jpg")</f>
        <v/>
      </c>
      <c r="K2049" t="inlineStr">
        <is>
          <t>53.0</t>
        </is>
      </c>
      <c r="L2049" t="n">
        <v>24.99</v>
      </c>
      <c r="M2049" s="1" t="inlineStr">
        <is>
          <t>-52.85%</t>
        </is>
      </c>
      <c r="N2049" t="n">
        <v>4.5</v>
      </c>
      <c r="O2049" t="n">
        <v>204</v>
      </c>
      <c r="Q2049" t="inlineStr">
        <is>
          <t>InStock</t>
        </is>
      </c>
      <c r="R2049" t="inlineStr">
        <is>
          <t>undefined</t>
        </is>
      </c>
      <c r="S2049" t="inlineStr">
        <is>
          <t>4374714450031</t>
        </is>
      </c>
    </row>
    <row r="2050" ht="75" customHeight="1">
      <c r="A2050" s="2">
        <f>HYPERLINK("https://camerareadycosmetics.com/products/laura-mercier-tinted-moisturizer-oil-free", "https://camerareadycosmetics.com/products/laura-mercier-tinted-moisturizer-oil-free")</f>
        <v/>
      </c>
      <c r="B2050" s="2">
        <f>HYPERLINK("https://camerareadycosmetics.com/products/laura-mercier-tinted-moisturizer-oil-free", "https://camerareadycosmetics.com/products/laura-mercier-tinted-moisturizer-oil-free")</f>
        <v/>
      </c>
      <c r="C2050" t="inlineStr">
        <is>
          <t>Tinted Moisturizer Oil Free SPF 20</t>
        </is>
      </c>
      <c r="D2050" t="inlineStr">
        <is>
          <t>Neutrogena Healthy Skin Radiant Tinted Facial Moisturizer with Broad Spectrum SPF 30 Sunscreen Vitamins A, C, &amp; E, Lightweight, Sheer, &amp; Oil-Free Coverage, Sheer Fair 20, 1.1 fl. oz</t>
        </is>
      </c>
      <c r="E2050" s="2">
        <f>HYPERLINK("https://www.amazon.com/Neutrogena-Moisturizer-Spectrum-Sunscreen-Lightweight/dp/B0814RCSJC/ref=sr_1_2?keywords=Tinted+Moisturizer+Oil+Free+SPF+20&amp;qid=1695565676&amp;sr=8-2", "https://www.amazon.com/Neutrogena-Moisturizer-Spectrum-Sunscreen-Lightweight/dp/B0814RCSJC/ref=sr_1_2?keywords=Tinted+Moisturizer+Oil+Free+SPF+20&amp;qid=1695565676&amp;sr=8-2")</f>
        <v/>
      </c>
      <c r="F2050" t="inlineStr">
        <is>
          <t>B0814RCSJC</t>
        </is>
      </c>
      <c r="G2050">
        <f>_xlfn.IMAGE("https://camerareadycosmetics.com/cdn/shop/products/fawn-Tinted-Moisturizer-Oil-Free_50x.jpg?v=1684951949")</f>
        <v/>
      </c>
      <c r="H2050">
        <f>_xlfn.IMAGE("https://m.media-amazon.com/images/I/71SD0SsLhwL._AC_UL320_.jpg")</f>
        <v/>
      </c>
      <c r="K2050" t="inlineStr">
        <is>
          <t>53.0</t>
        </is>
      </c>
      <c r="L2050" t="n">
        <v>12.97</v>
      </c>
      <c r="M2050" s="1" t="inlineStr">
        <is>
          <t>-75.53%</t>
        </is>
      </c>
      <c r="N2050" t="n">
        <v>4.4</v>
      </c>
      <c r="O2050" t="n">
        <v>2956</v>
      </c>
      <c r="Q2050" t="inlineStr">
        <is>
          <t>InStock</t>
        </is>
      </c>
      <c r="R2050" t="inlineStr">
        <is>
          <t>undefined</t>
        </is>
      </c>
      <c r="S2050" t="inlineStr">
        <is>
          <t>4374714450031</t>
        </is>
      </c>
    </row>
    <row r="2051" ht="75" customHeight="1">
      <c r="A2051" s="2">
        <f>HYPERLINK("https://camerareadycosmetics.com/products/laura-mercier-translucent-loose-setting-powder", "https://camerareadycosmetics.com/products/laura-mercier-translucent-loose-setting-powder")</f>
        <v/>
      </c>
      <c r="B2051" s="2">
        <f>HYPERLINK("https://camerareadycosmetics.com/products/laura-mercier-translucent-loose-setting-powder", "https://camerareadycosmetics.com/products/laura-mercier-translucent-loose-setting-powder")</f>
        <v/>
      </c>
      <c r="C2051" t="inlineStr">
        <is>
          <t>Translucent Loose Setting Powder</t>
        </is>
      </c>
      <c r="D2051" t="inlineStr">
        <is>
          <t>Loose Setting Powder - Translucent - Laura Mercier - 29g/1oz</t>
        </is>
      </c>
      <c r="E2051" s="2">
        <f>HYPERLINK("https://www.amazon.com/Loose-Setting-Powder-Translucent-Mercier/dp/B01DOTB7Z0/ref=sr_1_4?keywords=Translucent+Loose+Setting+Powder&amp;qid=1695565460&amp;sr=8-4", "https://www.amazon.com/Loose-Setting-Powder-Translucent-Mercier/dp/B01DOTB7Z0/ref=sr_1_4?keywords=Translucent+Loose+Setting+Powder&amp;qid=1695565460&amp;sr=8-4")</f>
        <v/>
      </c>
      <c r="F2051" t="inlineStr">
        <is>
          <t>B01DOTB7Z0</t>
        </is>
      </c>
      <c r="G2051">
        <f>_xlfn.IMAGE("https://camerareadycosmetics.com/cdn/shop/products/laura_mercier_Translucent_Loose_Setting_Powder_Translucent_Medium_Deep_12701595-1_50x.jpg?v=1580319782")</f>
        <v/>
      </c>
      <c r="H2051">
        <f>_xlfn.IMAGE("https://m.media-amazon.com/images/I/51kE5LZsnXL._AC_UL320_.jpg")</f>
        <v/>
      </c>
      <c r="K2051" t="inlineStr">
        <is>
          <t>43.0</t>
        </is>
      </c>
      <c r="L2051" t="n">
        <v>39.95</v>
      </c>
      <c r="M2051" s="1" t="inlineStr">
        <is>
          <t>-7.09%</t>
        </is>
      </c>
      <c r="N2051" t="n">
        <v>4.4</v>
      </c>
      <c r="O2051" t="n">
        <v>259</v>
      </c>
      <c r="Q2051" t="inlineStr">
        <is>
          <t>InStock</t>
        </is>
      </c>
      <c r="R2051" t="inlineStr">
        <is>
          <t>undefined</t>
        </is>
      </c>
      <c r="S2051" t="inlineStr">
        <is>
          <t>4374636298351</t>
        </is>
      </c>
    </row>
    <row r="2052" ht="75" customHeight="1">
      <c r="A2052" s="2">
        <f>HYPERLINK("https://camerareadycosmetics.com/products/laura-mercier-translucent-loose-setting-powder", "https://camerareadycosmetics.com/products/laura-mercier-translucent-loose-setting-powder")</f>
        <v/>
      </c>
      <c r="B2052" s="2">
        <f>HYPERLINK("https://camerareadycosmetics.com/products/laura-mercier-translucent-loose-setting-powder", "https://camerareadycosmetics.com/products/laura-mercier-translucent-loose-setting-powder")</f>
        <v/>
      </c>
      <c r="C2052" t="inlineStr">
        <is>
          <t>Translucent Loose Setting Powder</t>
        </is>
      </c>
      <c r="D2052" t="inlineStr">
        <is>
          <t>Loose Setting Powder, Face Powder Makeup &amp; Finishing Powder for Light, Medium &amp; Tan Skin Tones</t>
        </is>
      </c>
      <c r="E2052" s="2">
        <f>HYPERLINK("https://www.amazon.com/Dermablend-Setting-Powder-Original-Translucent/dp/B0002RI2PG/ref=sr_1_9?keywords=Translucent+Loose+Setting+Powder&amp;qid=1695565460&amp;sr=8-9", "https://www.amazon.com/Dermablend-Setting-Powder-Original-Translucent/dp/B0002RI2PG/ref=sr_1_9?keywords=Translucent+Loose+Setting+Powder&amp;qid=1695565460&amp;sr=8-9")</f>
        <v/>
      </c>
      <c r="F2052" t="inlineStr">
        <is>
          <t>B0002RI2PG</t>
        </is>
      </c>
      <c r="G2052">
        <f>_xlfn.IMAGE("https://camerareadycosmetics.com/cdn/shop/products/laura_mercier_Translucent_Loose_Setting_Powder_Translucent_Medium_Deep_12701595-1_50x.jpg?v=1580319782")</f>
        <v/>
      </c>
      <c r="H2052">
        <f>_xlfn.IMAGE("https://m.media-amazon.com/images/I/81vfjuL7gCL._AC_UL320_.jpg")</f>
        <v/>
      </c>
      <c r="K2052" t="inlineStr">
        <is>
          <t>43.0</t>
        </is>
      </c>
      <c r="L2052" t="n">
        <v>32</v>
      </c>
      <c r="M2052" s="1" t="inlineStr">
        <is>
          <t>-25.58%</t>
        </is>
      </c>
      <c r="N2052" t="n">
        <v>4.4</v>
      </c>
      <c r="O2052" t="n">
        <v>14476</v>
      </c>
      <c r="Q2052" t="inlineStr">
        <is>
          <t>InStock</t>
        </is>
      </c>
      <c r="R2052" t="inlineStr">
        <is>
          <t>undefined</t>
        </is>
      </c>
      <c r="S2052" t="inlineStr">
        <is>
          <t>4374636298351</t>
        </is>
      </c>
    </row>
    <row r="2053" ht="75" customHeight="1">
      <c r="A2053" s="2">
        <f>HYPERLINK("https://camerareadycosmetics.com/products/laura-mercier-translucent-loose-setting-powder", "https://camerareadycosmetics.com/products/laura-mercier-translucent-loose-setting-powder")</f>
        <v/>
      </c>
      <c r="B2053" s="2">
        <f>HYPERLINK("https://camerareadycosmetics.com/products/laura-mercier-translucent-loose-setting-powder", "https://camerareadycosmetics.com/products/laura-mercier-translucent-loose-setting-powder")</f>
        <v/>
      </c>
      <c r="C2053" t="inlineStr">
        <is>
          <t>Translucent Loose Setting Powder</t>
        </is>
      </c>
      <c r="D2053" t="inlineStr">
        <is>
          <t>Beauty Creations Loose Setting Powder Minimizes Pores and Fine Lines Matte Finish Natural Face Makeup Translucent Dream</t>
        </is>
      </c>
      <c r="E2053" s="2">
        <f>HYPERLINK("https://www.amazon.com/DEALPLUSDEAL-Creations-Setting-Minimizes-Translucent/dp/B0BXMR6ZPG/ref=sr_1_7?keywords=Translucent+Loose+Setting+Powder&amp;qid=1695565460&amp;sr=8-7", "https://www.amazon.com/DEALPLUSDEAL-Creations-Setting-Minimizes-Translucent/dp/B0BXMR6ZPG/ref=sr_1_7?keywords=Translucent+Loose+Setting+Powder&amp;qid=1695565460&amp;sr=8-7")</f>
        <v/>
      </c>
      <c r="F2053" t="inlineStr">
        <is>
          <t>B0BXMR6ZPG</t>
        </is>
      </c>
      <c r="G2053">
        <f>_xlfn.IMAGE("https://camerareadycosmetics.com/cdn/shop/products/laura_mercier_Translucent_Loose_Setting_Powder_Translucent_Medium_Deep_12701595-1_50x.jpg?v=1580319782")</f>
        <v/>
      </c>
      <c r="H2053">
        <f>_xlfn.IMAGE("https://m.media-amazon.com/images/I/61hUlQIZX6L._AC_UL320_.jpg")</f>
        <v/>
      </c>
      <c r="K2053" t="inlineStr">
        <is>
          <t>43.0</t>
        </is>
      </c>
      <c r="L2053" t="n">
        <v>9.81</v>
      </c>
      <c r="M2053" s="1" t="inlineStr">
        <is>
          <t>-77.19%</t>
        </is>
      </c>
      <c r="N2053" t="n">
        <v>4.6</v>
      </c>
      <c r="O2053" t="n">
        <v>40</v>
      </c>
      <c r="Q2053" t="inlineStr">
        <is>
          <t>InStock</t>
        </is>
      </c>
      <c r="R2053" t="inlineStr">
        <is>
          <t>undefined</t>
        </is>
      </c>
      <c r="S2053" t="inlineStr">
        <is>
          <t>4374636298351</t>
        </is>
      </c>
    </row>
    <row r="2054" ht="75" customHeight="1">
      <c r="A2054" s="2">
        <f>HYPERLINK("https://camerareadycosmetics.com/products/laura-mercier-translucent-loose-setting-powder", "https://camerareadycosmetics.com/products/laura-mercier-translucent-loose-setting-powder")</f>
        <v/>
      </c>
      <c r="B2054" s="2">
        <f>HYPERLINK("https://camerareadycosmetics.com/products/laura-mercier-translucent-loose-setting-powder", "https://camerareadycosmetics.com/products/laura-mercier-translucent-loose-setting-powder")</f>
        <v/>
      </c>
      <c r="C2054" t="inlineStr">
        <is>
          <t>Translucent Loose Setting Powder</t>
        </is>
      </c>
      <c r="D2054" t="inlineStr">
        <is>
          <t>NYX PROFESSIONAL MAKEUP HD Studio Finishing Powder, Loose Setting Powder - Translucent Finish</t>
        </is>
      </c>
      <c r="E2054" s="2">
        <f>HYPERLINK("https://www.amazon.com/NYX-Professional-Makeup-Finishing-Translucent/dp/B009GLQG6Q/ref=sr_1_3?keywords=Translucent+Loose+Setting+Powder&amp;qid=1695565460&amp;sr=8-3", "https://www.amazon.com/NYX-Professional-Makeup-Finishing-Translucent/dp/B009GLQG6Q/ref=sr_1_3?keywords=Translucent+Loose+Setting+Powder&amp;qid=1695565460&amp;sr=8-3")</f>
        <v/>
      </c>
      <c r="F2054" t="inlineStr">
        <is>
          <t>B009GLQG6Q</t>
        </is>
      </c>
      <c r="G2054">
        <f>_xlfn.IMAGE("https://camerareadycosmetics.com/cdn/shop/products/laura_mercier_Translucent_Loose_Setting_Powder_Translucent_Medium_Deep_12701595-1_50x.jpg?v=1580319782")</f>
        <v/>
      </c>
      <c r="H2054">
        <f>_xlfn.IMAGE("https://m.media-amazon.com/images/I/5196xGH0ZvL._AC_UL320_.jpg")</f>
        <v/>
      </c>
      <c r="K2054" t="inlineStr">
        <is>
          <t>43.0</t>
        </is>
      </c>
      <c r="L2054" t="n">
        <v>9.16</v>
      </c>
      <c r="M2054" s="1" t="inlineStr">
        <is>
          <t>-78.70%</t>
        </is>
      </c>
      <c r="N2054" t="n">
        <v>4.3</v>
      </c>
      <c r="O2054" t="n">
        <v>14881</v>
      </c>
      <c r="Q2054" t="inlineStr">
        <is>
          <t>InStock</t>
        </is>
      </c>
      <c r="R2054" t="inlineStr">
        <is>
          <t>undefined</t>
        </is>
      </c>
      <c r="S2054" t="inlineStr">
        <is>
          <t>4374636298351</t>
        </is>
      </c>
    </row>
    <row r="2055" ht="75" customHeight="1">
      <c r="A2055" s="2">
        <f>HYPERLINK("https://camerareadycosmetics.com/products/laura-mercier-translucent-loose-setting-powder", "https://camerareadycosmetics.com/products/laura-mercier-translucent-loose-setting-powder")</f>
        <v/>
      </c>
      <c r="B2055" s="2">
        <f>HYPERLINK("https://camerareadycosmetics.com/products/laura-mercier-translucent-loose-setting-powder", "https://camerareadycosmetics.com/products/laura-mercier-translucent-loose-setting-powder")</f>
        <v/>
      </c>
      <c r="C2055" t="inlineStr">
        <is>
          <t>Translucent Loose Setting Powder</t>
        </is>
      </c>
      <c r="D2055" t="inlineStr">
        <is>
          <t>Airspun Loose Powder Translucent</t>
        </is>
      </c>
      <c r="E2055" s="2">
        <f>HYPERLINK("https://www.amazon.com/Airspun-Loose-Powder-Translucent/dp/B0BDW1MN6Y/ref=sr_1_1?keywords=Translucent+Loose+Setting+Powder&amp;qid=1695565460&amp;sr=8-1", "https://www.amazon.com/Airspun-Loose-Powder-Translucent/dp/B0BDW1MN6Y/ref=sr_1_1?keywords=Translucent+Loose+Setting+Powder&amp;qid=1695565460&amp;sr=8-1")</f>
        <v/>
      </c>
      <c r="F2055" t="inlineStr">
        <is>
          <t>B0BDW1MN6Y</t>
        </is>
      </c>
      <c r="G2055">
        <f>_xlfn.IMAGE("https://camerareadycosmetics.com/cdn/shop/products/laura_mercier_Translucent_Loose_Setting_Powder_Translucent_Medium_Deep_12701595-1_50x.jpg?v=1580319782")</f>
        <v/>
      </c>
      <c r="H2055">
        <f>_xlfn.IMAGE("https://m.media-amazon.com/images/I/71LmPo4Zt5L._AC_UL320_.jpg")</f>
        <v/>
      </c>
      <c r="K2055" t="inlineStr">
        <is>
          <t>43.0</t>
        </is>
      </c>
      <c r="L2055" t="n">
        <v>6.99</v>
      </c>
      <c r="M2055" s="1" t="inlineStr">
        <is>
          <t>-83.74%</t>
        </is>
      </c>
      <c r="N2055" t="n">
        <v>4.5</v>
      </c>
      <c r="O2055" t="n">
        <v>3218</v>
      </c>
      <c r="Q2055" t="inlineStr">
        <is>
          <t>InStock</t>
        </is>
      </c>
      <c r="R2055" t="inlineStr">
        <is>
          <t>undefined</t>
        </is>
      </c>
      <c r="S2055" t="inlineStr">
        <is>
          <t>4374636298351</t>
        </is>
      </c>
    </row>
    <row r="2056" ht="75" customHeight="1">
      <c r="A2056" s="2">
        <f>HYPERLINK("https://camerareadycosmetics.com/products/laura-mercier-translucent-loose-setting-powder", "https://camerareadycosmetics.com/products/laura-mercier-translucent-loose-setting-powder")</f>
        <v/>
      </c>
      <c r="B2056" s="2">
        <f>HYPERLINK("https://camerareadycosmetics.com/products/laura-mercier-translucent-loose-setting-powder", "https://camerareadycosmetics.com/products/laura-mercier-translucent-loose-setting-powder")</f>
        <v/>
      </c>
      <c r="C2056" t="inlineStr">
        <is>
          <t>Translucent Loose Setting Powder</t>
        </is>
      </c>
      <c r="D2056" t="inlineStr">
        <is>
          <t>Maybelline New York Fit Me Matte + Poreless Pressed Face Powder Makeup &amp; Setting Powder, Translucent, 1 Count</t>
        </is>
      </c>
      <c r="E2056" s="2">
        <f>HYPERLINK("https://www.amazon.com/Maybelline-New-York-Poreless-Translucent/dp/B00PFCSNWA/ref=sr_1_10?keywords=Translucent+Loose+Setting+Powder&amp;qid=1695565460&amp;sr=8-10", "https://www.amazon.com/Maybelline-New-York-Poreless-Translucent/dp/B00PFCSNWA/ref=sr_1_10?keywords=Translucent+Loose+Setting+Powder&amp;qid=1695565460&amp;sr=8-10")</f>
        <v/>
      </c>
      <c r="F2056" t="inlineStr">
        <is>
          <t>B00PFCSNWA</t>
        </is>
      </c>
      <c r="G2056">
        <f>_xlfn.IMAGE("https://camerareadycosmetics.com/cdn/shop/products/laura_mercier_Translucent_Loose_Setting_Powder_Translucent_Medium_Deep_12701595-1_50x.jpg?v=1580319782")</f>
        <v/>
      </c>
      <c r="H2056">
        <f>_xlfn.IMAGE("https://m.media-amazon.com/images/I/81GXjEwGRPL._AC_UL320_.jpg")</f>
        <v/>
      </c>
      <c r="K2056" t="inlineStr">
        <is>
          <t>43.0</t>
        </is>
      </c>
      <c r="L2056" t="n">
        <v>6.94</v>
      </c>
      <c r="M2056" s="1" t="inlineStr">
        <is>
          <t>-83.86%</t>
        </is>
      </c>
      <c r="N2056" t="n">
        <v>4.6</v>
      </c>
      <c r="O2056" t="n">
        <v>66784</v>
      </c>
      <c r="Q2056" t="inlineStr">
        <is>
          <t>InStock</t>
        </is>
      </c>
      <c r="R2056" t="inlineStr">
        <is>
          <t>undefined</t>
        </is>
      </c>
      <c r="S2056" t="inlineStr">
        <is>
          <t>4374636298351</t>
        </is>
      </c>
    </row>
    <row r="2057" ht="75" customHeight="1">
      <c r="A2057" s="2">
        <f>HYPERLINK("https://camerareadycosmetics.com/products/laura-mercier-translucent-loose-setting-powder", "https://camerareadycosmetics.com/products/laura-mercier-translucent-loose-setting-powder")</f>
        <v/>
      </c>
      <c r="B2057" s="2">
        <f>HYPERLINK("https://camerareadycosmetics.com/products/laura-mercier-translucent-loose-setting-powder", "https://camerareadycosmetics.com/products/laura-mercier-translucent-loose-setting-powder")</f>
        <v/>
      </c>
      <c r="C2057" t="inlineStr">
        <is>
          <t>Translucent Loose Setting Powder</t>
        </is>
      </c>
      <c r="D2057" t="inlineStr">
        <is>
          <t>Coty Airspun Loose Face Powder, Translucent Extra Coverage, Shelf</t>
        </is>
      </c>
      <c r="E2057" s="2">
        <f>HYPERLINK("https://www.amazon.com/Airspun-Loose-Powder-Translucent-Coverage/dp/B0BDW27227/ref=sr_1_5?keywords=Translucent+Loose+Setting+Powder&amp;qid=1695565460&amp;sr=8-5", "https://www.amazon.com/Airspun-Loose-Powder-Translucent-Coverage/dp/B0BDW27227/ref=sr_1_5?keywords=Translucent+Loose+Setting+Powder&amp;qid=1695565460&amp;sr=8-5")</f>
        <v/>
      </c>
      <c r="F2057" t="inlineStr">
        <is>
          <t>B0BDW27227</t>
        </is>
      </c>
      <c r="G2057">
        <f>_xlfn.IMAGE("https://camerareadycosmetics.com/cdn/shop/products/laura_mercier_Translucent_Loose_Setting_Powder_Translucent_Medium_Deep_12701595-1_50x.jpg?v=1580319782")</f>
        <v/>
      </c>
      <c r="H2057">
        <f>_xlfn.IMAGE("https://m.media-amazon.com/images/I/71LmPo4Zt5L._AC_UL320_.jpg")</f>
        <v/>
      </c>
      <c r="K2057" t="inlineStr">
        <is>
          <t>43.0</t>
        </is>
      </c>
      <c r="L2057" t="n">
        <v>6.74</v>
      </c>
      <c r="M2057" s="1" t="inlineStr">
        <is>
          <t>-84.33%</t>
        </is>
      </c>
      <c r="N2057" t="n">
        <v>4.5</v>
      </c>
      <c r="O2057" t="n">
        <v>1168</v>
      </c>
      <c r="Q2057" t="inlineStr">
        <is>
          <t>InStock</t>
        </is>
      </c>
      <c r="R2057" t="inlineStr">
        <is>
          <t>undefined</t>
        </is>
      </c>
      <c r="S2057" t="inlineStr">
        <is>
          <t>4374636298351</t>
        </is>
      </c>
    </row>
    <row r="2058" ht="75" customHeight="1">
      <c r="A2058" s="2">
        <f>HYPERLINK("https://camerareadycosmetics.com/products/laura-mercier-translucent-loose-setting-powder", "https://camerareadycosmetics.com/products/laura-mercier-translucent-loose-setting-powder")</f>
        <v/>
      </c>
      <c r="B2058" s="2">
        <f>HYPERLINK("https://camerareadycosmetics.com/products/laura-mercier-translucent-loose-setting-powder", "https://camerareadycosmetics.com/products/laura-mercier-translucent-loose-setting-powder")</f>
        <v/>
      </c>
      <c r="C2058" t="inlineStr">
        <is>
          <t>Translucent Loose Setting Powder</t>
        </is>
      </c>
      <c r="D2058" t="inlineStr">
        <is>
          <t>wet n wild Photo Focus Loose Baking Setting Powder, Highlighter Makeup, Fair to Medium &amp; Tan Skin Tones, Translucent</t>
        </is>
      </c>
      <c r="E2058" s="2">
        <f>HYPERLINK("https://www.amazon.com/Wet-Wild-PhotoFocus-Setting-Translucent/dp/B0847R7J4N/ref=sr_1_2?keywords=Translucent+Loose+Setting+Powder&amp;qid=1695565460&amp;rdc=1&amp;sr=8-2", "https://www.amazon.com/Wet-Wild-PhotoFocus-Setting-Translucent/dp/B0847R7J4N/ref=sr_1_2?keywords=Translucent+Loose+Setting+Powder&amp;qid=1695565460&amp;rdc=1&amp;sr=8-2")</f>
        <v/>
      </c>
      <c r="F2058" t="inlineStr">
        <is>
          <t>B0847R7J4N</t>
        </is>
      </c>
      <c r="G2058">
        <f>_xlfn.IMAGE("https://camerareadycosmetics.com/cdn/shop/products/laura_mercier_Translucent_Loose_Setting_Powder_Translucent_Medium_Deep_12701595-1_50x.jpg?v=1580319782")</f>
        <v/>
      </c>
      <c r="H2058">
        <f>_xlfn.IMAGE("https://m.media-amazon.com/images/I/7105byI342L._AC_UL320_.jpg")</f>
        <v/>
      </c>
      <c r="K2058" t="inlineStr">
        <is>
          <t>43.0</t>
        </is>
      </c>
      <c r="L2058" t="n">
        <v>6.38</v>
      </c>
      <c r="M2058" s="1" t="inlineStr">
        <is>
          <t>-85.16%</t>
        </is>
      </c>
      <c r="N2058" t="n">
        <v>4.6</v>
      </c>
      <c r="O2058" t="n">
        <v>4320</v>
      </c>
      <c r="Q2058" t="inlineStr">
        <is>
          <t>InStock</t>
        </is>
      </c>
      <c r="R2058" t="inlineStr">
        <is>
          <t>undefined</t>
        </is>
      </c>
      <c r="S2058" t="inlineStr">
        <is>
          <t>4374636298351</t>
        </is>
      </c>
    </row>
    <row r="2059" ht="75" customHeight="1">
      <c r="A2059" s="2">
        <f>HYPERLINK("https://camerareadycosmetics.com/products/laura-mercier-translucent-loose-setting-powder", "https://camerareadycosmetics.com/products/laura-mercier-translucent-loose-setting-powder")</f>
        <v/>
      </c>
      <c r="B2059" s="2">
        <f>HYPERLINK("https://camerareadycosmetics.com/products/laura-mercier-translucent-loose-setting-powder", "https://camerareadycosmetics.com/products/laura-mercier-translucent-loose-setting-powder")</f>
        <v/>
      </c>
      <c r="C2059" t="inlineStr">
        <is>
          <t>Translucent Loose Setting Powder</t>
        </is>
      </c>
      <c r="D2059" t="inlineStr">
        <is>
          <t>W7 Set It Up Loose Setting Powder - Weightless Translucent Blurring Powder For All Skin Tones</t>
        </is>
      </c>
      <c r="E2059" s="2">
        <f>HYPERLINK("https://www.amazon.com/W7-Special-Finishing-Loose-Powder/dp/B075FZV5Y9/ref=sr_1_6?keywords=Translucent+Loose+Setting+Powder&amp;qid=1695565460&amp;sr=8-6", "https://www.amazon.com/W7-Special-Finishing-Loose-Powder/dp/B075FZV5Y9/ref=sr_1_6?keywords=Translucent+Loose+Setting+Powder&amp;qid=1695565460&amp;sr=8-6")</f>
        <v/>
      </c>
      <c r="F2059" t="inlineStr">
        <is>
          <t>B075FZV5Y9</t>
        </is>
      </c>
      <c r="G2059">
        <f>_xlfn.IMAGE("https://camerareadycosmetics.com/cdn/shop/products/laura_mercier_Translucent_Loose_Setting_Powder_Translucent_Medium_Deep_12701595-1_50x.jpg?v=1580319782")</f>
        <v/>
      </c>
      <c r="H2059">
        <f>_xlfn.IMAGE("https://m.media-amazon.com/images/I/81pAV7M4yeL._AC_UL320_.jpg")</f>
        <v/>
      </c>
      <c r="K2059" t="inlineStr">
        <is>
          <t>43.0</t>
        </is>
      </c>
      <c r="L2059" t="n">
        <v>4.19</v>
      </c>
      <c r="M2059" s="1" t="inlineStr">
        <is>
          <t>-90.26%</t>
        </is>
      </c>
      <c r="N2059" t="n">
        <v>4.4</v>
      </c>
      <c r="O2059" t="n">
        <v>943</v>
      </c>
      <c r="Q2059" t="inlineStr">
        <is>
          <t>InStock</t>
        </is>
      </c>
      <c r="R2059" t="inlineStr">
        <is>
          <t>undefined</t>
        </is>
      </c>
      <c r="S2059" t="inlineStr">
        <is>
          <t>4374636298351</t>
        </is>
      </c>
    </row>
    <row r="2060" ht="75" customHeight="1">
      <c r="A2060" s="2">
        <f>HYPERLINK("https://camerareadycosmetics.com/products/laura-mercier-translucent-loose-setting-powder", "https://camerareadycosmetics.com/products/laura-mercier-translucent-loose-setting-powder")</f>
        <v/>
      </c>
      <c r="B2060" s="2">
        <f>HYPERLINK("https://camerareadycosmetics.com/products/laura-mercier-translucent-loose-setting-powder", "https://camerareadycosmetics.com/products/laura-mercier-translucent-loose-setting-powder")</f>
        <v/>
      </c>
      <c r="C2060" t="inlineStr">
        <is>
          <t>Translucent Loose Setting Powder</t>
        </is>
      </c>
      <c r="D2060" t="inlineStr">
        <is>
          <t>Beauty Creations Loose Setting Powder Minimizes Pores and Fine Lines Matte Finish Natural Face Makeup Translucent Dream</t>
        </is>
      </c>
      <c r="E2060" s="2">
        <f>HYPERLINK("https://www.amazon.com/DEALPLUSDEAL-Creations-Setting-Minimizes-Translucent/dp/B0BXMR6ZPG/ref=sr_1_7?keywords=Translucent+Loose+Setting+Powder&amp;qid=1695565460&amp;sr=8-7", "https://www.amazon.com/DEALPLUSDEAL-Creations-Setting-Minimizes-Translucent/dp/B0BXMR6ZPG/ref=sr_1_7?keywords=Translucent+Loose+Setting+Powder&amp;qid=1695565460&amp;sr=8-7")</f>
        <v/>
      </c>
      <c r="F2060" t="inlineStr">
        <is>
          <t>B0BXMR6ZPG</t>
        </is>
      </c>
      <c r="G2060">
        <f>_xlfn.IMAGE("https://camerareadycosmetics.com/cdn/shop/products/laura_mercier_Translucent_Loose_Setting_Powder_Translucent_Medium_Deep_12701595-1_50x.jpg?v=1580319782")</f>
        <v/>
      </c>
      <c r="H2060">
        <f>_xlfn.IMAGE("https://m.media-amazon.com/images/I/61hUlQIZX6L._AC_UL320_.jpg")</f>
        <v/>
      </c>
      <c r="K2060" t="inlineStr">
        <is>
          <t>43.0</t>
        </is>
      </c>
      <c r="L2060" t="n">
        <v>9.81</v>
      </c>
      <c r="M2060" s="1" t="inlineStr">
        <is>
          <t>-77.19%</t>
        </is>
      </c>
      <c r="N2060" t="n">
        <v>4.6</v>
      </c>
      <c r="O2060" t="n">
        <v>40</v>
      </c>
      <c r="Q2060" t="inlineStr">
        <is>
          <t>InStock</t>
        </is>
      </c>
      <c r="R2060" t="inlineStr">
        <is>
          <t>undefined</t>
        </is>
      </c>
      <c r="S2060" t="inlineStr">
        <is>
          <t>4374636298351</t>
        </is>
      </c>
    </row>
    <row r="2061" ht="75" customHeight="1">
      <c r="A2061" s="2">
        <f>HYPERLINK("https://camerareadycosmetics.com/products/laura-mercier-translucent-loose-setting-powder", "https://camerareadycosmetics.com/products/laura-mercier-translucent-loose-setting-powder")</f>
        <v/>
      </c>
      <c r="B2061" s="2">
        <f>HYPERLINK("https://camerareadycosmetics.com/products/laura-mercier-translucent-loose-setting-powder", "https://camerareadycosmetics.com/products/laura-mercier-translucent-loose-setting-powder")</f>
        <v/>
      </c>
      <c r="C2061" t="inlineStr">
        <is>
          <t>Translucent Loose Setting Powder</t>
        </is>
      </c>
      <c r="D2061" t="inlineStr">
        <is>
          <t>NYX PROFESSIONAL MAKEUP HD Studio Finishing Powder, Loose Setting Powder - Translucent Finish</t>
        </is>
      </c>
      <c r="E2061" s="2">
        <f>HYPERLINK("https://www.amazon.com/NYX-Professional-Makeup-Finishing-Translucent/dp/B009GLQG6Q/ref=sr_1_3?keywords=Translucent+Loose+Setting+Powder&amp;qid=1695565460&amp;sr=8-3", "https://www.amazon.com/NYX-Professional-Makeup-Finishing-Translucent/dp/B009GLQG6Q/ref=sr_1_3?keywords=Translucent+Loose+Setting+Powder&amp;qid=1695565460&amp;sr=8-3")</f>
        <v/>
      </c>
      <c r="F2061" t="inlineStr">
        <is>
          <t>B009GLQG6Q</t>
        </is>
      </c>
      <c r="G2061">
        <f>_xlfn.IMAGE("https://camerareadycosmetics.com/cdn/shop/products/laura_mercier_Translucent_Loose_Setting_Powder_Translucent_Medium_Deep_12701595-1_50x.jpg?v=1580319782")</f>
        <v/>
      </c>
      <c r="H2061">
        <f>_xlfn.IMAGE("https://m.media-amazon.com/images/I/5196xGH0ZvL._AC_UL320_.jpg")</f>
        <v/>
      </c>
      <c r="K2061" t="inlineStr">
        <is>
          <t>43.0</t>
        </is>
      </c>
      <c r="L2061" t="n">
        <v>9.16</v>
      </c>
      <c r="M2061" s="1" t="inlineStr">
        <is>
          <t>-78.70%</t>
        </is>
      </c>
      <c r="N2061" t="n">
        <v>4.3</v>
      </c>
      <c r="O2061" t="n">
        <v>14881</v>
      </c>
      <c r="Q2061" t="inlineStr">
        <is>
          <t>InStock</t>
        </is>
      </c>
      <c r="R2061" t="inlineStr">
        <is>
          <t>undefined</t>
        </is>
      </c>
      <c r="S2061" t="inlineStr">
        <is>
          <t>4374636298351</t>
        </is>
      </c>
    </row>
    <row r="2062" ht="75" customHeight="1">
      <c r="A2062" s="2">
        <f>HYPERLINK("https://camerareadycosmetics.com/products/laura-mercier-translucent-loose-setting-powder", "https://camerareadycosmetics.com/products/laura-mercier-translucent-loose-setting-powder")</f>
        <v/>
      </c>
      <c r="B2062" s="2">
        <f>HYPERLINK("https://camerareadycosmetics.com/products/laura-mercier-translucent-loose-setting-powder", "https://camerareadycosmetics.com/products/laura-mercier-translucent-loose-setting-powder")</f>
        <v/>
      </c>
      <c r="C2062" t="inlineStr">
        <is>
          <t>Translucent Loose Setting Powder</t>
        </is>
      </c>
      <c r="D2062" t="inlineStr">
        <is>
          <t>Airspun Loose Powder Translucent</t>
        </is>
      </c>
      <c r="E2062" s="2">
        <f>HYPERLINK("https://www.amazon.com/Airspun-Loose-Powder-Translucent/dp/B0BDW1MN6Y/ref=sr_1_1?keywords=Translucent+Loose+Setting+Powder&amp;qid=1695565460&amp;sr=8-1", "https://www.amazon.com/Airspun-Loose-Powder-Translucent/dp/B0BDW1MN6Y/ref=sr_1_1?keywords=Translucent+Loose+Setting+Powder&amp;qid=1695565460&amp;sr=8-1")</f>
        <v/>
      </c>
      <c r="F2062" t="inlineStr">
        <is>
          <t>B0BDW1MN6Y</t>
        </is>
      </c>
      <c r="G2062">
        <f>_xlfn.IMAGE("https://camerareadycosmetics.com/cdn/shop/products/laura_mercier_Translucent_Loose_Setting_Powder_Translucent_Medium_Deep_12701595-1_50x.jpg?v=1580319782")</f>
        <v/>
      </c>
      <c r="H2062">
        <f>_xlfn.IMAGE("https://m.media-amazon.com/images/I/71LmPo4Zt5L._AC_UL320_.jpg")</f>
        <v/>
      </c>
      <c r="K2062" t="inlineStr">
        <is>
          <t>43.0</t>
        </is>
      </c>
      <c r="L2062" t="n">
        <v>6.99</v>
      </c>
      <c r="M2062" s="1" t="inlineStr">
        <is>
          <t>-83.74%</t>
        </is>
      </c>
      <c r="N2062" t="n">
        <v>4.5</v>
      </c>
      <c r="O2062" t="n">
        <v>3218</v>
      </c>
      <c r="Q2062" t="inlineStr">
        <is>
          <t>InStock</t>
        </is>
      </c>
      <c r="R2062" t="inlineStr">
        <is>
          <t>undefined</t>
        </is>
      </c>
      <c r="S2062" t="inlineStr">
        <is>
          <t>4374636298351</t>
        </is>
      </c>
    </row>
    <row r="2063" ht="75" customHeight="1">
      <c r="A2063" s="2">
        <f>HYPERLINK("https://camerareadycosmetics.com/products/laura-mercier-translucent-loose-setting-powder", "https://camerareadycosmetics.com/products/laura-mercier-translucent-loose-setting-powder")</f>
        <v/>
      </c>
      <c r="B2063" s="2">
        <f>HYPERLINK("https://camerareadycosmetics.com/products/laura-mercier-translucent-loose-setting-powder", "https://camerareadycosmetics.com/products/laura-mercier-translucent-loose-setting-powder")</f>
        <v/>
      </c>
      <c r="C2063" t="inlineStr">
        <is>
          <t>Translucent Loose Setting Powder</t>
        </is>
      </c>
      <c r="D2063" t="inlineStr">
        <is>
          <t>Maybelline New York Fit Me Matte + Poreless Pressed Face Powder Makeup &amp; Setting Powder, Translucent, 1 Count</t>
        </is>
      </c>
      <c r="E2063" s="2">
        <f>HYPERLINK("https://www.amazon.com/Maybelline-New-York-Poreless-Translucent/dp/B00PFCSNWA/ref=sr_1_10?keywords=Translucent+Loose+Setting+Powder&amp;qid=1695565460&amp;sr=8-10", "https://www.amazon.com/Maybelline-New-York-Poreless-Translucent/dp/B00PFCSNWA/ref=sr_1_10?keywords=Translucent+Loose+Setting+Powder&amp;qid=1695565460&amp;sr=8-10")</f>
        <v/>
      </c>
      <c r="F2063" t="inlineStr">
        <is>
          <t>B00PFCSNWA</t>
        </is>
      </c>
      <c r="G2063">
        <f>_xlfn.IMAGE("https://camerareadycosmetics.com/cdn/shop/products/laura_mercier_Translucent_Loose_Setting_Powder_Translucent_Medium_Deep_12701595-1_50x.jpg?v=1580319782")</f>
        <v/>
      </c>
      <c r="H2063">
        <f>_xlfn.IMAGE("https://m.media-amazon.com/images/I/81GXjEwGRPL._AC_UL320_.jpg")</f>
        <v/>
      </c>
      <c r="K2063" t="inlineStr">
        <is>
          <t>43.0</t>
        </is>
      </c>
      <c r="L2063" t="n">
        <v>6.94</v>
      </c>
      <c r="M2063" s="1" t="inlineStr">
        <is>
          <t>-83.86%</t>
        </is>
      </c>
      <c r="N2063" t="n">
        <v>4.6</v>
      </c>
      <c r="O2063" t="n">
        <v>66784</v>
      </c>
      <c r="Q2063" t="inlineStr">
        <is>
          <t>InStock</t>
        </is>
      </c>
      <c r="R2063" t="inlineStr">
        <is>
          <t>undefined</t>
        </is>
      </c>
      <c r="S2063" t="inlineStr">
        <is>
          <t>4374636298351</t>
        </is>
      </c>
    </row>
    <row r="2064" ht="75" customHeight="1">
      <c r="A2064" s="2">
        <f>HYPERLINK("https://camerareadycosmetics.com/products/laura-mercier-translucent-loose-setting-powder", "https://camerareadycosmetics.com/products/laura-mercier-translucent-loose-setting-powder")</f>
        <v/>
      </c>
      <c r="B2064" s="2">
        <f>HYPERLINK("https://camerareadycosmetics.com/products/laura-mercier-translucent-loose-setting-powder", "https://camerareadycosmetics.com/products/laura-mercier-translucent-loose-setting-powder")</f>
        <v/>
      </c>
      <c r="C2064" t="inlineStr">
        <is>
          <t>Translucent Loose Setting Powder</t>
        </is>
      </c>
      <c r="D2064" t="inlineStr">
        <is>
          <t>Coty Airspun Loose Face Powder, Translucent Extra Coverage, Shelf</t>
        </is>
      </c>
      <c r="E2064" s="2">
        <f>HYPERLINK("https://www.amazon.com/Airspun-Loose-Powder-Translucent-Coverage/dp/B0BDW27227/ref=sr_1_5?keywords=Translucent+Loose+Setting+Powder&amp;qid=1695565460&amp;sr=8-5", "https://www.amazon.com/Airspun-Loose-Powder-Translucent-Coverage/dp/B0BDW27227/ref=sr_1_5?keywords=Translucent+Loose+Setting+Powder&amp;qid=1695565460&amp;sr=8-5")</f>
        <v/>
      </c>
      <c r="F2064" t="inlineStr">
        <is>
          <t>B0BDW27227</t>
        </is>
      </c>
      <c r="G2064">
        <f>_xlfn.IMAGE("https://camerareadycosmetics.com/cdn/shop/products/laura_mercier_Translucent_Loose_Setting_Powder_Translucent_Medium_Deep_12701595-1_50x.jpg?v=1580319782")</f>
        <v/>
      </c>
      <c r="H2064">
        <f>_xlfn.IMAGE("https://m.media-amazon.com/images/I/71LmPo4Zt5L._AC_UL320_.jpg")</f>
        <v/>
      </c>
      <c r="K2064" t="inlineStr">
        <is>
          <t>43.0</t>
        </is>
      </c>
      <c r="L2064" t="n">
        <v>6.74</v>
      </c>
      <c r="M2064" s="1" t="inlineStr">
        <is>
          <t>-84.33%</t>
        </is>
      </c>
      <c r="N2064" t="n">
        <v>4.5</v>
      </c>
      <c r="O2064" t="n">
        <v>1168</v>
      </c>
      <c r="Q2064" t="inlineStr">
        <is>
          <t>InStock</t>
        </is>
      </c>
      <c r="R2064" t="inlineStr">
        <is>
          <t>undefined</t>
        </is>
      </c>
      <c r="S2064" t="inlineStr">
        <is>
          <t>4374636298351</t>
        </is>
      </c>
    </row>
    <row r="2065" ht="75" customHeight="1">
      <c r="A2065" s="2">
        <f>HYPERLINK("https://camerareadycosmetics.com/products/laura-mercier-translucent-loose-setting-powder", "https://camerareadycosmetics.com/products/laura-mercier-translucent-loose-setting-powder")</f>
        <v/>
      </c>
      <c r="B2065" s="2">
        <f>HYPERLINK("https://camerareadycosmetics.com/products/laura-mercier-translucent-loose-setting-powder", "https://camerareadycosmetics.com/products/laura-mercier-translucent-loose-setting-powder")</f>
        <v/>
      </c>
      <c r="C2065" t="inlineStr">
        <is>
          <t>Translucent Loose Setting Powder</t>
        </is>
      </c>
      <c r="D2065" t="inlineStr">
        <is>
          <t>wet n wild Photo Focus Loose Baking Setting Powder, Highlighter Makeup, Fair to Medium &amp; Tan Skin Tones, Translucent</t>
        </is>
      </c>
      <c r="E2065" s="2">
        <f>HYPERLINK("https://www.amazon.com/Wet-Wild-PhotoFocus-Setting-Translucent/dp/B0847R7J4N/ref=sr_1_2?keywords=Translucent+Loose+Setting+Powder&amp;qid=1695565460&amp;rdc=1&amp;sr=8-2", "https://www.amazon.com/Wet-Wild-PhotoFocus-Setting-Translucent/dp/B0847R7J4N/ref=sr_1_2?keywords=Translucent+Loose+Setting+Powder&amp;qid=1695565460&amp;rdc=1&amp;sr=8-2")</f>
        <v/>
      </c>
      <c r="F2065" t="inlineStr">
        <is>
          <t>B0847R7J4N</t>
        </is>
      </c>
      <c r="G2065">
        <f>_xlfn.IMAGE("https://camerareadycosmetics.com/cdn/shop/products/laura_mercier_Translucent_Loose_Setting_Powder_Translucent_Medium_Deep_12701595-1_50x.jpg?v=1580319782")</f>
        <v/>
      </c>
      <c r="H2065">
        <f>_xlfn.IMAGE("https://m.media-amazon.com/images/I/7105byI342L._AC_UL320_.jpg")</f>
        <v/>
      </c>
      <c r="K2065" t="inlineStr">
        <is>
          <t>43.0</t>
        </is>
      </c>
      <c r="L2065" t="n">
        <v>6.38</v>
      </c>
      <c r="M2065" s="1" t="inlineStr">
        <is>
          <t>-85.16%</t>
        </is>
      </c>
      <c r="N2065" t="n">
        <v>4.6</v>
      </c>
      <c r="O2065" t="n">
        <v>4320</v>
      </c>
      <c r="Q2065" t="inlineStr">
        <is>
          <t>InStock</t>
        </is>
      </c>
      <c r="R2065" t="inlineStr">
        <is>
          <t>undefined</t>
        </is>
      </c>
      <c r="S2065" t="inlineStr">
        <is>
          <t>4374636298351</t>
        </is>
      </c>
    </row>
    <row r="2066" ht="75" customHeight="1">
      <c r="A2066" s="2">
        <f>HYPERLINK("https://camerareadycosmetics.com/products/laura-mercier-translucent-loose-setting-powder", "https://camerareadycosmetics.com/products/laura-mercier-translucent-loose-setting-powder")</f>
        <v/>
      </c>
      <c r="B2066" s="2">
        <f>HYPERLINK("https://camerareadycosmetics.com/products/laura-mercier-translucent-loose-setting-powder", "https://camerareadycosmetics.com/products/laura-mercier-translucent-loose-setting-powder")</f>
        <v/>
      </c>
      <c r="C2066" t="inlineStr">
        <is>
          <t>Translucent Loose Setting Powder</t>
        </is>
      </c>
      <c r="D2066" t="inlineStr">
        <is>
          <t>W7 Set It Up Loose Setting Powder - Weightless Translucent Blurring Powder For All Skin Tones</t>
        </is>
      </c>
      <c r="E2066" s="2">
        <f>HYPERLINK("https://www.amazon.com/W7-Special-Finishing-Loose-Powder/dp/B075FZV5Y9/ref=sr_1_6?keywords=Translucent+Loose+Setting+Powder&amp;qid=1695565460&amp;sr=8-6", "https://www.amazon.com/W7-Special-Finishing-Loose-Powder/dp/B075FZV5Y9/ref=sr_1_6?keywords=Translucent+Loose+Setting+Powder&amp;qid=1695565460&amp;sr=8-6")</f>
        <v/>
      </c>
      <c r="F2066" t="inlineStr">
        <is>
          <t>B075FZV5Y9</t>
        </is>
      </c>
      <c r="G2066">
        <f>_xlfn.IMAGE("https://camerareadycosmetics.com/cdn/shop/products/laura_mercier_Translucent_Loose_Setting_Powder_Translucent_Medium_Deep_12701595-1_50x.jpg?v=1580319782")</f>
        <v/>
      </c>
      <c r="H2066">
        <f>_xlfn.IMAGE("https://m.media-amazon.com/images/I/81pAV7M4yeL._AC_UL320_.jpg")</f>
        <v/>
      </c>
      <c r="K2066" t="inlineStr">
        <is>
          <t>43.0</t>
        </is>
      </c>
      <c r="L2066" t="n">
        <v>4.19</v>
      </c>
      <c r="M2066" s="1" t="inlineStr">
        <is>
          <t>-90.26%</t>
        </is>
      </c>
      <c r="N2066" t="n">
        <v>4.4</v>
      </c>
      <c r="O2066" t="n">
        <v>943</v>
      </c>
      <c r="Q2066" t="inlineStr">
        <is>
          <t>InStock</t>
        </is>
      </c>
      <c r="R2066" t="inlineStr">
        <is>
          <t>undefined</t>
        </is>
      </c>
      <c r="S2066" t="inlineStr">
        <is>
          <t>4374636298351</t>
        </is>
      </c>
    </row>
    <row r="2067" ht="75" customHeight="1">
      <c r="A2067" s="2">
        <f>HYPERLINK("https://camerareadycosmetics.com/products/laura-mercier-translucent-loose-setting-powder-light-catcher", "https://camerareadycosmetics.com/products/laura-mercier-translucent-loose-setting-powder-light-catcher")</f>
        <v/>
      </c>
      <c r="B2067" s="2">
        <f>HYPERLINK("https://camerareadycosmetics.com/products/laura-mercier-translucent-loose-setting-powder-light-catcher", "https://camerareadycosmetics.com/products/laura-mercier-translucent-loose-setting-powder-light-catcher")</f>
        <v/>
      </c>
      <c r="C2067" t="inlineStr">
        <is>
          <t>Translucent Loose Setting Powder - Light Catcher</t>
        </is>
      </c>
      <c r="D2067" t="inlineStr">
        <is>
          <t>Laura Mercier Translucent Loose Setting Powder Light Catcher Honey Star</t>
        </is>
      </c>
      <c r="E2067" s="2">
        <f>HYPERLINK("https://www.amazon.com/Laura-Mercier-Translucent-Setting-Powder/dp/B09NRSXLJ1/ref=sr_1_2?keywords=Translucent+Loose+Setting+Powder+-+Light+Catcher&amp;qid=1695565747&amp;sr=8-2", "https://www.amazon.com/Laura-Mercier-Translucent-Setting-Powder/dp/B09NRSXLJ1/ref=sr_1_2?keywords=Translucent+Loose+Setting+Powder+-+Light+Catcher&amp;qid=1695565747&amp;sr=8-2")</f>
        <v/>
      </c>
      <c r="F2067" t="inlineStr">
        <is>
          <t>B09NRSXLJ1</t>
        </is>
      </c>
      <c r="G2067">
        <f>_xlfn.IMAGE("https://camerareadycosmetics.com/cdn/shop/products/laura_mercier_Translucent_Loose_Setting_Powder_-_Light_Catcher_Cosmic_Rose___12724144-1_50x.jpg?v=1636569447")</f>
        <v/>
      </c>
      <c r="H2067">
        <f>_xlfn.IMAGE("https://m.media-amazon.com/images/I/31wu9GM5tRL._AC_UL320_.jpg")</f>
        <v/>
      </c>
      <c r="K2067" t="inlineStr">
        <is>
          <t>43.0</t>
        </is>
      </c>
      <c r="L2067" t="n">
        <v>49.99</v>
      </c>
      <c r="M2067" s="1" t="inlineStr">
        <is>
          <t>16.26%</t>
        </is>
      </c>
      <c r="N2067" t="n">
        <v>1.9</v>
      </c>
      <c r="O2067" t="n">
        <v>3</v>
      </c>
      <c r="Q2067" t="inlineStr">
        <is>
          <t>InStock</t>
        </is>
      </c>
      <c r="R2067" t="inlineStr">
        <is>
          <t>undefined</t>
        </is>
      </c>
      <c r="S2067" t="inlineStr">
        <is>
          <t>7066170785977</t>
        </is>
      </c>
    </row>
    <row r="2068" ht="75" customHeight="1">
      <c r="A2068" s="2">
        <f>HYPERLINK("https://camerareadycosmetics.com/products/laura-mercier-translucent-loose-setting-powder-light-catcher", "https://camerareadycosmetics.com/products/laura-mercier-translucent-loose-setting-powder-light-catcher")</f>
        <v/>
      </c>
      <c r="B2068" s="2">
        <f>HYPERLINK("https://camerareadycosmetics.com/products/laura-mercier-translucent-loose-setting-powder-light-catcher", "https://camerareadycosmetics.com/products/laura-mercier-translucent-loose-setting-powder-light-catcher")</f>
        <v/>
      </c>
      <c r="C2068" t="inlineStr">
        <is>
          <t>Translucent Loose Setting Powder - Light Catcher</t>
        </is>
      </c>
      <c r="D2068" t="inlineStr">
        <is>
          <t>Laura Mercier Translucent Loose Setting Powder Light Catcher Cosmic Rose</t>
        </is>
      </c>
      <c r="E2068" s="2">
        <f>HYPERLINK("https://www.amazon.com/Translucent-Loose-Setting-Powder-Catcher/dp/B0B39NJS6J/ref=sr_1_1?keywords=Translucent+Loose+Setting+Powder+-+Light+Catcher&amp;qid=1695565747&amp;sr=8-1", "https://www.amazon.com/Translucent-Loose-Setting-Powder-Catcher/dp/B0B39NJS6J/ref=sr_1_1?keywords=Translucent+Loose+Setting+Powder+-+Light+Catcher&amp;qid=1695565747&amp;sr=8-1")</f>
        <v/>
      </c>
      <c r="F2068" t="inlineStr">
        <is>
          <t>B0B39NJS6J</t>
        </is>
      </c>
      <c r="G2068">
        <f>_xlfn.IMAGE("https://camerareadycosmetics.com/cdn/shop/products/laura_mercier_Translucent_Loose_Setting_Powder_-_Light_Catcher_Cosmic_Rose___12724144-1_50x.jpg?v=1636569447")</f>
        <v/>
      </c>
      <c r="H2068">
        <f>_xlfn.IMAGE("https://m.media-amazon.com/images/I/61HTiB0hsIL._AC_UL320_.jpg")</f>
        <v/>
      </c>
      <c r="K2068" t="inlineStr">
        <is>
          <t>43.0</t>
        </is>
      </c>
      <c r="L2068" t="n">
        <v>41.85</v>
      </c>
      <c r="M2068" s="1" t="inlineStr">
        <is>
          <t>-2.67%</t>
        </is>
      </c>
      <c r="N2068" t="n">
        <v>4.2</v>
      </c>
      <c r="O2068" t="n">
        <v>7</v>
      </c>
      <c r="Q2068" t="inlineStr">
        <is>
          <t>InStock</t>
        </is>
      </c>
      <c r="R2068" t="inlineStr">
        <is>
          <t>undefined</t>
        </is>
      </c>
      <c r="S2068" t="inlineStr">
        <is>
          <t>7066170785977</t>
        </is>
      </c>
    </row>
    <row r="2069" ht="75" customHeight="1">
      <c r="A2069" s="2">
        <f>HYPERLINK("https://camerareadycosmetics.com/products/laura-mercier-translucent-loose-setting-powder-light-catcher", "https://camerareadycosmetics.com/products/laura-mercier-translucent-loose-setting-powder-light-catcher")</f>
        <v/>
      </c>
      <c r="B2069" s="2">
        <f>HYPERLINK("https://camerareadycosmetics.com/products/laura-mercier-translucent-loose-setting-powder-light-catcher", "https://camerareadycosmetics.com/products/laura-mercier-translucent-loose-setting-powder-light-catcher")</f>
        <v/>
      </c>
      <c r="C2069" t="inlineStr">
        <is>
          <t>Translucent Loose Setting Powder - Light Catcher</t>
        </is>
      </c>
      <c r="D2069" t="inlineStr">
        <is>
          <t>Loose Setting Powder - Translucent - Laura Mercier - 29g/1oz</t>
        </is>
      </c>
      <c r="E2069" s="2">
        <f>HYPERLINK("https://www.amazon.com/Loose-Setting-Powder-Translucent-Mercier/dp/B01DOTB7Z0/ref=sr_1_5?keywords=Translucent+Loose+Setting+Powder+-+Light+Catcher&amp;qid=1695565747&amp;sr=8-5", "https://www.amazon.com/Loose-Setting-Powder-Translucent-Mercier/dp/B01DOTB7Z0/ref=sr_1_5?keywords=Translucent+Loose+Setting+Powder+-+Light+Catcher&amp;qid=1695565747&amp;sr=8-5")</f>
        <v/>
      </c>
      <c r="F2069" t="inlineStr">
        <is>
          <t>B01DOTB7Z0</t>
        </is>
      </c>
      <c r="G2069">
        <f>_xlfn.IMAGE("https://camerareadycosmetics.com/cdn/shop/products/laura_mercier_Translucent_Loose_Setting_Powder_-_Light_Catcher_Cosmic_Rose___12724144-1_50x.jpg?v=1636569447")</f>
        <v/>
      </c>
      <c r="H2069">
        <f>_xlfn.IMAGE("https://m.media-amazon.com/images/I/51kE5LZsnXL._AC_UL320_.jpg")</f>
        <v/>
      </c>
      <c r="K2069" t="inlineStr">
        <is>
          <t>43.0</t>
        </is>
      </c>
      <c r="L2069" t="n">
        <v>39.95</v>
      </c>
      <c r="M2069" s="1" t="inlineStr">
        <is>
          <t>-7.09%</t>
        </is>
      </c>
      <c r="N2069" t="n">
        <v>4.4</v>
      </c>
      <c r="O2069" t="n">
        <v>259</v>
      </c>
      <c r="Q2069" t="inlineStr">
        <is>
          <t>InStock</t>
        </is>
      </c>
      <c r="R2069" t="inlineStr">
        <is>
          <t>undefined</t>
        </is>
      </c>
      <c r="S2069" t="inlineStr">
        <is>
          <t>7066170785977</t>
        </is>
      </c>
    </row>
    <row r="2070" ht="75" customHeight="1">
      <c r="A2070" s="2">
        <f>HYPERLINK("https://camerareadycosmetics.com/products/laura-mercier-translucent-loose-setting-powder-light-catcher", "https://camerareadycosmetics.com/products/laura-mercier-translucent-loose-setting-powder-light-catcher")</f>
        <v/>
      </c>
      <c r="B2070" s="2">
        <f>HYPERLINK("https://camerareadycosmetics.com/products/laura-mercier-translucent-loose-setting-powder-light-catcher", "https://camerareadycosmetics.com/products/laura-mercier-translucent-loose-setting-powder-light-catcher")</f>
        <v/>
      </c>
      <c r="C2070" t="inlineStr">
        <is>
          <t>Translucent Loose Setting Powder - Light Catcher</t>
        </is>
      </c>
      <c r="D2070" t="inlineStr">
        <is>
          <t>MISTINE Loose Setting Powder Makeup,Lightweight &amp; Breathable Talc Free Powder,Brightens Skin,Blurs Pores Translucent Powder Setting Powder,Semi-Matte Finish,Translucent White,0.28 Oz</t>
        </is>
      </c>
      <c r="E2070" s="2">
        <f>HYPERLINK("https://www.amazon.com/Lightweight-Breathable-Brightens-Translucent-Semi-Matte/dp/B0C6M1R7FZ/ref=sr_1_3?keywords=Translucent+Loose+Setting+Powder+-+Light+Catcher&amp;qid=1695565747&amp;sr=8-3", "https://www.amazon.com/Lightweight-Breathable-Brightens-Translucent-Semi-Matte/dp/B0C6M1R7FZ/ref=sr_1_3?keywords=Translucent+Loose+Setting+Powder+-+Light+Catcher&amp;qid=1695565747&amp;sr=8-3")</f>
        <v/>
      </c>
      <c r="F2070" t="inlineStr">
        <is>
          <t>B0C6M1R7FZ</t>
        </is>
      </c>
      <c r="G2070">
        <f>_xlfn.IMAGE("https://camerareadycosmetics.com/cdn/shop/products/laura_mercier_Translucent_Loose_Setting_Powder_-_Light_Catcher_Cosmic_Rose___12724144-1_50x.jpg?v=1636569447")</f>
        <v/>
      </c>
      <c r="H2070">
        <f>_xlfn.IMAGE("https://m.media-amazon.com/images/I/61Y4gY-hpML._AC_UL320_.jpg")</f>
        <v/>
      </c>
      <c r="K2070" t="inlineStr">
        <is>
          <t>43.0</t>
        </is>
      </c>
      <c r="L2070" t="n">
        <v>21.99</v>
      </c>
      <c r="M2070" s="1" t="inlineStr">
        <is>
          <t>-48.86%</t>
        </is>
      </c>
      <c r="N2070" t="n">
        <v>5</v>
      </c>
      <c r="O2070" t="n">
        <v>7</v>
      </c>
      <c r="Q2070" t="inlineStr">
        <is>
          <t>InStock</t>
        </is>
      </c>
      <c r="R2070" t="inlineStr">
        <is>
          <t>undefined</t>
        </is>
      </c>
      <c r="S2070" t="inlineStr">
        <is>
          <t>7066170785977</t>
        </is>
      </c>
    </row>
    <row r="2071" ht="75" customHeight="1">
      <c r="A2071" s="2">
        <f>HYPERLINK("https://camerareadycosmetics.com/products/laura-mercier-translucent-loose-setting-powder-light-catcher", "https://camerareadycosmetics.com/products/laura-mercier-translucent-loose-setting-powder-light-catcher")</f>
        <v/>
      </c>
      <c r="B2071" s="2">
        <f>HYPERLINK("https://camerareadycosmetics.com/products/laura-mercier-translucent-loose-setting-powder-light-catcher", "https://camerareadycosmetics.com/products/laura-mercier-translucent-loose-setting-powder-light-catcher")</f>
        <v/>
      </c>
      <c r="C2071" t="inlineStr">
        <is>
          <t>Translucent Loose Setting Powder - Light Catcher</t>
        </is>
      </c>
      <c r="D2071" t="inlineStr">
        <is>
          <t>Aesthetica Translucent Setting Powder – Matte Finishing Makeup Loose Setting Powder – Flash Friendly Translucent Powder Foundation - Loose Face Powder Includes Velour Puff</t>
        </is>
      </c>
      <c r="E2071" s="2">
        <f>HYPERLINK("https://www.amazon.com/Aesthetica-Translucent-Loose-Setting-Powder/dp/B01IE2KT8S/ref=sr_1_7?keywords=Translucent+Loose+Setting+Powder+-+Light+Catcher&amp;qid=1695565747&amp;sr=8-7", "https://www.amazon.com/Aesthetica-Translucent-Loose-Setting-Powder/dp/B01IE2KT8S/ref=sr_1_7?keywords=Translucent+Loose+Setting+Powder+-+Light+Catcher&amp;qid=1695565747&amp;sr=8-7")</f>
        <v/>
      </c>
      <c r="F2071" t="inlineStr">
        <is>
          <t>B01IE2KT8S</t>
        </is>
      </c>
      <c r="G2071">
        <f>_xlfn.IMAGE("https://camerareadycosmetics.com/cdn/shop/products/laura_mercier_Translucent_Loose_Setting_Powder_-_Light_Catcher_Cosmic_Rose___12724144-1_50x.jpg?v=1636569447")</f>
        <v/>
      </c>
      <c r="H2071">
        <f>_xlfn.IMAGE("https://m.media-amazon.com/images/I/61pH3Su7A7L._AC_UL320_.jpg")</f>
        <v/>
      </c>
      <c r="K2071" t="inlineStr">
        <is>
          <t>43.0</t>
        </is>
      </c>
      <c r="L2071" t="n">
        <v>21.97</v>
      </c>
      <c r="M2071" s="1" t="inlineStr">
        <is>
          <t>-48.91%</t>
        </is>
      </c>
      <c r="N2071" t="n">
        <v>4.2</v>
      </c>
      <c r="O2071" t="n">
        <v>7335</v>
      </c>
      <c r="Q2071" t="inlineStr">
        <is>
          <t>InStock</t>
        </is>
      </c>
      <c r="R2071" t="inlineStr">
        <is>
          <t>undefined</t>
        </is>
      </c>
      <c r="S2071" t="inlineStr">
        <is>
          <t>7066170785977</t>
        </is>
      </c>
    </row>
    <row r="2072" ht="75" customHeight="1">
      <c r="A2072" s="2">
        <f>HYPERLINK("https://camerareadycosmetics.com/products/laura-mercier-translucent-loose-setting-powder-light-catcher", "https://camerareadycosmetics.com/products/laura-mercier-translucent-loose-setting-powder-light-catcher")</f>
        <v/>
      </c>
      <c r="B2072" s="2">
        <f>HYPERLINK("https://camerareadycosmetics.com/products/laura-mercier-translucent-loose-setting-powder-light-catcher", "https://camerareadycosmetics.com/products/laura-mercier-translucent-loose-setting-powder-light-catcher")</f>
        <v/>
      </c>
      <c r="C2072" t="inlineStr">
        <is>
          <t>Translucent Loose Setting Powder - Light Catcher</t>
        </is>
      </c>
      <c r="D2072" t="inlineStr">
        <is>
          <t>Anastasia Beverly Hills - Mini Loose Setting Powder - Translucent</t>
        </is>
      </c>
      <c r="E2072" s="2">
        <f>HYPERLINK("https://www.amazon.com/Anastasia-Beverly-Hills-Setting-Translucent/dp/B08QMZ8NHF/ref=sr_1_8?keywords=Translucent+Loose+Setting+Powder+-+Light+Catcher&amp;qid=1695565747&amp;sr=8-8", "https://www.amazon.com/Anastasia-Beverly-Hills-Setting-Translucent/dp/B08QMZ8NHF/ref=sr_1_8?keywords=Translucent+Loose+Setting+Powder+-+Light+Catcher&amp;qid=1695565747&amp;sr=8-8")</f>
        <v/>
      </c>
      <c r="F2072" t="inlineStr">
        <is>
          <t>B08QMZ8NHF</t>
        </is>
      </c>
      <c r="G2072">
        <f>_xlfn.IMAGE("https://camerareadycosmetics.com/cdn/shop/products/laura_mercier_Translucent_Loose_Setting_Powder_-_Light_Catcher_Cosmic_Rose___12724144-1_50x.jpg?v=1636569447")</f>
        <v/>
      </c>
      <c r="H2072">
        <f>_xlfn.IMAGE("https://m.media-amazon.com/images/I/51IAUx3fx5L._AC_UL320_.jpg")</f>
        <v/>
      </c>
      <c r="K2072" t="inlineStr">
        <is>
          <t>43.0</t>
        </is>
      </c>
      <c r="L2072" t="n">
        <v>19</v>
      </c>
      <c r="M2072" s="1" t="inlineStr">
        <is>
          <t>-55.81%</t>
        </is>
      </c>
      <c r="N2072" t="n">
        <v>4.5</v>
      </c>
      <c r="O2072" t="n">
        <v>147</v>
      </c>
      <c r="Q2072" t="inlineStr">
        <is>
          <t>InStock</t>
        </is>
      </c>
      <c r="R2072" t="inlineStr">
        <is>
          <t>undefined</t>
        </is>
      </c>
      <c r="S2072" t="inlineStr">
        <is>
          <t>7066170785977</t>
        </is>
      </c>
    </row>
    <row r="2073" ht="75" customHeight="1">
      <c r="A2073" s="2">
        <f>HYPERLINK("https://camerareadycosmetics.com/products/laura-mercier-translucent-loose-setting-powder-light-catcher", "https://camerareadycosmetics.com/products/laura-mercier-translucent-loose-setting-powder-light-catcher")</f>
        <v/>
      </c>
      <c r="B2073" s="2">
        <f>HYPERLINK("https://camerareadycosmetics.com/products/laura-mercier-translucent-loose-setting-powder-light-catcher", "https://camerareadycosmetics.com/products/laura-mercier-translucent-loose-setting-powder-light-catcher")</f>
        <v/>
      </c>
      <c r="C2073" t="inlineStr">
        <is>
          <t>Translucent Loose Setting Powder - Light Catcher</t>
        </is>
      </c>
      <c r="D2073" t="inlineStr">
        <is>
          <t>No7 Flawless Finish Face Powder - Deep - Loose Finishing Powder - Makeup Setting Powder with Matte Finish for Dark &amp; Light Skin Tones - All Skin Types Including Oily Skin - 5 Shades Available (10g)</t>
        </is>
      </c>
      <c r="E2073" s="2">
        <f>HYPERLINK("https://www.amazon.com/No7-Flawless-Finish-Face-Powder/dp/B0BRBLW31V/ref=sr_1_10?keywords=Translucent+Loose+Setting+Powder+-+Light+Catcher&amp;qid=1695565747&amp;sr=8-10", "https://www.amazon.com/No7-Flawless-Finish-Face-Powder/dp/B0BRBLW31V/ref=sr_1_10?keywords=Translucent+Loose+Setting+Powder+-+Light+Catcher&amp;qid=1695565747&amp;sr=8-10")</f>
        <v/>
      </c>
      <c r="F2073" t="inlineStr">
        <is>
          <t>B0BRBLW31V</t>
        </is>
      </c>
      <c r="G2073">
        <f>_xlfn.IMAGE("https://camerareadycosmetics.com/cdn/shop/products/laura_mercier_Translucent_Loose_Setting_Powder_-_Light_Catcher_Cosmic_Rose___12724144-1_50x.jpg?v=1636569447")</f>
        <v/>
      </c>
      <c r="H2073">
        <f>_xlfn.IMAGE("https://m.media-amazon.com/images/I/51n93B5qqHL._AC_UL320_.jpg")</f>
        <v/>
      </c>
      <c r="K2073" t="inlineStr">
        <is>
          <t>43.0</t>
        </is>
      </c>
      <c r="L2073" t="n">
        <v>11.96</v>
      </c>
      <c r="M2073" s="1" t="inlineStr">
        <is>
          <t>-72.19%</t>
        </is>
      </c>
      <c r="N2073" t="n">
        <v>4.3</v>
      </c>
      <c r="O2073" t="n">
        <v>78</v>
      </c>
      <c r="Q2073" t="inlineStr">
        <is>
          <t>InStock</t>
        </is>
      </c>
      <c r="R2073" t="inlineStr">
        <is>
          <t>undefined</t>
        </is>
      </c>
      <c r="S2073" t="inlineStr">
        <is>
          <t>7066170785977</t>
        </is>
      </c>
    </row>
    <row r="2074" ht="75" customHeight="1">
      <c r="A2074" s="2">
        <f>HYPERLINK("https://camerareadycosmetics.com/products/laura-mercier-translucent-loose-setting-powder-light-catcher", "https://camerareadycosmetics.com/products/laura-mercier-translucent-loose-setting-powder-light-catcher")</f>
        <v/>
      </c>
      <c r="B2074" s="2">
        <f>HYPERLINK("https://camerareadycosmetics.com/products/laura-mercier-translucent-loose-setting-powder-light-catcher", "https://camerareadycosmetics.com/products/laura-mercier-translucent-loose-setting-powder-light-catcher")</f>
        <v/>
      </c>
      <c r="C2074" t="inlineStr">
        <is>
          <t>Translucent Loose Setting Powder - Light Catcher</t>
        </is>
      </c>
      <c r="D2074" t="inlineStr">
        <is>
          <t>Translucent Setting Powder, FV Loose Powder for Oil Control, Shimmer Finishing Powder, Matte Finish Baking Powder Makeup, Lightweight, Talc Free Face Powder for All Skin Types, 10g, Shimmer Sheer</t>
        </is>
      </c>
      <c r="E2074" s="2">
        <f>HYPERLINK("https://www.amazon.com/Translucent-Setting-FV-Finishing-Lightweight/dp/B0CB5B4QMH/ref=sr_1_4?keywords=Translucent+Loose+Setting+Powder+-+Light+Catcher&amp;qid=1695565747&amp;sr=8-4", "https://www.amazon.com/Translucent-Setting-FV-Finishing-Lightweight/dp/B0CB5B4QMH/ref=sr_1_4?keywords=Translucent+Loose+Setting+Powder+-+Light+Catcher&amp;qid=1695565747&amp;sr=8-4")</f>
        <v/>
      </c>
      <c r="F2074" t="inlineStr">
        <is>
          <t>B0CB5B4QMH</t>
        </is>
      </c>
      <c r="G2074">
        <f>_xlfn.IMAGE("https://camerareadycosmetics.com/cdn/shop/products/laura_mercier_Translucent_Loose_Setting_Powder_-_Light_Catcher_Cosmic_Rose___12724144-1_50x.jpg?v=1636569447")</f>
        <v/>
      </c>
      <c r="H2074">
        <f>_xlfn.IMAGE("https://m.media-amazon.com/images/I/71pyCgwizaL._AC_UL320_.jpg")</f>
        <v/>
      </c>
      <c r="K2074" t="inlineStr">
        <is>
          <t>43.0</t>
        </is>
      </c>
      <c r="L2074" t="n">
        <v>9.99</v>
      </c>
      <c r="M2074" s="1" t="inlineStr">
        <is>
          <t>-76.77%</t>
        </is>
      </c>
      <c r="N2074" t="n">
        <v>4</v>
      </c>
      <c r="O2074" t="n">
        <v>1</v>
      </c>
      <c r="Q2074" t="inlineStr">
        <is>
          <t>InStock</t>
        </is>
      </c>
      <c r="R2074" t="inlineStr">
        <is>
          <t>undefined</t>
        </is>
      </c>
      <c r="S2074" t="inlineStr">
        <is>
          <t>7066170785977</t>
        </is>
      </c>
    </row>
    <row r="2075" ht="75" customHeight="1">
      <c r="A2075" s="2">
        <f>HYPERLINK("https://camerareadycosmetics.com/products/laura-mercier-translucent-loose-setting-powder-light-catcher", "https://camerareadycosmetics.com/products/laura-mercier-translucent-loose-setting-powder-light-catcher")</f>
        <v/>
      </c>
      <c r="B2075" s="2">
        <f>HYPERLINK("https://camerareadycosmetics.com/products/laura-mercier-translucent-loose-setting-powder-light-catcher", "https://camerareadycosmetics.com/products/laura-mercier-translucent-loose-setting-powder-light-catcher")</f>
        <v/>
      </c>
      <c r="C2075" t="inlineStr">
        <is>
          <t>Translucent Loose Setting Powder - Light Catcher</t>
        </is>
      </c>
      <c r="D2075" t="inlineStr">
        <is>
          <t>Translucent Powder Setting Powder, Talc-free Finishing Powder for Long Lasting Makeup, Lightweight Loose Powder Waterproof Sweatproof, Blurring Powder for Oily Dry Skin 0.35oz (10g), Translucent</t>
        </is>
      </c>
      <c r="E2075" s="2">
        <f>HYPERLINK("https://www.amazon.com/FV-Translucent-Lightweight-Waterproof-Sweatproof/dp/B0BR3Y2YJY/ref=sr_1_9?keywords=Translucent+Loose+Setting+Powder+-+Light+Catcher&amp;qid=1695565747&amp;sr=8-9", "https://www.amazon.com/FV-Translucent-Lightweight-Waterproof-Sweatproof/dp/B0BR3Y2YJY/ref=sr_1_9?keywords=Translucent+Loose+Setting+Powder+-+Light+Catcher&amp;qid=1695565747&amp;sr=8-9")</f>
        <v/>
      </c>
      <c r="F2075" t="inlineStr">
        <is>
          <t>B0BR3Y2YJY</t>
        </is>
      </c>
      <c r="G2075">
        <f>_xlfn.IMAGE("https://camerareadycosmetics.com/cdn/shop/products/laura_mercier_Translucent_Loose_Setting_Powder_-_Light_Catcher_Cosmic_Rose___12724144-1_50x.jpg?v=1636569447")</f>
        <v/>
      </c>
      <c r="H2075">
        <f>_xlfn.IMAGE("https://m.media-amazon.com/images/I/81i0DvGGsrL._AC_UL320_.jpg")</f>
        <v/>
      </c>
      <c r="K2075" t="inlineStr">
        <is>
          <t>43.0</t>
        </is>
      </c>
      <c r="L2075" t="n">
        <v>9.99</v>
      </c>
      <c r="M2075" s="1" t="inlineStr">
        <is>
          <t>-76.77%</t>
        </is>
      </c>
      <c r="N2075" t="n">
        <v>4.2</v>
      </c>
      <c r="O2075" t="n">
        <v>223</v>
      </c>
      <c r="Q2075" t="inlineStr">
        <is>
          <t>InStock</t>
        </is>
      </c>
      <c r="R2075" t="inlineStr">
        <is>
          <t>undefined</t>
        </is>
      </c>
      <c r="S2075" t="inlineStr">
        <is>
          <t>7066170785977</t>
        </is>
      </c>
    </row>
    <row r="2076" ht="75" customHeight="1">
      <c r="A2076" s="2">
        <f>HYPERLINK("https://camerareadycosmetics.com/products/laura-mercier-translucent-loose-setting-powder-light-catcher", "https://camerareadycosmetics.com/products/laura-mercier-translucent-loose-setting-powder-light-catcher")</f>
        <v/>
      </c>
      <c r="B2076" s="2">
        <f>HYPERLINK("https://camerareadycosmetics.com/products/laura-mercier-translucent-loose-setting-powder-light-catcher", "https://camerareadycosmetics.com/products/laura-mercier-translucent-loose-setting-powder-light-catcher")</f>
        <v/>
      </c>
      <c r="C2076" t="inlineStr">
        <is>
          <t>Translucent Loose Setting Powder - Light Catcher</t>
        </is>
      </c>
      <c r="D2076" t="inlineStr">
        <is>
          <t>COVERGIRL Clean Invisible Loose Powder - Loose Powder, Setting Powder, Vegan Formula - Translucent Light, 20g (0.7 oz)</t>
        </is>
      </c>
      <c r="E2076" s="2">
        <f>HYPERLINK("https://www.amazon.com/Clean-Invisible-Loose-Powder-Translucent/dp/B0BBSTNF4T/ref=sr_1_6?keywords=Translucent+Loose+Setting+Powder+-+Light+Catcher&amp;qid=1695565747&amp;sr=8-6", "https://www.amazon.com/Clean-Invisible-Loose-Powder-Translucent/dp/B0BBSTNF4T/ref=sr_1_6?keywords=Translucent+Loose+Setting+Powder+-+Light+Catcher&amp;qid=1695565747&amp;sr=8-6")</f>
        <v/>
      </c>
      <c r="F2076" t="inlineStr">
        <is>
          <t>B0BBSTNF4T</t>
        </is>
      </c>
      <c r="G2076">
        <f>_xlfn.IMAGE("https://camerareadycosmetics.com/cdn/shop/products/laura_mercier_Translucent_Loose_Setting_Powder_-_Light_Catcher_Cosmic_Rose___12724144-1_50x.jpg?v=1636569447")</f>
        <v/>
      </c>
      <c r="H2076">
        <f>_xlfn.IMAGE("https://m.media-amazon.com/images/I/714MhcL8mQL._AC_UL320_.jpg")</f>
        <v/>
      </c>
      <c r="K2076" t="inlineStr">
        <is>
          <t>43.0</t>
        </is>
      </c>
      <c r="L2076" t="n">
        <v>6.38</v>
      </c>
      <c r="M2076" s="1" t="inlineStr">
        <is>
          <t>-85.16%</t>
        </is>
      </c>
      <c r="N2076" t="n">
        <v>4.4</v>
      </c>
      <c r="O2076" t="n">
        <v>581</v>
      </c>
      <c r="Q2076" t="inlineStr">
        <is>
          <t>InStock</t>
        </is>
      </c>
      <c r="R2076" t="inlineStr">
        <is>
          <t>undefined</t>
        </is>
      </c>
      <c r="S2076" t="inlineStr">
        <is>
          <t>7066170785977</t>
        </is>
      </c>
    </row>
    <row r="2077" ht="75" customHeight="1">
      <c r="A2077" s="2">
        <f>HYPERLINK("https://camerareadycosmetics.com/products/laura-mercier-translucent-loose-setting-powder-light-catcher", "https://camerareadycosmetics.com/products/laura-mercier-translucent-loose-setting-powder-light-catcher")</f>
        <v/>
      </c>
      <c r="B2077" s="2">
        <f>HYPERLINK("https://camerareadycosmetics.com/products/laura-mercier-translucent-loose-setting-powder-light-catcher", "https://camerareadycosmetics.com/products/laura-mercier-translucent-loose-setting-powder-light-catcher")</f>
        <v/>
      </c>
      <c r="C2077" t="inlineStr">
        <is>
          <t>Translucent Loose Setting Powder - Light Catcher</t>
        </is>
      </c>
      <c r="D2077" t="inlineStr">
        <is>
          <t>MISTINE Loose Setting Powder Makeup,Lightweight &amp; Breathable Talc Free Powder,Brightens Skin,Blurs Pores Translucent Powder Setting Powder,Semi-Matte Finish,Translucent White,0.28 Oz</t>
        </is>
      </c>
      <c r="E2077" s="2">
        <f>HYPERLINK("https://www.amazon.com/Lightweight-Breathable-Brightens-Translucent-Semi-Matte/dp/B0C6M1R7FZ/ref=sr_1_3?keywords=Translucent+Loose+Setting+Powder+-+Light+Catcher&amp;qid=1695565747&amp;sr=8-3", "https://www.amazon.com/Lightweight-Breathable-Brightens-Translucent-Semi-Matte/dp/B0C6M1R7FZ/ref=sr_1_3?keywords=Translucent+Loose+Setting+Powder+-+Light+Catcher&amp;qid=1695565747&amp;sr=8-3")</f>
        <v/>
      </c>
      <c r="F2077" t="inlineStr">
        <is>
          <t>B0C6M1R7FZ</t>
        </is>
      </c>
      <c r="G2077">
        <f>_xlfn.IMAGE("https://camerareadycosmetics.com/cdn/shop/products/laura_mercier_Translucent_Loose_Setting_Powder_-_Light_Catcher_Cosmic_Rose___12724144-1_50x.jpg?v=1636569447")</f>
        <v/>
      </c>
      <c r="H2077">
        <f>_xlfn.IMAGE("https://m.media-amazon.com/images/I/61Y4gY-hpML._AC_UL320_.jpg")</f>
        <v/>
      </c>
      <c r="K2077" t="inlineStr">
        <is>
          <t>43.0</t>
        </is>
      </c>
      <c r="L2077" t="n">
        <v>21.99</v>
      </c>
      <c r="M2077" s="1" t="inlineStr">
        <is>
          <t>-48.86%</t>
        </is>
      </c>
      <c r="N2077" t="n">
        <v>5</v>
      </c>
      <c r="O2077" t="n">
        <v>7</v>
      </c>
      <c r="Q2077" t="inlineStr">
        <is>
          <t>InStock</t>
        </is>
      </c>
      <c r="R2077" t="inlineStr">
        <is>
          <t>undefined</t>
        </is>
      </c>
      <c r="S2077" t="inlineStr">
        <is>
          <t>7066170785977</t>
        </is>
      </c>
    </row>
    <row r="2078" ht="75" customHeight="1">
      <c r="A2078" s="2">
        <f>HYPERLINK("https://camerareadycosmetics.com/products/laura-mercier-translucent-loose-setting-powder-light-catcher", "https://camerareadycosmetics.com/products/laura-mercier-translucent-loose-setting-powder-light-catcher")</f>
        <v/>
      </c>
      <c r="B2078" s="2">
        <f>HYPERLINK("https://camerareadycosmetics.com/products/laura-mercier-translucent-loose-setting-powder-light-catcher", "https://camerareadycosmetics.com/products/laura-mercier-translucent-loose-setting-powder-light-catcher")</f>
        <v/>
      </c>
      <c r="C2078" t="inlineStr">
        <is>
          <t>Translucent Loose Setting Powder - Light Catcher</t>
        </is>
      </c>
      <c r="D2078" t="inlineStr">
        <is>
          <t>Aesthetica Translucent Setting Powder – Matte Finishing Makeup Loose Setting Powder – Flash Friendly Translucent Powder Foundation - Loose Face Powder Includes Velour Puff</t>
        </is>
      </c>
      <c r="E2078" s="2">
        <f>HYPERLINK("https://www.amazon.com/Aesthetica-Translucent-Loose-Setting-Powder/dp/B01IE2KT8S/ref=sr_1_7?keywords=Translucent+Loose+Setting+Powder+-+Light+Catcher&amp;qid=1695565747&amp;sr=8-7", "https://www.amazon.com/Aesthetica-Translucent-Loose-Setting-Powder/dp/B01IE2KT8S/ref=sr_1_7?keywords=Translucent+Loose+Setting+Powder+-+Light+Catcher&amp;qid=1695565747&amp;sr=8-7")</f>
        <v/>
      </c>
      <c r="F2078" t="inlineStr">
        <is>
          <t>B01IE2KT8S</t>
        </is>
      </c>
      <c r="G2078">
        <f>_xlfn.IMAGE("https://camerareadycosmetics.com/cdn/shop/products/laura_mercier_Translucent_Loose_Setting_Powder_-_Light_Catcher_Cosmic_Rose___12724144-1_50x.jpg?v=1636569447")</f>
        <v/>
      </c>
      <c r="H2078">
        <f>_xlfn.IMAGE("https://m.media-amazon.com/images/I/61pH3Su7A7L._AC_UL320_.jpg")</f>
        <v/>
      </c>
      <c r="K2078" t="inlineStr">
        <is>
          <t>43.0</t>
        </is>
      </c>
      <c r="L2078" t="n">
        <v>21.97</v>
      </c>
      <c r="M2078" s="1" t="inlineStr">
        <is>
          <t>-48.91%</t>
        </is>
      </c>
      <c r="N2078" t="n">
        <v>4.2</v>
      </c>
      <c r="O2078" t="n">
        <v>7335</v>
      </c>
      <c r="Q2078" t="inlineStr">
        <is>
          <t>InStock</t>
        </is>
      </c>
      <c r="R2078" t="inlineStr">
        <is>
          <t>undefined</t>
        </is>
      </c>
      <c r="S2078" t="inlineStr">
        <is>
          <t>7066170785977</t>
        </is>
      </c>
    </row>
    <row r="2079" ht="75" customHeight="1">
      <c r="A2079" s="2">
        <f>HYPERLINK("https://camerareadycosmetics.com/products/laura-mercier-translucent-loose-setting-powder-light-catcher", "https://camerareadycosmetics.com/products/laura-mercier-translucent-loose-setting-powder-light-catcher")</f>
        <v/>
      </c>
      <c r="B2079" s="2">
        <f>HYPERLINK("https://camerareadycosmetics.com/products/laura-mercier-translucent-loose-setting-powder-light-catcher", "https://camerareadycosmetics.com/products/laura-mercier-translucent-loose-setting-powder-light-catcher")</f>
        <v/>
      </c>
      <c r="C2079" t="inlineStr">
        <is>
          <t>Translucent Loose Setting Powder - Light Catcher</t>
        </is>
      </c>
      <c r="D2079" t="inlineStr">
        <is>
          <t>Anastasia Beverly Hills - Mini Loose Setting Powder - Translucent</t>
        </is>
      </c>
      <c r="E2079" s="2">
        <f>HYPERLINK("https://www.amazon.com/Anastasia-Beverly-Hills-Setting-Translucent/dp/B08QMZ8NHF/ref=sr_1_8?keywords=Translucent+Loose+Setting+Powder+-+Light+Catcher&amp;qid=1695565747&amp;sr=8-8", "https://www.amazon.com/Anastasia-Beverly-Hills-Setting-Translucent/dp/B08QMZ8NHF/ref=sr_1_8?keywords=Translucent+Loose+Setting+Powder+-+Light+Catcher&amp;qid=1695565747&amp;sr=8-8")</f>
        <v/>
      </c>
      <c r="F2079" t="inlineStr">
        <is>
          <t>B08QMZ8NHF</t>
        </is>
      </c>
      <c r="G2079">
        <f>_xlfn.IMAGE("https://camerareadycosmetics.com/cdn/shop/products/laura_mercier_Translucent_Loose_Setting_Powder_-_Light_Catcher_Cosmic_Rose___12724144-1_50x.jpg?v=1636569447")</f>
        <v/>
      </c>
      <c r="H2079">
        <f>_xlfn.IMAGE("https://m.media-amazon.com/images/I/51IAUx3fx5L._AC_UL320_.jpg")</f>
        <v/>
      </c>
      <c r="K2079" t="inlineStr">
        <is>
          <t>43.0</t>
        </is>
      </c>
      <c r="L2079" t="n">
        <v>19</v>
      </c>
      <c r="M2079" s="1" t="inlineStr">
        <is>
          <t>-55.81%</t>
        </is>
      </c>
      <c r="N2079" t="n">
        <v>4.5</v>
      </c>
      <c r="O2079" t="n">
        <v>147</v>
      </c>
      <c r="Q2079" t="inlineStr">
        <is>
          <t>InStock</t>
        </is>
      </c>
      <c r="R2079" t="inlineStr">
        <is>
          <t>undefined</t>
        </is>
      </c>
      <c r="S2079" t="inlineStr">
        <is>
          <t>7066170785977</t>
        </is>
      </c>
    </row>
    <row r="2080" ht="75" customHeight="1">
      <c r="A2080" s="2">
        <f>HYPERLINK("https://camerareadycosmetics.com/products/laura-mercier-translucent-loose-setting-powder-light-catcher", "https://camerareadycosmetics.com/products/laura-mercier-translucent-loose-setting-powder-light-catcher")</f>
        <v/>
      </c>
      <c r="B2080" s="2">
        <f>HYPERLINK("https://camerareadycosmetics.com/products/laura-mercier-translucent-loose-setting-powder-light-catcher", "https://camerareadycosmetics.com/products/laura-mercier-translucent-loose-setting-powder-light-catcher")</f>
        <v/>
      </c>
      <c r="C2080" t="inlineStr">
        <is>
          <t>Translucent Loose Setting Powder - Light Catcher</t>
        </is>
      </c>
      <c r="D2080" t="inlineStr">
        <is>
          <t>No7 Flawless Finish Face Powder - Deep - Loose Finishing Powder - Makeup Setting Powder with Matte Finish for Dark &amp; Light Skin Tones - All Skin Types Including Oily Skin - 5 Shades Available (10g)</t>
        </is>
      </c>
      <c r="E2080" s="2">
        <f>HYPERLINK("https://www.amazon.com/No7-Flawless-Finish-Face-Powder/dp/B0BRBLW31V/ref=sr_1_10?keywords=Translucent+Loose+Setting+Powder+-+Light+Catcher&amp;qid=1695565747&amp;sr=8-10", "https://www.amazon.com/No7-Flawless-Finish-Face-Powder/dp/B0BRBLW31V/ref=sr_1_10?keywords=Translucent+Loose+Setting+Powder+-+Light+Catcher&amp;qid=1695565747&amp;sr=8-10")</f>
        <v/>
      </c>
      <c r="F2080" t="inlineStr">
        <is>
          <t>B0BRBLW31V</t>
        </is>
      </c>
      <c r="G2080">
        <f>_xlfn.IMAGE("https://camerareadycosmetics.com/cdn/shop/products/laura_mercier_Translucent_Loose_Setting_Powder_-_Light_Catcher_Cosmic_Rose___12724144-1_50x.jpg?v=1636569447")</f>
        <v/>
      </c>
      <c r="H2080">
        <f>_xlfn.IMAGE("https://m.media-amazon.com/images/I/51n93B5qqHL._AC_UL320_.jpg")</f>
        <v/>
      </c>
      <c r="K2080" t="inlineStr">
        <is>
          <t>43.0</t>
        </is>
      </c>
      <c r="L2080" t="n">
        <v>11.96</v>
      </c>
      <c r="M2080" s="1" t="inlineStr">
        <is>
          <t>-72.19%</t>
        </is>
      </c>
      <c r="N2080" t="n">
        <v>4.3</v>
      </c>
      <c r="O2080" t="n">
        <v>78</v>
      </c>
      <c r="Q2080" t="inlineStr">
        <is>
          <t>InStock</t>
        </is>
      </c>
      <c r="R2080" t="inlineStr">
        <is>
          <t>undefined</t>
        </is>
      </c>
      <c r="S2080" t="inlineStr">
        <is>
          <t>7066170785977</t>
        </is>
      </c>
    </row>
    <row r="2081" ht="75" customHeight="1">
      <c r="A2081" s="2">
        <f>HYPERLINK("https://camerareadycosmetics.com/products/laura-mercier-translucent-loose-setting-powder-light-catcher", "https://camerareadycosmetics.com/products/laura-mercier-translucent-loose-setting-powder-light-catcher")</f>
        <v/>
      </c>
      <c r="B2081" s="2">
        <f>HYPERLINK("https://camerareadycosmetics.com/products/laura-mercier-translucent-loose-setting-powder-light-catcher", "https://camerareadycosmetics.com/products/laura-mercier-translucent-loose-setting-powder-light-catcher")</f>
        <v/>
      </c>
      <c r="C2081" t="inlineStr">
        <is>
          <t>Translucent Loose Setting Powder - Light Catcher</t>
        </is>
      </c>
      <c r="D2081" t="inlineStr">
        <is>
          <t>Translucent Setting Powder, FV Loose Powder for Oil Control, Shimmer Finishing Powder, Matte Finish Baking Powder Makeup, Lightweight, Talc Free Face Powder for All Skin Types, 10g, Shimmer Sheer</t>
        </is>
      </c>
      <c r="E2081" s="2">
        <f>HYPERLINK("https://www.amazon.com/Translucent-Setting-FV-Finishing-Lightweight/dp/B0CB5B4QMH/ref=sr_1_4?keywords=Translucent+Loose+Setting+Powder+-+Light+Catcher&amp;qid=1695565747&amp;sr=8-4", "https://www.amazon.com/Translucent-Setting-FV-Finishing-Lightweight/dp/B0CB5B4QMH/ref=sr_1_4?keywords=Translucent+Loose+Setting+Powder+-+Light+Catcher&amp;qid=1695565747&amp;sr=8-4")</f>
        <v/>
      </c>
      <c r="F2081" t="inlineStr">
        <is>
          <t>B0CB5B4QMH</t>
        </is>
      </c>
      <c r="G2081">
        <f>_xlfn.IMAGE("https://camerareadycosmetics.com/cdn/shop/products/laura_mercier_Translucent_Loose_Setting_Powder_-_Light_Catcher_Cosmic_Rose___12724144-1_50x.jpg?v=1636569447")</f>
        <v/>
      </c>
      <c r="H2081">
        <f>_xlfn.IMAGE("https://m.media-amazon.com/images/I/71pyCgwizaL._AC_UL320_.jpg")</f>
        <v/>
      </c>
      <c r="K2081" t="inlineStr">
        <is>
          <t>43.0</t>
        </is>
      </c>
      <c r="L2081" t="n">
        <v>9.99</v>
      </c>
      <c r="M2081" s="1" t="inlineStr">
        <is>
          <t>-76.77%</t>
        </is>
      </c>
      <c r="N2081" t="n">
        <v>4</v>
      </c>
      <c r="O2081" t="n">
        <v>1</v>
      </c>
      <c r="Q2081" t="inlineStr">
        <is>
          <t>InStock</t>
        </is>
      </c>
      <c r="R2081" t="inlineStr">
        <is>
          <t>undefined</t>
        </is>
      </c>
      <c r="S2081" t="inlineStr">
        <is>
          <t>7066170785977</t>
        </is>
      </c>
    </row>
    <row r="2082" ht="75" customHeight="1">
      <c r="A2082" s="2">
        <f>HYPERLINK("https://camerareadycosmetics.com/products/laura-mercier-translucent-loose-setting-powder-light-catcher", "https://camerareadycosmetics.com/products/laura-mercier-translucent-loose-setting-powder-light-catcher")</f>
        <v/>
      </c>
      <c r="B2082" s="2">
        <f>HYPERLINK("https://camerareadycosmetics.com/products/laura-mercier-translucent-loose-setting-powder-light-catcher", "https://camerareadycosmetics.com/products/laura-mercier-translucent-loose-setting-powder-light-catcher")</f>
        <v/>
      </c>
      <c r="C2082" t="inlineStr">
        <is>
          <t>Translucent Loose Setting Powder - Light Catcher</t>
        </is>
      </c>
      <c r="D2082" t="inlineStr">
        <is>
          <t>Translucent Powder Setting Powder, Talc-free Finishing Powder for Long Lasting Makeup, Lightweight Loose Powder Waterproof Sweatproof, Blurring Powder for Oily Dry Skin 0.35oz (10g), Translucent</t>
        </is>
      </c>
      <c r="E2082" s="2">
        <f>HYPERLINK("https://www.amazon.com/FV-Translucent-Lightweight-Waterproof-Sweatproof/dp/B0BR3Y2YJY/ref=sr_1_9?keywords=Translucent+Loose+Setting+Powder+-+Light+Catcher&amp;qid=1695565747&amp;sr=8-9", "https://www.amazon.com/FV-Translucent-Lightweight-Waterproof-Sweatproof/dp/B0BR3Y2YJY/ref=sr_1_9?keywords=Translucent+Loose+Setting+Powder+-+Light+Catcher&amp;qid=1695565747&amp;sr=8-9")</f>
        <v/>
      </c>
      <c r="F2082" t="inlineStr">
        <is>
          <t>B0BR3Y2YJY</t>
        </is>
      </c>
      <c r="G2082">
        <f>_xlfn.IMAGE("https://camerareadycosmetics.com/cdn/shop/products/laura_mercier_Translucent_Loose_Setting_Powder_-_Light_Catcher_Cosmic_Rose___12724144-1_50x.jpg?v=1636569447")</f>
        <v/>
      </c>
      <c r="H2082">
        <f>_xlfn.IMAGE("https://m.media-amazon.com/images/I/81i0DvGGsrL._AC_UL320_.jpg")</f>
        <v/>
      </c>
      <c r="K2082" t="inlineStr">
        <is>
          <t>43.0</t>
        </is>
      </c>
      <c r="L2082" t="n">
        <v>9.99</v>
      </c>
      <c r="M2082" s="1" t="inlineStr">
        <is>
          <t>-76.77%</t>
        </is>
      </c>
      <c r="N2082" t="n">
        <v>4.2</v>
      </c>
      <c r="O2082" t="n">
        <v>223</v>
      </c>
      <c r="Q2082" t="inlineStr">
        <is>
          <t>InStock</t>
        </is>
      </c>
      <c r="R2082" t="inlineStr">
        <is>
          <t>undefined</t>
        </is>
      </c>
      <c r="S2082" t="inlineStr">
        <is>
          <t>7066170785977</t>
        </is>
      </c>
    </row>
    <row r="2083" ht="75" customHeight="1">
      <c r="A2083" s="2">
        <f>HYPERLINK("https://camerareadycosmetics.com/products/laura-mercier-translucent-loose-setting-powder-light-catcher", "https://camerareadycosmetics.com/products/laura-mercier-translucent-loose-setting-powder-light-catcher")</f>
        <v/>
      </c>
      <c r="B2083" s="2">
        <f>HYPERLINK("https://camerareadycosmetics.com/products/laura-mercier-translucent-loose-setting-powder-light-catcher", "https://camerareadycosmetics.com/products/laura-mercier-translucent-loose-setting-powder-light-catcher")</f>
        <v/>
      </c>
      <c r="C2083" t="inlineStr">
        <is>
          <t>Translucent Loose Setting Powder - Light Catcher</t>
        </is>
      </c>
      <c r="D2083" t="inlineStr">
        <is>
          <t>COVERGIRL Clean Invisible Loose Powder - Loose Powder, Setting Powder, Vegan Formula - Translucent Light, 20g (0.7 oz)</t>
        </is>
      </c>
      <c r="E2083" s="2">
        <f>HYPERLINK("https://www.amazon.com/Clean-Invisible-Loose-Powder-Translucent/dp/B0BBSTNF4T/ref=sr_1_6?keywords=Translucent+Loose+Setting+Powder+-+Light+Catcher&amp;qid=1695565747&amp;sr=8-6", "https://www.amazon.com/Clean-Invisible-Loose-Powder-Translucent/dp/B0BBSTNF4T/ref=sr_1_6?keywords=Translucent+Loose+Setting+Powder+-+Light+Catcher&amp;qid=1695565747&amp;sr=8-6")</f>
        <v/>
      </c>
      <c r="F2083" t="inlineStr">
        <is>
          <t>B0BBSTNF4T</t>
        </is>
      </c>
      <c r="G2083">
        <f>_xlfn.IMAGE("https://camerareadycosmetics.com/cdn/shop/products/laura_mercier_Translucent_Loose_Setting_Powder_-_Light_Catcher_Cosmic_Rose___12724144-1_50x.jpg?v=1636569447")</f>
        <v/>
      </c>
      <c r="H2083">
        <f>_xlfn.IMAGE("https://m.media-amazon.com/images/I/714MhcL8mQL._AC_UL320_.jpg")</f>
        <v/>
      </c>
      <c r="K2083" t="inlineStr">
        <is>
          <t>43.0</t>
        </is>
      </c>
      <c r="L2083" t="n">
        <v>6.38</v>
      </c>
      <c r="M2083" s="1" t="inlineStr">
        <is>
          <t>-85.16%</t>
        </is>
      </c>
      <c r="N2083" t="n">
        <v>4.4</v>
      </c>
      <c r="O2083" t="n">
        <v>581</v>
      </c>
      <c r="Q2083" t="inlineStr">
        <is>
          <t>InStock</t>
        </is>
      </c>
      <c r="R2083" t="inlineStr">
        <is>
          <t>undefined</t>
        </is>
      </c>
      <c r="S2083" t="inlineStr">
        <is>
          <t>7066170785977</t>
        </is>
      </c>
    </row>
    <row r="2084" ht="75" customHeight="1">
      <c r="A2084" s="2">
        <f>HYPERLINK("https://camerareadycosmetics.com/products/laura-mercier-translucent-loose-setting-powder-ultra-blur-mini", "https://camerareadycosmetics.com/products/laura-mercier-translucent-loose-setting-powder-ultra-blur-mini")</f>
        <v/>
      </c>
      <c r="B2084" s="2">
        <f>HYPERLINK("https://camerareadycosmetics.com/products/laura-mercier-translucent-loose-setting-powder-ultra-blur", "https://camerareadycosmetics.com/products/laura-mercier-translucent-loose-setting-powder-ultra-blur")</f>
        <v/>
      </c>
      <c r="C2084" t="inlineStr">
        <is>
          <t>Translucent Loose Setting Powder Ultra-Blur Mini</t>
        </is>
      </c>
      <c r="D2084" t="inlineStr">
        <is>
          <t>Anastasia Beverly Hills - Mini Loose Setting Powder - Translucent</t>
        </is>
      </c>
      <c r="E2084" s="2">
        <f>HYPERLINK("https://www.amazon.com/Anastasia-Beverly-Hills-Setting-Translucent/dp/B08QMZ8NHF/ref=sr_1_4?keywords=Translucent+Loose+Setting+Powder+Ultra-Blur+Mini&amp;qid=1695565833&amp;sr=8-4", "https://www.amazon.com/Anastasia-Beverly-Hills-Setting-Translucent/dp/B08QMZ8NHF/ref=sr_1_4?keywords=Translucent+Loose+Setting+Powder+Ultra-Blur+Mini&amp;qid=1695565833&amp;sr=8-4")</f>
        <v/>
      </c>
      <c r="F2084" t="inlineStr">
        <is>
          <t>B08QMZ8NHF</t>
        </is>
      </c>
      <c r="G2084">
        <f>_xlfn.IMAGE("https://camerareadycosmetics.com/cdn/shop/products/LM_SP23_TLSPUB_Mini_Silo_9g_MediumDeep_3000X3000_150dpi_1_50x.jpg?v=1695315090")</f>
        <v/>
      </c>
      <c r="H2084">
        <f>_xlfn.IMAGE("https://m.media-amazon.com/images/I/51IAUx3fx5L._AC_UL320_.jpg")</f>
        <v/>
      </c>
      <c r="K2084" t="inlineStr">
        <is>
          <t>26.0</t>
        </is>
      </c>
      <c r="L2084" t="n">
        <v>19</v>
      </c>
      <c r="M2084" s="1" t="inlineStr">
        <is>
          <t>-26.92%</t>
        </is>
      </c>
      <c r="N2084" t="n">
        <v>4.5</v>
      </c>
      <c r="O2084" t="n">
        <v>147</v>
      </c>
      <c r="Q2084" t="inlineStr">
        <is>
          <t>InStock</t>
        </is>
      </c>
      <c r="R2084" t="inlineStr">
        <is>
          <t>undefined</t>
        </is>
      </c>
      <c r="S2084" t="inlineStr">
        <is>
          <t>7604947157177</t>
        </is>
      </c>
    </row>
    <row r="2085" ht="75" customHeight="1">
      <c r="A2085" s="2">
        <f>HYPERLINK("https://camerareadycosmetics.com/products/lethal-cosmetics-magnetic-face-powder-blush", "https://camerareadycosmetics.com/products/lethal-cosmetics-magnetic-face-powder-blush")</f>
        <v/>
      </c>
      <c r="B2085" s="2">
        <f>HYPERLINK("https://camerareadycosmetics.com/products/lethal-cosmetics-magnetic-face-powder-blush", "https://camerareadycosmetics.com/products/lethal-cosmetics-magnetic-face-powder-blush")</f>
        <v/>
      </c>
      <c r="C2085" t="inlineStr">
        <is>
          <t>MAGNETIC™ Face Powder - Blush</t>
        </is>
      </c>
      <c r="D2085" t="inlineStr">
        <is>
          <t>Revlon Blush Stick, PhotoReady Insta-Blush Face Makeup with Cream to Powder Formula, High Impact Color, Moisturizing Creamy Formula, 300 Rose Gold Kiss, 1.15 Oz</t>
        </is>
      </c>
      <c r="E2085" s="2">
        <f>HYPERLINK("https://www.amazon.com/Revlon-Insta-Blush-Stick-Rose-Gold/dp/B01KI40JFI/ref=sr_1_7?keywords=MAGNETIC%E2%84%A2+Face+Powder+-+Blush&amp;qid=1695565504&amp;sr=8-7", "https://www.amazon.com/Revlon-Insta-Blush-Stick-Rose-Gold/dp/B01KI40JFI/ref=sr_1_7?keywords=MAGNETIC%E2%84%A2+Face+Powder+-+Blush&amp;qid=1695565504&amp;sr=8-7")</f>
        <v/>
      </c>
      <c r="F2085" t="inlineStr">
        <is>
          <t>B01KI40JFI</t>
        </is>
      </c>
      <c r="G2085">
        <f>_xlfn.IMAGE("https://camerareadycosmetics.com/cdn/shop/products/Calyx_Swatch_Deep-1024x1024_50x.jpg?v=1688675239")</f>
        <v/>
      </c>
      <c r="H2085">
        <f>_xlfn.IMAGE("https://m.media-amazon.com/images/I/51vd9bNIIeL._AC_UL320_.jpg")</f>
        <v/>
      </c>
      <c r="K2085" t="inlineStr">
        <is>
          <t>14.0</t>
        </is>
      </c>
      <c r="L2085" t="n">
        <v>15.99</v>
      </c>
      <c r="M2085" s="1" t="inlineStr">
        <is>
          <t>14.21%</t>
        </is>
      </c>
      <c r="N2085" t="n">
        <v>4.3</v>
      </c>
      <c r="O2085" t="n">
        <v>4278</v>
      </c>
      <c r="Q2085" t="inlineStr">
        <is>
          <t>InStock</t>
        </is>
      </c>
      <c r="R2085" t="inlineStr">
        <is>
          <t>undefined</t>
        </is>
      </c>
      <c r="S2085" t="inlineStr">
        <is>
          <t>6832775889081</t>
        </is>
      </c>
    </row>
    <row r="2086" ht="75" customHeight="1">
      <c r="A2086" s="2">
        <f>HYPERLINK("https://camerareadycosmetics.com/products/lethal-cosmetics-magnetic-face-powder-blush", "https://camerareadycosmetics.com/products/lethal-cosmetics-magnetic-face-powder-blush")</f>
        <v/>
      </c>
      <c r="B2086" s="2">
        <f>HYPERLINK("https://camerareadycosmetics.com/products/lethal-cosmetics-magnetic-face-powder-blush", "https://camerareadycosmetics.com/products/lethal-cosmetics-magnetic-face-powder-blush")</f>
        <v/>
      </c>
      <c r="C2086" t="inlineStr">
        <is>
          <t>MAGNETIC™ Face Powder - Blush</t>
        </is>
      </c>
      <c r="D2086" t="inlineStr">
        <is>
          <t>Makeup 8 Color Blush Palette, Contour and Highlight Matte Blush Powder Bright Shimmer Cosmetics Blusher Light Face Blush Palette with Blush Brush</t>
        </is>
      </c>
      <c r="E2086" s="2">
        <f>HYPERLINK("https://www.amazon.com/Palette-Contour-Highlight-Shimmer-Cosmetics/dp/B093GRFZPJ/ref=sr_1_5?keywords=MAGNETIC%E2%84%A2+Face+Powder+-+Blush&amp;qid=1695565504&amp;sr=8-5", "https://www.amazon.com/Palette-Contour-Highlight-Shimmer-Cosmetics/dp/B093GRFZPJ/ref=sr_1_5?keywords=MAGNETIC%E2%84%A2+Face+Powder+-+Blush&amp;qid=1695565504&amp;sr=8-5")</f>
        <v/>
      </c>
      <c r="F2086" t="inlineStr">
        <is>
          <t>B093GRFZPJ</t>
        </is>
      </c>
      <c r="G2086">
        <f>_xlfn.IMAGE("https://camerareadycosmetics.com/cdn/shop/products/Calyx_Swatch_Deep-1024x1024_50x.jpg?v=1688675239")</f>
        <v/>
      </c>
      <c r="H2086">
        <f>_xlfn.IMAGE("https://m.media-amazon.com/images/I/714JIolR-aL._AC_UL320_.jpg")</f>
        <v/>
      </c>
      <c r="K2086" t="inlineStr">
        <is>
          <t>14.0</t>
        </is>
      </c>
      <c r="L2086" t="n">
        <v>9.99</v>
      </c>
      <c r="M2086" s="1" t="inlineStr">
        <is>
          <t>-28.64%</t>
        </is>
      </c>
      <c r="N2086" t="n">
        <v>4.2</v>
      </c>
      <c r="O2086" t="n">
        <v>658</v>
      </c>
      <c r="Q2086" t="inlineStr">
        <is>
          <t>InStock</t>
        </is>
      </c>
      <c r="R2086" t="inlineStr">
        <is>
          <t>undefined</t>
        </is>
      </c>
      <c r="S2086" t="inlineStr">
        <is>
          <t>6832775889081</t>
        </is>
      </c>
    </row>
    <row r="2087" ht="75" customHeight="1">
      <c r="A2087" s="2">
        <f>HYPERLINK("https://camerareadycosmetics.com/products/lethal-cosmetics-magnetic-face-powder-blush", "https://camerareadycosmetics.com/products/lethal-cosmetics-magnetic-face-powder-blush")</f>
        <v/>
      </c>
      <c r="B2087" s="2">
        <f>HYPERLINK("https://camerareadycosmetics.com/products/lethal-cosmetics-magnetic-face-powder-blush", "https://camerareadycosmetics.com/products/lethal-cosmetics-magnetic-face-powder-blush")</f>
        <v/>
      </c>
      <c r="C2087" t="inlineStr">
        <is>
          <t>MAGNETIC™ Face Powder - Blush</t>
        </is>
      </c>
      <c r="D2087" t="inlineStr">
        <is>
          <t>KIMUSE Baked Blush, Lighting Glow Marbleized Blush Powder Blush, Contour &amp; Highlight Face for a Creamy Lightweight Natural Finish, Pink Grapefruit</t>
        </is>
      </c>
      <c r="E2087" s="2">
        <f>HYPERLINK("https://www.amazon.com/KIMUSE-Marbleized-Highlight-Lightweight-Grapefruit/dp/B0C9G1KDDB/ref=sr_1_10?keywords=MAGNETIC%E2%84%A2+Face+Powder+-+Blush&amp;qid=1695565504&amp;sr=8-10", "https://www.amazon.com/KIMUSE-Marbleized-Highlight-Lightweight-Grapefruit/dp/B0C9G1KDDB/ref=sr_1_10?keywords=MAGNETIC%E2%84%A2+Face+Powder+-+Blush&amp;qid=1695565504&amp;sr=8-10")</f>
        <v/>
      </c>
      <c r="F2087" t="inlineStr">
        <is>
          <t>B0C9G1KDDB</t>
        </is>
      </c>
      <c r="G2087">
        <f>_xlfn.IMAGE("https://camerareadycosmetics.com/cdn/shop/products/Calyx_Swatch_Deep-1024x1024_50x.jpg?v=1688675239")</f>
        <v/>
      </c>
      <c r="H2087">
        <f>_xlfn.IMAGE("https://m.media-amazon.com/images/I/71D8XAi+n3L._AC_UL320_.jpg")</f>
        <v/>
      </c>
      <c r="K2087" t="inlineStr">
        <is>
          <t>14.0</t>
        </is>
      </c>
      <c r="L2087" t="n">
        <v>9.99</v>
      </c>
      <c r="M2087" s="1" t="inlineStr">
        <is>
          <t>-28.64%</t>
        </is>
      </c>
      <c r="N2087" t="n">
        <v>4.3</v>
      </c>
      <c r="O2087" t="n">
        <v>156</v>
      </c>
      <c r="Q2087" t="inlineStr">
        <is>
          <t>InStock</t>
        </is>
      </c>
      <c r="R2087" t="inlineStr">
        <is>
          <t>undefined</t>
        </is>
      </c>
      <c r="S2087" t="inlineStr">
        <is>
          <t>6832775889081</t>
        </is>
      </c>
    </row>
    <row r="2088" ht="75" customHeight="1">
      <c r="A2088" s="2">
        <f>HYPERLINK("https://camerareadycosmetics.com/products/lethal-cosmetics-magnetic-face-powder-blush", "https://camerareadycosmetics.com/products/lethal-cosmetics-magnetic-face-powder-blush")</f>
        <v/>
      </c>
      <c r="B2088" s="2">
        <f>HYPERLINK("https://camerareadycosmetics.com/products/lethal-cosmetics-magnetic-face-powder-blush", "https://camerareadycosmetics.com/products/lethal-cosmetics-magnetic-face-powder-blush")</f>
        <v/>
      </c>
      <c r="C2088" t="inlineStr">
        <is>
          <t>MAGNETIC™ Face Powder - Blush</t>
        </is>
      </c>
      <c r="D2088" t="inlineStr">
        <is>
          <t>Peach Petal Matte Powder Blush - Highly Pigmented Peachy Blusher Makeup, Cheek and Face, Magnetic Refill Pan, Professional Quality Make Up, Paraben Gluten Cruelty Free Cosmetics Beauty Junkees [37mm]</t>
        </is>
      </c>
      <c r="E2088" s="2">
        <f>HYPERLINK("https://www.amazon.com/Powder-Peachy-Blusher-Magnetic-Paraben/dp/B06XDBLV4T/ref=sr_1_1?keywords=MAGNETIC%E2%84%A2+Face+Powder+-+Blush&amp;qid=1695565504&amp;sr=8-1", "https://www.amazon.com/Powder-Peachy-Blusher-Magnetic-Paraben/dp/B06XDBLV4T/ref=sr_1_1?keywords=MAGNETIC%E2%84%A2+Face+Powder+-+Blush&amp;qid=1695565504&amp;sr=8-1")</f>
        <v/>
      </c>
      <c r="F2088" t="inlineStr">
        <is>
          <t>B06XDBLV4T</t>
        </is>
      </c>
      <c r="G2088">
        <f>_xlfn.IMAGE("https://camerareadycosmetics.com/cdn/shop/products/Calyx_Swatch_Deep-1024x1024_50x.jpg?v=1688675239")</f>
        <v/>
      </c>
      <c r="H2088">
        <f>_xlfn.IMAGE("https://m.media-amazon.com/images/I/714pS+-yXpL._AC_UL320_.jpg")</f>
        <v/>
      </c>
      <c r="K2088" t="inlineStr">
        <is>
          <t>14.0</t>
        </is>
      </c>
      <c r="L2088" t="n">
        <v>9.970000000000001</v>
      </c>
      <c r="M2088" s="1" t="inlineStr">
        <is>
          <t>-28.79%</t>
        </is>
      </c>
      <c r="N2088" t="n">
        <v>3.7</v>
      </c>
      <c r="O2088" t="n">
        <v>30</v>
      </c>
      <c r="Q2088" t="inlineStr">
        <is>
          <t>InStock</t>
        </is>
      </c>
      <c r="R2088" t="inlineStr">
        <is>
          <t>undefined</t>
        </is>
      </c>
      <c r="S2088" t="inlineStr">
        <is>
          <t>6832775889081</t>
        </is>
      </c>
    </row>
    <row r="2089" ht="75" customHeight="1">
      <c r="A2089" s="2">
        <f>HYPERLINK("https://camerareadycosmetics.com/products/lethal-cosmetics-magnetic-face-powder-blush", "https://camerareadycosmetics.com/products/lethal-cosmetics-magnetic-face-powder-blush")</f>
        <v/>
      </c>
      <c r="B2089" s="2">
        <f>HYPERLINK("https://camerareadycosmetics.com/products/lethal-cosmetics-magnetic-face-powder-blush", "https://camerareadycosmetics.com/products/lethal-cosmetics-magnetic-face-powder-blush")</f>
        <v/>
      </c>
      <c r="C2089" t="inlineStr">
        <is>
          <t>MAGNETIC™ Face Powder - Blush</t>
        </is>
      </c>
      <c r="D2089" t="inlineStr">
        <is>
          <t>Physicians Formula Rosé All Day Highlighter Blush Face Powder, Shimmer Petal Glow, Pink Soft Petal, Dermatologist Tested, Clinicially Tested</t>
        </is>
      </c>
      <c r="E2089" s="2">
        <f>HYPERLINK("https://www.amazon.com/Physicians-Formula-Rose-Petal-Ounce/dp/B07Z2VC93M/ref=sr_1_3?keywords=MAGNETIC%E2%84%A2+Face+Powder+-+Blush&amp;qid=1695565504&amp;sr=8-3", "https://www.amazon.com/Physicians-Formula-Rose-Petal-Ounce/dp/B07Z2VC93M/ref=sr_1_3?keywords=MAGNETIC%E2%84%A2+Face+Powder+-+Blush&amp;qid=1695565504&amp;sr=8-3")</f>
        <v/>
      </c>
      <c r="F2089" t="inlineStr">
        <is>
          <t>B07Z2VC93M</t>
        </is>
      </c>
      <c r="G2089">
        <f>_xlfn.IMAGE("https://camerareadycosmetics.com/cdn/shop/products/Calyx_Swatch_Deep-1024x1024_50x.jpg?v=1688675239")</f>
        <v/>
      </c>
      <c r="H2089">
        <f>_xlfn.IMAGE("https://m.media-amazon.com/images/I/81UhAyo-zUL._AC_UL320_.jpg")</f>
        <v/>
      </c>
      <c r="K2089" t="inlineStr">
        <is>
          <t>14.0</t>
        </is>
      </c>
      <c r="L2089" t="n">
        <v>9.49</v>
      </c>
      <c r="M2089" s="1" t="inlineStr">
        <is>
          <t>-32.21%</t>
        </is>
      </c>
      <c r="N2089" t="n">
        <v>4.5</v>
      </c>
      <c r="O2089" t="n">
        <v>322</v>
      </c>
      <c r="Q2089" t="inlineStr">
        <is>
          <t>InStock</t>
        </is>
      </c>
      <c r="R2089" t="inlineStr">
        <is>
          <t>undefined</t>
        </is>
      </c>
      <c r="S2089" t="inlineStr">
        <is>
          <t>6832775889081</t>
        </is>
      </c>
    </row>
    <row r="2090" ht="75" customHeight="1">
      <c r="A2090" s="2">
        <f>HYPERLINK("https://camerareadycosmetics.com/products/lethal-cosmetics-magnetic-face-powder-blush", "https://camerareadycosmetics.com/products/lethal-cosmetics-magnetic-face-powder-blush")</f>
        <v/>
      </c>
      <c r="B2090" s="2">
        <f>HYPERLINK("https://camerareadycosmetics.com/products/lethal-cosmetics-magnetic-face-powder-blush", "https://camerareadycosmetics.com/products/lethal-cosmetics-magnetic-face-powder-blush")</f>
        <v/>
      </c>
      <c r="C2090" t="inlineStr">
        <is>
          <t>MAGNETIC™ Face Powder - Blush</t>
        </is>
      </c>
      <c r="D2090" t="inlineStr">
        <is>
          <t>NewBang 6 Colors Blush Highlighter Makeup Palette,Bronzer Powder Matte Shimmer Metallic Finish,Face Blusher Contour Highlight Glitter Waterproof &amp; Long Lasting Bling Natural Sparkle for Woman</t>
        </is>
      </c>
      <c r="E2090" s="2">
        <f>HYPERLINK("https://www.amazon.com/NewBang-Highlighter-Metallic-Highlight-Waterproof/dp/B0BYCG3WM7/ref=sr_1_8?keywords=MAGNETIC%E2%84%A2+Face+Powder+-+Blush&amp;qid=1695565504&amp;sr=8-8", "https://www.amazon.com/NewBang-Highlighter-Metallic-Highlight-Waterproof/dp/B0BYCG3WM7/ref=sr_1_8?keywords=MAGNETIC%E2%84%A2+Face+Powder+-+Blush&amp;qid=1695565504&amp;sr=8-8")</f>
        <v/>
      </c>
      <c r="F2090" t="inlineStr">
        <is>
          <t>B0BYCG3WM7</t>
        </is>
      </c>
      <c r="G2090">
        <f>_xlfn.IMAGE("https://camerareadycosmetics.com/cdn/shop/products/Calyx_Swatch_Deep-1024x1024_50x.jpg?v=1688675239")</f>
        <v/>
      </c>
      <c r="H2090">
        <f>_xlfn.IMAGE("https://m.media-amazon.com/images/I/810hkF4XbmL._AC_UL320_.jpg")</f>
        <v/>
      </c>
      <c r="K2090" t="inlineStr">
        <is>
          <t>14.0</t>
        </is>
      </c>
      <c r="L2090" t="n">
        <v>8.99</v>
      </c>
      <c r="M2090" s="1" t="inlineStr">
        <is>
          <t>-35.79%</t>
        </is>
      </c>
      <c r="N2090" t="n">
        <v>4.2</v>
      </c>
      <c r="O2090" t="n">
        <v>3</v>
      </c>
      <c r="Q2090" t="inlineStr">
        <is>
          <t>InStock</t>
        </is>
      </c>
      <c r="R2090" t="inlineStr">
        <is>
          <t>undefined</t>
        </is>
      </c>
      <c r="S2090" t="inlineStr">
        <is>
          <t>6832775889081</t>
        </is>
      </c>
    </row>
    <row r="2091" ht="75" customHeight="1">
      <c r="A2091" s="2">
        <f>HYPERLINK("https://camerareadycosmetics.com/products/lethal-cosmetics-magnetic-face-powder-blush", "https://camerareadycosmetics.com/products/lethal-cosmetics-magnetic-face-powder-blush")</f>
        <v/>
      </c>
      <c r="B2091" s="2">
        <f>HYPERLINK("https://camerareadycosmetics.com/products/lethal-cosmetics-magnetic-face-powder-blush", "https://camerareadycosmetics.com/products/lethal-cosmetics-magnetic-face-powder-blush")</f>
        <v/>
      </c>
      <c r="C2091" t="inlineStr">
        <is>
          <t>MAGNETIC™ Face Powder - Blush</t>
        </is>
      </c>
      <c r="D2091" t="inlineStr">
        <is>
          <t>Loose Powder Blush Air Cushion Blush Natural Blusher Bright Shimmer Face Blush for Cheek Highly Pigmented Blush Makeup Easy to Blend Makeup Blushin, All Day Wear (02#)</t>
        </is>
      </c>
      <c r="E2091" s="2">
        <f>HYPERLINK("https://www.amazon.com/Cushion-Natural-Blusher-Shimmer-Pigmented/dp/B0B5KWGBNT/ref=sr_1_6?keywords=MAGNETIC%E2%84%A2+Face+Powder+-+Blush&amp;qid=1695565504&amp;sr=8-6", "https://www.amazon.com/Cushion-Natural-Blusher-Shimmer-Pigmented/dp/B0B5KWGBNT/ref=sr_1_6?keywords=MAGNETIC%E2%84%A2+Face+Powder+-+Blush&amp;qid=1695565504&amp;sr=8-6")</f>
        <v/>
      </c>
      <c r="F2091" t="inlineStr">
        <is>
          <t>B0B5KWGBNT</t>
        </is>
      </c>
      <c r="G2091">
        <f>_xlfn.IMAGE("https://camerareadycosmetics.com/cdn/shop/products/Calyx_Swatch_Deep-1024x1024_50x.jpg?v=1688675239")</f>
        <v/>
      </c>
      <c r="H2091">
        <f>_xlfn.IMAGE("https://m.media-amazon.com/images/I/51zMVZTq-DL._AC_UL320_.jpg")</f>
        <v/>
      </c>
      <c r="K2091" t="inlineStr">
        <is>
          <t>14.0</t>
        </is>
      </c>
      <c r="L2091" t="n">
        <v>6.99</v>
      </c>
      <c r="M2091" s="1" t="inlineStr">
        <is>
          <t>-50.07%</t>
        </is>
      </c>
      <c r="N2091" t="n">
        <v>4</v>
      </c>
      <c r="O2091" t="n">
        <v>59</v>
      </c>
      <c r="Q2091" t="inlineStr">
        <is>
          <t>InStock</t>
        </is>
      </c>
      <c r="R2091" t="inlineStr">
        <is>
          <t>undefined</t>
        </is>
      </c>
      <c r="S2091" t="inlineStr">
        <is>
          <t>6832775889081</t>
        </is>
      </c>
    </row>
    <row r="2092" ht="75" customHeight="1">
      <c r="A2092" s="2">
        <f>HYPERLINK("https://camerareadycosmetics.com/products/lethal-cosmetics-magnetic-face-powder-blush", "https://camerareadycosmetics.com/products/lethal-cosmetics-magnetic-face-powder-blush")</f>
        <v/>
      </c>
      <c r="B2092" s="2">
        <f>HYPERLINK("https://camerareadycosmetics.com/products/lethal-cosmetics-magnetic-face-powder-blush", "https://camerareadycosmetics.com/products/lethal-cosmetics-magnetic-face-powder-blush")</f>
        <v/>
      </c>
      <c r="C2092" t="inlineStr">
        <is>
          <t>MAGNETIC™ Face Powder - Blush</t>
        </is>
      </c>
      <c r="D2092" t="inlineStr">
        <is>
          <t>Maybelline Fit Me Powder Blush, Lightweight, Smooth, Blendable, Long-lasting All-Day Face Enhancing Makeup Color, Rose, 1 Count</t>
        </is>
      </c>
      <c r="E2092" s="2">
        <f>HYPERLINK("https://www.amazon.com/Maybelline-Lightweight-Blendable-Long-lasting-Enhancing/dp/B06XF14MCP/ref=sr_1_4?keywords=MAGNETIC%E2%84%A2+Face+Powder+-+Blush&amp;qid=1695565504&amp;sr=8-4", "https://www.amazon.com/Maybelline-Lightweight-Blendable-Long-lasting-Enhancing/dp/B06XF14MCP/ref=sr_1_4?keywords=MAGNETIC%E2%84%A2+Face+Powder+-+Blush&amp;qid=1695565504&amp;sr=8-4")</f>
        <v/>
      </c>
      <c r="F2092" t="inlineStr">
        <is>
          <t>B06XF14MCP</t>
        </is>
      </c>
      <c r="G2092">
        <f>_xlfn.IMAGE("https://camerareadycosmetics.com/cdn/shop/products/Calyx_Swatch_Deep-1024x1024_50x.jpg?v=1688675239")</f>
        <v/>
      </c>
      <c r="H2092">
        <f>_xlfn.IMAGE("https://m.media-amazon.com/images/I/71wAoBimuxL._AC_UL320_.jpg")</f>
        <v/>
      </c>
      <c r="K2092" t="inlineStr">
        <is>
          <t>14.0</t>
        </is>
      </c>
      <c r="L2092" t="n">
        <v>4.3</v>
      </c>
      <c r="M2092" s="1" t="inlineStr">
        <is>
          <t>-69.29%</t>
        </is>
      </c>
      <c r="N2092" t="n">
        <v>4.4</v>
      </c>
      <c r="O2092" t="n">
        <v>27858</v>
      </c>
      <c r="Q2092" t="inlineStr">
        <is>
          <t>InStock</t>
        </is>
      </c>
      <c r="R2092" t="inlineStr">
        <is>
          <t>undefined</t>
        </is>
      </c>
      <c r="S2092" t="inlineStr">
        <is>
          <t>6832775889081</t>
        </is>
      </c>
    </row>
    <row r="2093" ht="75" customHeight="1">
      <c r="A2093" s="2">
        <f>HYPERLINK("https://camerareadycosmetics.com/products/lethal-cosmetics-magnetic-face-powder-blush", "https://camerareadycosmetics.com/products/lethal-cosmetics-magnetic-face-powder-blush")</f>
        <v/>
      </c>
      <c r="B2093" s="2">
        <f>HYPERLINK("https://camerareadycosmetics.com/products/lethal-cosmetics-magnetic-face-powder-blush", "https://camerareadycosmetics.com/products/lethal-cosmetics-magnetic-face-powder-blush")</f>
        <v/>
      </c>
      <c r="C2093" t="inlineStr">
        <is>
          <t>MAGNETIC™ Face Powder - Blush</t>
        </is>
      </c>
      <c r="D2093" t="inlineStr">
        <is>
          <t>Loose Powder Blush Air Cushion Blush Natural Blusher Bright Shimmer Face Blush for Cheek Highly Pigmented Blush Makeup Easy to Blend Makeup Blushin, All Day Wear (02#)</t>
        </is>
      </c>
      <c r="E2093" s="2">
        <f>HYPERLINK("https://www.amazon.com/Cushion-Natural-Blusher-Shimmer-Pigmented/dp/B0B5KWGBNT/ref=sr_1_6?keywords=MAGNETIC%E2%84%A2+Face+Powder+-+Blush&amp;qid=1695565504&amp;sr=8-6", "https://www.amazon.com/Cushion-Natural-Blusher-Shimmer-Pigmented/dp/B0B5KWGBNT/ref=sr_1_6?keywords=MAGNETIC%E2%84%A2+Face+Powder+-+Blush&amp;qid=1695565504&amp;sr=8-6")</f>
        <v/>
      </c>
      <c r="F2093" t="inlineStr">
        <is>
          <t>B0B5KWGBNT</t>
        </is>
      </c>
      <c r="G2093">
        <f>_xlfn.IMAGE("https://camerareadycosmetics.com/cdn/shop/products/Calyx_Swatch_Deep-1024x1024_50x.jpg?v=1688675239")</f>
        <v/>
      </c>
      <c r="H2093">
        <f>_xlfn.IMAGE("https://m.media-amazon.com/images/I/51zMVZTq-DL._AC_UL320_.jpg")</f>
        <v/>
      </c>
      <c r="K2093" t="inlineStr">
        <is>
          <t>14.0</t>
        </is>
      </c>
      <c r="L2093" t="n">
        <v>6.99</v>
      </c>
      <c r="M2093" s="1" t="inlineStr">
        <is>
          <t>-50.07%</t>
        </is>
      </c>
      <c r="N2093" t="n">
        <v>4</v>
      </c>
      <c r="O2093" t="n">
        <v>59</v>
      </c>
      <c r="Q2093" t="inlineStr">
        <is>
          <t>InStock</t>
        </is>
      </c>
      <c r="R2093" t="inlineStr">
        <is>
          <t>undefined</t>
        </is>
      </c>
      <c r="S2093" t="inlineStr">
        <is>
          <t>6832775889081</t>
        </is>
      </c>
    </row>
    <row r="2094" ht="75" customHeight="1">
      <c r="A2094" s="2">
        <f>HYPERLINK("https://camerareadycosmetics.com/products/lethal-cosmetics-magnetic-face-powder-blush", "https://camerareadycosmetics.com/products/lethal-cosmetics-magnetic-face-powder-blush")</f>
        <v/>
      </c>
      <c r="B2094" s="2">
        <f>HYPERLINK("https://camerareadycosmetics.com/products/lethal-cosmetics-magnetic-face-powder-blush", "https://camerareadycosmetics.com/products/lethal-cosmetics-magnetic-face-powder-blush")</f>
        <v/>
      </c>
      <c r="C2094" t="inlineStr">
        <is>
          <t>MAGNETIC™ Face Powder - Blush</t>
        </is>
      </c>
      <c r="D2094" t="inlineStr">
        <is>
          <t>Maybelline Fit Me Powder Blush, Lightweight, Smooth, Blendable, Long-lasting All-Day Face Enhancing Makeup Color, Rose, 1 Count</t>
        </is>
      </c>
      <c r="E2094" s="2">
        <f>HYPERLINK("https://www.amazon.com/Maybelline-Lightweight-Blendable-Long-lasting-Enhancing/dp/B06XF14MCP/ref=sr_1_4?keywords=MAGNETIC%E2%84%A2+Face+Powder+-+Blush&amp;qid=1695565504&amp;sr=8-4", "https://www.amazon.com/Maybelline-Lightweight-Blendable-Long-lasting-Enhancing/dp/B06XF14MCP/ref=sr_1_4?keywords=MAGNETIC%E2%84%A2+Face+Powder+-+Blush&amp;qid=1695565504&amp;sr=8-4")</f>
        <v/>
      </c>
      <c r="F2094" t="inlineStr">
        <is>
          <t>B06XF14MCP</t>
        </is>
      </c>
      <c r="G2094">
        <f>_xlfn.IMAGE("https://camerareadycosmetics.com/cdn/shop/products/Calyx_Swatch_Deep-1024x1024_50x.jpg?v=1688675239")</f>
        <v/>
      </c>
      <c r="H2094">
        <f>_xlfn.IMAGE("https://m.media-amazon.com/images/I/71wAoBimuxL._AC_UL320_.jpg")</f>
        <v/>
      </c>
      <c r="K2094" t="inlineStr">
        <is>
          <t>14.0</t>
        </is>
      </c>
      <c r="L2094" t="n">
        <v>4.3</v>
      </c>
      <c r="M2094" s="1" t="inlineStr">
        <is>
          <t>-69.29%</t>
        </is>
      </c>
      <c r="N2094" t="n">
        <v>4.4</v>
      </c>
      <c r="O2094" t="n">
        <v>27858</v>
      </c>
      <c r="Q2094" t="inlineStr">
        <is>
          <t>InStock</t>
        </is>
      </c>
      <c r="R2094" t="inlineStr">
        <is>
          <t>undefined</t>
        </is>
      </c>
      <c r="S2094" t="inlineStr">
        <is>
          <t>6832775889081</t>
        </is>
      </c>
    </row>
    <row r="2095" ht="75" customHeight="1">
      <c r="A2095" s="2">
        <f>HYPERLINK("https://camerareadycosmetics.com/products/lorac-behind-the-scenes-eye-primer", "https://camerareadycosmetics.com/products/lorac-behind-the-scenes-eye-primer")</f>
        <v/>
      </c>
      <c r="B2095" s="2">
        <f>HYPERLINK("https://camerareadycosmetics.com/products/lorac-behind-the-scenes-eye-primer", "https://camerareadycosmetics.com/products/lorac-behind-the-scenes-eye-primer")</f>
        <v/>
      </c>
      <c r="C2095" t="inlineStr">
        <is>
          <t>Behind the Scenes Eye Primer</t>
        </is>
      </c>
      <c r="D2095" t="inlineStr">
        <is>
          <t>LORAC Behind the Scenes Eye Primer Makeup | Eyeshadow Base | Oil-Free</t>
        </is>
      </c>
      <c r="E2095" s="2">
        <f>HYPERLINK("https://www.amazon.com/LORAC-Behind-Scenes-Shadow-Primer/dp/B008XN81LQ/ref=sr_1_1?keywords=Behind+the+Scenes+Eye+Primer&amp;qid=1695565690&amp;sr=8-1", "https://www.amazon.com/LORAC-Behind-Scenes-Shadow-Primer/dp/B008XN81LQ/ref=sr_1_1?keywords=Behind+the+Scenes+Eye+Primer&amp;qid=1695565690&amp;sr=8-1")</f>
        <v/>
      </c>
      <c r="F2095" t="inlineStr">
        <is>
          <t>B008XN81LQ</t>
        </is>
      </c>
      <c r="G2095">
        <f>_xlfn.IMAGE("https://camerareadycosmetics.com/cdn/shop/products/LORAC-Behind-the-Scenes-Eye-Primer10322_2_50x.jpg?v=1564090727")</f>
        <v/>
      </c>
      <c r="H2095">
        <f>_xlfn.IMAGE("https://m.media-amazon.com/images/I/61bWhs-m8UL._AC_UL320_.jpg")</f>
        <v/>
      </c>
      <c r="K2095" t="inlineStr">
        <is>
          <t>25.0</t>
        </is>
      </c>
      <c r="L2095" t="n">
        <v>25</v>
      </c>
      <c r="M2095" s="1" t="inlineStr">
        <is>
          <t>0.00%</t>
        </is>
      </c>
      <c r="N2095" t="n">
        <v>4.4</v>
      </c>
      <c r="O2095" t="n">
        <v>472</v>
      </c>
      <c r="Q2095" t="inlineStr">
        <is>
          <t>InStock</t>
        </is>
      </c>
      <c r="R2095" t="inlineStr">
        <is>
          <t>undefined</t>
        </is>
      </c>
      <c r="S2095" t="inlineStr">
        <is>
          <t>3946244636783</t>
        </is>
      </c>
    </row>
    <row r="2096" ht="75" customHeight="1">
      <c r="A2096" s="2">
        <f>HYPERLINK("https://camerareadycosmetics.com/products/lorac-dewy-canvas-prep-moisturizer-primer", "https://camerareadycosmetics.com/products/lorac-dewy-canvas-prep-moisturizer-primer")</f>
        <v/>
      </c>
      <c r="B2096" s="2">
        <f>HYPERLINK("https://camerareadycosmetics.com/products/lorac-dewy-canvas-prep-moisturizer-primer", "https://camerareadycosmetics.com/products/lorac-dewy-canvas-prep-moisturizer-primer")</f>
        <v/>
      </c>
      <c r="C2096" t="inlineStr">
        <is>
          <t>Dewy Canvas Prep Moisturizer + Primer</t>
        </is>
      </c>
      <c r="D2096" t="inlineStr">
        <is>
          <t>LORAC Dewy Canvas Prep PRO Moisturizer + Primer | Fragrance-Free Hydration</t>
        </is>
      </c>
      <c r="E2096" s="2">
        <f>HYPERLINK("https://www.amazon.com/LORAC-Dewy-Canvas-Moisturizer-Primer/dp/B09123SB9M/ref=sr_1_1?keywords=Dewy+Canvas+Prep+Moisturizer+%2B+Primer&amp;qid=1695565814&amp;sr=8-1", "https://www.amazon.com/LORAC-Dewy-Canvas-Moisturizer-Primer/dp/B09123SB9M/ref=sr_1_1?keywords=Dewy+Canvas+Prep+Moisturizer+%2B+Primer&amp;qid=1695565814&amp;sr=8-1")</f>
        <v/>
      </c>
      <c r="F2096" t="inlineStr">
        <is>
          <t>B09123SB9M</t>
        </is>
      </c>
      <c r="G2096">
        <f>_xlfn.IMAGE("https://camerareadycosmetics.com/cdn/shop/products/LORAC-Dewy-Canvas-Prep-Moisturizer-_-Primer-swatch_50x.jpg?v=1614874962")</f>
        <v/>
      </c>
      <c r="H2096">
        <f>_xlfn.IMAGE("https://m.media-amazon.com/images/I/619lxHIuzLL._AC_UL320_.jpg")</f>
        <v/>
      </c>
      <c r="K2096" t="inlineStr">
        <is>
          <t>37.0</t>
        </is>
      </c>
      <c r="L2096" t="n">
        <v>37</v>
      </c>
      <c r="M2096" s="1" t="inlineStr">
        <is>
          <t>0.00%</t>
        </is>
      </c>
      <c r="N2096" t="n">
        <v>3.9</v>
      </c>
      <c r="O2096" t="n">
        <v>53</v>
      </c>
      <c r="Q2096" t="inlineStr">
        <is>
          <t>InStock</t>
        </is>
      </c>
      <c r="R2096" t="inlineStr">
        <is>
          <t>37.0</t>
        </is>
      </c>
      <c r="S2096" t="inlineStr">
        <is>
          <t>6553915490489</t>
        </is>
      </c>
    </row>
    <row r="2097" ht="75" customHeight="1">
      <c r="A2097" s="2">
        <f>HYPERLINK("https://camerareadycosmetics.com/products/lorac-front-of-the-line-pro-eye-pencil", "https://camerareadycosmetics.com/products/lorac-front-of-the-line-pro-eye-pencil")</f>
        <v/>
      </c>
      <c r="B2097" s="2">
        <f>HYPERLINK("https://camerareadycosmetics.com/products/lorac-front-of-the-line-pro-eye-pencil", "https://camerareadycosmetics.com/products/lorac-front-of-the-line-pro-eye-pencil")</f>
        <v/>
      </c>
      <c r="C2097" t="inlineStr">
        <is>
          <t>Front Of The Line PRO Eye Pencil</t>
        </is>
      </c>
      <c r="D2097" t="inlineStr">
        <is>
          <t>Eye Line Waterproof Eye Pencil | Vegan | Waterproof | Creamy Gel | Full-Coverage Finish (Ink - Black)</t>
        </is>
      </c>
      <c r="E2097" s="2">
        <f>HYPERLINK("https://www.amazon.com/OFIR-Waterproof-Pencil-Creamy-Full-Coverage/dp/B0CGL1DQ2L/ref=sr_1_4?keywords=Front+Of+The+Line+PRO+Eye+Pencil&amp;qid=1695565729&amp;sr=8-4", "https://www.amazon.com/OFIR-Waterproof-Pencil-Creamy-Full-Coverage/dp/B0CGL1DQ2L/ref=sr_1_4?keywords=Front+Of+The+Line+PRO+Eye+Pencil&amp;qid=1695565729&amp;sr=8-4")</f>
        <v/>
      </c>
      <c r="F2097" t="inlineStr">
        <is>
          <t>B0CGL1DQ2L</t>
        </is>
      </c>
      <c r="G2097">
        <f>_xlfn.IMAGE("https://camerareadycosmetics.com/cdn/shop/products/lorac-Front-Of-The-Line-PRO-Eye-Pencil-Black-Model_50x.jpg?v=1564090733")</f>
        <v/>
      </c>
      <c r="H2097">
        <f>_xlfn.IMAGE("https://m.media-amazon.com/images/I/51ZM3UrpVvL._AC_UL320_.jpg")</f>
        <v/>
      </c>
      <c r="K2097" t="inlineStr">
        <is>
          <t>20.0</t>
        </is>
      </c>
      <c r="L2097" t="n">
        <v>29</v>
      </c>
      <c r="M2097" s="1" t="inlineStr">
        <is>
          <t>45.00%</t>
        </is>
      </c>
      <c r="N2097" t="n">
        <v>4.1</v>
      </c>
      <c r="O2097" t="n">
        <v>9</v>
      </c>
      <c r="Q2097" t="inlineStr">
        <is>
          <t>InStock</t>
        </is>
      </c>
      <c r="R2097" t="inlineStr">
        <is>
          <t>undefined</t>
        </is>
      </c>
      <c r="S2097" t="inlineStr">
        <is>
          <t>3946308337775</t>
        </is>
      </c>
    </row>
    <row r="2098" ht="75" customHeight="1">
      <c r="A2098" s="2">
        <f>HYPERLINK("https://camerareadycosmetics.com/products/lorac-front-of-the-line-pro-eye-pencil", "https://camerareadycosmetics.com/products/lorac-front-of-the-line-pro-eye-pencil")</f>
        <v/>
      </c>
      <c r="B2098" s="2">
        <f>HYPERLINK("https://camerareadycosmetics.com/products/lorac-front-of-the-line-pro-eye-pencil", "https://camerareadycosmetics.com/products/lorac-front-of-the-line-pro-eye-pencil")</f>
        <v/>
      </c>
      <c r="C2098" t="inlineStr">
        <is>
          <t>Front Of The Line PRO Eye Pencil</t>
        </is>
      </c>
      <c r="D2098" t="inlineStr">
        <is>
          <t>URBAN DECAY 24/7 Glide-On Waterproof Eyeliner Pencil - Smudge-Proof - 16HR Wear - Long-Lasting, Ultra-Creamy &amp; Blendable Formula - Sharpenable Tip</t>
        </is>
      </c>
      <c r="E2098" s="2">
        <f>HYPERLINK("https://www.amazon.com/Urban-Decay-Glide-Pencil-Perversion/dp/B006Z79SBE/ref=sr_1_9?keywords=Front+Of+The+Line+PRO+Eye+Pencil&amp;qid=1695565729&amp;sr=8-9", "https://www.amazon.com/Urban-Decay-Glide-Pencil-Perversion/dp/B006Z79SBE/ref=sr_1_9?keywords=Front+Of+The+Line+PRO+Eye+Pencil&amp;qid=1695565729&amp;sr=8-9")</f>
        <v/>
      </c>
      <c r="F2098" t="inlineStr">
        <is>
          <t>B006Z79SBE</t>
        </is>
      </c>
      <c r="G2098">
        <f>_xlfn.IMAGE("https://camerareadycosmetics.com/cdn/shop/products/lorac-Front-Of-The-Line-PRO-Eye-Pencil-Black-Model_50x.jpg?v=1564090733")</f>
        <v/>
      </c>
      <c r="H2098">
        <f>_xlfn.IMAGE("https://m.media-amazon.com/images/I/516r8xtTZRL._AC_UL320_.jpg")</f>
        <v/>
      </c>
      <c r="K2098" t="inlineStr">
        <is>
          <t>20.0</t>
        </is>
      </c>
      <c r="L2098" t="n">
        <v>25</v>
      </c>
      <c r="M2098" s="1" t="inlineStr">
        <is>
          <t>25.00%</t>
        </is>
      </c>
      <c r="N2098" t="n">
        <v>4.4</v>
      </c>
      <c r="O2098" t="n">
        <v>8194</v>
      </c>
      <c r="Q2098" t="inlineStr">
        <is>
          <t>InStock</t>
        </is>
      </c>
      <c r="R2098" t="inlineStr">
        <is>
          <t>undefined</t>
        </is>
      </c>
      <c r="S2098" t="inlineStr">
        <is>
          <t>3946308337775</t>
        </is>
      </c>
    </row>
    <row r="2099" ht="75" customHeight="1">
      <c r="A2099" s="2">
        <f>HYPERLINK("https://camerareadycosmetics.com/products/lorac-front-of-the-line-pro-eye-pencil", "https://camerareadycosmetics.com/products/lorac-front-of-the-line-pro-eye-pencil")</f>
        <v/>
      </c>
      <c r="B2099" s="2">
        <f>HYPERLINK("https://camerareadycosmetics.com/products/lorac-front-of-the-line-pro-eye-pencil", "https://camerareadycosmetics.com/products/lorac-front-of-the-line-pro-eye-pencil")</f>
        <v/>
      </c>
      <c r="C2099" t="inlineStr">
        <is>
          <t>Front Of The Line PRO Eye Pencil</t>
        </is>
      </c>
      <c r="D2099" t="inlineStr">
        <is>
          <t>LORAC Love, Lust and Lace Front of the Line Pro Eye Pencil Set</t>
        </is>
      </c>
      <c r="E2099" s="2">
        <f>HYPERLINK("https://www.amazon.com/LORAC-Love-Lust-Front-Pencil/dp/B014UC1O1M/ref=sr_1_2?keywords=Front+Of+The+Line+PRO+Eye+Pencil&amp;qid=1695565729&amp;sr=8-2", "https://www.amazon.com/LORAC-Love-Lust-Front-Pencil/dp/B014UC1O1M/ref=sr_1_2?keywords=Front+Of+The+Line+PRO+Eye+Pencil&amp;qid=1695565729&amp;sr=8-2")</f>
        <v/>
      </c>
      <c r="F2099" t="inlineStr">
        <is>
          <t>B014UC1O1M</t>
        </is>
      </c>
      <c r="G2099">
        <f>_xlfn.IMAGE("https://camerareadycosmetics.com/cdn/shop/products/lorac-Front-Of-The-Line-PRO-Eye-Pencil-Black-Model_50x.jpg?v=1564090733")</f>
        <v/>
      </c>
      <c r="H2099">
        <f>_xlfn.IMAGE("https://m.media-amazon.com/images/I/71SY1vSOTDL._AC_UL320_.jpg")</f>
        <v/>
      </c>
      <c r="K2099" t="inlineStr">
        <is>
          <t>20.0</t>
        </is>
      </c>
      <c r="L2099" t="n">
        <v>24.19</v>
      </c>
      <c r="M2099" s="1" t="inlineStr">
        <is>
          <t>20.95%</t>
        </is>
      </c>
      <c r="N2099" t="n">
        <v>2.4</v>
      </c>
      <c r="O2099" t="n">
        <v>79</v>
      </c>
      <c r="Q2099" t="inlineStr">
        <is>
          <t>InStock</t>
        </is>
      </c>
      <c r="R2099" t="inlineStr">
        <is>
          <t>undefined</t>
        </is>
      </c>
      <c r="S2099" t="inlineStr">
        <is>
          <t>3946308337775</t>
        </is>
      </c>
    </row>
    <row r="2100" ht="75" customHeight="1">
      <c r="A2100" s="2">
        <f>HYPERLINK("https://camerareadycosmetics.com/products/lorac-front-of-the-line-pro-eye-pencil", "https://camerareadycosmetics.com/products/lorac-front-of-the-line-pro-eye-pencil")</f>
        <v/>
      </c>
      <c r="B2100" s="2">
        <f>HYPERLINK("https://camerareadycosmetics.com/products/lorac-front-of-the-line-pro-eye-pencil", "https://camerareadycosmetics.com/products/lorac-front-of-the-line-pro-eye-pencil")</f>
        <v/>
      </c>
      <c r="C2100" t="inlineStr">
        <is>
          <t>Front Of The Line PRO Eye Pencil</t>
        </is>
      </c>
      <c r="D2100" t="inlineStr">
        <is>
          <t>Front Line PRO Waterproof Eyeliner Pencil</t>
        </is>
      </c>
      <c r="E2100" s="2">
        <f>HYPERLINK("https://www.amazon.com/LORAC-Front-Pencil-Brown-0-012/dp/B00ZZ8XN60/ref=sr_1_1?keywords=Front+Of+The+Line+PRO+Eye+Pencil&amp;qid=1695565729&amp;sr=8-1", "https://www.amazon.com/LORAC-Front-Pencil-Brown-0-012/dp/B00ZZ8XN60/ref=sr_1_1?keywords=Front+Of+The+Line+PRO+Eye+Pencil&amp;qid=1695565729&amp;sr=8-1")</f>
        <v/>
      </c>
      <c r="F2100" t="inlineStr">
        <is>
          <t>B00ZZ8XN60</t>
        </is>
      </c>
      <c r="G2100">
        <f>_xlfn.IMAGE("https://camerareadycosmetics.com/cdn/shop/products/lorac-Front-Of-The-Line-PRO-Eye-Pencil-Black-Model_50x.jpg?v=1564090733")</f>
        <v/>
      </c>
      <c r="H2100">
        <f>_xlfn.IMAGE("https://m.media-amazon.com/images/I/61JLr6AhmmL._AC_UL320_.jpg")</f>
        <v/>
      </c>
      <c r="K2100" t="inlineStr">
        <is>
          <t>20.0</t>
        </is>
      </c>
      <c r="L2100" t="n">
        <v>20</v>
      </c>
      <c r="M2100" s="1" t="inlineStr">
        <is>
          <t>0.00%</t>
        </is>
      </c>
      <c r="N2100" t="n">
        <v>4.5</v>
      </c>
      <c r="O2100" t="n">
        <v>682</v>
      </c>
      <c r="Q2100" t="inlineStr">
        <is>
          <t>InStock</t>
        </is>
      </c>
      <c r="R2100" t="inlineStr">
        <is>
          <t>undefined</t>
        </is>
      </c>
      <c r="S2100" t="inlineStr">
        <is>
          <t>3946308337775</t>
        </is>
      </c>
    </row>
    <row r="2101" ht="75" customHeight="1">
      <c r="A2101" s="2">
        <f>HYPERLINK("https://camerareadycosmetics.com/products/lorac-front-of-the-line-pro-eye-pencil", "https://camerareadycosmetics.com/products/lorac-front-of-the-line-pro-eye-pencil")</f>
        <v/>
      </c>
      <c r="B2101" s="2">
        <f>HYPERLINK("https://camerareadycosmetics.com/products/lorac-front-of-the-line-pro-eye-pencil", "https://camerareadycosmetics.com/products/lorac-front-of-the-line-pro-eye-pencil")</f>
        <v/>
      </c>
      <c r="C2101" t="inlineStr">
        <is>
          <t>Front Of The Line PRO Eye Pencil</t>
        </is>
      </c>
      <c r="D2101" t="inlineStr">
        <is>
          <t>VASANTI Kajal Waterline Eyeliner Pencil - Long-lasting, Waterproof, Smudge-proof, Safe for Sensitive Eyes, Waterline Eye Liner - Opthalmologist Approved and Tested (Intense Black)</t>
        </is>
      </c>
      <c r="E2101" s="2">
        <f>HYPERLINK("https://www.amazon.com/Kajal-Waterline-Eyeliner-VASANTI-Ophthalmologist/dp/B01GW09XRW/ref=sr_1_7?keywords=Front+Of+The+Line+PRO+Eye+Pencil&amp;qid=1695565729&amp;sr=8-7", "https://www.amazon.com/Kajal-Waterline-Eyeliner-VASANTI-Ophthalmologist/dp/B01GW09XRW/ref=sr_1_7?keywords=Front+Of+The+Line+PRO+Eye+Pencil&amp;qid=1695565729&amp;sr=8-7")</f>
        <v/>
      </c>
      <c r="F2101" t="inlineStr">
        <is>
          <t>B01GW09XRW</t>
        </is>
      </c>
      <c r="G2101">
        <f>_xlfn.IMAGE("https://camerareadycosmetics.com/cdn/shop/products/lorac-Front-Of-The-Line-PRO-Eye-Pencil-Black-Model_50x.jpg?v=1564090733")</f>
        <v/>
      </c>
      <c r="H2101">
        <f>_xlfn.IMAGE("https://m.media-amazon.com/images/I/61djA5bUFvL._AC_UL320_.jpg")</f>
        <v/>
      </c>
      <c r="K2101" t="inlineStr">
        <is>
          <t>20.0</t>
        </is>
      </c>
      <c r="L2101" t="n">
        <v>19</v>
      </c>
      <c r="M2101" s="1" t="inlineStr">
        <is>
          <t>-5.00%</t>
        </is>
      </c>
      <c r="N2101" t="n">
        <v>4.2</v>
      </c>
      <c r="O2101" t="n">
        <v>3794</v>
      </c>
      <c r="Q2101" t="inlineStr">
        <is>
          <t>InStock</t>
        </is>
      </c>
      <c r="R2101" t="inlineStr">
        <is>
          <t>undefined</t>
        </is>
      </c>
      <c r="S2101" t="inlineStr">
        <is>
          <t>3946308337775</t>
        </is>
      </c>
    </row>
    <row r="2102" ht="75" customHeight="1">
      <c r="A2102" s="2">
        <f>HYPERLINK("https://camerareadycosmetics.com/products/lorac-front-of-the-line-pro-eye-pencil", "https://camerareadycosmetics.com/products/lorac-front-of-the-line-pro-eye-pencil")</f>
        <v/>
      </c>
      <c r="B2102" s="2">
        <f>HYPERLINK("https://camerareadycosmetics.com/products/lorac-front-of-the-line-pro-eye-pencil", "https://camerareadycosmetics.com/products/lorac-front-of-the-line-pro-eye-pencil")</f>
        <v/>
      </c>
      <c r="C2102" t="inlineStr">
        <is>
          <t>Front Of The Line PRO Eye Pencil</t>
        </is>
      </c>
      <c r="D2102" t="inlineStr">
        <is>
          <t>Radiant Professional Softline Waterproof Eye Pencil with Smudging Tool - Long Lasting Under Eye Liner for Women, For the Perfect Smoky Eye, Pure Black (01)</t>
        </is>
      </c>
      <c r="E2102" s="2">
        <f>HYPERLINK("https://www.amazon.com/Softline-Waterproof-Pencil-Radiant-Professional/dp/B07P1H55NB/ref=sr_1_3?keywords=Front+Of+The+Line+PRO+Eye+Pencil&amp;qid=1695565729&amp;sr=8-3", "https://www.amazon.com/Softline-Waterproof-Pencil-Radiant-Professional/dp/B07P1H55NB/ref=sr_1_3?keywords=Front+Of+The+Line+PRO+Eye+Pencil&amp;qid=1695565729&amp;sr=8-3")</f>
        <v/>
      </c>
      <c r="F2102" t="inlineStr">
        <is>
          <t>B07P1H55NB</t>
        </is>
      </c>
      <c r="G2102">
        <f>_xlfn.IMAGE("https://camerareadycosmetics.com/cdn/shop/products/lorac-Front-Of-The-Line-PRO-Eye-Pencil-Black-Model_50x.jpg?v=1564090733")</f>
        <v/>
      </c>
      <c r="H2102">
        <f>_xlfn.IMAGE("https://m.media-amazon.com/images/I/415UI15zgcL._AC_UL320_.jpg")</f>
        <v/>
      </c>
      <c r="K2102" t="inlineStr">
        <is>
          <t>20.0</t>
        </is>
      </c>
      <c r="L2102" t="n">
        <v>16.99</v>
      </c>
      <c r="M2102" s="1" t="inlineStr">
        <is>
          <t>-15.05%</t>
        </is>
      </c>
      <c r="N2102" t="n">
        <v>4.2</v>
      </c>
      <c r="O2102" t="n">
        <v>237</v>
      </c>
      <c r="Q2102" t="inlineStr">
        <is>
          <t>InStock</t>
        </is>
      </c>
      <c r="R2102" t="inlineStr">
        <is>
          <t>undefined</t>
        </is>
      </c>
      <c r="S2102" t="inlineStr">
        <is>
          <t>3946308337775</t>
        </is>
      </c>
    </row>
    <row r="2103" ht="75" customHeight="1">
      <c r="A2103" s="2">
        <f>HYPERLINK("https://camerareadycosmetics.com/products/lorac-front-of-the-line-pro-eye-pencil", "https://camerareadycosmetics.com/products/lorac-front-of-the-line-pro-eye-pencil")</f>
        <v/>
      </c>
      <c r="B2103" s="2">
        <f>HYPERLINK("https://camerareadycosmetics.com/products/lorac-front-of-the-line-pro-eye-pencil", "https://camerareadycosmetics.com/products/lorac-front-of-the-line-pro-eye-pencil")</f>
        <v/>
      </c>
      <c r="C2103" t="inlineStr">
        <is>
          <t>Front Of The Line PRO Eye Pencil</t>
        </is>
      </c>
      <c r="D2103" t="inlineStr">
        <is>
          <t>Gel Eyeliner Pencil - Black &amp; Brown Waterproof Smudge-proof Matte Gel Eyeliner Pencil, Fade-Proof Eye Liner Smooth Tattoo Eyeliner Pencil for Women Cat Eye/Smoky Eye Makeup with Sharpener</t>
        </is>
      </c>
      <c r="E2103" s="2">
        <f>HYPERLINK("https://www.amazon.com/LYSdefeu-Gel-Eyeliner-Pencil-Smudge-proof/dp/B0C9DTK3K4/ref=sr_1_6?keywords=Front+Of+The+Line+PRO+Eye+Pencil&amp;qid=1695565729&amp;sr=8-6", "https://www.amazon.com/LYSdefeu-Gel-Eyeliner-Pencil-Smudge-proof/dp/B0C9DTK3K4/ref=sr_1_6?keywords=Front+Of+The+Line+PRO+Eye+Pencil&amp;qid=1695565729&amp;sr=8-6")</f>
        <v/>
      </c>
      <c r="F2103" t="inlineStr">
        <is>
          <t>B0C9DTK3K4</t>
        </is>
      </c>
      <c r="G2103">
        <f>_xlfn.IMAGE("https://camerareadycosmetics.com/cdn/shop/products/lorac-Front-Of-The-Line-PRO-Eye-Pencil-Black-Model_50x.jpg?v=1564090733")</f>
        <v/>
      </c>
      <c r="H2103">
        <f>_xlfn.IMAGE("https://m.media-amazon.com/images/I/71YVIaV+cWL._AC_UL320_.jpg")</f>
        <v/>
      </c>
      <c r="K2103" t="inlineStr">
        <is>
          <t>20.0</t>
        </is>
      </c>
      <c r="L2103" t="n">
        <v>9.58</v>
      </c>
      <c r="M2103" s="1" t="inlineStr">
        <is>
          <t>-52.10%</t>
        </is>
      </c>
      <c r="N2103" t="n">
        <v>5</v>
      </c>
      <c r="O2103" t="n">
        <v>1</v>
      </c>
      <c r="Q2103" t="inlineStr">
        <is>
          <t>InStock</t>
        </is>
      </c>
      <c r="R2103" t="inlineStr">
        <is>
          <t>undefined</t>
        </is>
      </c>
      <c r="S2103" t="inlineStr">
        <is>
          <t>3946308337775</t>
        </is>
      </c>
    </row>
    <row r="2104" ht="75" customHeight="1">
      <c r="A2104" s="2">
        <f>HYPERLINK("https://camerareadycosmetics.com/products/lorac-front-of-the-line-pro-eye-pencil", "https://camerareadycosmetics.com/products/lorac-front-of-the-line-pro-eye-pencil")</f>
        <v/>
      </c>
      <c r="B2104" s="2">
        <f>HYPERLINK("https://camerareadycosmetics.com/products/lorac-front-of-the-line-pro-eye-pencil", "https://camerareadycosmetics.com/products/lorac-front-of-the-line-pro-eye-pencil")</f>
        <v/>
      </c>
      <c r="C2104" t="inlineStr">
        <is>
          <t>Front Of The Line PRO Eye Pencil</t>
        </is>
      </c>
      <c r="D2104" t="inlineStr">
        <is>
          <t>Gel Eyeliner Pencil - Black &amp; Brown Waterproof Smudge-proof Matte Gel Eyeliner Pencil, Fade-Proof Eye Liner Smooth Tattoo Eyeliner Pencil for Women Cat Eye/Smoky Eye Makeup with Sharpener</t>
        </is>
      </c>
      <c r="E2104" s="2">
        <f>HYPERLINK("https://www.amazon.com/LYSdefeu-Gel-Eyeliner-Pencil-Smudge-proof/dp/B0C9DTK3K4/ref=sr_1_6?keywords=Front+Of+The+Line+PRO+Eye+Pencil&amp;qid=1695565729&amp;sr=8-6", "https://www.amazon.com/LYSdefeu-Gel-Eyeliner-Pencil-Smudge-proof/dp/B0C9DTK3K4/ref=sr_1_6?keywords=Front+Of+The+Line+PRO+Eye+Pencil&amp;qid=1695565729&amp;sr=8-6")</f>
        <v/>
      </c>
      <c r="F2104" t="inlineStr">
        <is>
          <t>B0C9DTK3K4</t>
        </is>
      </c>
      <c r="G2104">
        <f>_xlfn.IMAGE("https://camerareadycosmetics.com/cdn/shop/products/lorac-Front-Of-The-Line-PRO-Eye-Pencil-Black-Model_50x.jpg?v=1564090733")</f>
        <v/>
      </c>
      <c r="H2104">
        <f>_xlfn.IMAGE("https://m.media-amazon.com/images/I/71YVIaV+cWL._AC_UL320_.jpg")</f>
        <v/>
      </c>
      <c r="K2104" t="inlineStr">
        <is>
          <t>20.0</t>
        </is>
      </c>
      <c r="L2104" t="n">
        <v>9.58</v>
      </c>
      <c r="M2104" s="1" t="inlineStr">
        <is>
          <t>-52.10%</t>
        </is>
      </c>
      <c r="N2104" t="n">
        <v>5</v>
      </c>
      <c r="O2104" t="n">
        <v>1</v>
      </c>
      <c r="Q2104" t="inlineStr">
        <is>
          <t>InStock</t>
        </is>
      </c>
      <c r="R2104" t="inlineStr">
        <is>
          <t>undefined</t>
        </is>
      </c>
      <c r="S2104" t="inlineStr">
        <is>
          <t>3946308337775</t>
        </is>
      </c>
    </row>
    <row r="2105" ht="75" customHeight="1">
      <c r="A2105" s="2">
        <f>HYPERLINK("https://camerareadycosmetics.com/products/lorac-front-of-the-line-pro-liquid-eyeliner", "https://camerareadycosmetics.com/products/lorac-front-of-the-line-pro-liquid-eyeliner")</f>
        <v/>
      </c>
      <c r="B2105" s="2">
        <f>HYPERLINK("https://camerareadycosmetics.com/products/lorac-front-of-the-line-pro-liquid-eyeliner", "https://camerareadycosmetics.com/products/lorac-front-of-the-line-pro-liquid-eyeliner")</f>
        <v/>
      </c>
      <c r="C2105" t="inlineStr">
        <is>
          <t>PRO Liquid Eyeliner</t>
        </is>
      </c>
      <c r="D2105" t="inlineStr">
        <is>
          <t>Glossier Pro Tip. Brush Point Liquid Eyeliner - Black Noir</t>
        </is>
      </c>
      <c r="E2105" s="2">
        <f>HYPERLINK("https://www.amazon.com/Glossier-Brush-Point-Liquid-Eyeliner/dp/B0C82XPZR5/ref=sr_1_2?keywords=PRO+Liquid+Eyeliner&amp;qid=1695565663&amp;sr=8-2", "https://www.amazon.com/Glossier-Brush-Point-Liquid-Eyeliner/dp/B0C82XPZR5/ref=sr_1_2?keywords=PRO+Liquid+Eyeliner&amp;qid=1695565663&amp;sr=8-2")</f>
        <v/>
      </c>
      <c r="F2105" t="inlineStr">
        <is>
          <t>B0C82XPZR5</t>
        </is>
      </c>
      <c r="G2105">
        <f>_xlfn.IMAGE("https://camerareadycosmetics.com/cdn/shop/products/LORACPROLiquidEyeliner-1810250_3_50x.jpg?v=1652891218")</f>
        <v/>
      </c>
      <c r="H2105">
        <f>_xlfn.IMAGE("https://m.media-amazon.com/images/I/31Lk1UPcpUL._AC_UL320_.jpg")</f>
        <v/>
      </c>
      <c r="K2105" t="inlineStr">
        <is>
          <t>22.0</t>
        </is>
      </c>
      <c r="L2105" t="n">
        <v>45</v>
      </c>
      <c r="M2105" s="1" t="inlineStr">
        <is>
          <t>104.55%</t>
        </is>
      </c>
      <c r="N2105" t="n">
        <v>5</v>
      </c>
      <c r="O2105" t="n">
        <v>1</v>
      </c>
      <c r="Q2105" t="inlineStr">
        <is>
          <t>InStock</t>
        </is>
      </c>
      <c r="R2105" t="inlineStr">
        <is>
          <t>undefined</t>
        </is>
      </c>
      <c r="S2105" t="inlineStr">
        <is>
          <t>3946303062127</t>
        </is>
      </c>
    </row>
    <row r="2106" ht="75" customHeight="1">
      <c r="A2106" s="2">
        <f>HYPERLINK("https://camerareadycosmetics.com/products/lorac-front-of-the-line-pro-liquid-eyeliner", "https://camerareadycosmetics.com/products/lorac-front-of-the-line-pro-liquid-eyeliner")</f>
        <v/>
      </c>
      <c r="B2106" s="2">
        <f>HYPERLINK("https://camerareadycosmetics.com/products/lorac-front-of-the-line-pro-liquid-eyeliner", "https://camerareadycosmetics.com/products/lorac-front-of-the-line-pro-liquid-eyeliner")</f>
        <v/>
      </c>
      <c r="C2106" t="inlineStr">
        <is>
          <t>PRO Liquid Eyeliner</t>
        </is>
      </c>
      <c r="D2106" t="inlineStr">
        <is>
          <t>LORAC PRO Precision Liquid Eyeliner, Water Resistant, Long Lasting</t>
        </is>
      </c>
      <c r="E2106" s="2">
        <f>HYPERLINK("https://www.amazon.com/LORAC-Unzipped-Eyeshadow-Palette-Shimmer/dp/B08KYTLY6T/ref=sr_1_1?keywords=PRO+Liquid+Eyeliner&amp;qid=1695565663&amp;sr=8-1", "https://www.amazon.com/LORAC-Unzipped-Eyeshadow-Palette-Shimmer/dp/B08KYTLY6T/ref=sr_1_1?keywords=PRO+Liquid+Eyeliner&amp;qid=1695565663&amp;sr=8-1")</f>
        <v/>
      </c>
      <c r="F2106" t="inlineStr">
        <is>
          <t>B08KYTLY6T</t>
        </is>
      </c>
      <c r="G2106">
        <f>_xlfn.IMAGE("https://camerareadycosmetics.com/cdn/shop/products/LORACPROLiquidEyeliner-1810250_3_50x.jpg?v=1652891218")</f>
        <v/>
      </c>
      <c r="H2106">
        <f>_xlfn.IMAGE("https://m.media-amazon.com/images/I/61BlPFsyIQL._AC_UL320_.jpg")</f>
        <v/>
      </c>
      <c r="K2106" t="inlineStr">
        <is>
          <t>22.0</t>
        </is>
      </c>
      <c r="L2106" t="n">
        <v>22</v>
      </c>
      <c r="M2106" s="1" t="inlineStr">
        <is>
          <t>0.00%</t>
        </is>
      </c>
      <c r="N2106" t="n">
        <v>4.4</v>
      </c>
      <c r="O2106" t="n">
        <v>232</v>
      </c>
      <c r="Q2106" t="inlineStr">
        <is>
          <t>InStock</t>
        </is>
      </c>
      <c r="R2106" t="inlineStr">
        <is>
          <t>undefined</t>
        </is>
      </c>
      <c r="S2106" t="inlineStr">
        <is>
          <t>3946303062127</t>
        </is>
      </c>
    </row>
    <row r="2107" ht="75" customHeight="1">
      <c r="A2107" s="2">
        <f>HYPERLINK("https://camerareadycosmetics.com/products/lorac-front-of-the-line-pro-liquid-eyeliner", "https://camerareadycosmetics.com/products/lorac-front-of-the-line-pro-liquid-eyeliner")</f>
        <v/>
      </c>
      <c r="B2107" s="2">
        <f>HYPERLINK("https://camerareadycosmetics.com/products/lorac-front-of-the-line-pro-liquid-eyeliner", "https://camerareadycosmetics.com/products/lorac-front-of-the-line-pro-liquid-eyeliner")</f>
        <v/>
      </c>
      <c r="C2107" t="inlineStr">
        <is>
          <t>PRO Liquid Eyeliner</t>
        </is>
      </c>
      <c r="D2107" t="inlineStr">
        <is>
          <t>HEROINE MAKE by KISSME Smooth Waterproof Liquid Eyeliner Pen, Eye Liner Makeup, Super Keep 01 Jet Black</t>
        </is>
      </c>
      <c r="E2107" s="2">
        <f>HYPERLINK("https://www.amazon.com/Kiss-Me-Heroine-Waterproof-Eyeliner/dp/B00RWME3MU/ref=sr_1_10?keywords=PRO+Liquid+Eyeliner&amp;qid=1695565663&amp;sr=8-10", "https://www.amazon.com/Kiss-Me-Heroine-Waterproof-Eyeliner/dp/B00RWME3MU/ref=sr_1_10?keywords=PRO+Liquid+Eyeliner&amp;qid=1695565663&amp;sr=8-10")</f>
        <v/>
      </c>
      <c r="F2107" t="inlineStr">
        <is>
          <t>B00RWME3MU</t>
        </is>
      </c>
      <c r="G2107">
        <f>_xlfn.IMAGE("https://camerareadycosmetics.com/cdn/shop/products/LORACPROLiquidEyeliner-1810250_3_50x.jpg?v=1652891218")</f>
        <v/>
      </c>
      <c r="H2107">
        <f>_xlfn.IMAGE("https://m.media-amazon.com/images/I/61C5cEHfA5L._AC_UL320_.jpg")</f>
        <v/>
      </c>
      <c r="K2107" t="inlineStr">
        <is>
          <t>22.0</t>
        </is>
      </c>
      <c r="L2107" t="n">
        <v>8</v>
      </c>
      <c r="M2107" s="1" t="inlineStr">
        <is>
          <t>-63.64%</t>
        </is>
      </c>
      <c r="N2107" t="n">
        <v>4.4</v>
      </c>
      <c r="O2107" t="n">
        <v>5152</v>
      </c>
      <c r="Q2107" t="inlineStr">
        <is>
          <t>InStock</t>
        </is>
      </c>
      <c r="R2107" t="inlineStr">
        <is>
          <t>undefined</t>
        </is>
      </c>
      <c r="S2107" t="inlineStr">
        <is>
          <t>3946303062127</t>
        </is>
      </c>
    </row>
    <row r="2108" ht="75" customHeight="1">
      <c r="A2108" s="2">
        <f>HYPERLINK("https://camerareadycosmetics.com/products/lorac-front-of-the-line-pro-liquid-eyeliner", "https://camerareadycosmetics.com/products/lorac-front-of-the-line-pro-liquid-eyeliner")</f>
        <v/>
      </c>
      <c r="B2108" s="2">
        <f>HYPERLINK("https://camerareadycosmetics.com/products/lorac-front-of-the-line-pro-liquid-eyeliner", "https://camerareadycosmetics.com/products/lorac-front-of-the-line-pro-liquid-eyeliner")</f>
        <v/>
      </c>
      <c r="C2108" t="inlineStr">
        <is>
          <t>PRO Liquid Eyeliner</t>
        </is>
      </c>
      <c r="D2108" t="inlineStr">
        <is>
          <t>NYX PROFESSIONAL MAKEUP Epic Wear Liquid Liner, Long-Lasting Waterproof Eyeliner - Stone Fox</t>
        </is>
      </c>
      <c r="E2108" s="2">
        <f>HYPERLINK("https://www.amazon.com/NYX-PROFESSIONAL-MAKEUP-Long-Lasting-Waterproof/dp/B08VFGVKB7/ref=sr_1_6?keywords=PRO+Liquid+Eyeliner&amp;qid=1695565663&amp;sr=8-6", "https://www.amazon.com/NYX-PROFESSIONAL-MAKEUP-Long-Lasting-Waterproof/dp/B08VFGVKB7/ref=sr_1_6?keywords=PRO+Liquid+Eyeliner&amp;qid=1695565663&amp;sr=8-6")</f>
        <v/>
      </c>
      <c r="F2108" t="inlineStr">
        <is>
          <t>B08VFGVKB7</t>
        </is>
      </c>
      <c r="G2108">
        <f>_xlfn.IMAGE("https://camerareadycosmetics.com/cdn/shop/products/LORACPROLiquidEyeliner-1810250_3_50x.jpg?v=1652891218")</f>
        <v/>
      </c>
      <c r="H2108">
        <f>_xlfn.IMAGE("https://m.media-amazon.com/images/I/51PqMVs7UzS._AC_UL320_.jpg")</f>
        <v/>
      </c>
      <c r="K2108" t="inlineStr">
        <is>
          <t>22.0</t>
        </is>
      </c>
      <c r="L2108" t="n">
        <v>7.99</v>
      </c>
      <c r="M2108" s="1" t="inlineStr">
        <is>
          <t>-63.68%</t>
        </is>
      </c>
      <c r="N2108" t="n">
        <v>4.4</v>
      </c>
      <c r="O2108" t="n">
        <v>10682</v>
      </c>
      <c r="Q2108" t="inlineStr">
        <is>
          <t>InStock</t>
        </is>
      </c>
      <c r="R2108" t="inlineStr">
        <is>
          <t>undefined</t>
        </is>
      </c>
      <c r="S2108" t="inlineStr">
        <is>
          <t>3946303062127</t>
        </is>
      </c>
    </row>
    <row r="2109" ht="75" customHeight="1">
      <c r="A2109" s="2">
        <f>HYPERLINK("https://camerareadycosmetics.com/products/lorac-front-of-the-line-pro-liquid-eyeliner", "https://camerareadycosmetics.com/products/lorac-front-of-the-line-pro-liquid-eyeliner")</f>
        <v/>
      </c>
      <c r="B2109" s="2">
        <f>HYPERLINK("https://camerareadycosmetics.com/products/lorac-front-of-the-line-pro-liquid-eyeliner", "https://camerareadycosmetics.com/products/lorac-front-of-the-line-pro-liquid-eyeliner")</f>
        <v/>
      </c>
      <c r="C2109" t="inlineStr">
        <is>
          <t>PRO Liquid Eyeliner</t>
        </is>
      </c>
      <c r="D2109" t="inlineStr">
        <is>
          <t>Almay Liquid Eyeliner, Waterproof, Fade-Proof Eye Makeup, Easy-to-Apply Liner Brush, 221 Black, 0.1 Oz</t>
        </is>
      </c>
      <c r="E2109" s="2">
        <f>HYPERLINK("https://www.amazon.com/Almay-Liquid-Eyeliner-Black-221/dp/B000YDF6CA/ref=sr_1_5?keywords=PRO+Liquid+Eyeliner&amp;qid=1695565663&amp;rdc=1&amp;sr=8-5", "https://www.amazon.com/Almay-Liquid-Eyeliner-Black-221/dp/B000YDF6CA/ref=sr_1_5?keywords=PRO+Liquid+Eyeliner&amp;qid=1695565663&amp;rdc=1&amp;sr=8-5")</f>
        <v/>
      </c>
      <c r="F2109" t="inlineStr">
        <is>
          <t>B000YDF6CA</t>
        </is>
      </c>
      <c r="G2109">
        <f>_xlfn.IMAGE("https://camerareadycosmetics.com/cdn/shop/products/LORACPROLiquidEyeliner-1810250_3_50x.jpg?v=1652891218")</f>
        <v/>
      </c>
      <c r="H2109">
        <f>_xlfn.IMAGE("https://m.media-amazon.com/images/I/51tPKDnCplL._AC_UL320_.jpg")</f>
        <v/>
      </c>
      <c r="K2109" t="inlineStr">
        <is>
          <t>22.0</t>
        </is>
      </c>
      <c r="L2109" t="n">
        <v>7.33</v>
      </c>
      <c r="M2109" s="1" t="inlineStr">
        <is>
          <t>-66.68%</t>
        </is>
      </c>
      <c r="N2109" t="n">
        <v>4.2</v>
      </c>
      <c r="O2109" t="n">
        <v>6764</v>
      </c>
      <c r="Q2109" t="inlineStr">
        <is>
          <t>InStock</t>
        </is>
      </c>
      <c r="R2109" t="inlineStr">
        <is>
          <t>undefined</t>
        </is>
      </c>
      <c r="S2109" t="inlineStr">
        <is>
          <t>3946303062127</t>
        </is>
      </c>
    </row>
    <row r="2110" ht="75" customHeight="1">
      <c r="A2110" s="2">
        <f>HYPERLINK("https://camerareadycosmetics.com/products/lorac-front-of-the-line-pro-liquid-eyeliner", "https://camerareadycosmetics.com/products/lorac-front-of-the-line-pro-liquid-eyeliner")</f>
        <v/>
      </c>
      <c r="B2110" s="2">
        <f>HYPERLINK("https://camerareadycosmetics.com/products/lorac-front-of-the-line-pro-liquid-eyeliner", "https://camerareadycosmetics.com/products/lorac-front-of-the-line-pro-liquid-eyeliner")</f>
        <v/>
      </c>
      <c r="C2110" t="inlineStr">
        <is>
          <t>PRO Liquid Eyeliner</t>
        </is>
      </c>
      <c r="D2110" t="inlineStr">
        <is>
          <t>Docolor Waterproof Eyeliner Pen【Update】 Super Slim Precise All Day Black Professional Makeup Liquid Eye Liner Pencil for Women</t>
        </is>
      </c>
      <c r="E2110" s="2">
        <f>HYPERLINK("https://www.amazon.com/Docolor-Waterproof-Eyeliner-Super-Liquid/dp/B01HTGNIH4/ref=sr_1_9?keywords=PRO+Liquid+Eyeliner&amp;qid=1695565663&amp;sr=8-9", "https://www.amazon.com/Docolor-Waterproof-Eyeliner-Super-Liquid/dp/B01HTGNIH4/ref=sr_1_9?keywords=PRO+Liquid+Eyeliner&amp;qid=1695565663&amp;sr=8-9")</f>
        <v/>
      </c>
      <c r="F2110" t="inlineStr">
        <is>
          <t>B01HTGNIH4</t>
        </is>
      </c>
      <c r="G2110">
        <f>_xlfn.IMAGE("https://camerareadycosmetics.com/cdn/shop/products/LORACPROLiquidEyeliner-1810250_3_50x.jpg?v=1652891218")</f>
        <v/>
      </c>
      <c r="H2110">
        <f>_xlfn.IMAGE("https://m.media-amazon.com/images/I/61ZoVb+KsIL._AC_UL320_.jpg")</f>
        <v/>
      </c>
      <c r="K2110" t="inlineStr">
        <is>
          <t>22.0</t>
        </is>
      </c>
      <c r="L2110" t="n">
        <v>6.29</v>
      </c>
      <c r="M2110" s="1" t="inlineStr">
        <is>
          <t>-71.41%</t>
        </is>
      </c>
      <c r="N2110" t="n">
        <v>4.1</v>
      </c>
      <c r="O2110" t="n">
        <v>9058</v>
      </c>
      <c r="Q2110" t="inlineStr">
        <is>
          <t>InStock</t>
        </is>
      </c>
      <c r="R2110" t="inlineStr">
        <is>
          <t>undefined</t>
        </is>
      </c>
      <c r="S2110" t="inlineStr">
        <is>
          <t>3946303062127</t>
        </is>
      </c>
    </row>
    <row r="2111" ht="75" customHeight="1">
      <c r="A2111" s="2">
        <f>HYPERLINK("https://camerareadycosmetics.com/products/lorac-front-of-the-line-pro-liquid-eyeliner", "https://camerareadycosmetics.com/products/lorac-front-of-the-line-pro-liquid-eyeliner")</f>
        <v/>
      </c>
      <c r="B2111" s="2">
        <f>HYPERLINK("https://camerareadycosmetics.com/products/lorac-front-of-the-line-pro-liquid-eyeliner", "https://camerareadycosmetics.com/products/lorac-front-of-the-line-pro-liquid-eyeliner")</f>
        <v/>
      </c>
      <c r="C2111" t="inlineStr">
        <is>
          <t>PRO Liquid Eyeliner</t>
        </is>
      </c>
      <c r="D2111" t="inlineStr">
        <is>
          <t>HEROINE MAKE by KISSME Smooth Waterproof Liquid Eyeliner Pen, Eye Liner Makeup, Super Keep 01 Jet Black</t>
        </is>
      </c>
      <c r="E2111" s="2">
        <f>HYPERLINK("https://www.amazon.com/Kiss-Me-Heroine-Waterproof-Eyeliner/dp/B00RWME3MU/ref=sr_1_10?keywords=PRO+Liquid+Eyeliner&amp;qid=1695565663&amp;sr=8-10", "https://www.amazon.com/Kiss-Me-Heroine-Waterproof-Eyeliner/dp/B00RWME3MU/ref=sr_1_10?keywords=PRO+Liquid+Eyeliner&amp;qid=1695565663&amp;sr=8-10")</f>
        <v/>
      </c>
      <c r="F2111" t="inlineStr">
        <is>
          <t>B00RWME3MU</t>
        </is>
      </c>
      <c r="G2111">
        <f>_xlfn.IMAGE("https://camerareadycosmetics.com/cdn/shop/products/LORACPROLiquidEyeliner-1810250_3_50x.jpg?v=1652891218")</f>
        <v/>
      </c>
      <c r="H2111">
        <f>_xlfn.IMAGE("https://m.media-amazon.com/images/I/61C5cEHfA5L._AC_UL320_.jpg")</f>
        <v/>
      </c>
      <c r="K2111" t="inlineStr">
        <is>
          <t>22.0</t>
        </is>
      </c>
      <c r="L2111" t="n">
        <v>8</v>
      </c>
      <c r="M2111" s="1" t="inlineStr">
        <is>
          <t>-63.64%</t>
        </is>
      </c>
      <c r="N2111" t="n">
        <v>4.4</v>
      </c>
      <c r="O2111" t="n">
        <v>5152</v>
      </c>
      <c r="Q2111" t="inlineStr">
        <is>
          <t>InStock</t>
        </is>
      </c>
      <c r="R2111" t="inlineStr">
        <is>
          <t>undefined</t>
        </is>
      </c>
      <c r="S2111" t="inlineStr">
        <is>
          <t>3946303062127</t>
        </is>
      </c>
    </row>
    <row r="2112" ht="75" customHeight="1">
      <c r="A2112" s="2">
        <f>HYPERLINK("https://camerareadycosmetics.com/products/lorac-front-of-the-line-pro-liquid-eyeliner", "https://camerareadycosmetics.com/products/lorac-front-of-the-line-pro-liquid-eyeliner")</f>
        <v/>
      </c>
      <c r="B2112" s="2">
        <f>HYPERLINK("https://camerareadycosmetics.com/products/lorac-front-of-the-line-pro-liquid-eyeliner", "https://camerareadycosmetics.com/products/lorac-front-of-the-line-pro-liquid-eyeliner")</f>
        <v/>
      </c>
      <c r="C2112" t="inlineStr">
        <is>
          <t>PRO Liquid Eyeliner</t>
        </is>
      </c>
      <c r="D2112" t="inlineStr">
        <is>
          <t>NYX PROFESSIONAL MAKEUP Epic Wear Liquid Liner, Long-Lasting Waterproof Eyeliner - Stone Fox</t>
        </is>
      </c>
      <c r="E2112" s="2">
        <f>HYPERLINK("https://www.amazon.com/NYX-PROFESSIONAL-MAKEUP-Long-Lasting-Waterproof/dp/B08VFGVKB7/ref=sr_1_6?keywords=PRO+Liquid+Eyeliner&amp;qid=1695565663&amp;sr=8-6", "https://www.amazon.com/NYX-PROFESSIONAL-MAKEUP-Long-Lasting-Waterproof/dp/B08VFGVKB7/ref=sr_1_6?keywords=PRO+Liquid+Eyeliner&amp;qid=1695565663&amp;sr=8-6")</f>
        <v/>
      </c>
      <c r="F2112" t="inlineStr">
        <is>
          <t>B08VFGVKB7</t>
        </is>
      </c>
      <c r="G2112">
        <f>_xlfn.IMAGE("https://camerareadycosmetics.com/cdn/shop/products/LORACPROLiquidEyeliner-1810250_3_50x.jpg?v=1652891218")</f>
        <v/>
      </c>
      <c r="H2112">
        <f>_xlfn.IMAGE("https://m.media-amazon.com/images/I/51PqMVs7UzS._AC_UL320_.jpg")</f>
        <v/>
      </c>
      <c r="K2112" t="inlineStr">
        <is>
          <t>22.0</t>
        </is>
      </c>
      <c r="L2112" t="n">
        <v>7.99</v>
      </c>
      <c r="M2112" s="1" t="inlineStr">
        <is>
          <t>-63.68%</t>
        </is>
      </c>
      <c r="N2112" t="n">
        <v>4.4</v>
      </c>
      <c r="O2112" t="n">
        <v>10682</v>
      </c>
      <c r="Q2112" t="inlineStr">
        <is>
          <t>InStock</t>
        </is>
      </c>
      <c r="R2112" t="inlineStr">
        <is>
          <t>undefined</t>
        </is>
      </c>
      <c r="S2112" t="inlineStr">
        <is>
          <t>3946303062127</t>
        </is>
      </c>
    </row>
    <row r="2113" ht="75" customHeight="1">
      <c r="A2113" s="2">
        <f>HYPERLINK("https://camerareadycosmetics.com/products/lorac-front-of-the-line-pro-liquid-eyeliner", "https://camerareadycosmetics.com/products/lorac-front-of-the-line-pro-liquid-eyeliner")</f>
        <v/>
      </c>
      <c r="B2113" s="2">
        <f>HYPERLINK("https://camerareadycosmetics.com/products/lorac-front-of-the-line-pro-liquid-eyeliner", "https://camerareadycosmetics.com/products/lorac-front-of-the-line-pro-liquid-eyeliner")</f>
        <v/>
      </c>
      <c r="C2113" t="inlineStr">
        <is>
          <t>PRO Liquid Eyeliner</t>
        </is>
      </c>
      <c r="D2113" t="inlineStr">
        <is>
          <t>Almay Liquid Eyeliner, Waterproof, Fade-Proof Eye Makeup, Easy-to-Apply Liner Brush, 221 Black, 0.1 Oz</t>
        </is>
      </c>
      <c r="E2113" s="2">
        <f>HYPERLINK("https://www.amazon.com/Almay-Liquid-Eyeliner-Black-221/dp/B000YDF6CA/ref=sr_1_5?keywords=PRO+Liquid+Eyeliner&amp;qid=1695565663&amp;rdc=1&amp;sr=8-5", "https://www.amazon.com/Almay-Liquid-Eyeliner-Black-221/dp/B000YDF6CA/ref=sr_1_5?keywords=PRO+Liquid+Eyeliner&amp;qid=1695565663&amp;rdc=1&amp;sr=8-5")</f>
        <v/>
      </c>
      <c r="F2113" t="inlineStr">
        <is>
          <t>B000YDF6CA</t>
        </is>
      </c>
      <c r="G2113">
        <f>_xlfn.IMAGE("https://camerareadycosmetics.com/cdn/shop/products/LORACPROLiquidEyeliner-1810250_3_50x.jpg?v=1652891218")</f>
        <v/>
      </c>
      <c r="H2113">
        <f>_xlfn.IMAGE("https://m.media-amazon.com/images/I/51tPKDnCplL._AC_UL320_.jpg")</f>
        <v/>
      </c>
      <c r="K2113" t="inlineStr">
        <is>
          <t>22.0</t>
        </is>
      </c>
      <c r="L2113" t="n">
        <v>7.33</v>
      </c>
      <c r="M2113" s="1" t="inlineStr">
        <is>
          <t>-66.68%</t>
        </is>
      </c>
      <c r="N2113" t="n">
        <v>4.2</v>
      </c>
      <c r="O2113" t="n">
        <v>6764</v>
      </c>
      <c r="Q2113" t="inlineStr">
        <is>
          <t>InStock</t>
        </is>
      </c>
      <c r="R2113" t="inlineStr">
        <is>
          <t>undefined</t>
        </is>
      </c>
      <c r="S2113" t="inlineStr">
        <is>
          <t>3946303062127</t>
        </is>
      </c>
    </row>
    <row r="2114" ht="75" customHeight="1">
      <c r="A2114" s="2">
        <f>HYPERLINK("https://camerareadycosmetics.com/products/lorac-front-of-the-line-pro-liquid-eyeliner", "https://camerareadycosmetics.com/products/lorac-front-of-the-line-pro-liquid-eyeliner")</f>
        <v/>
      </c>
      <c r="B2114" s="2">
        <f>HYPERLINK("https://camerareadycosmetics.com/products/lorac-front-of-the-line-pro-liquid-eyeliner", "https://camerareadycosmetics.com/products/lorac-front-of-the-line-pro-liquid-eyeliner")</f>
        <v/>
      </c>
      <c r="C2114" t="inlineStr">
        <is>
          <t>PRO Liquid Eyeliner</t>
        </is>
      </c>
      <c r="D2114" t="inlineStr">
        <is>
          <t>Docolor Waterproof Eyeliner Pen【Update】 Super Slim Precise All Day Black Professional Makeup Liquid Eye Liner Pencil for Women</t>
        </is>
      </c>
      <c r="E2114" s="2">
        <f>HYPERLINK("https://www.amazon.com/Docolor-Waterproof-Eyeliner-Super-Liquid/dp/B01HTGNIH4/ref=sr_1_9?keywords=PRO+Liquid+Eyeliner&amp;qid=1695565663&amp;sr=8-9", "https://www.amazon.com/Docolor-Waterproof-Eyeliner-Super-Liquid/dp/B01HTGNIH4/ref=sr_1_9?keywords=PRO+Liquid+Eyeliner&amp;qid=1695565663&amp;sr=8-9")</f>
        <v/>
      </c>
      <c r="F2114" t="inlineStr">
        <is>
          <t>B01HTGNIH4</t>
        </is>
      </c>
      <c r="G2114">
        <f>_xlfn.IMAGE("https://camerareadycosmetics.com/cdn/shop/products/LORACPROLiquidEyeliner-1810250_3_50x.jpg?v=1652891218")</f>
        <v/>
      </c>
      <c r="H2114">
        <f>_xlfn.IMAGE("https://m.media-amazon.com/images/I/61ZoVb+KsIL._AC_UL320_.jpg")</f>
        <v/>
      </c>
      <c r="K2114" t="inlineStr">
        <is>
          <t>22.0</t>
        </is>
      </c>
      <c r="L2114" t="n">
        <v>6.29</v>
      </c>
      <c r="M2114" s="1" t="inlineStr">
        <is>
          <t>-71.41%</t>
        </is>
      </c>
      <c r="N2114" t="n">
        <v>4.1</v>
      </c>
      <c r="O2114" t="n">
        <v>9058</v>
      </c>
      <c r="Q2114" t="inlineStr">
        <is>
          <t>InStock</t>
        </is>
      </c>
      <c r="R2114" t="inlineStr">
        <is>
          <t>undefined</t>
        </is>
      </c>
      <c r="S2114" t="inlineStr">
        <is>
          <t>3946303062127</t>
        </is>
      </c>
    </row>
    <row r="2115" ht="75" customHeight="1">
      <c r="A2115" s="2">
        <f>HYPERLINK("https://camerareadycosmetics.com/products/lorac-holy-lash-volumizing-mascara", "https://camerareadycosmetics.com/products/lorac-holy-lash-volumizing-mascara")</f>
        <v/>
      </c>
      <c r="B2115" s="2">
        <f>HYPERLINK("https://camerareadycosmetics.com/products/lorac-holy-lash-volumizing-mascara", "https://camerareadycosmetics.com/products/lorac-holy-lash-volumizing-mascara")</f>
        <v/>
      </c>
      <c r="C2115" t="inlineStr">
        <is>
          <t>Holy Lash Volumizing Mascara</t>
        </is>
      </c>
      <c r="D2115" t="inlineStr">
        <is>
          <t>PrimeLash Mascara for Older Women – Volumizing, Incredible Length in 2 Coats – Long-Stay, Zero Clumps, Hypoallergenic (Black)</t>
        </is>
      </c>
      <c r="E2115" s="2">
        <f>HYPERLINK("https://www.amazon.com/Prime-Prometics-PrimeLash-Mascara-Women/dp/B0BG6FXQCC/ref=sr_1_5?keywords=Holy+Lash+Volumizing+Mascara&amp;qid=1695565879&amp;sr=8-5", "https://www.amazon.com/Prime-Prometics-PrimeLash-Mascara-Women/dp/B0BG6FXQCC/ref=sr_1_5?keywords=Holy+Lash+Volumizing+Mascara&amp;qid=1695565879&amp;sr=8-5")</f>
        <v/>
      </c>
      <c r="F2115" t="inlineStr">
        <is>
          <t>B0BG6FXQCC</t>
        </is>
      </c>
      <c r="G2115">
        <f>_xlfn.IMAGE("https://camerareadycosmetics.com/cdn/shop/products/LORACHolyLashVolumizingMascara_50x.jpg?v=1619613923")</f>
        <v/>
      </c>
      <c r="H2115">
        <f>_xlfn.IMAGE("https://m.media-amazon.com/images/I/61CC6V1AKxL._AC_UL320_.jpg")</f>
        <v/>
      </c>
      <c r="K2115" t="inlineStr">
        <is>
          <t>24.0</t>
        </is>
      </c>
      <c r="L2115" t="n">
        <v>28</v>
      </c>
      <c r="M2115" s="1" t="inlineStr">
        <is>
          <t>16.67%</t>
        </is>
      </c>
      <c r="N2115" t="n">
        <v>3.8</v>
      </c>
      <c r="O2115" t="n">
        <v>2574</v>
      </c>
      <c r="Q2115" t="inlineStr">
        <is>
          <t>InStock</t>
        </is>
      </c>
      <c r="R2115" t="inlineStr">
        <is>
          <t>undefined</t>
        </is>
      </c>
      <c r="S2115" t="inlineStr">
        <is>
          <t>6682284818617</t>
        </is>
      </c>
    </row>
    <row r="2116" ht="75" customHeight="1">
      <c r="A2116" s="2">
        <f>HYPERLINK("https://camerareadycosmetics.com/products/lorac-holy-lash-volumizing-mascara", "https://camerareadycosmetics.com/products/lorac-holy-lash-volumizing-mascara")</f>
        <v/>
      </c>
      <c r="B2116" s="2">
        <f>HYPERLINK("https://camerareadycosmetics.com/products/lorac-holy-lash-volumizing-mascara", "https://camerareadycosmetics.com/products/lorac-holy-lash-volumizing-mascara")</f>
        <v/>
      </c>
      <c r="C2116" t="inlineStr">
        <is>
          <t>Holy Lash Volumizing Mascara</t>
        </is>
      </c>
      <c r="D2116" t="inlineStr">
        <is>
          <t>IT Cosmetics Hello Lashes+ Volumizing Mascara &amp; Lash Serum - Easy-to-Remove Formula - With Biotin, Argan Oil &amp; Jojoba Oil - 0.28 fl oz</t>
        </is>
      </c>
      <c r="E2116" s="2">
        <f>HYPERLINK("https://www.amazon.com/Cosmetics-Lashes-Volumizing-Mascara-Remove/dp/B08Y9BHHWF/ref=sr_1_8?keywords=Holy+Lash+Volumizing+Mascara&amp;qid=1695565879&amp;sr=8-8", "https://www.amazon.com/Cosmetics-Lashes-Volumizing-Mascara-Remove/dp/B08Y9BHHWF/ref=sr_1_8?keywords=Holy+Lash+Volumizing+Mascara&amp;qid=1695565879&amp;sr=8-8")</f>
        <v/>
      </c>
      <c r="F2116" t="inlineStr">
        <is>
          <t>B08Y9BHHWF</t>
        </is>
      </c>
      <c r="G2116">
        <f>_xlfn.IMAGE("https://camerareadycosmetics.com/cdn/shop/products/LORACHolyLashVolumizingMascara_50x.jpg?v=1619613923")</f>
        <v/>
      </c>
      <c r="H2116">
        <f>_xlfn.IMAGE("https://m.media-amazon.com/images/I/71DRZ0cS-5L._AC_UL320_.jpg")</f>
        <v/>
      </c>
      <c r="K2116" t="inlineStr">
        <is>
          <t>24.0</t>
        </is>
      </c>
      <c r="L2116" t="n">
        <v>27</v>
      </c>
      <c r="M2116" s="1" t="inlineStr">
        <is>
          <t>12.50%</t>
        </is>
      </c>
      <c r="N2116" t="n">
        <v>3.9</v>
      </c>
      <c r="O2116" t="n">
        <v>562</v>
      </c>
      <c r="Q2116" t="inlineStr">
        <is>
          <t>InStock</t>
        </is>
      </c>
      <c r="R2116" t="inlineStr">
        <is>
          <t>undefined</t>
        </is>
      </c>
      <c r="S2116" t="inlineStr">
        <is>
          <t>6682284818617</t>
        </is>
      </c>
    </row>
    <row r="2117" ht="75" customHeight="1">
      <c r="A2117" s="2">
        <f>HYPERLINK("https://camerareadycosmetics.com/products/lorac-holy-lash-volumizing-mascara", "https://camerareadycosmetics.com/products/lorac-holy-lash-volumizing-mascara")</f>
        <v/>
      </c>
      <c r="B2117" s="2">
        <f>HYPERLINK("https://camerareadycosmetics.com/products/lorac-holy-lash-volumizing-mascara", "https://camerareadycosmetics.com/products/lorac-holy-lash-volumizing-mascara")</f>
        <v/>
      </c>
      <c r="C2117" t="inlineStr">
        <is>
          <t>Holy Lash Volumizing Mascara</t>
        </is>
      </c>
      <c r="D2117" t="inlineStr">
        <is>
          <t>LORAC Holy Lash Volumizing Mascara | Lengthening | Curling | Long-Wear | Black</t>
        </is>
      </c>
      <c r="E2117" s="2">
        <f>HYPERLINK("https://www.amazon.com/LORAC-Holy-Volumizing-Mascara-Black/dp/B09123ST45/ref=sr_1_1?keywords=Holy+Lash+Volumizing+Mascara&amp;qid=1695565879&amp;sr=8-1", "https://www.amazon.com/LORAC-Holy-Volumizing-Mascara-Black/dp/B09123ST45/ref=sr_1_1?keywords=Holy+Lash+Volumizing+Mascara&amp;qid=1695565879&amp;sr=8-1")</f>
        <v/>
      </c>
      <c r="F2117" t="inlineStr">
        <is>
          <t>B09123ST45</t>
        </is>
      </c>
      <c r="G2117">
        <f>_xlfn.IMAGE("https://camerareadycosmetics.com/cdn/shop/products/LORACHolyLashVolumizingMascara_50x.jpg?v=1619613923")</f>
        <v/>
      </c>
      <c r="H2117">
        <f>_xlfn.IMAGE("https://m.media-amazon.com/images/I/71arRVTSzaL._AC_UL320_.jpg")</f>
        <v/>
      </c>
      <c r="K2117" t="inlineStr">
        <is>
          <t>24.0</t>
        </is>
      </c>
      <c r="L2117" t="n">
        <v>24</v>
      </c>
      <c r="M2117" s="1" t="inlineStr">
        <is>
          <t>0.00%</t>
        </is>
      </c>
      <c r="N2117" t="n">
        <v>4</v>
      </c>
      <c r="O2117" t="n">
        <v>68</v>
      </c>
      <c r="Q2117" t="inlineStr">
        <is>
          <t>InStock</t>
        </is>
      </c>
      <c r="R2117" t="inlineStr">
        <is>
          <t>undefined</t>
        </is>
      </c>
      <c r="S2117" t="inlineStr">
        <is>
          <t>6682284818617</t>
        </is>
      </c>
    </row>
    <row r="2118" ht="75" customHeight="1">
      <c r="A2118" s="2">
        <f>HYPERLINK("https://camerareadycosmetics.com/products/lorac-holy-lash-volumizing-mascara", "https://camerareadycosmetics.com/products/lorac-holy-lash-volumizing-mascara")</f>
        <v/>
      </c>
      <c r="B2118" s="2">
        <f>HYPERLINK("https://camerareadycosmetics.com/products/lorac-holy-lash-volumizing-mascara", "https://camerareadycosmetics.com/products/lorac-holy-lash-volumizing-mascara")</f>
        <v/>
      </c>
      <c r="C2118" t="inlineStr">
        <is>
          <t>Holy Lash Volumizing Mascara</t>
        </is>
      </c>
      <c r="D2118" t="inlineStr">
        <is>
          <t>Maybelline New York Lash Sensational Sky High Washable Mascara Makeup, Volumizing, Lengthening, Defining, Curling, Multiplying, Buildable Formula, Cosmic Black, 1 Count</t>
        </is>
      </c>
      <c r="E2118" s="2">
        <f>HYPERLINK("https://www.amazon.com/Maybelline-New-York-Washable-Volumizing/dp/B09J5HRNTM/ref=sr_1_10?keywords=Holy+Lash+Volumizing+Mascara&amp;qid=1695565879&amp;sr=8-10", "https://www.amazon.com/Maybelline-New-York-Washable-Volumizing/dp/B09J5HRNTM/ref=sr_1_10?keywords=Holy+Lash+Volumizing+Mascara&amp;qid=1695565879&amp;sr=8-10")</f>
        <v/>
      </c>
      <c r="F2118" t="inlineStr">
        <is>
          <t>B09J5HRNTM</t>
        </is>
      </c>
      <c r="G2118">
        <f>_xlfn.IMAGE("https://camerareadycosmetics.com/cdn/shop/products/LORACHolyLashVolumizingMascara_50x.jpg?v=1619613923")</f>
        <v/>
      </c>
      <c r="H2118">
        <f>_xlfn.IMAGE("https://m.media-amazon.com/images/I/71mijtOezSL._AC_UL320_.jpg")</f>
        <v/>
      </c>
      <c r="K2118" t="inlineStr">
        <is>
          <t>24.0</t>
        </is>
      </c>
      <c r="L2118" t="n">
        <v>9.98</v>
      </c>
      <c r="M2118" s="1" t="inlineStr">
        <is>
          <t>-58.42%</t>
        </is>
      </c>
      <c r="N2118" t="n">
        <v>4.5</v>
      </c>
      <c r="O2118" t="n">
        <v>124941</v>
      </c>
      <c r="Q2118" t="inlineStr">
        <is>
          <t>InStock</t>
        </is>
      </c>
      <c r="R2118" t="inlineStr">
        <is>
          <t>undefined</t>
        </is>
      </c>
      <c r="S2118" t="inlineStr">
        <is>
          <t>6682284818617</t>
        </is>
      </c>
    </row>
    <row r="2119" ht="75" customHeight="1">
      <c r="A2119" s="2">
        <f>HYPERLINK("https://camerareadycosmetics.com/products/lorac-holy-lash-volumizing-mascara", "https://camerareadycosmetics.com/products/lorac-holy-lash-volumizing-mascara")</f>
        <v/>
      </c>
      <c r="B2119" s="2">
        <f>HYPERLINK("https://camerareadycosmetics.com/products/lorac-holy-lash-volumizing-mascara", "https://camerareadycosmetics.com/products/lorac-holy-lash-volumizing-mascara")</f>
        <v/>
      </c>
      <c r="C2119" t="inlineStr">
        <is>
          <t>Holy Lash Volumizing Mascara</t>
        </is>
      </c>
      <c r="D2119" t="inlineStr">
        <is>
          <t>4D Silk Fiber Big Eye Lash Mascara, Mascara Black Volume And Length Intense Long Lasting, Waterproof No Clumping, Lengthening Thicking Volumizing Luxuriously Longer Mascara</t>
        </is>
      </c>
      <c r="E2119" s="2">
        <f>HYPERLINK("https://www.amazon.com/Waterproof-Clumping-Lengthening-Volumizing-Luxuriously/dp/B0B5TBBH7Q/ref=sr_1_3?keywords=Holy+Lash+Volumizing+Mascara&amp;qid=1695565879&amp;sr=8-3", "https://www.amazon.com/Waterproof-Clumping-Lengthening-Volumizing-Luxuriously/dp/B0B5TBBH7Q/ref=sr_1_3?keywords=Holy+Lash+Volumizing+Mascara&amp;qid=1695565879&amp;sr=8-3")</f>
        <v/>
      </c>
      <c r="F2119" t="inlineStr">
        <is>
          <t>B0B5TBBH7Q</t>
        </is>
      </c>
      <c r="G2119">
        <f>_xlfn.IMAGE("https://camerareadycosmetics.com/cdn/shop/products/LORACHolyLashVolumizingMascara_50x.jpg?v=1619613923")</f>
        <v/>
      </c>
      <c r="H2119">
        <f>_xlfn.IMAGE("https://m.media-amazon.com/images/I/719PlKp119L._AC_UL320_.jpg")</f>
        <v/>
      </c>
      <c r="K2119" t="inlineStr">
        <is>
          <t>24.0</t>
        </is>
      </c>
      <c r="L2119" t="n">
        <v>7.99</v>
      </c>
      <c r="M2119" s="1" t="inlineStr">
        <is>
          <t>-66.71%</t>
        </is>
      </c>
      <c r="N2119" t="n">
        <v>4.1</v>
      </c>
      <c r="O2119" t="n">
        <v>364</v>
      </c>
      <c r="Q2119" t="inlineStr">
        <is>
          <t>InStock</t>
        </is>
      </c>
      <c r="R2119" t="inlineStr">
        <is>
          <t>undefined</t>
        </is>
      </c>
      <c r="S2119" t="inlineStr">
        <is>
          <t>6682284818617</t>
        </is>
      </c>
    </row>
    <row r="2120" ht="75" customHeight="1">
      <c r="A2120" s="2">
        <f>HYPERLINK("https://camerareadycosmetics.com/products/lorac-holy-lash-volumizing-mascara", "https://camerareadycosmetics.com/products/lorac-holy-lash-volumizing-mascara")</f>
        <v/>
      </c>
      <c r="B2120" s="2">
        <f>HYPERLINK("https://camerareadycosmetics.com/products/lorac-holy-lash-volumizing-mascara", "https://camerareadycosmetics.com/products/lorac-holy-lash-volumizing-mascara")</f>
        <v/>
      </c>
      <c r="C2120" t="inlineStr">
        <is>
          <t>Holy Lash Volumizing Mascara</t>
        </is>
      </c>
      <c r="D2120" t="inlineStr">
        <is>
          <t>Lash Extensions Mascara - Volumizing and Lengthening Lash 5x Longer for Stunning Eyes - No Clumping, Long-Lasting, Smudge-Proof Formula (Rich Black)</t>
        </is>
      </c>
      <c r="E2120" s="2">
        <f>HYPERLINK("https://www.amazon.com/Lash-Extensions-Mascara-Long-Lasting-Smudge-Proof/dp/B0CD798243/ref=sr_1_4?keywords=Holy+Lash+Volumizing+Mascara&amp;qid=1695565879&amp;sr=8-4", "https://www.amazon.com/Lash-Extensions-Mascara-Long-Lasting-Smudge-Proof/dp/B0CD798243/ref=sr_1_4?keywords=Holy+Lash+Volumizing+Mascara&amp;qid=1695565879&amp;sr=8-4")</f>
        <v/>
      </c>
      <c r="F2120" t="inlineStr">
        <is>
          <t>B0CD798243</t>
        </is>
      </c>
      <c r="G2120">
        <f>_xlfn.IMAGE("https://camerareadycosmetics.com/cdn/shop/products/LORACHolyLashVolumizingMascara_50x.jpg?v=1619613923")</f>
        <v/>
      </c>
      <c r="H2120">
        <f>_xlfn.IMAGE("https://m.media-amazon.com/images/I/71G4yKu78LL._AC_UL320_.jpg")</f>
        <v/>
      </c>
      <c r="K2120" t="inlineStr">
        <is>
          <t>24.0</t>
        </is>
      </c>
      <c r="L2120" t="n">
        <v>6.99</v>
      </c>
      <c r="M2120" s="1" t="inlineStr">
        <is>
          <t>-70.87%</t>
        </is>
      </c>
      <c r="N2120" t="n">
        <v>4</v>
      </c>
      <c r="O2120" t="n">
        <v>1</v>
      </c>
      <c r="Q2120" t="inlineStr">
        <is>
          <t>InStock</t>
        </is>
      </c>
      <c r="R2120" t="inlineStr">
        <is>
          <t>undefined</t>
        </is>
      </c>
      <c r="S2120" t="inlineStr">
        <is>
          <t>6682284818617</t>
        </is>
      </c>
    </row>
    <row r="2121" ht="75" customHeight="1">
      <c r="A2121" s="2">
        <f>HYPERLINK("https://camerareadycosmetics.com/products/lorac-petite-pro-contour-palette-1-light-medium", "https://camerareadycosmetics.com/products/lorac-petite-pro-contour-palette-1-light-medium")</f>
        <v/>
      </c>
      <c r="B2121" s="2">
        <f>HYPERLINK("https://camerareadycosmetics.com/products/lorac-petite-pro-contour-palette-1-light-medium", "https://camerareadycosmetics.com/products/lorac-petite-pro-contour-palette-1-light-medium")</f>
        <v/>
      </c>
      <c r="C2121" t="inlineStr">
        <is>
          <t>Petite PRO Contour Palette 1 Light-Medium</t>
        </is>
      </c>
      <c r="D2121" t="inlineStr">
        <is>
          <t>LORAC Petite PRO Contour Powder Palette Highlighter</t>
        </is>
      </c>
      <c r="E2121" s="2">
        <f>HYPERLINK("https://www.amazon.com/LORAC-Petite-PRO-Contour-Palette/dp/B097QQR9D8/ref=sr_1_1?keywords=Petite+PRO+Contour+Palette+1+Light-Medium&amp;qid=1695565806&amp;sr=8-1", "https://www.amazon.com/LORAC-Petite-PRO-Contour-Palette/dp/B097QQR9D8/ref=sr_1_1?keywords=Petite+PRO+Contour+Palette+1+Light-Medium&amp;qid=1695565806&amp;sr=8-1")</f>
        <v/>
      </c>
      <c r="F2121" t="inlineStr">
        <is>
          <t>B097QQR9D8</t>
        </is>
      </c>
      <c r="G2121">
        <f>_xlfn.IMAGE("https://camerareadycosmetics.com/cdn/shop/products/LORAC-Petite-PRO-Contour-Palette-1-Light-Medium_50x.jpg?v=1626602448")</f>
        <v/>
      </c>
      <c r="H2121">
        <f>_xlfn.IMAGE("https://m.media-amazon.com/images/I/71BuzxI5j5S._AC_UL320_.jpg")</f>
        <v/>
      </c>
      <c r="K2121" t="inlineStr">
        <is>
          <t>32.0</t>
        </is>
      </c>
      <c r="L2121" t="n">
        <v>32</v>
      </c>
      <c r="M2121" s="1" t="inlineStr">
        <is>
          <t>0.00%</t>
        </is>
      </c>
      <c r="N2121" t="n">
        <v>4.4</v>
      </c>
      <c r="O2121" t="n">
        <v>104</v>
      </c>
      <c r="Q2121" t="inlineStr">
        <is>
          <t>InStock</t>
        </is>
      </c>
      <c r="R2121" t="inlineStr">
        <is>
          <t>undefined</t>
        </is>
      </c>
      <c r="S2121" t="inlineStr">
        <is>
          <t>6837475606713</t>
        </is>
      </c>
    </row>
    <row r="2122" ht="75" customHeight="1">
      <c r="A2122" s="2">
        <f>HYPERLINK("https://camerareadycosmetics.com/products/lorac-petite-pro-contour-palette-1-light-medium", "https://camerareadycosmetics.com/products/lorac-petite-pro-contour-palette-1-light-medium")</f>
        <v/>
      </c>
      <c r="B2122" s="2">
        <f>HYPERLINK("https://camerareadycosmetics.com/products/lorac-petite-pro-contour-palette-1-light-medium", "https://camerareadycosmetics.com/products/lorac-petite-pro-contour-palette-1-light-medium")</f>
        <v/>
      </c>
      <c r="C2122" t="inlineStr">
        <is>
          <t>Petite PRO Contour Palette 1 Light-Medium</t>
        </is>
      </c>
      <c r="D2122" t="inlineStr">
        <is>
          <t>Profusion Cosmetics Mini Artistry Highlight &amp; Contour I Palette Makeup Kit, Long Lasting and Soft Powder Formula - Light Medium</t>
        </is>
      </c>
      <c r="E2122" s="2">
        <f>HYPERLINK("https://www.amazon.com/Profusion-Cosmetics-Artistry-Highlight-Contour/dp/B07N864Q64/ref=sr_1_8?keywords=Petite+PRO+Contour+Palette+1+Light-Medium&amp;qid=1695565806&amp;sr=8-8", "https://www.amazon.com/Profusion-Cosmetics-Artistry-Highlight-Contour/dp/B07N864Q64/ref=sr_1_8?keywords=Petite+PRO+Contour+Palette+1+Light-Medium&amp;qid=1695565806&amp;sr=8-8")</f>
        <v/>
      </c>
      <c r="F2122" t="inlineStr">
        <is>
          <t>B07N864Q64</t>
        </is>
      </c>
      <c r="G2122">
        <f>_xlfn.IMAGE("https://camerareadycosmetics.com/cdn/shop/products/LORAC-Petite-PRO-Contour-Palette-1-Light-Medium_50x.jpg?v=1626602448")</f>
        <v/>
      </c>
      <c r="H2122">
        <f>_xlfn.IMAGE("https://m.media-amazon.com/images/I/81453VTxS1L._AC_UL320_.jpg")</f>
        <v/>
      </c>
      <c r="K2122" t="inlineStr">
        <is>
          <t>32.0</t>
        </is>
      </c>
      <c r="L2122" t="n">
        <v>11.82</v>
      </c>
      <c r="M2122" s="1" t="inlineStr">
        <is>
          <t>-63.06%</t>
        </is>
      </c>
      <c r="N2122" t="n">
        <v>4.4</v>
      </c>
      <c r="O2122" t="n">
        <v>571</v>
      </c>
      <c r="Q2122" t="inlineStr">
        <is>
          <t>InStock</t>
        </is>
      </c>
      <c r="R2122" t="inlineStr">
        <is>
          <t>undefined</t>
        </is>
      </c>
      <c r="S2122" t="inlineStr">
        <is>
          <t>6837475606713</t>
        </is>
      </c>
    </row>
    <row r="2123" ht="75" customHeight="1">
      <c r="A2123" s="2">
        <f>HYPERLINK("https://camerareadycosmetics.com/products/lorac-petite-pro-contour-palette-1-light-medium", "https://camerareadycosmetics.com/products/lorac-petite-pro-contour-palette-1-light-medium")</f>
        <v/>
      </c>
      <c r="B2123" s="2">
        <f>HYPERLINK("https://camerareadycosmetics.com/products/lorac-petite-pro-contour-palette-1-light-medium", "https://camerareadycosmetics.com/products/lorac-petite-pro-contour-palette-1-light-medium")</f>
        <v/>
      </c>
      <c r="C2123" t="inlineStr">
        <is>
          <t>Petite PRO Contour Palette 1 Light-Medium</t>
        </is>
      </c>
      <c r="D2123" t="inlineStr">
        <is>
          <t>Concealer Contour Palette, Cosmetics Cream Contour and Highlighting Makeup Kit, 6 In 1 Contouring Foundation Concealer Palette Conceals Dark Circles, Blemish, Waterproof Long-Lasting - Cruelty Free (#02)</t>
        </is>
      </c>
      <c r="E2123" s="2">
        <f>HYPERLINK("https://www.amazon.com/Highlighting-Contouring-Foundation-Waterproof-Long-Lasting/dp/B09NSHHLK8/ref=sr_1_5?keywords=Petite+PRO+Contour+Palette+1+Light-Medium&amp;qid=1695565806&amp;sr=8-5", "https://www.amazon.com/Highlighting-Contouring-Foundation-Waterproof-Long-Lasting/dp/B09NSHHLK8/ref=sr_1_5?keywords=Petite+PRO+Contour+Palette+1+Light-Medium&amp;qid=1695565806&amp;sr=8-5")</f>
        <v/>
      </c>
      <c r="F2123" t="inlineStr">
        <is>
          <t>B09NSHHLK8</t>
        </is>
      </c>
      <c r="G2123">
        <f>_xlfn.IMAGE("https://camerareadycosmetics.com/cdn/shop/products/LORAC-Petite-PRO-Contour-Palette-1-Light-Medium_50x.jpg?v=1626602448")</f>
        <v/>
      </c>
      <c r="H2123">
        <f>_xlfn.IMAGE("https://m.media-amazon.com/images/I/611dk6gU2pL._AC_UL320_.jpg")</f>
        <v/>
      </c>
      <c r="K2123" t="inlineStr">
        <is>
          <t>32.0</t>
        </is>
      </c>
      <c r="L2123" t="n">
        <v>6.29</v>
      </c>
      <c r="M2123" s="1" t="inlineStr">
        <is>
          <t>-80.34%</t>
        </is>
      </c>
      <c r="N2123" t="n">
        <v>3.9</v>
      </c>
      <c r="O2123" t="n">
        <v>291</v>
      </c>
      <c r="Q2123" t="inlineStr">
        <is>
          <t>InStock</t>
        </is>
      </c>
      <c r="R2123" t="inlineStr">
        <is>
          <t>undefined</t>
        </is>
      </c>
      <c r="S2123" t="inlineStr">
        <is>
          <t>6837475606713</t>
        </is>
      </c>
    </row>
    <row r="2124" ht="75" customHeight="1">
      <c r="A2124" s="2">
        <f>HYPERLINK("https://camerareadycosmetics.com/products/lorac-petite-pro-contour-palette-1-light-medium", "https://camerareadycosmetics.com/products/lorac-petite-pro-contour-palette-1-light-medium")</f>
        <v/>
      </c>
      <c r="B2124" s="2">
        <f>HYPERLINK("https://camerareadycosmetics.com/products/lorac-petite-pro-contour-palette-1-light-medium", "https://camerareadycosmetics.com/products/lorac-petite-pro-contour-palette-1-light-medium")</f>
        <v/>
      </c>
      <c r="C2124" t="inlineStr">
        <is>
          <t>Petite PRO Contour Palette 1 Light-Medium</t>
        </is>
      </c>
      <c r="D2124" t="inlineStr">
        <is>
          <t>Profusion Cosmetics Mini Artistry Highlight &amp; Contour I Palette Makeup Kit, Long Lasting and Soft Powder Formula - Light Medium</t>
        </is>
      </c>
      <c r="E2124" s="2">
        <f>HYPERLINK("https://www.amazon.com/Profusion-Cosmetics-Artistry-Highlight-Contour/dp/B07N864Q64/ref=sr_1_8?keywords=Petite+PRO+Contour+Palette+1+Light-Medium&amp;qid=1695565806&amp;sr=8-8", "https://www.amazon.com/Profusion-Cosmetics-Artistry-Highlight-Contour/dp/B07N864Q64/ref=sr_1_8?keywords=Petite+PRO+Contour+Palette+1+Light-Medium&amp;qid=1695565806&amp;sr=8-8")</f>
        <v/>
      </c>
      <c r="F2124" t="inlineStr">
        <is>
          <t>B07N864Q64</t>
        </is>
      </c>
      <c r="G2124">
        <f>_xlfn.IMAGE("https://camerareadycosmetics.com/cdn/shop/products/LORAC-Petite-PRO-Contour-Palette-1-Light-Medium_50x.jpg?v=1626602448")</f>
        <v/>
      </c>
      <c r="H2124">
        <f>_xlfn.IMAGE("https://m.media-amazon.com/images/I/81453VTxS1L._AC_UL320_.jpg")</f>
        <v/>
      </c>
      <c r="K2124" t="inlineStr">
        <is>
          <t>32.0</t>
        </is>
      </c>
      <c r="L2124" t="n">
        <v>11.82</v>
      </c>
      <c r="M2124" s="1" t="inlineStr">
        <is>
          <t>-63.06%</t>
        </is>
      </c>
      <c r="N2124" t="n">
        <v>4.4</v>
      </c>
      <c r="O2124" t="n">
        <v>571</v>
      </c>
      <c r="Q2124" t="inlineStr">
        <is>
          <t>InStock</t>
        </is>
      </c>
      <c r="R2124" t="inlineStr">
        <is>
          <t>undefined</t>
        </is>
      </c>
      <c r="S2124" t="inlineStr">
        <is>
          <t>6837475606713</t>
        </is>
      </c>
    </row>
    <row r="2125" ht="75" customHeight="1">
      <c r="A2125" s="2">
        <f>HYPERLINK("https://camerareadycosmetics.com/products/lorac-petite-pro-contour-palette-1-light-medium", "https://camerareadycosmetics.com/products/lorac-petite-pro-contour-palette-1-light-medium")</f>
        <v/>
      </c>
      <c r="B2125" s="2">
        <f>HYPERLINK("https://camerareadycosmetics.com/products/lorac-petite-pro-contour-palette-1-light-medium", "https://camerareadycosmetics.com/products/lorac-petite-pro-contour-palette-1-light-medium")</f>
        <v/>
      </c>
      <c r="C2125" t="inlineStr">
        <is>
          <t>Petite PRO Contour Palette 1 Light-Medium</t>
        </is>
      </c>
      <c r="D2125" t="inlineStr">
        <is>
          <t>Concealer Contour Palette, Cosmetics Cream Contour and Highlighting Makeup Kit, 6 In 1 Contouring Foundation Concealer Palette Conceals Dark Circles, Blemish, Waterproof Long-Lasting - Cruelty Free (#02)</t>
        </is>
      </c>
      <c r="E2125" s="2">
        <f>HYPERLINK("https://www.amazon.com/Highlighting-Contouring-Foundation-Waterproof-Long-Lasting/dp/B09NSHHLK8/ref=sr_1_5?keywords=Petite+PRO+Contour+Palette+1+Light-Medium&amp;qid=1695565806&amp;sr=8-5", "https://www.amazon.com/Highlighting-Contouring-Foundation-Waterproof-Long-Lasting/dp/B09NSHHLK8/ref=sr_1_5?keywords=Petite+PRO+Contour+Palette+1+Light-Medium&amp;qid=1695565806&amp;sr=8-5")</f>
        <v/>
      </c>
      <c r="F2125" t="inlineStr">
        <is>
          <t>B09NSHHLK8</t>
        </is>
      </c>
      <c r="G2125">
        <f>_xlfn.IMAGE("https://camerareadycosmetics.com/cdn/shop/products/LORAC-Petite-PRO-Contour-Palette-1-Light-Medium_50x.jpg?v=1626602448")</f>
        <v/>
      </c>
      <c r="H2125">
        <f>_xlfn.IMAGE("https://m.media-amazon.com/images/I/611dk6gU2pL._AC_UL320_.jpg")</f>
        <v/>
      </c>
      <c r="K2125" t="inlineStr">
        <is>
          <t>32.0</t>
        </is>
      </c>
      <c r="L2125" t="n">
        <v>6.29</v>
      </c>
      <c r="M2125" s="1" t="inlineStr">
        <is>
          <t>-80.34%</t>
        </is>
      </c>
      <c r="N2125" t="n">
        <v>3.9</v>
      </c>
      <c r="O2125" t="n">
        <v>291</v>
      </c>
      <c r="Q2125" t="inlineStr">
        <is>
          <t>InStock</t>
        </is>
      </c>
      <c r="R2125" t="inlineStr">
        <is>
          <t>undefined</t>
        </is>
      </c>
      <c r="S2125" t="inlineStr">
        <is>
          <t>6837475606713</t>
        </is>
      </c>
    </row>
    <row r="2126" ht="75" customHeight="1">
      <c r="A2126" s="2">
        <f>HYPERLINK("https://camerareadycosmetics.com/products/lorac-petite-pro-contour-palette-2-medium-dark", "https://camerareadycosmetics.com/products/lorac-petite-pro-contour-palette-2-medium-dark")</f>
        <v/>
      </c>
      <c r="B2126" s="2">
        <f>HYPERLINK("https://camerareadycosmetics.com/products/lorac-petite-pro-contour-palette-2-medium-dark", "https://camerareadycosmetics.com/products/lorac-petite-pro-contour-palette-2-medium-dark")</f>
        <v/>
      </c>
      <c r="C2126" t="inlineStr">
        <is>
          <t>Petite PRO Contour Palette 2 Medium Dark</t>
        </is>
      </c>
      <c r="D2126" t="inlineStr">
        <is>
          <t>Profusion Cosmetics Pro Makeup Case Contour II Palette - Medium Dark</t>
        </is>
      </c>
      <c r="E2126" s="2">
        <f>HYPERLINK("https://www.amazon.com/Profusion-Cosmetics-Makeup-Contour-Palette/dp/B07N1NYBH8/ref=sr_1_2?keywords=Petite+PRO+Contour+Palette+2+Medium+Dark&amp;qid=1695565822&amp;sr=8-2", "https://www.amazon.com/Profusion-Cosmetics-Makeup-Contour-Palette/dp/B07N1NYBH8/ref=sr_1_2?keywords=Petite+PRO+Contour+Palette+2+Medium+Dark&amp;qid=1695565822&amp;sr=8-2")</f>
        <v/>
      </c>
      <c r="F2126" t="inlineStr">
        <is>
          <t>B07N1NYBH8</t>
        </is>
      </c>
      <c r="G2126">
        <f>_xlfn.IMAGE("https://camerareadycosmetics.com/cdn/shop/products/LORAC-Petite-PRO-Contour-Palette-2-Medium-Dark-1810345_6_50x.jpg?v=1626602450")</f>
        <v/>
      </c>
      <c r="H2126">
        <f>_xlfn.IMAGE("https://m.media-amazon.com/images/I/71g7L6uYavL._AC_UL320_.jpg")</f>
        <v/>
      </c>
      <c r="K2126" t="inlineStr">
        <is>
          <t>32.0</t>
        </is>
      </c>
      <c r="L2126" t="n">
        <v>7.49</v>
      </c>
      <c r="M2126" s="1" t="inlineStr">
        <is>
          <t>-76.59%</t>
        </is>
      </c>
      <c r="N2126" t="n">
        <v>4.3</v>
      </c>
      <c r="O2126" t="n">
        <v>64</v>
      </c>
      <c r="Q2126" t="inlineStr">
        <is>
          <t>OutOfStock</t>
        </is>
      </c>
      <c r="R2126" t="inlineStr">
        <is>
          <t>undefined</t>
        </is>
      </c>
      <c r="S2126" t="inlineStr">
        <is>
          <t>6837503459513</t>
        </is>
      </c>
    </row>
    <row r="2127" ht="75" customHeight="1">
      <c r="A2127" s="2">
        <f>HYPERLINK("https://camerareadycosmetics.com/products/lorac-petite-pro-contour-palette-2-medium-dark", "https://camerareadycosmetics.com/products/lorac-petite-pro-contour-palette-2-medium-dark")</f>
        <v/>
      </c>
      <c r="B2127" s="2">
        <f>HYPERLINK("https://camerareadycosmetics.com/products/lorac-petite-pro-contour-palette-2-medium-dark", "https://camerareadycosmetics.com/products/lorac-petite-pro-contour-palette-2-medium-dark")</f>
        <v/>
      </c>
      <c r="C2127" t="inlineStr">
        <is>
          <t>Petite PRO Contour Palette 2 Medium Dark</t>
        </is>
      </c>
      <c r="D2127" t="inlineStr">
        <is>
          <t>Profusion Cosmetics Rich Ingredients Long Lasting and Bendability Lightweight Mini Artistry Highlight &amp; Contour II Palette - Medium Dark</t>
        </is>
      </c>
      <c r="E2127" s="2">
        <f>HYPERLINK("https://www.amazon.com/Profusion-Cosmetics-Artistry-Highlight-Contour/dp/B07N7J4YBV/ref=sr_1_8?keywords=Petite+PRO+Contour+Palette+2+Medium+Dark&amp;qid=1695565822&amp;sr=8-8", "https://www.amazon.com/Profusion-Cosmetics-Artistry-Highlight-Contour/dp/B07N7J4YBV/ref=sr_1_8?keywords=Petite+PRO+Contour+Palette+2+Medium+Dark&amp;qid=1695565822&amp;sr=8-8")</f>
        <v/>
      </c>
      <c r="F2127" t="inlineStr">
        <is>
          <t>B07N7J4YBV</t>
        </is>
      </c>
      <c r="G2127">
        <f>_xlfn.IMAGE("https://camerareadycosmetics.com/cdn/shop/products/LORAC-Petite-PRO-Contour-Palette-2-Medium-Dark-1810345_6_50x.jpg?v=1626602450")</f>
        <v/>
      </c>
      <c r="H2127">
        <f>_xlfn.IMAGE("https://m.media-amazon.com/images/I/81U1itkYmaL._AC_UL320_.jpg")</f>
        <v/>
      </c>
      <c r="K2127" t="inlineStr">
        <is>
          <t>32.0</t>
        </is>
      </c>
      <c r="L2127" t="n">
        <v>6.98</v>
      </c>
      <c r="M2127" s="1" t="inlineStr">
        <is>
          <t>-78.19%</t>
        </is>
      </c>
      <c r="N2127" t="n">
        <v>4.1</v>
      </c>
      <c r="O2127" t="n">
        <v>163</v>
      </c>
      <c r="Q2127" t="inlineStr">
        <is>
          <t>OutOfStock</t>
        </is>
      </c>
      <c r="R2127" t="inlineStr">
        <is>
          <t>undefined</t>
        </is>
      </c>
      <c r="S2127" t="inlineStr">
        <is>
          <t>6837503459513</t>
        </is>
      </c>
    </row>
    <row r="2128" ht="75" customHeight="1">
      <c r="A2128" s="2">
        <f>HYPERLINK("https://camerareadycosmetics.com/products/lorac-petite-pro-contour-palette-2-medium-dark", "https://camerareadycosmetics.com/products/lorac-petite-pro-contour-palette-2-medium-dark")</f>
        <v/>
      </c>
      <c r="B2128" s="2">
        <f>HYPERLINK("https://camerareadycosmetics.com/products/lorac-petite-pro-contour-palette-2-medium-dark", "https://camerareadycosmetics.com/products/lorac-petite-pro-contour-palette-2-medium-dark")</f>
        <v/>
      </c>
      <c r="C2128" t="inlineStr">
        <is>
          <t>Petite PRO Contour Palette 2 Medium Dark</t>
        </is>
      </c>
      <c r="D2128" t="inlineStr">
        <is>
          <t>Concealer Contour Palette, Cosmetics Cream Contour and Highlighting Makeup Kit, 6 In 1 Contouring Foundation Concealer Palette Conceals Dark Circles, Blemish, Waterproof Long-Lasting - Cruelty Free (#02)</t>
        </is>
      </c>
      <c r="E2128" s="2">
        <f>HYPERLINK("https://www.amazon.com/Highlighting-Contouring-Foundation-Waterproof-Long-Lasting/dp/B09NSHHLK8/ref=sr_1_6?keywords=Petite+PRO+Contour+Palette+2+Medium+Dark&amp;qid=1695565822&amp;sr=8-6", "https://www.amazon.com/Highlighting-Contouring-Foundation-Waterproof-Long-Lasting/dp/B09NSHHLK8/ref=sr_1_6?keywords=Petite+PRO+Contour+Palette+2+Medium+Dark&amp;qid=1695565822&amp;sr=8-6")</f>
        <v/>
      </c>
      <c r="F2128" t="inlineStr">
        <is>
          <t>B09NSHHLK8</t>
        </is>
      </c>
      <c r="G2128">
        <f>_xlfn.IMAGE("https://camerareadycosmetics.com/cdn/shop/products/LORAC-Petite-PRO-Contour-Palette-2-Medium-Dark-1810345_6_50x.jpg?v=1626602450")</f>
        <v/>
      </c>
      <c r="H2128">
        <f>_xlfn.IMAGE("https://m.media-amazon.com/images/I/611dk6gU2pL._AC_UL320_.jpg")</f>
        <v/>
      </c>
      <c r="K2128" t="inlineStr">
        <is>
          <t>32.0</t>
        </is>
      </c>
      <c r="L2128" t="n">
        <v>6.29</v>
      </c>
      <c r="M2128" s="1" t="inlineStr">
        <is>
          <t>-80.34%</t>
        </is>
      </c>
      <c r="N2128" t="n">
        <v>3.9</v>
      </c>
      <c r="O2128" t="n">
        <v>291</v>
      </c>
      <c r="Q2128" t="inlineStr">
        <is>
          <t>OutOfStock</t>
        </is>
      </c>
      <c r="R2128" t="inlineStr">
        <is>
          <t>undefined</t>
        </is>
      </c>
      <c r="S2128" t="inlineStr">
        <is>
          <t>6837503459513</t>
        </is>
      </c>
    </row>
    <row r="2129" ht="75" customHeight="1">
      <c r="A2129" s="2">
        <f>HYPERLINK("https://camerareadycosmetics.com/products/lorac-petite-pro-contour-palette-2-medium-dark", "https://camerareadycosmetics.com/products/lorac-petite-pro-contour-palette-2-medium-dark")</f>
        <v/>
      </c>
      <c r="B2129" s="2">
        <f>HYPERLINK("https://camerareadycosmetics.com/products/lorac-petite-pro-contour-palette-2-medium-dark", "https://camerareadycosmetics.com/products/lorac-petite-pro-contour-palette-2-medium-dark")</f>
        <v/>
      </c>
      <c r="C2129" t="inlineStr">
        <is>
          <t>Petite PRO Contour Palette 2 Medium Dark</t>
        </is>
      </c>
      <c r="D2129" t="inlineStr">
        <is>
          <t>Profusion Cosmetics Pro Makeup Case Contour II Palette - Medium Dark</t>
        </is>
      </c>
      <c r="E2129" s="2">
        <f>HYPERLINK("https://www.amazon.com/Profusion-Cosmetics-Makeup-Contour-Palette/dp/B07N1NYBH8/ref=sr_1_2?keywords=Petite+PRO+Contour+Palette+2+Medium+Dark&amp;qid=1695565822&amp;sr=8-2", "https://www.amazon.com/Profusion-Cosmetics-Makeup-Contour-Palette/dp/B07N1NYBH8/ref=sr_1_2?keywords=Petite+PRO+Contour+Palette+2+Medium+Dark&amp;qid=1695565822&amp;sr=8-2")</f>
        <v/>
      </c>
      <c r="F2129" t="inlineStr">
        <is>
          <t>B07N1NYBH8</t>
        </is>
      </c>
      <c r="G2129">
        <f>_xlfn.IMAGE("https://camerareadycosmetics.com/cdn/shop/products/LORAC-Petite-PRO-Contour-Palette-2-Medium-Dark-1810345_6_50x.jpg?v=1626602450")</f>
        <v/>
      </c>
      <c r="H2129">
        <f>_xlfn.IMAGE("https://m.media-amazon.com/images/I/71g7L6uYavL._AC_UL320_.jpg")</f>
        <v/>
      </c>
      <c r="K2129" t="inlineStr">
        <is>
          <t>32.0</t>
        </is>
      </c>
      <c r="L2129" t="n">
        <v>7.49</v>
      </c>
      <c r="M2129" s="1" t="inlineStr">
        <is>
          <t>-76.59%</t>
        </is>
      </c>
      <c r="N2129" t="n">
        <v>4.3</v>
      </c>
      <c r="O2129" t="n">
        <v>64</v>
      </c>
      <c r="Q2129" t="inlineStr">
        <is>
          <t>OutOfStock</t>
        </is>
      </c>
      <c r="R2129" t="inlineStr">
        <is>
          <t>undefined</t>
        </is>
      </c>
      <c r="S2129" t="inlineStr">
        <is>
          <t>6837503459513</t>
        </is>
      </c>
    </row>
    <row r="2130" ht="75" customHeight="1">
      <c r="A2130" s="2">
        <f>HYPERLINK("https://camerareadycosmetics.com/products/lorac-petite-pro-contour-palette-2-medium-dark", "https://camerareadycosmetics.com/products/lorac-petite-pro-contour-palette-2-medium-dark")</f>
        <v/>
      </c>
      <c r="B2130" s="2">
        <f>HYPERLINK("https://camerareadycosmetics.com/products/lorac-petite-pro-contour-palette-2-medium-dark", "https://camerareadycosmetics.com/products/lorac-petite-pro-contour-palette-2-medium-dark")</f>
        <v/>
      </c>
      <c r="C2130" t="inlineStr">
        <is>
          <t>Petite PRO Contour Palette 2 Medium Dark</t>
        </is>
      </c>
      <c r="D2130" t="inlineStr">
        <is>
          <t>Profusion Cosmetics Rich Ingredients Long Lasting and Bendability Lightweight Mini Artistry Highlight &amp; Contour II Palette - Medium Dark</t>
        </is>
      </c>
      <c r="E2130" s="2">
        <f>HYPERLINK("https://www.amazon.com/Profusion-Cosmetics-Artistry-Highlight-Contour/dp/B07N7J4YBV/ref=sr_1_8?keywords=Petite+PRO+Contour+Palette+2+Medium+Dark&amp;qid=1695565822&amp;sr=8-8", "https://www.amazon.com/Profusion-Cosmetics-Artistry-Highlight-Contour/dp/B07N7J4YBV/ref=sr_1_8?keywords=Petite+PRO+Contour+Palette+2+Medium+Dark&amp;qid=1695565822&amp;sr=8-8")</f>
        <v/>
      </c>
      <c r="F2130" t="inlineStr">
        <is>
          <t>B07N7J4YBV</t>
        </is>
      </c>
      <c r="G2130">
        <f>_xlfn.IMAGE("https://camerareadycosmetics.com/cdn/shop/products/LORAC-Petite-PRO-Contour-Palette-2-Medium-Dark-1810345_6_50x.jpg?v=1626602450")</f>
        <v/>
      </c>
      <c r="H2130">
        <f>_xlfn.IMAGE("https://m.media-amazon.com/images/I/81U1itkYmaL._AC_UL320_.jpg")</f>
        <v/>
      </c>
      <c r="K2130" t="inlineStr">
        <is>
          <t>32.0</t>
        </is>
      </c>
      <c r="L2130" t="n">
        <v>6.98</v>
      </c>
      <c r="M2130" s="1" t="inlineStr">
        <is>
          <t>-78.19%</t>
        </is>
      </c>
      <c r="N2130" t="n">
        <v>4.1</v>
      </c>
      <c r="O2130" t="n">
        <v>163</v>
      </c>
      <c r="Q2130" t="inlineStr">
        <is>
          <t>OutOfStock</t>
        </is>
      </c>
      <c r="R2130" t="inlineStr">
        <is>
          <t>undefined</t>
        </is>
      </c>
      <c r="S2130" t="inlineStr">
        <is>
          <t>6837503459513</t>
        </is>
      </c>
    </row>
    <row r="2131" ht="75" customHeight="1">
      <c r="A2131" s="2">
        <f>HYPERLINK("https://camerareadycosmetics.com/products/lorac-petite-pro-contour-palette-2-medium-dark", "https://camerareadycosmetics.com/products/lorac-petite-pro-contour-palette-2-medium-dark")</f>
        <v/>
      </c>
      <c r="B2131" s="2">
        <f>HYPERLINK("https://camerareadycosmetics.com/products/lorac-petite-pro-contour-palette-2-medium-dark", "https://camerareadycosmetics.com/products/lorac-petite-pro-contour-palette-2-medium-dark")</f>
        <v/>
      </c>
      <c r="C2131" t="inlineStr">
        <is>
          <t>Petite PRO Contour Palette 2 Medium Dark</t>
        </is>
      </c>
      <c r="D2131" t="inlineStr">
        <is>
          <t>Concealer Contour Palette, Cosmetics Cream Contour and Highlighting Makeup Kit, 6 In 1 Contouring Foundation Concealer Palette Conceals Dark Circles, Blemish, Waterproof Long-Lasting - Cruelty Free (#02)</t>
        </is>
      </c>
      <c r="E2131" s="2">
        <f>HYPERLINK("https://www.amazon.com/Highlighting-Contouring-Foundation-Waterproof-Long-Lasting/dp/B09NSHHLK8/ref=sr_1_6?keywords=Petite+PRO+Contour+Palette+2+Medium+Dark&amp;qid=1695565822&amp;sr=8-6", "https://www.amazon.com/Highlighting-Contouring-Foundation-Waterproof-Long-Lasting/dp/B09NSHHLK8/ref=sr_1_6?keywords=Petite+PRO+Contour+Palette+2+Medium+Dark&amp;qid=1695565822&amp;sr=8-6")</f>
        <v/>
      </c>
      <c r="F2131" t="inlineStr">
        <is>
          <t>B09NSHHLK8</t>
        </is>
      </c>
      <c r="G2131">
        <f>_xlfn.IMAGE("https://camerareadycosmetics.com/cdn/shop/products/LORAC-Petite-PRO-Contour-Palette-2-Medium-Dark-1810345_6_50x.jpg?v=1626602450")</f>
        <v/>
      </c>
      <c r="H2131">
        <f>_xlfn.IMAGE("https://m.media-amazon.com/images/I/611dk6gU2pL._AC_UL320_.jpg")</f>
        <v/>
      </c>
      <c r="K2131" t="inlineStr">
        <is>
          <t>32.0</t>
        </is>
      </c>
      <c r="L2131" t="n">
        <v>6.29</v>
      </c>
      <c r="M2131" s="1" t="inlineStr">
        <is>
          <t>-80.34%</t>
        </is>
      </c>
      <c r="N2131" t="n">
        <v>3.9</v>
      </c>
      <c r="O2131" t="n">
        <v>291</v>
      </c>
      <c r="Q2131" t="inlineStr">
        <is>
          <t>OutOfStock</t>
        </is>
      </c>
      <c r="R2131" t="inlineStr">
        <is>
          <t>undefined</t>
        </is>
      </c>
      <c r="S2131" t="inlineStr">
        <is>
          <t>6837503459513</t>
        </is>
      </c>
    </row>
    <row r="2132" ht="75" customHeight="1">
      <c r="A2132" s="2">
        <f>HYPERLINK("https://camerareadycosmetics.com/products/lorac-pro-conceal-contour-palette-and-brush", "https://camerareadycosmetics.com/products/lorac-pro-conceal-contour-palette-and-brush")</f>
        <v/>
      </c>
      <c r="B2132" s="2">
        <f>HYPERLINK("https://camerareadycosmetics.com/products/lorac-pro-conceal-contour-palette-and-brush", "https://camerareadycosmetics.com/products/lorac-pro-conceal-contour-palette-and-brush")</f>
        <v/>
      </c>
      <c r="C2132" t="inlineStr">
        <is>
          <t>PRO Conceal/Contour Palette and Brush</t>
        </is>
      </c>
      <c r="D2132" t="inlineStr">
        <is>
          <t>12 Colors Cream Blush Palette, Color Correcting Concealer Foundation Palette, Long Wearing Smudge Proof Blendable Matte Finish Blush Powder Highlighter and Cream Contour Palette Makeup (01)</t>
        </is>
      </c>
      <c r="E2132" s="2">
        <f>HYPERLINK("https://www.amazon.com/HOSAILY-Correcting-Concealer-Foundation-Highlighter/dp/B0C6GCRG84/ref=sr_1_7?keywords=PRO+Conceal%2FContour+Palette+and+Brush&amp;qid=1695565740&amp;sr=8-7", "https://www.amazon.com/HOSAILY-Correcting-Concealer-Foundation-Highlighter/dp/B0C6GCRG84/ref=sr_1_7?keywords=PRO+Conceal%2FContour+Palette+and+Brush&amp;qid=1695565740&amp;sr=8-7")</f>
        <v/>
      </c>
      <c r="F2132" t="inlineStr">
        <is>
          <t>B0C6GCRG84</t>
        </is>
      </c>
      <c r="G2132">
        <f>_xlfn.IMAGE("https://camerareadycosmetics.com/cdn/shop/products/lorac-pro--conceal-contour-palette-open_50x.jpg?v=1564090761")</f>
        <v/>
      </c>
      <c r="H2132">
        <f>_xlfn.IMAGE("https://m.media-amazon.com/images/I/61NqOL2BbjL._AC_UL320_.jpg")</f>
        <v/>
      </c>
      <c r="K2132" t="inlineStr">
        <is>
          <t>45.0</t>
        </is>
      </c>
      <c r="L2132" t="n">
        <v>11.99</v>
      </c>
      <c r="M2132" s="1" t="inlineStr">
        <is>
          <t>-73.36%</t>
        </is>
      </c>
      <c r="N2132" t="n">
        <v>4.3</v>
      </c>
      <c r="O2132" t="n">
        <v>41</v>
      </c>
      <c r="Q2132" t="inlineStr">
        <is>
          <t>OutOfStock</t>
        </is>
      </c>
      <c r="R2132" t="inlineStr">
        <is>
          <t>45.0</t>
        </is>
      </c>
      <c r="S2132" t="inlineStr">
        <is>
          <t>3945564012655</t>
        </is>
      </c>
    </row>
    <row r="2133" ht="75" customHeight="1">
      <c r="A2133" s="2">
        <f>HYPERLINK("https://camerareadycosmetics.com/products/lorac-pro-conceal-contour-palette-and-brush", "https://camerareadycosmetics.com/products/lorac-pro-conceal-contour-palette-and-brush")</f>
        <v/>
      </c>
      <c r="B2133" s="2">
        <f>HYPERLINK("https://camerareadycosmetics.com/products/lorac-pro-conceal-contour-palette-and-brush", "https://camerareadycosmetics.com/products/lorac-pro-conceal-contour-palette-and-brush")</f>
        <v/>
      </c>
      <c r="C2133" t="inlineStr">
        <is>
          <t>PRO Conceal/Contour Palette and Brush</t>
        </is>
      </c>
      <c r="D2133" t="inlineStr">
        <is>
          <t>Pro Cream Contour and Highlight Palette Kit with Mirror &amp; Brush for Beginners. White Silver Gold Highlight Brown Face Correcting Concealer Palette for Dark Circles Redness Acne Etc.corrector de ojeras</t>
        </is>
      </c>
      <c r="E2133" s="2">
        <f>HYPERLINK("https://www.amazon.com/Highlight-Beginners-Correcting-Concealer-Etc-corrector/dp/B0BZHX95JK/ref=sr_1_1?keywords=PRO+Conceal%2FContour+Palette+and+Brush&amp;qid=1695565740&amp;sr=8-1", "https://www.amazon.com/Highlight-Beginners-Correcting-Concealer-Etc-corrector/dp/B0BZHX95JK/ref=sr_1_1?keywords=PRO+Conceal%2FContour+Palette+and+Brush&amp;qid=1695565740&amp;sr=8-1")</f>
        <v/>
      </c>
      <c r="F2133" t="inlineStr">
        <is>
          <t>B0BZHX95JK</t>
        </is>
      </c>
      <c r="G2133">
        <f>_xlfn.IMAGE("https://camerareadycosmetics.com/cdn/shop/products/lorac-pro--conceal-contour-palette-open_50x.jpg?v=1564090761")</f>
        <v/>
      </c>
      <c r="H2133">
        <f>_xlfn.IMAGE("https://m.media-amazon.com/images/I/61jDTQpsp6L._AC_UL320_.jpg")</f>
        <v/>
      </c>
      <c r="K2133" t="inlineStr">
        <is>
          <t>45.0</t>
        </is>
      </c>
      <c r="L2133" t="n">
        <v>9.99</v>
      </c>
      <c r="M2133" s="1" t="inlineStr">
        <is>
          <t>-77.80%</t>
        </is>
      </c>
      <c r="N2133" t="n">
        <v>3.7</v>
      </c>
      <c r="O2133" t="n">
        <v>231</v>
      </c>
      <c r="Q2133" t="inlineStr">
        <is>
          <t>OutOfStock</t>
        </is>
      </c>
      <c r="R2133" t="inlineStr">
        <is>
          <t>45.0</t>
        </is>
      </c>
      <c r="S2133" t="inlineStr">
        <is>
          <t>3945564012655</t>
        </is>
      </c>
    </row>
    <row r="2134" ht="75" customHeight="1">
      <c r="A2134" s="2">
        <f>HYPERLINK("https://camerareadycosmetics.com/products/lorac-pro-conceal-contour-palette-and-brush", "https://camerareadycosmetics.com/products/lorac-pro-conceal-contour-palette-and-brush")</f>
        <v/>
      </c>
      <c r="B2134" s="2">
        <f>HYPERLINK("https://camerareadycosmetics.com/products/lorac-pro-conceal-contour-palette-and-brush", "https://camerareadycosmetics.com/products/lorac-pro-conceal-contour-palette-and-brush")</f>
        <v/>
      </c>
      <c r="C2134" t="inlineStr">
        <is>
          <t>PRO Conceal/Contour Palette and Brush</t>
        </is>
      </c>
      <c r="D2134" t="inlineStr">
        <is>
          <t>12 Colors Cream Blush Palette, Color Correcting Concealer Foundation Palette, Long Wearing Smudge Proof Blendable Matte Finish Blush Powder Highlighter and Cream Contour Palette Makeup (01)</t>
        </is>
      </c>
      <c r="E2134" s="2">
        <f>HYPERLINK("https://www.amazon.com/HOSAILY-Correcting-Concealer-Foundation-Highlighter/dp/B0C6GCRG84/ref=sr_1_7?keywords=PRO+Conceal%2FContour+Palette+and+Brush&amp;qid=1695565740&amp;sr=8-7", "https://www.amazon.com/HOSAILY-Correcting-Concealer-Foundation-Highlighter/dp/B0C6GCRG84/ref=sr_1_7?keywords=PRO+Conceal%2FContour+Palette+and+Brush&amp;qid=1695565740&amp;sr=8-7")</f>
        <v/>
      </c>
      <c r="F2134" t="inlineStr">
        <is>
          <t>B0C6GCRG84</t>
        </is>
      </c>
      <c r="G2134">
        <f>_xlfn.IMAGE("https://camerareadycosmetics.com/cdn/shop/products/lorac-pro--conceal-contour-palette-open_50x.jpg?v=1564090761")</f>
        <v/>
      </c>
      <c r="H2134">
        <f>_xlfn.IMAGE("https://m.media-amazon.com/images/I/61NqOL2BbjL._AC_UL320_.jpg")</f>
        <v/>
      </c>
      <c r="K2134" t="inlineStr">
        <is>
          <t>45.0</t>
        </is>
      </c>
      <c r="L2134" t="n">
        <v>11.99</v>
      </c>
      <c r="M2134" s="1" t="inlineStr">
        <is>
          <t>-73.36%</t>
        </is>
      </c>
      <c r="N2134" t="n">
        <v>4.3</v>
      </c>
      <c r="O2134" t="n">
        <v>41</v>
      </c>
      <c r="Q2134" t="inlineStr">
        <is>
          <t>OutOfStock</t>
        </is>
      </c>
      <c r="R2134" t="inlineStr">
        <is>
          <t>45.0</t>
        </is>
      </c>
      <c r="S2134" t="inlineStr">
        <is>
          <t>3945564012655</t>
        </is>
      </c>
    </row>
    <row r="2135" ht="75" customHeight="1">
      <c r="A2135" s="2">
        <f>HYPERLINK("https://camerareadycosmetics.com/products/lorac-pro-conceal-contour-palette-and-brush", "https://camerareadycosmetics.com/products/lorac-pro-conceal-contour-palette-and-brush")</f>
        <v/>
      </c>
      <c r="B2135" s="2">
        <f>HYPERLINK("https://camerareadycosmetics.com/products/lorac-pro-conceal-contour-palette-and-brush", "https://camerareadycosmetics.com/products/lorac-pro-conceal-contour-palette-and-brush")</f>
        <v/>
      </c>
      <c r="C2135" t="inlineStr">
        <is>
          <t>PRO Conceal/Contour Palette and Brush</t>
        </is>
      </c>
      <c r="D2135" t="inlineStr">
        <is>
          <t>Pro Cream Contour and Highlight Palette Kit with Mirror &amp; Brush for Beginners. White Silver Gold Highlight Brown Face Correcting Concealer Palette for Dark Circles Redness Acne Etc.corrector de ojeras</t>
        </is>
      </c>
      <c r="E2135" s="2">
        <f>HYPERLINK("https://www.amazon.com/Highlight-Beginners-Correcting-Concealer-Etc-corrector/dp/B0BZHX95JK/ref=sr_1_1?keywords=PRO+Conceal%2FContour+Palette+and+Brush&amp;qid=1695565740&amp;sr=8-1", "https://www.amazon.com/Highlight-Beginners-Correcting-Concealer-Etc-corrector/dp/B0BZHX95JK/ref=sr_1_1?keywords=PRO+Conceal%2FContour+Palette+and+Brush&amp;qid=1695565740&amp;sr=8-1")</f>
        <v/>
      </c>
      <c r="F2135" t="inlineStr">
        <is>
          <t>B0BZHX95JK</t>
        </is>
      </c>
      <c r="G2135">
        <f>_xlfn.IMAGE("https://camerareadycosmetics.com/cdn/shop/products/lorac-pro--conceal-contour-palette-open_50x.jpg?v=1564090761")</f>
        <v/>
      </c>
      <c r="H2135">
        <f>_xlfn.IMAGE("https://m.media-amazon.com/images/I/61jDTQpsp6L._AC_UL320_.jpg")</f>
        <v/>
      </c>
      <c r="K2135" t="inlineStr">
        <is>
          <t>45.0</t>
        </is>
      </c>
      <c r="L2135" t="n">
        <v>9.99</v>
      </c>
      <c r="M2135" s="1" t="inlineStr">
        <is>
          <t>-77.80%</t>
        </is>
      </c>
      <c r="N2135" t="n">
        <v>3.7</v>
      </c>
      <c r="O2135" t="n">
        <v>231</v>
      </c>
      <c r="Q2135" t="inlineStr">
        <is>
          <t>OutOfStock</t>
        </is>
      </c>
      <c r="R2135" t="inlineStr">
        <is>
          <t>45.0</t>
        </is>
      </c>
      <c r="S2135" t="inlineStr">
        <is>
          <t>3945564012655</t>
        </is>
      </c>
    </row>
    <row r="2136" ht="75" customHeight="1">
      <c r="A2136" s="2">
        <f>HYPERLINK("https://camerareadycosmetics.com/products/lorac-pro-contour-palette-pro-contour-brush", "https://camerareadycosmetics.com/products/lorac-pro-contour-palette-pro-contour-brush")</f>
        <v/>
      </c>
      <c r="B2136" s="2">
        <f>HYPERLINK("https://camerareadycosmetics.com/products/lorac-pro-contour-palette-pro-contour-brush", "https://camerareadycosmetics.com/products/lorac-pro-contour-palette-pro-contour-brush")</f>
        <v/>
      </c>
      <c r="C2136" t="inlineStr">
        <is>
          <t>PRO Contour Palette &amp; Pro Contour Brush</t>
        </is>
      </c>
      <c r="D2136" t="inlineStr">
        <is>
          <t>LORAC PRO Contour Palette &amp; Contour Brush | Contour Powders &amp; Highlighter Makeup | Mirror Compact</t>
        </is>
      </c>
      <c r="E2136" s="2">
        <f>HYPERLINK("https://www.amazon.com/LORAC-Contour-Palette-Plus-Brush/dp/B00ZZ8XNWE/ref=sr_1_2?keywords=PRO+Contour+Palette&amp;qid=1695565728&amp;sr=8-2", "https://www.amazon.com/LORAC-Contour-Palette-Plus-Brush/dp/B00ZZ8XNWE/ref=sr_1_2?keywords=PRO+Contour+Palette&amp;qid=1695565728&amp;sr=8-2")</f>
        <v/>
      </c>
      <c r="F2136" t="inlineStr">
        <is>
          <t>B00ZZ8XNWE</t>
        </is>
      </c>
      <c r="G2136">
        <f>_xlfn.IMAGE("https://camerareadycosmetics.com/cdn/shop/products/lorac-pro-contour-cheek-palette-swatch_50x.jpg?v=1564090764")</f>
        <v/>
      </c>
      <c r="H2136">
        <f>_xlfn.IMAGE("https://m.media-amazon.com/images/I/81MEKSmYfNL._AC_UL320_.jpg")</f>
        <v/>
      </c>
      <c r="K2136" t="inlineStr">
        <is>
          <t>45.0</t>
        </is>
      </c>
      <c r="L2136" t="n">
        <v>45</v>
      </c>
      <c r="M2136" s="1" t="inlineStr">
        <is>
          <t>0.00%</t>
        </is>
      </c>
      <c r="N2136" t="n">
        <v>4.5</v>
      </c>
      <c r="O2136" t="n">
        <v>1254</v>
      </c>
      <c r="Q2136" t="inlineStr">
        <is>
          <t>OutOfStock</t>
        </is>
      </c>
      <c r="R2136" t="inlineStr">
        <is>
          <t>undefined</t>
        </is>
      </c>
      <c r="S2136" t="inlineStr">
        <is>
          <t>3945569878127</t>
        </is>
      </c>
    </row>
    <row r="2137" ht="75" customHeight="1">
      <c r="A2137" s="2">
        <f>HYPERLINK("https://camerareadycosmetics.com/products/lorac-pro-contour-palette-pro-contour-brush", "https://camerareadycosmetics.com/products/lorac-pro-contour-palette-pro-contour-brush")</f>
        <v/>
      </c>
      <c r="B2137" s="2">
        <f>HYPERLINK("https://camerareadycosmetics.com/products/lorac-pro-contour-palette-pro-contour-brush", "https://camerareadycosmetics.com/products/lorac-pro-contour-palette-pro-contour-brush")</f>
        <v/>
      </c>
      <c r="C2137" t="inlineStr">
        <is>
          <t>PRO Contour Palette &amp; Pro Contour Brush</t>
        </is>
      </c>
      <c r="D2137" t="inlineStr">
        <is>
          <t>LORAC Petite PRO Contour Powder Palette Highlighter</t>
        </is>
      </c>
      <c r="E2137" s="2">
        <f>HYPERLINK("https://www.amazon.com/LORAC-Petite-PRO-Contour-Palette/dp/B097QQR9D8/ref=sr_1_4?keywords=PRO+Contour+Palette&amp;qid=1695565728&amp;sr=8-4", "https://www.amazon.com/LORAC-Petite-PRO-Contour-Palette/dp/B097QQR9D8/ref=sr_1_4?keywords=PRO+Contour+Palette&amp;qid=1695565728&amp;sr=8-4")</f>
        <v/>
      </c>
      <c r="F2137" t="inlineStr">
        <is>
          <t>B097QQR9D8</t>
        </is>
      </c>
      <c r="G2137">
        <f>_xlfn.IMAGE("https://camerareadycosmetics.com/cdn/shop/products/lorac-pro-contour-cheek-palette-swatch_50x.jpg?v=1564090764")</f>
        <v/>
      </c>
      <c r="H2137">
        <f>_xlfn.IMAGE("https://m.media-amazon.com/images/I/71BuzxI5j5S._AC_UL320_.jpg")</f>
        <v/>
      </c>
      <c r="K2137" t="inlineStr">
        <is>
          <t>45.0</t>
        </is>
      </c>
      <c r="L2137" t="n">
        <v>32</v>
      </c>
      <c r="M2137" s="1" t="inlineStr">
        <is>
          <t>-28.89%</t>
        </is>
      </c>
      <c r="N2137" t="n">
        <v>4.4</v>
      </c>
      <c r="O2137" t="n">
        <v>104</v>
      </c>
      <c r="Q2137" t="inlineStr">
        <is>
          <t>OutOfStock</t>
        </is>
      </c>
      <c r="R2137" t="inlineStr">
        <is>
          <t>undefined</t>
        </is>
      </c>
      <c r="S2137" t="inlineStr">
        <is>
          <t>3945569878127</t>
        </is>
      </c>
    </row>
    <row r="2138" ht="75" customHeight="1">
      <c r="A2138" s="2">
        <f>HYPERLINK("https://camerareadycosmetics.com/products/lorac-pro-contour-palette-pro-contour-brush", "https://camerareadycosmetics.com/products/lorac-pro-contour-palette-pro-contour-brush")</f>
        <v/>
      </c>
      <c r="B2138" s="2">
        <f>HYPERLINK("https://camerareadycosmetics.com/products/lorac-pro-contour-palette-pro-contour-brush", "https://camerareadycosmetics.com/products/lorac-pro-contour-palette-pro-contour-brush")</f>
        <v/>
      </c>
      <c r="C2138" t="inlineStr">
        <is>
          <t>PRO Contour Palette &amp; Pro Contour Brush</t>
        </is>
      </c>
      <c r="D2138" t="inlineStr">
        <is>
          <t>Absolute New York Pro Contour Palette (Light)</t>
        </is>
      </c>
      <c r="E2138" s="2">
        <f>HYPERLINK("https://www.amazon.com/Absolute-New-York-Contour-01-Light/dp/B01GEX4TTO/ref=sr_1_8?keywords=PRO+Contour+Palette&amp;qid=1695565728&amp;sr=8-8", "https://www.amazon.com/Absolute-New-York-Contour-01-Light/dp/B01GEX4TTO/ref=sr_1_8?keywords=PRO+Contour+Palette&amp;qid=1695565728&amp;sr=8-8")</f>
        <v/>
      </c>
      <c r="F2138" t="inlineStr">
        <is>
          <t>B01GEX4TTO</t>
        </is>
      </c>
      <c r="G2138">
        <f>_xlfn.IMAGE("https://camerareadycosmetics.com/cdn/shop/products/lorac-pro-contour-cheek-palette-swatch_50x.jpg?v=1564090764")</f>
        <v/>
      </c>
      <c r="H2138">
        <f>_xlfn.IMAGE("https://m.media-amazon.com/images/I/81aOWUcuxOL._AC_UL320_.jpg")</f>
        <v/>
      </c>
      <c r="K2138" t="inlineStr">
        <is>
          <t>45.0</t>
        </is>
      </c>
      <c r="L2138" t="n">
        <v>11.8</v>
      </c>
      <c r="M2138" s="1" t="inlineStr">
        <is>
          <t>-73.78%</t>
        </is>
      </c>
      <c r="N2138" t="n">
        <v>3.5</v>
      </c>
      <c r="O2138" t="n">
        <v>4</v>
      </c>
      <c r="Q2138" t="inlineStr">
        <is>
          <t>OutOfStock</t>
        </is>
      </c>
      <c r="R2138" t="inlineStr">
        <is>
          <t>undefined</t>
        </is>
      </c>
      <c r="S2138" t="inlineStr">
        <is>
          <t>3945569878127</t>
        </is>
      </c>
    </row>
    <row r="2139" ht="75" customHeight="1">
      <c r="A2139" s="2">
        <f>HYPERLINK("https://camerareadycosmetics.com/products/lorac-pro-contour-palette-pro-contour-brush", "https://camerareadycosmetics.com/products/lorac-pro-contour-palette-pro-contour-brush")</f>
        <v/>
      </c>
      <c r="B2139" s="2">
        <f>HYPERLINK("https://camerareadycosmetics.com/products/lorac-pro-contour-palette-pro-contour-brush", "https://camerareadycosmetics.com/products/lorac-pro-contour-palette-pro-contour-brush")</f>
        <v/>
      </c>
      <c r="C2139" t="inlineStr">
        <is>
          <t>PRO Contour Palette &amp; Pro Contour Brush</t>
        </is>
      </c>
      <c r="D2139" t="inlineStr">
        <is>
          <t>Pro Cream Contour and Highlight Palette Kit with Mirror &amp; Brush for Beginners. White Silver Gold Highlight Brown Face Correcting Concealer Palette for Dark Circles Redness Acne Etc.corrector de ojeras</t>
        </is>
      </c>
      <c r="E2139" s="2">
        <f>HYPERLINK("https://www.amazon.com/Highlight-Beginners-Correcting-Concealer-Etc-corrector/dp/B0BZHX95JK/ref=sr_1_9?keywords=PRO+Contour+Palette&amp;qid=1695565728&amp;sr=8-9", "https://www.amazon.com/Highlight-Beginners-Correcting-Concealer-Etc-corrector/dp/B0BZHX95JK/ref=sr_1_9?keywords=PRO+Contour+Palette&amp;qid=1695565728&amp;sr=8-9")</f>
        <v/>
      </c>
      <c r="F2139" t="inlineStr">
        <is>
          <t>B0BZHX95JK</t>
        </is>
      </c>
      <c r="G2139">
        <f>_xlfn.IMAGE("https://camerareadycosmetics.com/cdn/shop/products/lorac-pro-contour-cheek-palette-swatch_50x.jpg?v=1564090764")</f>
        <v/>
      </c>
      <c r="H2139">
        <f>_xlfn.IMAGE("https://m.media-amazon.com/images/I/61jDTQpsp6L._AC_UL320_.jpg")</f>
        <v/>
      </c>
      <c r="K2139" t="inlineStr">
        <is>
          <t>45.0</t>
        </is>
      </c>
      <c r="L2139" t="n">
        <v>9.99</v>
      </c>
      <c r="M2139" s="1" t="inlineStr">
        <is>
          <t>-77.80%</t>
        </is>
      </c>
      <c r="N2139" t="n">
        <v>3.7</v>
      </c>
      <c r="O2139" t="n">
        <v>231</v>
      </c>
      <c r="Q2139" t="inlineStr">
        <is>
          <t>OutOfStock</t>
        </is>
      </c>
      <c r="R2139" t="inlineStr">
        <is>
          <t>undefined</t>
        </is>
      </c>
      <c r="S2139" t="inlineStr">
        <is>
          <t>3945569878127</t>
        </is>
      </c>
    </row>
    <row r="2140" ht="75" customHeight="1">
      <c r="A2140" s="2">
        <f>HYPERLINK("https://camerareadycosmetics.com/products/lorac-pro-contour-palette-pro-contour-brush", "https://camerareadycosmetics.com/products/lorac-pro-contour-palette-pro-contour-brush")</f>
        <v/>
      </c>
      <c r="B2140" s="2">
        <f>HYPERLINK("https://camerareadycosmetics.com/products/lorac-pro-contour-palette-pro-contour-brush", "https://camerareadycosmetics.com/products/lorac-pro-contour-palette-pro-contour-brush")</f>
        <v/>
      </c>
      <c r="C2140" t="inlineStr">
        <is>
          <t>PRO Contour Palette &amp; Pro Contour Brush</t>
        </is>
      </c>
      <c r="D2140" t="inlineStr">
        <is>
          <t>Profusion Cosmetics Pro Contour Palette - Portable, Thin and Lightweight Professional 3 Bronze &amp; 3 Matte Highlight Colors With Full Length Mirror</t>
        </is>
      </c>
      <c r="E2140" s="2">
        <f>HYPERLINK("https://www.amazon.com/Profusion-Cosmetics-Contour-Professional-Highlight/dp/B07NNVWH86/ref=sr_1_3?keywords=PRO+Contour+Palette&amp;qid=1695565728&amp;sr=8-3", "https://www.amazon.com/Profusion-Cosmetics-Contour-Professional-Highlight/dp/B07NNVWH86/ref=sr_1_3?keywords=PRO+Contour+Palette&amp;qid=1695565728&amp;sr=8-3")</f>
        <v/>
      </c>
      <c r="F2140" t="inlineStr">
        <is>
          <t>B07NNVWH86</t>
        </is>
      </c>
      <c r="G2140">
        <f>_xlfn.IMAGE("https://camerareadycosmetics.com/cdn/shop/products/lorac-pro-contour-cheek-palette-swatch_50x.jpg?v=1564090764")</f>
        <v/>
      </c>
      <c r="H2140">
        <f>_xlfn.IMAGE("https://m.media-amazon.com/images/I/61qOFy-CUwL._AC_UL320_.jpg")</f>
        <v/>
      </c>
      <c r="K2140" t="inlineStr">
        <is>
          <t>45.0</t>
        </is>
      </c>
      <c r="L2140" t="n">
        <v>9</v>
      </c>
      <c r="M2140" s="1" t="inlineStr">
        <is>
          <t>-80.00%</t>
        </is>
      </c>
      <c r="N2140" t="n">
        <v>4.3</v>
      </c>
      <c r="O2140" t="n">
        <v>215</v>
      </c>
      <c r="Q2140" t="inlineStr">
        <is>
          <t>OutOfStock</t>
        </is>
      </c>
      <c r="R2140" t="inlineStr">
        <is>
          <t>undefined</t>
        </is>
      </c>
      <c r="S2140" t="inlineStr">
        <is>
          <t>3945569878127</t>
        </is>
      </c>
    </row>
    <row r="2141" ht="75" customHeight="1">
      <c r="A2141" s="2">
        <f>HYPERLINK("https://camerareadycosmetics.com/products/lorac-pro-contour-palette-pro-contour-brush", "https://camerareadycosmetics.com/products/lorac-pro-contour-palette-pro-contour-brush")</f>
        <v/>
      </c>
      <c r="B2141" s="2">
        <f>HYPERLINK("https://camerareadycosmetics.com/products/lorac-pro-contour-palette-pro-contour-brush", "https://camerareadycosmetics.com/products/lorac-pro-contour-palette-pro-contour-brush")</f>
        <v/>
      </c>
      <c r="C2141" t="inlineStr">
        <is>
          <t>PRO Contour Palette &amp; Pro Contour Brush</t>
        </is>
      </c>
      <c r="D2141" t="inlineStr">
        <is>
          <t>L'Oréal Paris Infallible Pro Contour Palette, Deep/Profound, 0.24 oz.</t>
        </is>
      </c>
      <c r="E2141" s="2">
        <f>HYPERLINK("https://www.amazon.com/Paris-Infallible-Contour-Palette-Profound/dp/B01643I094/ref=sr_1_10?keywords=PRO+Contour+Palette&amp;qid=1695565728&amp;sr=8-10", "https://www.amazon.com/Paris-Infallible-Contour-Palette-Profound/dp/B01643I094/ref=sr_1_10?keywords=PRO+Contour+Palette&amp;qid=1695565728&amp;sr=8-10")</f>
        <v/>
      </c>
      <c r="F2141" t="inlineStr">
        <is>
          <t>B01643I094</t>
        </is>
      </c>
      <c r="G2141">
        <f>_xlfn.IMAGE("https://camerareadycosmetics.com/cdn/shop/products/lorac-pro-contour-cheek-palette-swatch_50x.jpg?v=1564090764")</f>
        <v/>
      </c>
      <c r="H2141">
        <f>_xlfn.IMAGE("https://m.media-amazon.com/images/I/71dUARfnlSL._AC_UL320_.jpg")</f>
        <v/>
      </c>
      <c r="K2141" t="inlineStr">
        <is>
          <t>45.0</t>
        </is>
      </c>
      <c r="L2141" t="n">
        <v>5.8</v>
      </c>
      <c r="M2141" s="1" t="inlineStr">
        <is>
          <t>-87.11%</t>
        </is>
      </c>
      <c r="N2141" t="n">
        <v>4.2</v>
      </c>
      <c r="O2141" t="n">
        <v>645</v>
      </c>
      <c r="Q2141" t="inlineStr">
        <is>
          <t>OutOfStock</t>
        </is>
      </c>
      <c r="R2141" t="inlineStr">
        <is>
          <t>undefined</t>
        </is>
      </c>
      <c r="S2141" t="inlineStr">
        <is>
          <t>3945569878127</t>
        </is>
      </c>
    </row>
    <row r="2142" ht="75" customHeight="1">
      <c r="A2142" s="2">
        <f>HYPERLINK("https://camerareadycosmetics.com/products/lorac-pro-contour-palette-pro-contour-brush", "https://camerareadycosmetics.com/products/lorac-pro-contour-palette-pro-contour-brush")</f>
        <v/>
      </c>
      <c r="B2142" s="2">
        <f>HYPERLINK("https://camerareadycosmetics.com/products/lorac-pro-contour-palette-pro-contour-brush", "https://camerareadycosmetics.com/products/lorac-pro-contour-palette-pro-contour-brush")</f>
        <v/>
      </c>
      <c r="C2142" t="inlineStr">
        <is>
          <t>PRO Contour Palette &amp; Pro Contour Brush</t>
        </is>
      </c>
      <c r="D2142" t="inlineStr">
        <is>
          <t>Absolute New York Pro Contour Palette (Light)</t>
        </is>
      </c>
      <c r="E2142" s="2">
        <f>HYPERLINK("https://www.amazon.com/Absolute-New-York-Contour-01-Light/dp/B01GEX4TTO/ref=sr_1_8?keywords=PRO+Contour+Palette&amp;qid=1695565728&amp;sr=8-8", "https://www.amazon.com/Absolute-New-York-Contour-01-Light/dp/B01GEX4TTO/ref=sr_1_8?keywords=PRO+Contour+Palette&amp;qid=1695565728&amp;sr=8-8")</f>
        <v/>
      </c>
      <c r="F2142" t="inlineStr">
        <is>
          <t>B01GEX4TTO</t>
        </is>
      </c>
      <c r="G2142">
        <f>_xlfn.IMAGE("https://camerareadycosmetics.com/cdn/shop/products/lorac-pro-contour-cheek-palette-swatch_50x.jpg?v=1564090764")</f>
        <v/>
      </c>
      <c r="H2142">
        <f>_xlfn.IMAGE("https://m.media-amazon.com/images/I/81aOWUcuxOL._AC_UL320_.jpg")</f>
        <v/>
      </c>
      <c r="K2142" t="inlineStr">
        <is>
          <t>45.0</t>
        </is>
      </c>
      <c r="L2142" t="n">
        <v>11.8</v>
      </c>
      <c r="M2142" s="1" t="inlineStr">
        <is>
          <t>-73.78%</t>
        </is>
      </c>
      <c r="N2142" t="n">
        <v>3.5</v>
      </c>
      <c r="O2142" t="n">
        <v>4</v>
      </c>
      <c r="Q2142" t="inlineStr">
        <is>
          <t>OutOfStock</t>
        </is>
      </c>
      <c r="R2142" t="inlineStr">
        <is>
          <t>undefined</t>
        </is>
      </c>
      <c r="S2142" t="inlineStr">
        <is>
          <t>3945569878127</t>
        </is>
      </c>
    </row>
    <row r="2143" ht="75" customHeight="1">
      <c r="A2143" s="2">
        <f>HYPERLINK("https://camerareadycosmetics.com/products/lorac-pro-contour-palette-pro-contour-brush", "https://camerareadycosmetics.com/products/lorac-pro-contour-palette-pro-contour-brush")</f>
        <v/>
      </c>
      <c r="B2143" s="2">
        <f>HYPERLINK("https://camerareadycosmetics.com/products/lorac-pro-contour-palette-pro-contour-brush", "https://camerareadycosmetics.com/products/lorac-pro-contour-palette-pro-contour-brush")</f>
        <v/>
      </c>
      <c r="C2143" t="inlineStr">
        <is>
          <t>PRO Contour Palette &amp; Pro Contour Brush</t>
        </is>
      </c>
      <c r="D2143" t="inlineStr">
        <is>
          <t>Pro Cream Contour and Highlight Palette Kit with Mirror &amp; Brush for Beginners. White Silver Gold Highlight Brown Face Correcting Concealer Palette for Dark Circles Redness Acne Etc.corrector de ojeras</t>
        </is>
      </c>
      <c r="E2143" s="2">
        <f>HYPERLINK("https://www.amazon.com/Highlight-Beginners-Correcting-Concealer-Etc-corrector/dp/B0BZHX95JK/ref=sr_1_9?keywords=PRO+Contour+Palette&amp;qid=1695565728&amp;sr=8-9", "https://www.amazon.com/Highlight-Beginners-Correcting-Concealer-Etc-corrector/dp/B0BZHX95JK/ref=sr_1_9?keywords=PRO+Contour+Palette&amp;qid=1695565728&amp;sr=8-9")</f>
        <v/>
      </c>
      <c r="F2143" t="inlineStr">
        <is>
          <t>B0BZHX95JK</t>
        </is>
      </c>
      <c r="G2143">
        <f>_xlfn.IMAGE("https://camerareadycosmetics.com/cdn/shop/products/lorac-pro-contour-cheek-palette-swatch_50x.jpg?v=1564090764")</f>
        <v/>
      </c>
      <c r="H2143">
        <f>_xlfn.IMAGE("https://m.media-amazon.com/images/I/61jDTQpsp6L._AC_UL320_.jpg")</f>
        <v/>
      </c>
      <c r="K2143" t="inlineStr">
        <is>
          <t>45.0</t>
        </is>
      </c>
      <c r="L2143" t="n">
        <v>9.99</v>
      </c>
      <c r="M2143" s="1" t="inlineStr">
        <is>
          <t>-77.80%</t>
        </is>
      </c>
      <c r="N2143" t="n">
        <v>3.7</v>
      </c>
      <c r="O2143" t="n">
        <v>231</v>
      </c>
      <c r="Q2143" t="inlineStr">
        <is>
          <t>OutOfStock</t>
        </is>
      </c>
      <c r="R2143" t="inlineStr">
        <is>
          <t>undefined</t>
        </is>
      </c>
      <c r="S2143" t="inlineStr">
        <is>
          <t>3945569878127</t>
        </is>
      </c>
    </row>
    <row r="2144" ht="75" customHeight="1">
      <c r="A2144" s="2">
        <f>HYPERLINK("https://camerareadycosmetics.com/products/lorac-pro-contour-palette-pro-contour-brush", "https://camerareadycosmetics.com/products/lorac-pro-contour-palette-pro-contour-brush")</f>
        <v/>
      </c>
      <c r="B2144" s="2">
        <f>HYPERLINK("https://camerareadycosmetics.com/products/lorac-pro-contour-palette-pro-contour-brush", "https://camerareadycosmetics.com/products/lorac-pro-contour-palette-pro-contour-brush")</f>
        <v/>
      </c>
      <c r="C2144" t="inlineStr">
        <is>
          <t>PRO Contour Palette &amp; Pro Contour Brush</t>
        </is>
      </c>
      <c r="D2144" t="inlineStr">
        <is>
          <t>Profusion Cosmetics Pro Contour Palette - Portable, Thin and Lightweight Professional 3 Bronze &amp; 3 Matte Highlight Colors With Full Length Mirror</t>
        </is>
      </c>
      <c r="E2144" s="2">
        <f>HYPERLINK("https://www.amazon.com/Profusion-Cosmetics-Contour-Professional-Highlight/dp/B07NNVWH86/ref=sr_1_3?keywords=PRO+Contour+Palette&amp;qid=1695565728&amp;sr=8-3", "https://www.amazon.com/Profusion-Cosmetics-Contour-Professional-Highlight/dp/B07NNVWH86/ref=sr_1_3?keywords=PRO+Contour+Palette&amp;qid=1695565728&amp;sr=8-3")</f>
        <v/>
      </c>
      <c r="F2144" t="inlineStr">
        <is>
          <t>B07NNVWH86</t>
        </is>
      </c>
      <c r="G2144">
        <f>_xlfn.IMAGE("https://camerareadycosmetics.com/cdn/shop/products/lorac-pro-contour-cheek-palette-swatch_50x.jpg?v=1564090764")</f>
        <v/>
      </c>
      <c r="H2144">
        <f>_xlfn.IMAGE("https://m.media-amazon.com/images/I/61qOFy-CUwL._AC_UL320_.jpg")</f>
        <v/>
      </c>
      <c r="K2144" t="inlineStr">
        <is>
          <t>45.0</t>
        </is>
      </c>
      <c r="L2144" t="n">
        <v>9</v>
      </c>
      <c r="M2144" s="1" t="inlineStr">
        <is>
          <t>-80.00%</t>
        </is>
      </c>
      <c r="N2144" t="n">
        <v>4.3</v>
      </c>
      <c r="O2144" t="n">
        <v>215</v>
      </c>
      <c r="Q2144" t="inlineStr">
        <is>
          <t>OutOfStock</t>
        </is>
      </c>
      <c r="R2144" t="inlineStr">
        <is>
          <t>undefined</t>
        </is>
      </c>
      <c r="S2144" t="inlineStr">
        <is>
          <t>3945569878127</t>
        </is>
      </c>
    </row>
    <row r="2145" ht="75" customHeight="1">
      <c r="A2145" s="2">
        <f>HYPERLINK("https://camerareadycosmetics.com/products/lorac-pro-contour-palette-pro-contour-brush", "https://camerareadycosmetics.com/products/lorac-pro-contour-palette-pro-contour-brush")</f>
        <v/>
      </c>
      <c r="B2145" s="2">
        <f>HYPERLINK("https://camerareadycosmetics.com/products/lorac-pro-contour-palette-pro-contour-brush", "https://camerareadycosmetics.com/products/lorac-pro-contour-palette-pro-contour-brush")</f>
        <v/>
      </c>
      <c r="C2145" t="inlineStr">
        <is>
          <t>PRO Contour Palette &amp; Pro Contour Brush</t>
        </is>
      </c>
      <c r="D2145" t="inlineStr">
        <is>
          <t>L'Oréal Paris Infallible Pro Contour Palette, Deep/Profound, 0.24 oz.</t>
        </is>
      </c>
      <c r="E2145" s="2">
        <f>HYPERLINK("https://www.amazon.com/Paris-Infallible-Contour-Palette-Profound/dp/B01643I094/ref=sr_1_10?keywords=PRO+Contour+Palette&amp;qid=1695565728&amp;sr=8-10", "https://www.amazon.com/Paris-Infallible-Contour-Palette-Profound/dp/B01643I094/ref=sr_1_10?keywords=PRO+Contour+Palette&amp;qid=1695565728&amp;sr=8-10")</f>
        <v/>
      </c>
      <c r="F2145" t="inlineStr">
        <is>
          <t>B01643I094</t>
        </is>
      </c>
      <c r="G2145">
        <f>_xlfn.IMAGE("https://camerareadycosmetics.com/cdn/shop/products/lorac-pro-contour-cheek-palette-swatch_50x.jpg?v=1564090764")</f>
        <v/>
      </c>
      <c r="H2145">
        <f>_xlfn.IMAGE("https://m.media-amazon.com/images/I/71dUARfnlSL._AC_UL320_.jpg")</f>
        <v/>
      </c>
      <c r="K2145" t="inlineStr">
        <is>
          <t>45.0</t>
        </is>
      </c>
      <c r="L2145" t="n">
        <v>5.8</v>
      </c>
      <c r="M2145" s="1" t="inlineStr">
        <is>
          <t>-87.11%</t>
        </is>
      </c>
      <c r="N2145" t="n">
        <v>4.2</v>
      </c>
      <c r="O2145" t="n">
        <v>645</v>
      </c>
      <c r="Q2145" t="inlineStr">
        <is>
          <t>OutOfStock</t>
        </is>
      </c>
      <c r="R2145" t="inlineStr">
        <is>
          <t>undefined</t>
        </is>
      </c>
      <c r="S2145" t="inlineStr">
        <is>
          <t>3945569878127</t>
        </is>
      </c>
    </row>
    <row r="2146" ht="75" customHeight="1">
      <c r="A2146" s="2">
        <f>HYPERLINK("https://camerareadycosmetics.com/products/lorac-pro-eyeshadow-palette-noir", "https://camerareadycosmetics.com/products/lorac-pro-eyeshadow-palette-noir")</f>
        <v/>
      </c>
      <c r="B2146" s="2">
        <f>HYPERLINK("https://camerareadycosmetics.com/products/lorac-pro-eyeshadow-palette-noir", "https://camerareadycosmetics.com/products/lorac-pro-eyeshadow-palette-noir")</f>
        <v/>
      </c>
      <c r="C2146" t="inlineStr">
        <is>
          <t>PRO Eyeshadow Palette Noir</t>
        </is>
      </c>
      <c r="D2146" t="inlineStr">
        <is>
          <t>Doucce Freematic Eyeshadow Pro Palette, Smokey</t>
        </is>
      </c>
      <c r="E2146" s="2">
        <f>HYPERLINK("https://www.amazon.com/Doucce-Freematic-Eyeshadow-Palette-Smokey/dp/B076QFRLPY/ref=sr_1_1?keywords=PRO+Eyeshadow+Palette+Noir&amp;qid=1695565642&amp;sr=8-1", "https://www.amazon.com/Doucce-Freematic-Eyeshadow-Palette-Smokey/dp/B076QFRLPY/ref=sr_1_1?keywords=PRO+Eyeshadow+Palette+Noir&amp;qid=1695565642&amp;sr=8-1")</f>
        <v/>
      </c>
      <c r="F2146" t="inlineStr">
        <is>
          <t>B076QFRLPY</t>
        </is>
      </c>
      <c r="G2146">
        <f>_xlfn.IMAGE("https://camerareadycosmetics.com/cdn/shop/products/LORACPROEyeshadowPaletteNoir_50x.jpg?v=1602937745")</f>
        <v/>
      </c>
      <c r="H2146">
        <f>_xlfn.IMAGE("https://m.media-amazon.com/images/I/717DoPt4dDL._AC_UL320_.jpg")</f>
        <v/>
      </c>
      <c r="K2146" t="inlineStr">
        <is>
          <t>39.0</t>
        </is>
      </c>
      <c r="L2146" t="n">
        <v>47.98</v>
      </c>
      <c r="M2146" s="1" t="inlineStr">
        <is>
          <t>23.03%</t>
        </is>
      </c>
      <c r="N2146" t="n">
        <v>5</v>
      </c>
      <c r="O2146" t="n">
        <v>3</v>
      </c>
      <c r="Q2146" t="inlineStr">
        <is>
          <t>OutOfStock</t>
        </is>
      </c>
      <c r="R2146" t="inlineStr">
        <is>
          <t>undefined</t>
        </is>
      </c>
      <c r="S2146" t="inlineStr">
        <is>
          <t>4574963957871</t>
        </is>
      </c>
    </row>
    <row r="2147" ht="75" customHeight="1">
      <c r="A2147" s="2">
        <f>HYPERLINK("https://camerareadycosmetics.com/products/lorac-pro-eyeshadow-palette-noir", "https://camerareadycosmetics.com/products/lorac-pro-eyeshadow-palette-noir")</f>
        <v/>
      </c>
      <c r="B2147" s="2">
        <f>HYPERLINK("https://camerareadycosmetics.com/products/lorac-pro-eyeshadow-palette-noir", "https://camerareadycosmetics.com/products/lorac-pro-eyeshadow-palette-noir")</f>
        <v/>
      </c>
      <c r="C2147" t="inlineStr">
        <is>
          <t>PRO Eyeshadow Palette Noir</t>
        </is>
      </c>
      <c r="D2147" t="inlineStr">
        <is>
          <t>LORAC PRO Eyeshadow Palette, Fairytale Forest | Matte &amp; Shimmer Makeup | Glitter | Mirror Compact | Cruelty Free, Gluten Free, Vegan</t>
        </is>
      </c>
      <c r="E2147" s="2">
        <f>HYPERLINK("https://www.amazon.com/LORAC-PRO-Palette-Fairytale-Forest/dp/B09NX3RNFG/ref=sr_1_4?keywords=PRO+Eyeshadow+Palette+Noir&amp;qid=1695565642&amp;sr=8-4", "https://www.amazon.com/LORAC-PRO-Palette-Fairytale-Forest/dp/B09NX3RNFG/ref=sr_1_4?keywords=PRO+Eyeshadow+Palette+Noir&amp;qid=1695565642&amp;sr=8-4")</f>
        <v/>
      </c>
      <c r="F2147" t="inlineStr">
        <is>
          <t>B09NX3RNFG</t>
        </is>
      </c>
      <c r="G2147">
        <f>_xlfn.IMAGE("https://camerareadycosmetics.com/cdn/shop/products/LORACPROEyeshadowPaletteNoir_50x.jpg?v=1602937745")</f>
        <v/>
      </c>
      <c r="H2147">
        <f>_xlfn.IMAGE("https://m.media-amazon.com/images/I/81TjCahgsFL._AC_UL320_.jpg")</f>
        <v/>
      </c>
      <c r="K2147" t="inlineStr">
        <is>
          <t>39.0</t>
        </is>
      </c>
      <c r="L2147" t="n">
        <v>39</v>
      </c>
      <c r="M2147" s="1" t="inlineStr">
        <is>
          <t>0.00%</t>
        </is>
      </c>
      <c r="N2147" t="n">
        <v>4.3</v>
      </c>
      <c r="O2147" t="n">
        <v>125</v>
      </c>
      <c r="Q2147" t="inlineStr">
        <is>
          <t>OutOfStock</t>
        </is>
      </c>
      <c r="R2147" t="inlineStr">
        <is>
          <t>undefined</t>
        </is>
      </c>
      <c r="S2147" t="inlineStr">
        <is>
          <t>4574963957871</t>
        </is>
      </c>
    </row>
    <row r="2148" ht="75" customHeight="1">
      <c r="A2148" s="2">
        <f>HYPERLINK("https://camerareadycosmetics.com/products/lorac-pro-eyeshadow-palette-noir", "https://camerareadycosmetics.com/products/lorac-pro-eyeshadow-palette-noir")</f>
        <v/>
      </c>
      <c r="B2148" s="2">
        <f>HYPERLINK("https://camerareadycosmetics.com/products/lorac-pro-eyeshadow-palette-noir", "https://camerareadycosmetics.com/products/lorac-pro-eyeshadow-palette-noir")</f>
        <v/>
      </c>
      <c r="C2148" t="inlineStr">
        <is>
          <t>PRO Eyeshadow Palette Noir</t>
        </is>
      </c>
      <c r="D2148" t="inlineStr">
        <is>
          <t>Tarte Tarteist Pro Remix Amazonian Clay Eyeshadow Palette</t>
        </is>
      </c>
      <c r="E2148" s="2">
        <f>HYPERLINK("https://www.amazon.com/Tarte-Tarteist-Amazonian-Eyeshadow-Palette/dp/B07KPK4KB9/ref=sr_1_9?keywords=PRO+Eyeshadow+Palette+Noir&amp;qid=1695565642&amp;sr=8-9", "https://www.amazon.com/Tarte-Tarteist-Amazonian-Eyeshadow-Palette/dp/B07KPK4KB9/ref=sr_1_9?keywords=PRO+Eyeshadow+Palette+Noir&amp;qid=1695565642&amp;sr=8-9")</f>
        <v/>
      </c>
      <c r="F2148" t="inlineStr">
        <is>
          <t>B07KPK4KB9</t>
        </is>
      </c>
      <c r="G2148">
        <f>_xlfn.IMAGE("https://camerareadycosmetics.com/cdn/shop/products/LORACPROEyeshadowPaletteNoir_50x.jpg?v=1602937745")</f>
        <v/>
      </c>
      <c r="H2148">
        <f>_xlfn.IMAGE("https://m.media-amazon.com/images/I/81s3hubm3KL._AC_UL320_.jpg")</f>
        <v/>
      </c>
      <c r="K2148" t="inlineStr">
        <is>
          <t>39.0</t>
        </is>
      </c>
      <c r="L2148" t="n">
        <v>34.5</v>
      </c>
      <c r="M2148" s="1" t="inlineStr">
        <is>
          <t>-11.54%</t>
        </is>
      </c>
      <c r="N2148" t="n">
        <v>4.4</v>
      </c>
      <c r="O2148" t="n">
        <v>140</v>
      </c>
      <c r="Q2148" t="inlineStr">
        <is>
          <t>OutOfStock</t>
        </is>
      </c>
      <c r="R2148" t="inlineStr">
        <is>
          <t>undefined</t>
        </is>
      </c>
      <c r="S2148" t="inlineStr">
        <is>
          <t>4574963957871</t>
        </is>
      </c>
    </row>
    <row r="2149" ht="75" customHeight="1">
      <c r="A2149" s="2">
        <f>HYPERLINK("https://camerareadycosmetics.com/products/lorac-pro-eyeshadow-palette-noir", "https://camerareadycosmetics.com/products/lorac-pro-eyeshadow-palette-noir")</f>
        <v/>
      </c>
      <c r="B2149" s="2">
        <f>HYPERLINK("https://camerareadycosmetics.com/products/lorac-pro-eyeshadow-palette-noir", "https://camerareadycosmetics.com/products/lorac-pro-eyeshadow-palette-noir")</f>
        <v/>
      </c>
      <c r="C2149" t="inlineStr">
        <is>
          <t>PRO Eyeshadow Palette Noir</t>
        </is>
      </c>
      <c r="D2149" t="inlineStr">
        <is>
          <t>LORAC PRO Matte &amp; Shimmer Eyeshadow Palette, Metallic High Pigmented, Mirror Compact</t>
        </is>
      </c>
      <c r="E2149" s="2">
        <f>HYPERLINK("https://www.amazon.com/LORAC-Pro-Matte-Shadow-Palette/dp/B00ZZ8XOD2/ref=sr_1_3?keywords=PRO+Eyeshadow+Palette+Noir&amp;qid=1695565642&amp;sr=8-3", "https://www.amazon.com/LORAC-Pro-Matte-Shadow-Palette/dp/B00ZZ8XOD2/ref=sr_1_3?keywords=PRO+Eyeshadow+Palette+Noir&amp;qid=1695565642&amp;sr=8-3")</f>
        <v/>
      </c>
      <c r="F2149" t="inlineStr">
        <is>
          <t>B00ZZ8XOD2</t>
        </is>
      </c>
      <c r="G2149">
        <f>_xlfn.IMAGE("https://camerareadycosmetics.com/cdn/shop/products/LORACPROEyeshadowPaletteNoir_50x.jpg?v=1602937745")</f>
        <v/>
      </c>
      <c r="H2149">
        <f>_xlfn.IMAGE("https://m.media-amazon.com/images/I/71-8oA15ykL._AC_UL320_.jpg")</f>
        <v/>
      </c>
      <c r="K2149" t="inlineStr">
        <is>
          <t>39.0</t>
        </is>
      </c>
      <c r="L2149" t="n">
        <v>25</v>
      </c>
      <c r="M2149" s="1" t="inlineStr">
        <is>
          <t>-35.90%</t>
        </is>
      </c>
      <c r="N2149" t="n">
        <v>4.6</v>
      </c>
      <c r="O2149" t="n">
        <v>1829</v>
      </c>
      <c r="Q2149" t="inlineStr">
        <is>
          <t>OutOfStock</t>
        </is>
      </c>
      <c r="R2149" t="inlineStr">
        <is>
          <t>undefined</t>
        </is>
      </c>
      <c r="S2149" t="inlineStr">
        <is>
          <t>4574963957871</t>
        </is>
      </c>
    </row>
    <row r="2150" ht="75" customHeight="1">
      <c r="A2150" s="2">
        <f>HYPERLINK("https://camerareadycosmetics.com/products/lorac-pro-eyeshadow-palette-noir", "https://camerareadycosmetics.com/products/lorac-pro-eyeshadow-palette-noir")</f>
        <v/>
      </c>
      <c r="B2150" s="2">
        <f>HYPERLINK("https://camerareadycosmetics.com/products/lorac-pro-eyeshadow-palette-noir", "https://camerareadycosmetics.com/products/lorac-pro-eyeshadow-palette-noir")</f>
        <v/>
      </c>
      <c r="C2150" t="inlineStr">
        <is>
          <t>PRO Eyeshadow Palette Noir</t>
        </is>
      </c>
      <c r="D2150" t="inlineStr">
        <is>
          <t>Palladio Ultimate Pro Eyeshadow Palettes, Professional and Personal Use, 35 High Pigmented Powder Colors, Matte, Shimmer, Satin Finishes, Long Lasting (SPRING 2020)</t>
        </is>
      </c>
      <c r="E2150" s="2">
        <f>HYPERLINK("https://www.amazon.com/Palladio-Ultimate-Eyeshadow-Professional-Pigmented/dp/B08SQK3MCY/ref=sr_1_2?keywords=PRO+Eyeshadow+Palette+Noir&amp;qid=1695565642&amp;sr=8-2", "https://www.amazon.com/Palladio-Ultimate-Eyeshadow-Professional-Pigmented/dp/B08SQK3MCY/ref=sr_1_2?keywords=PRO+Eyeshadow+Palette+Noir&amp;qid=1695565642&amp;sr=8-2")</f>
        <v/>
      </c>
      <c r="F2150" t="inlineStr">
        <is>
          <t>B08SQK3MCY</t>
        </is>
      </c>
      <c r="G2150">
        <f>_xlfn.IMAGE("https://camerareadycosmetics.com/cdn/shop/products/LORACPROEyeshadowPaletteNoir_50x.jpg?v=1602937745")</f>
        <v/>
      </c>
      <c r="H2150">
        <f>_xlfn.IMAGE("https://m.media-amazon.com/images/I/61Eb9AeVTkL._AC_UL320_.jpg")</f>
        <v/>
      </c>
      <c r="K2150" t="inlineStr">
        <is>
          <t>39.0</t>
        </is>
      </c>
      <c r="L2150" t="n">
        <v>24.99</v>
      </c>
      <c r="M2150" s="1" t="inlineStr">
        <is>
          <t>-35.92%</t>
        </is>
      </c>
      <c r="N2150" t="n">
        <v>4.5</v>
      </c>
      <c r="O2150" t="n">
        <v>268</v>
      </c>
      <c r="Q2150" t="inlineStr">
        <is>
          <t>OutOfStock</t>
        </is>
      </c>
      <c r="R2150" t="inlineStr">
        <is>
          <t>undefined</t>
        </is>
      </c>
      <c r="S2150" t="inlineStr">
        <is>
          <t>4574963957871</t>
        </is>
      </c>
    </row>
    <row r="2151" ht="75" customHeight="1">
      <c r="A2151" s="2">
        <f>HYPERLINK("https://camerareadycosmetics.com/products/lorac-pro-eyeshadow-palette-noir", "https://camerareadycosmetics.com/products/lorac-pro-eyeshadow-palette-noir")</f>
        <v/>
      </c>
      <c r="B2151" s="2">
        <f>HYPERLINK("https://camerareadycosmetics.com/products/lorac-pro-eyeshadow-palette-noir", "https://camerareadycosmetics.com/products/lorac-pro-eyeshadow-palette-noir")</f>
        <v/>
      </c>
      <c r="C2151" t="inlineStr">
        <is>
          <t>PRO Eyeshadow Palette Noir</t>
        </is>
      </c>
      <c r="D2151" t="inlineStr">
        <is>
          <t>Profusion Cosmetics 21 Shade Eyeshadow Palette Collection &amp; Brush, Pro Pigments</t>
        </is>
      </c>
      <c r="E2151" s="2">
        <f>HYPERLINK("https://www.amazon.com/Profusion-Cosmetics-Eyeshadow-Collection-Pigments/dp/B07N8Y32GW/ref=sr_1_10?keywords=PRO+Eyeshadow+Palette+Noir&amp;qid=1695565642&amp;sr=8-10", "https://www.amazon.com/Profusion-Cosmetics-Eyeshadow-Collection-Pigments/dp/B07N8Y32GW/ref=sr_1_10?keywords=PRO+Eyeshadow+Palette+Noir&amp;qid=1695565642&amp;sr=8-10")</f>
        <v/>
      </c>
      <c r="F2151" t="inlineStr">
        <is>
          <t>B07N8Y32GW</t>
        </is>
      </c>
      <c r="G2151">
        <f>_xlfn.IMAGE("https://camerareadycosmetics.com/cdn/shop/products/LORACPROEyeshadowPaletteNoir_50x.jpg?v=1602937745")</f>
        <v/>
      </c>
      <c r="H2151">
        <f>_xlfn.IMAGE("https://m.media-amazon.com/images/I/81ldL2hiJ2L._AC_UL320_.jpg")</f>
        <v/>
      </c>
      <c r="K2151" t="inlineStr">
        <is>
          <t>39.0</t>
        </is>
      </c>
      <c r="L2151" t="n">
        <v>13.16</v>
      </c>
      <c r="M2151" s="1" t="inlineStr">
        <is>
          <t>-66.26%</t>
        </is>
      </c>
      <c r="N2151" t="n">
        <v>4.3</v>
      </c>
      <c r="O2151" t="n">
        <v>173</v>
      </c>
      <c r="Q2151" t="inlineStr">
        <is>
          <t>OutOfStock</t>
        </is>
      </c>
      <c r="R2151" t="inlineStr">
        <is>
          <t>undefined</t>
        </is>
      </c>
      <c r="S2151" t="inlineStr">
        <is>
          <t>4574963957871</t>
        </is>
      </c>
    </row>
    <row r="2152" ht="75" customHeight="1">
      <c r="A2152" s="2">
        <f>HYPERLINK("https://camerareadycosmetics.com/products/lorac-pro-eyeshadow-palette-noir", "https://camerareadycosmetics.com/products/lorac-pro-eyeshadow-palette-noir")</f>
        <v/>
      </c>
      <c r="B2152" s="2">
        <f>HYPERLINK("https://camerareadycosmetics.com/products/lorac-pro-eyeshadow-palette-noir", "https://camerareadycosmetics.com/products/lorac-pro-eyeshadow-palette-noir")</f>
        <v/>
      </c>
      <c r="C2152" t="inlineStr">
        <is>
          <t>PRO Eyeshadow Palette Noir</t>
        </is>
      </c>
      <c r="D2152" t="inlineStr">
        <is>
          <t>Best Pro Eyeshadow Palette Makeup - Matte Shimmer 16 Colors - Highly Pigmented - Professional Nudes Warm Natural Bronze Neutral Smoky Cosmetic Eye Shadows</t>
        </is>
      </c>
      <c r="E2152" s="2">
        <f>HYPERLINK("https://www.amazon.com/Best-Pro-Eyeshadow-Palette-Makeup/dp/B01CNZMMV4/ref=sr_1_6?keywords=PRO+Eyeshadow+Palette+Noir&amp;qid=1695565642&amp;sr=8-6", "https://www.amazon.com/Best-Pro-Eyeshadow-Palette-Makeup/dp/B01CNZMMV4/ref=sr_1_6?keywords=PRO+Eyeshadow+Palette+Noir&amp;qid=1695565642&amp;sr=8-6")</f>
        <v/>
      </c>
      <c r="F2152" t="inlineStr">
        <is>
          <t>B01CNZMMV4</t>
        </is>
      </c>
      <c r="G2152">
        <f>_xlfn.IMAGE("https://camerareadycosmetics.com/cdn/shop/products/LORACPROEyeshadowPaletteNoir_50x.jpg?v=1602937745")</f>
        <v/>
      </c>
      <c r="H2152">
        <f>_xlfn.IMAGE("https://m.media-amazon.com/images/I/81C5WkU0rEL._AC_UL320_.jpg")</f>
        <v/>
      </c>
      <c r="K2152" t="inlineStr">
        <is>
          <t>39.0</t>
        </is>
      </c>
      <c r="L2152" t="n">
        <v>9.99</v>
      </c>
      <c r="M2152" s="1" t="inlineStr">
        <is>
          <t>-74.38%</t>
        </is>
      </c>
      <c r="N2152" t="n">
        <v>4.4</v>
      </c>
      <c r="O2152" t="n">
        <v>27631</v>
      </c>
      <c r="Q2152" t="inlineStr">
        <is>
          <t>OutOfStock</t>
        </is>
      </c>
      <c r="R2152" t="inlineStr">
        <is>
          <t>undefined</t>
        </is>
      </c>
      <c r="S2152" t="inlineStr">
        <is>
          <t>4574963957871</t>
        </is>
      </c>
    </row>
    <row r="2153" ht="75" customHeight="1">
      <c r="A2153" s="2">
        <f>HYPERLINK("https://camerareadycosmetics.com/products/lorac-pro-eyeshadow-palette-noir", "https://camerareadycosmetics.com/products/lorac-pro-eyeshadow-palette-noir")</f>
        <v/>
      </c>
      <c r="B2153" s="2">
        <f>HYPERLINK("https://camerareadycosmetics.com/products/lorac-pro-eyeshadow-palette-noir", "https://camerareadycosmetics.com/products/lorac-pro-eyeshadow-palette-noir")</f>
        <v/>
      </c>
      <c r="C2153" t="inlineStr">
        <is>
          <t>PRO Eyeshadow Palette Noir</t>
        </is>
      </c>
      <c r="D2153" t="inlineStr">
        <is>
          <t>Smokey Eye Neutral Eyeshadow Palette - 12 Highly Pigmented Cool Toned Shimmer Matte Colors For Professional Everyday Nude Looks - Travel Size Eye Shadow Makeup Palette With Mirror</t>
        </is>
      </c>
      <c r="E2153" s="2">
        <f>HYPERLINK("https://www.amazon.com/Lamora-Cold-Smokey-Eyeshadow-Palette/dp/B09DGFQB81/ref=sr_1_8?keywords=PRO+Eyeshadow+Palette+Noir&amp;qid=1695565642&amp;sr=8-8", "https://www.amazon.com/Lamora-Cold-Smokey-Eyeshadow-Palette/dp/B09DGFQB81/ref=sr_1_8?keywords=PRO+Eyeshadow+Palette+Noir&amp;qid=1695565642&amp;sr=8-8")</f>
        <v/>
      </c>
      <c r="F2153" t="inlineStr">
        <is>
          <t>B09DGFQB81</t>
        </is>
      </c>
      <c r="G2153">
        <f>_xlfn.IMAGE("https://camerareadycosmetics.com/cdn/shop/products/LORACPROEyeshadowPaletteNoir_50x.jpg?v=1602937745")</f>
        <v/>
      </c>
      <c r="H2153">
        <f>_xlfn.IMAGE("https://m.media-amazon.com/images/I/81T-OVjGJ6L._AC_UL320_.jpg")</f>
        <v/>
      </c>
      <c r="K2153" t="inlineStr">
        <is>
          <t>39.0</t>
        </is>
      </c>
      <c r="L2153" t="n">
        <v>9.99</v>
      </c>
      <c r="M2153" s="1" t="inlineStr">
        <is>
          <t>-74.38%</t>
        </is>
      </c>
      <c r="N2153" t="n">
        <v>4.6</v>
      </c>
      <c r="O2153" t="n">
        <v>467</v>
      </c>
      <c r="Q2153" t="inlineStr">
        <is>
          <t>OutOfStock</t>
        </is>
      </c>
      <c r="R2153" t="inlineStr">
        <is>
          <t>undefined</t>
        </is>
      </c>
      <c r="S2153" t="inlineStr">
        <is>
          <t>4574963957871</t>
        </is>
      </c>
    </row>
    <row r="2154" ht="75" customHeight="1">
      <c r="A2154" s="2">
        <f>HYPERLINK("https://camerareadycosmetics.com/products/lorac-pro-eyeshadow-palette-noir", "https://camerareadycosmetics.com/products/lorac-pro-eyeshadow-palette-noir")</f>
        <v/>
      </c>
      <c r="B2154" s="2">
        <f>HYPERLINK("https://camerareadycosmetics.com/products/lorac-pro-eyeshadow-palette-noir", "https://camerareadycosmetics.com/products/lorac-pro-eyeshadow-palette-noir")</f>
        <v/>
      </c>
      <c r="C2154" t="inlineStr">
        <is>
          <t>PRO Eyeshadow Palette Noir</t>
        </is>
      </c>
      <c r="D2154" t="inlineStr">
        <is>
          <t>Prism Makeup Matte Eyeshadow Palette Pro 18 Colors Pigmented Shimmer Glitter Eye Shadow Palette, Blendable Long Lasting Waterproof Makeup Cosmetics Halloween Makeup Kit (01# Seductress)</t>
        </is>
      </c>
      <c r="E2154" s="2">
        <f>HYPERLINK("https://www.amazon.com/Eyeshadow-Pigmented-Waterproof-Makeup-Seductress/dp/B07JG4SPLY/ref=sr_1_7?keywords=PRO+Eyeshadow+Palette+Noir&amp;qid=1695565642&amp;sr=8-7", "https://www.amazon.com/Eyeshadow-Pigmented-Waterproof-Makeup-Seductress/dp/B07JG4SPLY/ref=sr_1_7?keywords=PRO+Eyeshadow+Palette+Noir&amp;qid=1695565642&amp;sr=8-7")</f>
        <v/>
      </c>
      <c r="F2154" t="inlineStr">
        <is>
          <t>B07JG4SPLY</t>
        </is>
      </c>
      <c r="G2154">
        <f>_xlfn.IMAGE("https://camerareadycosmetics.com/cdn/shop/products/LORACPROEyeshadowPaletteNoir_50x.jpg?v=1602937745")</f>
        <v/>
      </c>
      <c r="H2154">
        <f>_xlfn.IMAGE("https://m.media-amazon.com/images/I/71joxgYmuzL._AC_UL320_.jpg")</f>
        <v/>
      </c>
      <c r="K2154" t="inlineStr">
        <is>
          <t>39.0</t>
        </is>
      </c>
      <c r="L2154" t="n">
        <v>7.99</v>
      </c>
      <c r="M2154" s="1" t="inlineStr">
        <is>
          <t>-79.51%</t>
        </is>
      </c>
      <c r="N2154" t="n">
        <v>4.6</v>
      </c>
      <c r="O2154" t="n">
        <v>7292</v>
      </c>
      <c r="Q2154" t="inlineStr">
        <is>
          <t>OutOfStock</t>
        </is>
      </c>
      <c r="R2154" t="inlineStr">
        <is>
          <t>undefined</t>
        </is>
      </c>
      <c r="S2154" t="inlineStr">
        <is>
          <t>4574963957871</t>
        </is>
      </c>
    </row>
    <row r="2155" ht="75" customHeight="1">
      <c r="A2155" s="2">
        <f>HYPERLINK("https://camerareadycosmetics.com/products/lorac-pro-eyeshadow-palette-noir", "https://camerareadycosmetics.com/products/lorac-pro-eyeshadow-palette-noir")</f>
        <v/>
      </c>
      <c r="B2155" s="2">
        <f>HYPERLINK("https://camerareadycosmetics.com/products/lorac-pro-eyeshadow-palette-noir", "https://camerareadycosmetics.com/products/lorac-pro-eyeshadow-palette-noir")</f>
        <v/>
      </c>
      <c r="C2155" t="inlineStr">
        <is>
          <t>PRO Eyeshadow Palette Noir</t>
        </is>
      </c>
      <c r="D2155" t="inlineStr">
        <is>
          <t>Profusion Cosmetics 21 Shade Eyeshadow Palette Collection &amp; Brush, Pro Pigments</t>
        </is>
      </c>
      <c r="E2155" s="2">
        <f>HYPERLINK("https://www.amazon.com/Profusion-Cosmetics-Eyeshadow-Collection-Pigments/dp/B07N8Y32GW/ref=sr_1_10?keywords=PRO+Eyeshadow+Palette+Noir&amp;qid=1695565642&amp;sr=8-10", "https://www.amazon.com/Profusion-Cosmetics-Eyeshadow-Collection-Pigments/dp/B07N8Y32GW/ref=sr_1_10?keywords=PRO+Eyeshadow+Palette+Noir&amp;qid=1695565642&amp;sr=8-10")</f>
        <v/>
      </c>
      <c r="F2155" t="inlineStr">
        <is>
          <t>B07N8Y32GW</t>
        </is>
      </c>
      <c r="G2155">
        <f>_xlfn.IMAGE("https://camerareadycosmetics.com/cdn/shop/products/LORACPROEyeshadowPaletteNoir_50x.jpg?v=1602937745")</f>
        <v/>
      </c>
      <c r="H2155">
        <f>_xlfn.IMAGE("https://m.media-amazon.com/images/I/81ldL2hiJ2L._AC_UL320_.jpg")</f>
        <v/>
      </c>
      <c r="K2155" t="inlineStr">
        <is>
          <t>39.0</t>
        </is>
      </c>
      <c r="L2155" t="n">
        <v>13.16</v>
      </c>
      <c r="M2155" s="1" t="inlineStr">
        <is>
          <t>-66.26%</t>
        </is>
      </c>
      <c r="N2155" t="n">
        <v>4.3</v>
      </c>
      <c r="O2155" t="n">
        <v>173</v>
      </c>
      <c r="Q2155" t="inlineStr">
        <is>
          <t>OutOfStock</t>
        </is>
      </c>
      <c r="R2155" t="inlineStr">
        <is>
          <t>undefined</t>
        </is>
      </c>
      <c r="S2155" t="inlineStr">
        <is>
          <t>4574963957871</t>
        </is>
      </c>
    </row>
    <row r="2156" ht="75" customHeight="1">
      <c r="A2156" s="2">
        <f>HYPERLINK("https://camerareadycosmetics.com/products/lorac-pro-eyeshadow-palette-noir", "https://camerareadycosmetics.com/products/lorac-pro-eyeshadow-palette-noir")</f>
        <v/>
      </c>
      <c r="B2156" s="2">
        <f>HYPERLINK("https://camerareadycosmetics.com/products/lorac-pro-eyeshadow-palette-noir", "https://camerareadycosmetics.com/products/lorac-pro-eyeshadow-palette-noir")</f>
        <v/>
      </c>
      <c r="C2156" t="inlineStr">
        <is>
          <t>PRO Eyeshadow Palette Noir</t>
        </is>
      </c>
      <c r="D2156" t="inlineStr">
        <is>
          <t>Best Pro Eyeshadow Palette Makeup - Matte Shimmer 16 Colors - Highly Pigmented - Professional Nudes Warm Natural Bronze Neutral Smoky Cosmetic Eye Shadows</t>
        </is>
      </c>
      <c r="E2156" s="2">
        <f>HYPERLINK("https://www.amazon.com/Best-Pro-Eyeshadow-Palette-Makeup/dp/B01CNZMMV4/ref=sr_1_6?keywords=PRO+Eyeshadow+Palette+Noir&amp;qid=1695565642&amp;sr=8-6", "https://www.amazon.com/Best-Pro-Eyeshadow-Palette-Makeup/dp/B01CNZMMV4/ref=sr_1_6?keywords=PRO+Eyeshadow+Palette+Noir&amp;qid=1695565642&amp;sr=8-6")</f>
        <v/>
      </c>
      <c r="F2156" t="inlineStr">
        <is>
          <t>B01CNZMMV4</t>
        </is>
      </c>
      <c r="G2156">
        <f>_xlfn.IMAGE("https://camerareadycosmetics.com/cdn/shop/products/LORACPROEyeshadowPaletteNoir_50x.jpg?v=1602937745")</f>
        <v/>
      </c>
      <c r="H2156">
        <f>_xlfn.IMAGE("https://m.media-amazon.com/images/I/81C5WkU0rEL._AC_UL320_.jpg")</f>
        <v/>
      </c>
      <c r="K2156" t="inlineStr">
        <is>
          <t>39.0</t>
        </is>
      </c>
      <c r="L2156" t="n">
        <v>9.99</v>
      </c>
      <c r="M2156" s="1" t="inlineStr">
        <is>
          <t>-74.38%</t>
        </is>
      </c>
      <c r="N2156" t="n">
        <v>4.4</v>
      </c>
      <c r="O2156" t="n">
        <v>27631</v>
      </c>
      <c r="Q2156" t="inlineStr">
        <is>
          <t>OutOfStock</t>
        </is>
      </c>
      <c r="R2156" t="inlineStr">
        <is>
          <t>undefined</t>
        </is>
      </c>
      <c r="S2156" t="inlineStr">
        <is>
          <t>4574963957871</t>
        </is>
      </c>
    </row>
    <row r="2157" ht="75" customHeight="1">
      <c r="A2157" s="2">
        <f>HYPERLINK("https://camerareadycosmetics.com/products/lorac-pro-eyeshadow-palette-noir", "https://camerareadycosmetics.com/products/lorac-pro-eyeshadow-palette-noir")</f>
        <v/>
      </c>
      <c r="B2157" s="2">
        <f>HYPERLINK("https://camerareadycosmetics.com/products/lorac-pro-eyeshadow-palette-noir", "https://camerareadycosmetics.com/products/lorac-pro-eyeshadow-palette-noir")</f>
        <v/>
      </c>
      <c r="C2157" t="inlineStr">
        <is>
          <t>PRO Eyeshadow Palette Noir</t>
        </is>
      </c>
      <c r="D2157" t="inlineStr">
        <is>
          <t>Smokey Eye Neutral Eyeshadow Palette - 12 Highly Pigmented Cool Toned Shimmer Matte Colors For Professional Everyday Nude Looks - Travel Size Eye Shadow Makeup Palette With Mirror</t>
        </is>
      </c>
      <c r="E2157" s="2">
        <f>HYPERLINK("https://www.amazon.com/Lamora-Cold-Smokey-Eyeshadow-Palette/dp/B09DGFQB81/ref=sr_1_8?keywords=PRO+Eyeshadow+Palette+Noir&amp;qid=1695565642&amp;sr=8-8", "https://www.amazon.com/Lamora-Cold-Smokey-Eyeshadow-Palette/dp/B09DGFQB81/ref=sr_1_8?keywords=PRO+Eyeshadow+Palette+Noir&amp;qid=1695565642&amp;sr=8-8")</f>
        <v/>
      </c>
      <c r="F2157" t="inlineStr">
        <is>
          <t>B09DGFQB81</t>
        </is>
      </c>
      <c r="G2157">
        <f>_xlfn.IMAGE("https://camerareadycosmetics.com/cdn/shop/products/LORACPROEyeshadowPaletteNoir_50x.jpg?v=1602937745")</f>
        <v/>
      </c>
      <c r="H2157">
        <f>_xlfn.IMAGE("https://m.media-amazon.com/images/I/81T-OVjGJ6L._AC_UL320_.jpg")</f>
        <v/>
      </c>
      <c r="K2157" t="inlineStr">
        <is>
          <t>39.0</t>
        </is>
      </c>
      <c r="L2157" t="n">
        <v>9.99</v>
      </c>
      <c r="M2157" s="1" t="inlineStr">
        <is>
          <t>-74.38%</t>
        </is>
      </c>
      <c r="N2157" t="n">
        <v>4.6</v>
      </c>
      <c r="O2157" t="n">
        <v>467</v>
      </c>
      <c r="Q2157" t="inlineStr">
        <is>
          <t>OutOfStock</t>
        </is>
      </c>
      <c r="R2157" t="inlineStr">
        <is>
          <t>undefined</t>
        </is>
      </c>
      <c r="S2157" t="inlineStr">
        <is>
          <t>4574963957871</t>
        </is>
      </c>
    </row>
    <row r="2158" ht="75" customHeight="1">
      <c r="A2158" s="2">
        <f>HYPERLINK("https://camerareadycosmetics.com/products/lorac-pro-eyeshadow-palette-noir", "https://camerareadycosmetics.com/products/lorac-pro-eyeshadow-palette-noir")</f>
        <v/>
      </c>
      <c r="B2158" s="2">
        <f>HYPERLINK("https://camerareadycosmetics.com/products/lorac-pro-eyeshadow-palette-noir", "https://camerareadycosmetics.com/products/lorac-pro-eyeshadow-palette-noir")</f>
        <v/>
      </c>
      <c r="C2158" t="inlineStr">
        <is>
          <t>PRO Eyeshadow Palette Noir</t>
        </is>
      </c>
      <c r="D2158" t="inlineStr">
        <is>
          <t>Prism Makeup Matte Eyeshadow Palette Pro 18 Colors Pigmented Shimmer Glitter Eye Shadow Palette, Blendable Long Lasting Waterproof Makeup Cosmetics Halloween Makeup Kit (01# Seductress)</t>
        </is>
      </c>
      <c r="E2158" s="2">
        <f>HYPERLINK("https://www.amazon.com/Eyeshadow-Pigmented-Waterproof-Makeup-Seductress/dp/B07JG4SPLY/ref=sr_1_7?keywords=PRO+Eyeshadow+Palette+Noir&amp;qid=1695565642&amp;sr=8-7", "https://www.amazon.com/Eyeshadow-Pigmented-Waterproof-Makeup-Seductress/dp/B07JG4SPLY/ref=sr_1_7?keywords=PRO+Eyeshadow+Palette+Noir&amp;qid=1695565642&amp;sr=8-7")</f>
        <v/>
      </c>
      <c r="F2158" t="inlineStr">
        <is>
          <t>B07JG4SPLY</t>
        </is>
      </c>
      <c r="G2158">
        <f>_xlfn.IMAGE("https://camerareadycosmetics.com/cdn/shop/products/LORACPROEyeshadowPaletteNoir_50x.jpg?v=1602937745")</f>
        <v/>
      </c>
      <c r="H2158">
        <f>_xlfn.IMAGE("https://m.media-amazon.com/images/I/71joxgYmuzL._AC_UL320_.jpg")</f>
        <v/>
      </c>
      <c r="K2158" t="inlineStr">
        <is>
          <t>39.0</t>
        </is>
      </c>
      <c r="L2158" t="n">
        <v>7.99</v>
      </c>
      <c r="M2158" s="1" t="inlineStr">
        <is>
          <t>-79.51%</t>
        </is>
      </c>
      <c r="N2158" t="n">
        <v>4.6</v>
      </c>
      <c r="O2158" t="n">
        <v>7292</v>
      </c>
      <c r="Q2158" t="inlineStr">
        <is>
          <t>OutOfStock</t>
        </is>
      </c>
      <c r="R2158" t="inlineStr">
        <is>
          <t>undefined</t>
        </is>
      </c>
      <c r="S2158" t="inlineStr">
        <is>
          <t>4574963957871</t>
        </is>
      </c>
    </row>
    <row r="2159" ht="75" customHeight="1">
      <c r="A2159" s="2">
        <f>HYPERLINK("https://camerareadycosmetics.com/products/lorac-pro-eyeshadow-palette-soleil", "https://camerareadycosmetics.com/products/lorac-pro-eyeshadow-palette-soleil")</f>
        <v/>
      </c>
      <c r="B2159" s="2">
        <f>HYPERLINK("https://camerareadycosmetics.com/products/lorac-pro-eyeshadow-palette-soleil", "https://camerareadycosmetics.com/products/lorac-pro-eyeshadow-palette-soleil")</f>
        <v/>
      </c>
      <c r="C2159" t="inlineStr">
        <is>
          <t>PRO Eyeshadow Palette Soleil</t>
        </is>
      </c>
      <c r="D2159" t="inlineStr">
        <is>
          <t>Tarte Tarteist Pro Remix Amazonian Clay Eyeshadow Palette</t>
        </is>
      </c>
      <c r="E2159" s="2">
        <f>HYPERLINK("https://www.amazon.com/Tarte-Tarteist-Amazonian-Eyeshadow-Palette/dp/B07KPK4KB9/ref=sr_1_5?keywords=PRO+Eyeshadow+Palette+Soleil&amp;qid=1695565616&amp;sr=8-5", "https://www.amazon.com/Tarte-Tarteist-Amazonian-Eyeshadow-Palette/dp/B07KPK4KB9/ref=sr_1_5?keywords=PRO+Eyeshadow+Palette+Soleil&amp;qid=1695565616&amp;sr=8-5")</f>
        <v/>
      </c>
      <c r="F2159" t="inlineStr">
        <is>
          <t>B07KPK4KB9</t>
        </is>
      </c>
      <c r="G2159">
        <f>_xlfn.IMAGE("https://camerareadycosmetics.com/cdn/shop/products/LORACPROEyeshadowPaletteSoleil_50x.jpg?v=1607634278")</f>
        <v/>
      </c>
      <c r="H2159">
        <f>_xlfn.IMAGE("https://m.media-amazon.com/images/I/81s3hubm3KL._AC_UL320_.jpg")</f>
        <v/>
      </c>
      <c r="K2159" t="inlineStr">
        <is>
          <t>39.0</t>
        </is>
      </c>
      <c r="L2159" t="n">
        <v>34.5</v>
      </c>
      <c r="M2159" s="1" t="inlineStr">
        <is>
          <t>-11.54%</t>
        </is>
      </c>
      <c r="N2159" t="n">
        <v>4.4</v>
      </c>
      <c r="O2159" t="n">
        <v>140</v>
      </c>
      <c r="Q2159" t="inlineStr">
        <is>
          <t>OutOfStock</t>
        </is>
      </c>
      <c r="R2159" t="inlineStr">
        <is>
          <t>undefined</t>
        </is>
      </c>
      <c r="S2159" t="inlineStr">
        <is>
          <t>4574970019951</t>
        </is>
      </c>
    </row>
    <row r="2160" ht="75" customHeight="1">
      <c r="A2160" s="2">
        <f>HYPERLINK("https://camerareadycosmetics.com/products/lorac-pro-eyeshadow-palette-soleil", "https://camerareadycosmetics.com/products/lorac-pro-eyeshadow-palette-soleil")</f>
        <v/>
      </c>
      <c r="B2160" s="2">
        <f>HYPERLINK("https://camerareadycosmetics.com/products/lorac-pro-eyeshadow-palette-soleil", "https://camerareadycosmetics.com/products/lorac-pro-eyeshadow-palette-soleil")</f>
        <v/>
      </c>
      <c r="C2160" t="inlineStr">
        <is>
          <t>PRO Eyeshadow Palette Soleil</t>
        </is>
      </c>
      <c r="D2160" t="inlineStr">
        <is>
          <t>PRO Matte &amp; Shimmer Eyeshadow Palette, Metallic High Pigmented, Mirror Compact</t>
        </is>
      </c>
      <c r="E2160" s="2">
        <f>HYPERLINK("https://www.amazon.com/LORAC-Pro-Matte-Shadow-Palette/dp/B00ZZ8XOD2/ref=sr_1_3?keywords=PRO+Eyeshadow+Palette+Soleil&amp;qid=1695565616&amp;sr=8-3", "https://www.amazon.com/LORAC-Pro-Matte-Shadow-Palette/dp/B00ZZ8XOD2/ref=sr_1_3?keywords=PRO+Eyeshadow+Palette+Soleil&amp;qid=1695565616&amp;sr=8-3")</f>
        <v/>
      </c>
      <c r="F2160" t="inlineStr">
        <is>
          <t>B00ZZ8XOD2</t>
        </is>
      </c>
      <c r="G2160">
        <f>_xlfn.IMAGE("https://camerareadycosmetics.com/cdn/shop/products/LORACPROEyeshadowPaletteSoleil_50x.jpg?v=1607634278")</f>
        <v/>
      </c>
      <c r="H2160">
        <f>_xlfn.IMAGE("https://m.media-amazon.com/images/I/71-8oA15ykL._AC_UL320_.jpg")</f>
        <v/>
      </c>
      <c r="K2160" t="inlineStr">
        <is>
          <t>39.0</t>
        </is>
      </c>
      <c r="L2160" t="n">
        <v>25</v>
      </c>
      <c r="M2160" s="1" t="inlineStr">
        <is>
          <t>-35.90%</t>
        </is>
      </c>
      <c r="N2160" t="n">
        <v>4.6</v>
      </c>
      <c r="O2160" t="n">
        <v>1829</v>
      </c>
      <c r="Q2160" t="inlineStr">
        <is>
          <t>OutOfStock</t>
        </is>
      </c>
      <c r="R2160" t="inlineStr">
        <is>
          <t>undefined</t>
        </is>
      </c>
      <c r="S2160" t="inlineStr">
        <is>
          <t>4574970019951</t>
        </is>
      </c>
    </row>
    <row r="2161" ht="75" customHeight="1">
      <c r="A2161" s="2">
        <f>HYPERLINK("https://camerareadycosmetics.com/products/lorac-pro-eyeshadow-palette-soleil", "https://camerareadycosmetics.com/products/lorac-pro-eyeshadow-palette-soleil")</f>
        <v/>
      </c>
      <c r="B2161" s="2">
        <f>HYPERLINK("https://camerareadycosmetics.com/products/lorac-pro-eyeshadow-palette-soleil", "https://camerareadycosmetics.com/products/lorac-pro-eyeshadow-palette-soleil")</f>
        <v/>
      </c>
      <c r="C2161" t="inlineStr">
        <is>
          <t>PRO Eyeshadow Palette Soleil</t>
        </is>
      </c>
      <c r="D2161" t="inlineStr">
        <is>
          <t>Profusion Cosmetics 21 Shade Eyeshadow Palette Collection &amp; Brush, Pro Pigments</t>
        </is>
      </c>
      <c r="E2161" s="2">
        <f>HYPERLINK("https://www.amazon.com/Profusion-Cosmetics-Eyeshadow-Collection-Pigments/dp/B07N8Y32GW/ref=sr_1_10?keywords=PRO+Eyeshadow+Palette+Soleil&amp;qid=1695565616&amp;sr=8-10", "https://www.amazon.com/Profusion-Cosmetics-Eyeshadow-Collection-Pigments/dp/B07N8Y32GW/ref=sr_1_10?keywords=PRO+Eyeshadow+Palette+Soleil&amp;qid=1695565616&amp;sr=8-10")</f>
        <v/>
      </c>
      <c r="F2161" t="inlineStr">
        <is>
          <t>B07N8Y32GW</t>
        </is>
      </c>
      <c r="G2161">
        <f>_xlfn.IMAGE("https://camerareadycosmetics.com/cdn/shop/products/LORACPROEyeshadowPaletteSoleil_50x.jpg?v=1607634278")</f>
        <v/>
      </c>
      <c r="H2161">
        <f>_xlfn.IMAGE("https://m.media-amazon.com/images/I/81ldL2hiJ2L._AC_UL320_.jpg")</f>
        <v/>
      </c>
      <c r="K2161" t="inlineStr">
        <is>
          <t>39.0</t>
        </is>
      </c>
      <c r="L2161" t="n">
        <v>13.16</v>
      </c>
      <c r="M2161" s="1" t="inlineStr">
        <is>
          <t>-66.26%</t>
        </is>
      </c>
      <c r="N2161" t="n">
        <v>4.3</v>
      </c>
      <c r="O2161" t="n">
        <v>173</v>
      </c>
      <c r="Q2161" t="inlineStr">
        <is>
          <t>OutOfStock</t>
        </is>
      </c>
      <c r="R2161" t="inlineStr">
        <is>
          <t>undefined</t>
        </is>
      </c>
      <c r="S2161" t="inlineStr">
        <is>
          <t>4574970019951</t>
        </is>
      </c>
    </row>
    <row r="2162" ht="75" customHeight="1">
      <c r="A2162" s="2">
        <f>HYPERLINK("https://camerareadycosmetics.com/products/lorac-pro-eyeshadow-palette-soleil", "https://camerareadycosmetics.com/products/lorac-pro-eyeshadow-palette-soleil")</f>
        <v/>
      </c>
      <c r="B2162" s="2">
        <f>HYPERLINK("https://camerareadycosmetics.com/products/lorac-pro-eyeshadow-palette-soleil", "https://camerareadycosmetics.com/products/lorac-pro-eyeshadow-palette-soleil")</f>
        <v/>
      </c>
      <c r="C2162" t="inlineStr">
        <is>
          <t>PRO Eyeshadow Palette Soleil</t>
        </is>
      </c>
      <c r="D2162" t="inlineStr">
        <is>
          <t>BestLand 2 Pack 12 Colors Makeup Nude Colors Eyeshadow Palette Natural Nude Matte Shimmer Glitter Pigment Eye Shadow Pallete Set Waterproof Smokey Professional Beauty Makeup Kit (2 PCS)</t>
        </is>
      </c>
      <c r="E2162" s="2">
        <f>HYPERLINK("https://www.amazon.com/Eyeshadow-Waterproof-Professional-Cosmetic-BESTLAND/dp/B073ZBGLJF/ref=sr_1_6?keywords=PRO+Eyeshadow+Palette+Soleil&amp;qid=1695565616&amp;sr=8-6", "https://www.amazon.com/Eyeshadow-Waterproof-Professional-Cosmetic-BESTLAND/dp/B073ZBGLJF/ref=sr_1_6?keywords=PRO+Eyeshadow+Palette+Soleil&amp;qid=1695565616&amp;sr=8-6")</f>
        <v/>
      </c>
      <c r="F2162" t="inlineStr">
        <is>
          <t>B073ZBGLJF</t>
        </is>
      </c>
      <c r="G2162">
        <f>_xlfn.IMAGE("https://camerareadycosmetics.com/cdn/shop/products/LORACPROEyeshadowPaletteSoleil_50x.jpg?v=1607634278")</f>
        <v/>
      </c>
      <c r="H2162">
        <f>_xlfn.IMAGE("https://m.media-amazon.com/images/I/61dVjYX+ooL._AC_UL320_.jpg")</f>
        <v/>
      </c>
      <c r="K2162" t="inlineStr">
        <is>
          <t>39.0</t>
        </is>
      </c>
      <c r="L2162" t="n">
        <v>9.99</v>
      </c>
      <c r="M2162" s="1" t="inlineStr">
        <is>
          <t>-74.38%</t>
        </is>
      </c>
      <c r="N2162" t="n">
        <v>4.2</v>
      </c>
      <c r="O2162" t="n">
        <v>12577</v>
      </c>
      <c r="Q2162" t="inlineStr">
        <is>
          <t>OutOfStock</t>
        </is>
      </c>
      <c r="R2162" t="inlineStr">
        <is>
          <t>undefined</t>
        </is>
      </c>
      <c r="S2162" t="inlineStr">
        <is>
          <t>4574970019951</t>
        </is>
      </c>
    </row>
    <row r="2163" ht="75" customHeight="1">
      <c r="A2163" s="2">
        <f>HYPERLINK("https://camerareadycosmetics.com/products/lorac-pro-eyeshadow-palette-soleil", "https://camerareadycosmetics.com/products/lorac-pro-eyeshadow-palette-soleil")</f>
        <v/>
      </c>
      <c r="B2163" s="2">
        <f>HYPERLINK("https://camerareadycosmetics.com/products/lorac-pro-eyeshadow-palette-soleil", "https://camerareadycosmetics.com/products/lorac-pro-eyeshadow-palette-soleil")</f>
        <v/>
      </c>
      <c r="C2163" t="inlineStr">
        <is>
          <t>PRO Eyeshadow Palette Soleil</t>
        </is>
      </c>
      <c r="D2163" t="inlineStr">
        <is>
          <t>Best Pro Eyeshadow Palette Makeup - Matte Shimmer 16 Colors - Highly Pigmented - Professional Nudes Warm Natural Bronze Neutral Smoky Cosmetic Eye Shadows</t>
        </is>
      </c>
      <c r="E2163" s="2">
        <f>HYPERLINK("https://www.amazon.com/Best-Pro-Eyeshadow-Palette-Makeup/dp/B01CNZMMV4/ref=sr_1_4?keywords=PRO+Eyeshadow+Palette+Soleil&amp;qid=1695565616&amp;sr=8-4", "https://www.amazon.com/Best-Pro-Eyeshadow-Palette-Makeup/dp/B01CNZMMV4/ref=sr_1_4?keywords=PRO+Eyeshadow+Palette+Soleil&amp;qid=1695565616&amp;sr=8-4")</f>
        <v/>
      </c>
      <c r="F2163" t="inlineStr">
        <is>
          <t>B01CNZMMV4</t>
        </is>
      </c>
      <c r="G2163">
        <f>_xlfn.IMAGE("https://camerareadycosmetics.com/cdn/shop/products/LORACPROEyeshadowPaletteSoleil_50x.jpg?v=1607634278")</f>
        <v/>
      </c>
      <c r="H2163">
        <f>_xlfn.IMAGE("https://m.media-amazon.com/images/I/81C5WkU0rEL._AC_UL320_.jpg")</f>
        <v/>
      </c>
      <c r="K2163" t="inlineStr">
        <is>
          <t>39.0</t>
        </is>
      </c>
      <c r="L2163" t="n">
        <v>9.99</v>
      </c>
      <c r="M2163" s="1" t="inlineStr">
        <is>
          <t>-74.38%</t>
        </is>
      </c>
      <c r="N2163" t="n">
        <v>4.4</v>
      </c>
      <c r="O2163" t="n">
        <v>27631</v>
      </c>
      <c r="Q2163" t="inlineStr">
        <is>
          <t>OutOfStock</t>
        </is>
      </c>
      <c r="R2163" t="inlineStr">
        <is>
          <t>undefined</t>
        </is>
      </c>
      <c r="S2163" t="inlineStr">
        <is>
          <t>4574970019951</t>
        </is>
      </c>
    </row>
    <row r="2164" ht="75" customHeight="1">
      <c r="A2164" s="2">
        <f>HYPERLINK("https://camerareadycosmetics.com/products/lorac-pro-eyeshadow-palette-soleil", "https://camerareadycosmetics.com/products/lorac-pro-eyeshadow-palette-soleil")</f>
        <v/>
      </c>
      <c r="B2164" s="2">
        <f>HYPERLINK("https://camerareadycosmetics.com/products/lorac-pro-eyeshadow-palette-soleil", "https://camerareadycosmetics.com/products/lorac-pro-eyeshadow-palette-soleil")</f>
        <v/>
      </c>
      <c r="C2164" t="inlineStr">
        <is>
          <t>PRO Eyeshadow Palette Soleil</t>
        </is>
      </c>
      <c r="D2164" t="inlineStr">
        <is>
          <t>UCANBE Spotlight Eyeshadow Palette Professional 40 Color Eye Shadow Matte Shimmer Makeup Pallet Highly Pigmented Colorful Powder Long Lasting Waterproof Eye Shadow</t>
        </is>
      </c>
      <c r="E2164" s="2">
        <f>HYPERLINK("https://www.amazon.com/UCANBE-Spotlight-Eyeshadow-Professional-Waterproof/dp/B07YC98BF8/ref=sr_1_8?keywords=PRO+Eyeshadow+Palette+Soleil&amp;qid=1695565616&amp;sr=8-8", "https://www.amazon.com/UCANBE-Spotlight-Eyeshadow-Professional-Waterproof/dp/B07YC98BF8/ref=sr_1_8?keywords=PRO+Eyeshadow+Palette+Soleil&amp;qid=1695565616&amp;sr=8-8")</f>
        <v/>
      </c>
      <c r="F2164" t="inlineStr">
        <is>
          <t>B07YC98BF8</t>
        </is>
      </c>
      <c r="G2164">
        <f>_xlfn.IMAGE("https://camerareadycosmetics.com/cdn/shop/products/LORACPROEyeshadowPaletteSoleil_50x.jpg?v=1607634278")</f>
        <v/>
      </c>
      <c r="H2164">
        <f>_xlfn.IMAGE("https://m.media-amazon.com/images/I/71M1vJWmUSL._AC_UL320_.jpg")</f>
        <v/>
      </c>
      <c r="K2164" t="inlineStr">
        <is>
          <t>39.0</t>
        </is>
      </c>
      <c r="L2164" t="n">
        <v>9.99</v>
      </c>
      <c r="M2164" s="1" t="inlineStr">
        <is>
          <t>-74.38%</t>
        </is>
      </c>
      <c r="N2164" t="n">
        <v>4.6</v>
      </c>
      <c r="O2164" t="n">
        <v>11290</v>
      </c>
      <c r="Q2164" t="inlineStr">
        <is>
          <t>OutOfStock</t>
        </is>
      </c>
      <c r="R2164" t="inlineStr">
        <is>
          <t>undefined</t>
        </is>
      </c>
      <c r="S2164" t="inlineStr">
        <is>
          <t>4574970019951</t>
        </is>
      </c>
    </row>
    <row r="2165" ht="75" customHeight="1">
      <c r="A2165" s="2">
        <f>HYPERLINK("https://camerareadycosmetics.com/products/lorac-pro-eyeshadow-palette-soleil", "https://camerareadycosmetics.com/products/lorac-pro-eyeshadow-palette-soleil")</f>
        <v/>
      </c>
      <c r="B2165" s="2">
        <f>HYPERLINK("https://camerareadycosmetics.com/products/lorac-pro-eyeshadow-palette-soleil", "https://camerareadycosmetics.com/products/lorac-pro-eyeshadow-palette-soleil")</f>
        <v/>
      </c>
      <c r="C2165" t="inlineStr">
        <is>
          <t>PRO Eyeshadow Palette Soleil</t>
        </is>
      </c>
      <c r="D2165" t="inlineStr">
        <is>
          <t>Matte Eyeshadow Palette Pro 18 Colors Pigmented Shimmer Glitter Eye Shadow Palette, Blendable Long Lasting Waterproof Makeup Cosmetics Halloween Makeup Kit (01# Seductress)</t>
        </is>
      </c>
      <c r="E2165" s="2">
        <f>HYPERLINK("https://www.amazon.com/Eyeshadow-Pigmented-Waterproof-Makeup-Seductress/dp/B07JG4SPLY/ref=sr_1_2?keywords=PRO+Eyeshadow+Palette+Soleil&amp;qid=1695565616&amp;sr=8-2", "https://www.amazon.com/Eyeshadow-Pigmented-Waterproof-Makeup-Seductress/dp/B07JG4SPLY/ref=sr_1_2?keywords=PRO+Eyeshadow+Palette+Soleil&amp;qid=1695565616&amp;sr=8-2")</f>
        <v/>
      </c>
      <c r="F2165" t="inlineStr">
        <is>
          <t>B07JG4SPLY</t>
        </is>
      </c>
      <c r="G2165">
        <f>_xlfn.IMAGE("https://camerareadycosmetics.com/cdn/shop/products/LORACPROEyeshadowPaletteSoleil_50x.jpg?v=1607634278")</f>
        <v/>
      </c>
      <c r="H2165">
        <f>_xlfn.IMAGE("https://m.media-amazon.com/images/I/71joxgYmuzL._AC_UL320_.jpg")</f>
        <v/>
      </c>
      <c r="K2165" t="inlineStr">
        <is>
          <t>39.0</t>
        </is>
      </c>
      <c r="L2165" t="n">
        <v>7.99</v>
      </c>
      <c r="M2165" s="1" t="inlineStr">
        <is>
          <t>-79.51%</t>
        </is>
      </c>
      <c r="N2165" t="n">
        <v>4.6</v>
      </c>
      <c r="O2165" t="n">
        <v>7292</v>
      </c>
      <c r="Q2165" t="inlineStr">
        <is>
          <t>OutOfStock</t>
        </is>
      </c>
      <c r="R2165" t="inlineStr">
        <is>
          <t>undefined</t>
        </is>
      </c>
      <c r="S2165" t="inlineStr">
        <is>
          <t>4574970019951</t>
        </is>
      </c>
    </row>
    <row r="2166" ht="75" customHeight="1">
      <c r="A2166" s="2">
        <f>HYPERLINK("https://camerareadycosmetics.com/products/lorac-pro-eyeshadow-palette-soleil", "https://camerareadycosmetics.com/products/lorac-pro-eyeshadow-palette-soleil")</f>
        <v/>
      </c>
      <c r="B2166" s="2">
        <f>HYPERLINK("https://camerareadycosmetics.com/products/lorac-pro-eyeshadow-palette-soleil", "https://camerareadycosmetics.com/products/lorac-pro-eyeshadow-palette-soleil")</f>
        <v/>
      </c>
      <c r="C2166" t="inlineStr">
        <is>
          <t>PRO Eyeshadow Palette Soleil</t>
        </is>
      </c>
      <c r="D2166" t="inlineStr">
        <is>
          <t>Profusion Cosmetics 21 Shade Eyeshadow Palette Collection &amp; Brush, Pro Pigments</t>
        </is>
      </c>
      <c r="E2166" s="2">
        <f>HYPERLINK("https://www.amazon.com/Profusion-Cosmetics-Eyeshadow-Collection-Pigments/dp/B07N8Y32GW/ref=sr_1_10?keywords=PRO+Eyeshadow+Palette+Soleil&amp;qid=1695565616&amp;sr=8-10", "https://www.amazon.com/Profusion-Cosmetics-Eyeshadow-Collection-Pigments/dp/B07N8Y32GW/ref=sr_1_10?keywords=PRO+Eyeshadow+Palette+Soleil&amp;qid=1695565616&amp;sr=8-10")</f>
        <v/>
      </c>
      <c r="F2166" t="inlineStr">
        <is>
          <t>B07N8Y32GW</t>
        </is>
      </c>
      <c r="G2166">
        <f>_xlfn.IMAGE("https://camerareadycosmetics.com/cdn/shop/products/LORACPROEyeshadowPaletteSoleil_50x.jpg?v=1607634278")</f>
        <v/>
      </c>
      <c r="H2166">
        <f>_xlfn.IMAGE("https://m.media-amazon.com/images/I/81ldL2hiJ2L._AC_UL320_.jpg")</f>
        <v/>
      </c>
      <c r="K2166" t="inlineStr">
        <is>
          <t>39.0</t>
        </is>
      </c>
      <c r="L2166" t="n">
        <v>13.16</v>
      </c>
      <c r="M2166" s="1" t="inlineStr">
        <is>
          <t>-66.26%</t>
        </is>
      </c>
      <c r="N2166" t="n">
        <v>4.3</v>
      </c>
      <c r="O2166" t="n">
        <v>173</v>
      </c>
      <c r="Q2166" t="inlineStr">
        <is>
          <t>OutOfStock</t>
        </is>
      </c>
      <c r="R2166" t="inlineStr">
        <is>
          <t>undefined</t>
        </is>
      </c>
      <c r="S2166" t="inlineStr">
        <is>
          <t>4574970019951</t>
        </is>
      </c>
    </row>
    <row r="2167" ht="75" customHeight="1">
      <c r="A2167" s="2">
        <f>HYPERLINK("https://camerareadycosmetics.com/products/lorac-pro-eyeshadow-palette-soleil", "https://camerareadycosmetics.com/products/lorac-pro-eyeshadow-palette-soleil")</f>
        <v/>
      </c>
      <c r="B2167" s="2">
        <f>HYPERLINK("https://camerareadycosmetics.com/products/lorac-pro-eyeshadow-palette-soleil", "https://camerareadycosmetics.com/products/lorac-pro-eyeshadow-palette-soleil")</f>
        <v/>
      </c>
      <c r="C2167" t="inlineStr">
        <is>
          <t>PRO Eyeshadow Palette Soleil</t>
        </is>
      </c>
      <c r="D2167" t="inlineStr">
        <is>
          <t>BestLand 2 Pack 12 Colors Makeup Nude Colors Eyeshadow Palette Natural Nude Matte Shimmer Glitter Pigment Eye Shadow Pallete Set Waterproof Smokey Professional Beauty Makeup Kit (2 PCS)</t>
        </is>
      </c>
      <c r="E2167" s="2">
        <f>HYPERLINK("https://www.amazon.com/Eyeshadow-Waterproof-Professional-Cosmetic-BESTLAND/dp/B073ZBGLJF/ref=sr_1_6?keywords=PRO+Eyeshadow+Palette+Soleil&amp;qid=1695565616&amp;sr=8-6", "https://www.amazon.com/Eyeshadow-Waterproof-Professional-Cosmetic-BESTLAND/dp/B073ZBGLJF/ref=sr_1_6?keywords=PRO+Eyeshadow+Palette+Soleil&amp;qid=1695565616&amp;sr=8-6")</f>
        <v/>
      </c>
      <c r="F2167" t="inlineStr">
        <is>
          <t>B073ZBGLJF</t>
        </is>
      </c>
      <c r="G2167">
        <f>_xlfn.IMAGE("https://camerareadycosmetics.com/cdn/shop/products/LORACPROEyeshadowPaletteSoleil_50x.jpg?v=1607634278")</f>
        <v/>
      </c>
      <c r="H2167">
        <f>_xlfn.IMAGE("https://m.media-amazon.com/images/I/61dVjYX+ooL._AC_UL320_.jpg")</f>
        <v/>
      </c>
      <c r="K2167" t="inlineStr">
        <is>
          <t>39.0</t>
        </is>
      </c>
      <c r="L2167" t="n">
        <v>9.99</v>
      </c>
      <c r="M2167" s="1" t="inlineStr">
        <is>
          <t>-74.38%</t>
        </is>
      </c>
      <c r="N2167" t="n">
        <v>4.2</v>
      </c>
      <c r="O2167" t="n">
        <v>12577</v>
      </c>
      <c r="Q2167" t="inlineStr">
        <is>
          <t>OutOfStock</t>
        </is>
      </c>
      <c r="R2167" t="inlineStr">
        <is>
          <t>undefined</t>
        </is>
      </c>
      <c r="S2167" t="inlineStr">
        <is>
          <t>4574970019951</t>
        </is>
      </c>
    </row>
    <row r="2168" ht="75" customHeight="1">
      <c r="A2168" s="2">
        <f>HYPERLINK("https://camerareadycosmetics.com/products/lorac-pro-eyeshadow-palette-soleil", "https://camerareadycosmetics.com/products/lorac-pro-eyeshadow-palette-soleil")</f>
        <v/>
      </c>
      <c r="B2168" s="2">
        <f>HYPERLINK("https://camerareadycosmetics.com/products/lorac-pro-eyeshadow-palette-soleil", "https://camerareadycosmetics.com/products/lorac-pro-eyeshadow-palette-soleil")</f>
        <v/>
      </c>
      <c r="C2168" t="inlineStr">
        <is>
          <t>PRO Eyeshadow Palette Soleil</t>
        </is>
      </c>
      <c r="D2168" t="inlineStr">
        <is>
          <t>Best Pro Eyeshadow Palette Makeup - Matte Shimmer 16 Colors - Highly Pigmented - Professional Nudes Warm Natural Bronze Neutral Smoky Cosmetic Eye Shadows</t>
        </is>
      </c>
      <c r="E2168" s="2">
        <f>HYPERLINK("https://www.amazon.com/Best-Pro-Eyeshadow-Palette-Makeup/dp/B01CNZMMV4/ref=sr_1_4?keywords=PRO+Eyeshadow+Palette+Soleil&amp;qid=1695565616&amp;sr=8-4", "https://www.amazon.com/Best-Pro-Eyeshadow-Palette-Makeup/dp/B01CNZMMV4/ref=sr_1_4?keywords=PRO+Eyeshadow+Palette+Soleil&amp;qid=1695565616&amp;sr=8-4")</f>
        <v/>
      </c>
      <c r="F2168" t="inlineStr">
        <is>
          <t>B01CNZMMV4</t>
        </is>
      </c>
      <c r="G2168">
        <f>_xlfn.IMAGE("https://camerareadycosmetics.com/cdn/shop/products/LORACPROEyeshadowPaletteSoleil_50x.jpg?v=1607634278")</f>
        <v/>
      </c>
      <c r="H2168">
        <f>_xlfn.IMAGE("https://m.media-amazon.com/images/I/81C5WkU0rEL._AC_UL320_.jpg")</f>
        <v/>
      </c>
      <c r="K2168" t="inlineStr">
        <is>
          <t>39.0</t>
        </is>
      </c>
      <c r="L2168" t="n">
        <v>9.99</v>
      </c>
      <c r="M2168" s="1" t="inlineStr">
        <is>
          <t>-74.38%</t>
        </is>
      </c>
      <c r="N2168" t="n">
        <v>4.4</v>
      </c>
      <c r="O2168" t="n">
        <v>27631</v>
      </c>
      <c r="Q2168" t="inlineStr">
        <is>
          <t>OutOfStock</t>
        </is>
      </c>
      <c r="R2168" t="inlineStr">
        <is>
          <t>undefined</t>
        </is>
      </c>
      <c r="S2168" t="inlineStr">
        <is>
          <t>4574970019951</t>
        </is>
      </c>
    </row>
    <row r="2169" ht="75" customHeight="1">
      <c r="A2169" s="2">
        <f>HYPERLINK("https://camerareadycosmetics.com/products/lorac-pro-eyeshadow-palette-soleil", "https://camerareadycosmetics.com/products/lorac-pro-eyeshadow-palette-soleil")</f>
        <v/>
      </c>
      <c r="B2169" s="2">
        <f>HYPERLINK("https://camerareadycosmetics.com/products/lorac-pro-eyeshadow-palette-soleil", "https://camerareadycosmetics.com/products/lorac-pro-eyeshadow-palette-soleil")</f>
        <v/>
      </c>
      <c r="C2169" t="inlineStr">
        <is>
          <t>PRO Eyeshadow Palette Soleil</t>
        </is>
      </c>
      <c r="D2169" t="inlineStr">
        <is>
          <t>UCANBE Spotlight Eyeshadow Palette Professional 40 Color Eye Shadow Matte Shimmer Makeup Pallet Highly Pigmented Colorful Powder Long Lasting Waterproof Eye Shadow</t>
        </is>
      </c>
      <c r="E2169" s="2">
        <f>HYPERLINK("https://www.amazon.com/UCANBE-Spotlight-Eyeshadow-Professional-Waterproof/dp/B07YC98BF8/ref=sr_1_8?keywords=PRO+Eyeshadow+Palette+Soleil&amp;qid=1695565616&amp;sr=8-8", "https://www.amazon.com/UCANBE-Spotlight-Eyeshadow-Professional-Waterproof/dp/B07YC98BF8/ref=sr_1_8?keywords=PRO+Eyeshadow+Palette+Soleil&amp;qid=1695565616&amp;sr=8-8")</f>
        <v/>
      </c>
      <c r="F2169" t="inlineStr">
        <is>
          <t>B07YC98BF8</t>
        </is>
      </c>
      <c r="G2169">
        <f>_xlfn.IMAGE("https://camerareadycosmetics.com/cdn/shop/products/LORACPROEyeshadowPaletteSoleil_50x.jpg?v=1607634278")</f>
        <v/>
      </c>
      <c r="H2169">
        <f>_xlfn.IMAGE("https://m.media-amazon.com/images/I/71M1vJWmUSL._AC_UL320_.jpg")</f>
        <v/>
      </c>
      <c r="K2169" t="inlineStr">
        <is>
          <t>39.0</t>
        </is>
      </c>
      <c r="L2169" t="n">
        <v>9.99</v>
      </c>
      <c r="M2169" s="1" t="inlineStr">
        <is>
          <t>-74.38%</t>
        </is>
      </c>
      <c r="N2169" t="n">
        <v>4.6</v>
      </c>
      <c r="O2169" t="n">
        <v>11290</v>
      </c>
      <c r="Q2169" t="inlineStr">
        <is>
          <t>OutOfStock</t>
        </is>
      </c>
      <c r="R2169" t="inlineStr">
        <is>
          <t>undefined</t>
        </is>
      </c>
      <c r="S2169" t="inlineStr">
        <is>
          <t>4574970019951</t>
        </is>
      </c>
    </row>
    <row r="2170" ht="75" customHeight="1">
      <c r="A2170" s="2">
        <f>HYPERLINK("https://camerareadycosmetics.com/products/lorac-pro-eyeshadow-palette-soleil", "https://camerareadycosmetics.com/products/lorac-pro-eyeshadow-palette-soleil")</f>
        <v/>
      </c>
      <c r="B2170" s="2">
        <f>HYPERLINK("https://camerareadycosmetics.com/products/lorac-pro-eyeshadow-palette-soleil", "https://camerareadycosmetics.com/products/lorac-pro-eyeshadow-palette-soleil")</f>
        <v/>
      </c>
      <c r="C2170" t="inlineStr">
        <is>
          <t>PRO Eyeshadow Palette Soleil</t>
        </is>
      </c>
      <c r="D2170" t="inlineStr">
        <is>
          <t>Matte Eyeshadow Palette Pro 18 Colors Pigmented Shimmer Glitter Eye Shadow Palette, Blendable Long Lasting Waterproof Makeup Cosmetics Halloween Makeup Kit (01# Seductress)</t>
        </is>
      </c>
      <c r="E2170" s="2">
        <f>HYPERLINK("https://www.amazon.com/Eyeshadow-Pigmented-Waterproof-Makeup-Seductress/dp/B07JG4SPLY/ref=sr_1_2?keywords=PRO+Eyeshadow+Palette+Soleil&amp;qid=1695565616&amp;sr=8-2", "https://www.amazon.com/Eyeshadow-Pigmented-Waterproof-Makeup-Seductress/dp/B07JG4SPLY/ref=sr_1_2?keywords=PRO+Eyeshadow+Palette+Soleil&amp;qid=1695565616&amp;sr=8-2")</f>
        <v/>
      </c>
      <c r="F2170" t="inlineStr">
        <is>
          <t>B07JG4SPLY</t>
        </is>
      </c>
      <c r="G2170">
        <f>_xlfn.IMAGE("https://camerareadycosmetics.com/cdn/shop/products/LORACPROEyeshadowPaletteSoleil_50x.jpg?v=1607634278")</f>
        <v/>
      </c>
      <c r="H2170">
        <f>_xlfn.IMAGE("https://m.media-amazon.com/images/I/71joxgYmuzL._AC_UL320_.jpg")</f>
        <v/>
      </c>
      <c r="K2170" t="inlineStr">
        <is>
          <t>39.0</t>
        </is>
      </c>
      <c r="L2170" t="n">
        <v>7.99</v>
      </c>
      <c r="M2170" s="1" t="inlineStr">
        <is>
          <t>-79.51%</t>
        </is>
      </c>
      <c r="N2170" t="n">
        <v>4.6</v>
      </c>
      <c r="O2170" t="n">
        <v>7292</v>
      </c>
      <c r="Q2170" t="inlineStr">
        <is>
          <t>OutOfStock</t>
        </is>
      </c>
      <c r="R2170" t="inlineStr">
        <is>
          <t>undefined</t>
        </is>
      </c>
      <c r="S2170" t="inlineStr">
        <is>
          <t>4574970019951</t>
        </is>
      </c>
    </row>
    <row r="2171" ht="75" customHeight="1">
      <c r="A2171" s="2">
        <f>HYPERLINK("https://camerareadycosmetics.com/products/lorac-pro-loose-setting-powder", "https://camerareadycosmetics.com/products/lorac-pro-loose-setting-powder")</f>
        <v/>
      </c>
      <c r="B2171" s="2">
        <f>HYPERLINK("https://camerareadycosmetics.com/products/lorac-pro-loose-setting-powder", "https://camerareadycosmetics.com/products/lorac-pro-loose-setting-powder")</f>
        <v/>
      </c>
      <c r="C2171" t="inlineStr">
        <is>
          <t>PRO Loose Setting Powder</t>
        </is>
      </c>
      <c r="D2171" t="inlineStr">
        <is>
          <t>Fenty Beauty by Rihanna - Pro FiltR Instant Retouch Setting Powder - # Butter (Light Medium To Medium With Warm</t>
        </is>
      </c>
      <c r="E2171" s="2">
        <f>HYPERLINK("https://www.amazon.com/FENTY-BEAUTY-Rihanna-Instant-Retouch/dp/B07V67GSFJ/ref=sr_1_7?keywords=PRO+Loose+Setting+Powder&amp;qid=1695565801&amp;sr=8-7", "https://www.amazon.com/FENTY-BEAUTY-Rihanna-Instant-Retouch/dp/B07V67GSFJ/ref=sr_1_7?keywords=PRO+Loose+Setting+Powder&amp;qid=1695565801&amp;sr=8-7")</f>
        <v/>
      </c>
      <c r="F2171" t="inlineStr">
        <is>
          <t>B07V67GSFJ</t>
        </is>
      </c>
      <c r="G2171">
        <f>_xlfn.IMAGE("https://camerareadycosmetics.com/cdn/shop/products/1810218_PROLooseSettingPowder_Vanilla_Front_50x.jpg?v=1615382330")</f>
        <v/>
      </c>
      <c r="H2171">
        <f>_xlfn.IMAGE("https://m.media-amazon.com/images/I/51sucq5yApL._AC_UL320_.jpg")</f>
        <v/>
      </c>
      <c r="K2171" t="inlineStr">
        <is>
          <t>30.0</t>
        </is>
      </c>
      <c r="L2171" t="n">
        <v>55</v>
      </c>
      <c r="M2171" s="1" t="inlineStr">
        <is>
          <t>83.33%</t>
        </is>
      </c>
      <c r="N2171" t="n">
        <v>4.3</v>
      </c>
      <c r="O2171" t="n">
        <v>64</v>
      </c>
      <c r="Q2171" t="inlineStr">
        <is>
          <t>OutOfStock</t>
        </is>
      </c>
      <c r="R2171" t="inlineStr">
        <is>
          <t>undefined</t>
        </is>
      </c>
      <c r="S2171" t="inlineStr">
        <is>
          <t>6570130800825</t>
        </is>
      </c>
    </row>
    <row r="2172" ht="75" customHeight="1">
      <c r="A2172" s="2">
        <f>HYPERLINK("https://camerareadycosmetics.com/products/lorac-pro-loose-setting-powder", "https://camerareadycosmetics.com/products/lorac-pro-loose-setting-powder")</f>
        <v/>
      </c>
      <c r="B2172" s="2">
        <f>HYPERLINK("https://camerareadycosmetics.com/products/lorac-pro-loose-setting-powder", "https://camerareadycosmetics.com/products/lorac-pro-loose-setting-powder")</f>
        <v/>
      </c>
      <c r="C2172" t="inlineStr">
        <is>
          <t>PRO Loose Setting Powder</t>
        </is>
      </c>
      <c r="D2172" t="inlineStr">
        <is>
          <t>Loose Setting Powder, Face Powder Makeup &amp; Finishing Powder for Light, Medium &amp; Tan Skin Tones</t>
        </is>
      </c>
      <c r="E2172" s="2">
        <f>HYPERLINK("https://www.amazon.com/Dermablend-Setting-Powder-Original-Translucent/dp/B0002RI2PG/ref=sr_1_2?keywords=PRO+Loose+Setting+Powder&amp;qid=1695565801&amp;sr=8-2", "https://www.amazon.com/Dermablend-Setting-Powder-Original-Translucent/dp/B0002RI2PG/ref=sr_1_2?keywords=PRO+Loose+Setting+Powder&amp;qid=1695565801&amp;sr=8-2")</f>
        <v/>
      </c>
      <c r="F2172" t="inlineStr">
        <is>
          <t>B0002RI2PG</t>
        </is>
      </c>
      <c r="G2172">
        <f>_xlfn.IMAGE("https://camerareadycosmetics.com/cdn/shop/products/1810218_PROLooseSettingPowder_Vanilla_Front_50x.jpg?v=1615382330")</f>
        <v/>
      </c>
      <c r="H2172">
        <f>_xlfn.IMAGE("https://m.media-amazon.com/images/I/81vfjuL7gCL._AC_UL320_.jpg")</f>
        <v/>
      </c>
      <c r="K2172" t="inlineStr">
        <is>
          <t>30.0</t>
        </is>
      </c>
      <c r="L2172" t="n">
        <v>32</v>
      </c>
      <c r="M2172" s="1" t="inlineStr">
        <is>
          <t>6.67%</t>
        </is>
      </c>
      <c r="N2172" t="n">
        <v>4.4</v>
      </c>
      <c r="O2172" t="n">
        <v>14476</v>
      </c>
      <c r="Q2172" t="inlineStr">
        <is>
          <t>OutOfStock</t>
        </is>
      </c>
      <c r="R2172" t="inlineStr">
        <is>
          <t>undefined</t>
        </is>
      </c>
      <c r="S2172" t="inlineStr">
        <is>
          <t>6570130800825</t>
        </is>
      </c>
    </row>
    <row r="2173" ht="75" customHeight="1">
      <c r="A2173" s="2">
        <f>HYPERLINK("https://camerareadycosmetics.com/products/lorac-pro-loose-setting-powder", "https://camerareadycosmetics.com/products/lorac-pro-loose-setting-powder")</f>
        <v/>
      </c>
      <c r="B2173" s="2">
        <f>HYPERLINK("https://camerareadycosmetics.com/products/lorac-pro-loose-setting-powder", "https://camerareadycosmetics.com/products/lorac-pro-loose-setting-powder")</f>
        <v/>
      </c>
      <c r="C2173" t="inlineStr">
        <is>
          <t>PRO Loose Setting Powder</t>
        </is>
      </c>
      <c r="D2173" t="inlineStr">
        <is>
          <t>PRO Loose Flawless Setting Finishing Powder</t>
        </is>
      </c>
      <c r="E2173" s="2">
        <f>HYPERLINK("https://www.amazon.com/LORAC-Loose-Setting-Powder-Br%C3%BBl%C3%A9e/dp/B0912QS6T2/ref=sr_1_5?keywords=PRO+Loose+Setting+Powder&amp;qid=1695565801&amp;sr=8-5", "https://www.amazon.com/LORAC-Loose-Setting-Powder-Br%C3%BBl%C3%A9e/dp/B0912QS6T2/ref=sr_1_5?keywords=PRO+Loose+Setting+Powder&amp;qid=1695565801&amp;sr=8-5")</f>
        <v/>
      </c>
      <c r="F2173" t="inlineStr">
        <is>
          <t>B0912QS6T2</t>
        </is>
      </c>
      <c r="G2173">
        <f>_xlfn.IMAGE("https://camerareadycosmetics.com/cdn/shop/products/1810218_PROLooseSettingPowder_Vanilla_Front_50x.jpg?v=1615382330")</f>
        <v/>
      </c>
      <c r="H2173">
        <f>_xlfn.IMAGE("https://m.media-amazon.com/images/I/71ry84fi28L._AC_UL320_.jpg")</f>
        <v/>
      </c>
      <c r="K2173" t="inlineStr">
        <is>
          <t>30.0</t>
        </is>
      </c>
      <c r="L2173" t="n">
        <v>25.16</v>
      </c>
      <c r="M2173" s="1" t="inlineStr">
        <is>
          <t>-16.13%</t>
        </is>
      </c>
      <c r="N2173" t="n">
        <v>3.9</v>
      </c>
      <c r="O2173" t="n">
        <v>38</v>
      </c>
      <c r="Q2173" t="inlineStr">
        <is>
          <t>OutOfStock</t>
        </is>
      </c>
      <c r="R2173" t="inlineStr">
        <is>
          <t>undefined</t>
        </is>
      </c>
      <c r="S2173" t="inlineStr">
        <is>
          <t>6570130800825</t>
        </is>
      </c>
    </row>
    <row r="2174" ht="75" customHeight="1">
      <c r="A2174" s="2">
        <f>HYPERLINK("https://camerareadycosmetics.com/products/lorac-pro-loose-setting-powder", "https://camerareadycosmetics.com/products/lorac-pro-loose-setting-powder")</f>
        <v/>
      </c>
      <c r="B2174" s="2">
        <f>HYPERLINK("https://camerareadycosmetics.com/products/lorac-pro-loose-setting-powder", "https://camerareadycosmetics.com/products/lorac-pro-loose-setting-powder")</f>
        <v/>
      </c>
      <c r="C2174" t="inlineStr">
        <is>
          <t>PRO Loose Setting Powder</t>
        </is>
      </c>
      <c r="D2174" t="inlineStr">
        <is>
          <t>Aesthetica Translucent Setting Powder – Matte Finishing Makeup Loose Setting Powder – Flash Friendly Translucent Powder Foundation - Loose Face Powder Includes Velour Puff</t>
        </is>
      </c>
      <c r="E2174" s="2">
        <f>HYPERLINK("https://www.amazon.com/Aesthetica-Translucent-Loose-Setting-Powder/dp/B01IE2KT8S/ref=sr_1_8?keywords=PRO+Loose+Setting+Powder&amp;qid=1695565801&amp;sr=8-8", "https://www.amazon.com/Aesthetica-Translucent-Loose-Setting-Powder/dp/B01IE2KT8S/ref=sr_1_8?keywords=PRO+Loose+Setting+Powder&amp;qid=1695565801&amp;sr=8-8")</f>
        <v/>
      </c>
      <c r="F2174" t="inlineStr">
        <is>
          <t>B01IE2KT8S</t>
        </is>
      </c>
      <c r="G2174">
        <f>_xlfn.IMAGE("https://camerareadycosmetics.com/cdn/shop/products/1810218_PROLooseSettingPowder_Vanilla_Front_50x.jpg?v=1615382330")</f>
        <v/>
      </c>
      <c r="H2174">
        <f>_xlfn.IMAGE("https://m.media-amazon.com/images/I/61pH3Su7A7L._AC_UL320_.jpg")</f>
        <v/>
      </c>
      <c r="K2174" t="inlineStr">
        <is>
          <t>30.0</t>
        </is>
      </c>
      <c r="L2174" t="n">
        <v>21.97</v>
      </c>
      <c r="M2174" s="1" t="inlineStr">
        <is>
          <t>-26.77%</t>
        </is>
      </c>
      <c r="N2174" t="n">
        <v>4.2</v>
      </c>
      <c r="O2174" t="n">
        <v>7335</v>
      </c>
      <c r="Q2174" t="inlineStr">
        <is>
          <t>OutOfStock</t>
        </is>
      </c>
      <c r="R2174" t="inlineStr">
        <is>
          <t>undefined</t>
        </is>
      </c>
      <c r="S2174" t="inlineStr">
        <is>
          <t>6570130800825</t>
        </is>
      </c>
    </row>
    <row r="2175" ht="75" customHeight="1">
      <c r="A2175" s="2">
        <f>HYPERLINK("https://camerareadycosmetics.com/products/lorac-pro-loose-setting-powder", "https://camerareadycosmetics.com/products/lorac-pro-loose-setting-powder")</f>
        <v/>
      </c>
      <c r="B2175" s="2">
        <f>HYPERLINK("https://camerareadycosmetics.com/products/lorac-pro-loose-setting-powder", "https://camerareadycosmetics.com/products/lorac-pro-loose-setting-powder")</f>
        <v/>
      </c>
      <c r="C2175" t="inlineStr">
        <is>
          <t>PRO Loose Setting Powder</t>
        </is>
      </c>
      <c r="D2175" t="inlineStr">
        <is>
          <t>L.A. Girl Pro Powder High Definition Setting Powder Translucent Pack, Clear, 3 Count(Pack of 1)</t>
        </is>
      </c>
      <c r="E2175" s="2">
        <f>HYPERLINK("https://www.amazon.com/L-Girl-Powder-Definition-Setting/dp/B01NA6LC29/ref=sr_1_4?keywords=PRO+Loose+Setting+Powder&amp;qid=1695565801&amp;sr=8-4", "https://www.amazon.com/L-Girl-Powder-Definition-Setting/dp/B01NA6LC29/ref=sr_1_4?keywords=PRO+Loose+Setting+Powder&amp;qid=1695565801&amp;sr=8-4")</f>
        <v/>
      </c>
      <c r="F2175" t="inlineStr">
        <is>
          <t>B01NA6LC29</t>
        </is>
      </c>
      <c r="G2175">
        <f>_xlfn.IMAGE("https://camerareadycosmetics.com/cdn/shop/products/1810218_PROLooseSettingPowder_Vanilla_Front_50x.jpg?v=1615382330")</f>
        <v/>
      </c>
      <c r="H2175">
        <f>_xlfn.IMAGE("https://m.media-amazon.com/images/I/813ohmInJpL._AC_UL320_.jpg")</f>
        <v/>
      </c>
      <c r="K2175" t="inlineStr">
        <is>
          <t>30.0</t>
        </is>
      </c>
      <c r="L2175" t="n">
        <v>15.95</v>
      </c>
      <c r="M2175" s="1" t="inlineStr">
        <is>
          <t>-46.83%</t>
        </is>
      </c>
      <c r="N2175" t="n">
        <v>4.1</v>
      </c>
      <c r="O2175" t="n">
        <v>75</v>
      </c>
      <c r="Q2175" t="inlineStr">
        <is>
          <t>OutOfStock</t>
        </is>
      </c>
      <c r="R2175" t="inlineStr">
        <is>
          <t>undefined</t>
        </is>
      </c>
      <c r="S2175" t="inlineStr">
        <is>
          <t>6570130800825</t>
        </is>
      </c>
    </row>
    <row r="2176" ht="75" customHeight="1">
      <c r="A2176" s="2">
        <f>HYPERLINK("https://camerareadycosmetics.com/products/lorac-pro-loose-setting-powder", "https://camerareadycosmetics.com/products/lorac-pro-loose-setting-powder")</f>
        <v/>
      </c>
      <c r="B2176" s="2">
        <f>HYPERLINK("https://camerareadycosmetics.com/products/lorac-pro-loose-setting-powder", "https://camerareadycosmetics.com/products/lorac-pro-loose-setting-powder")</f>
        <v/>
      </c>
      <c r="C2176" t="inlineStr">
        <is>
          <t>PRO Loose Setting Powder</t>
        </is>
      </c>
      <c r="D2176" t="inlineStr">
        <is>
          <t>L'Oreal Paris Infallible Tinted Loose Setting Powders, Matte Finish, Lightweight, No White Cast, 2 Shades From Light To Deep, Translucent Medium-deep, 0.28 Oz</t>
        </is>
      </c>
      <c r="E2176" s="2">
        <f>HYPERLINK("https://www.amazon.com/LOreal-Paris-Lightweight-Translucent-Medium-deep/dp/B07X5KMTHT/ref=sr_1_9?keywords=PRO+Loose+Setting+Powder&amp;qid=1695565801&amp;sr=8-9", "https://www.amazon.com/LOreal-Paris-Lightweight-Translucent-Medium-deep/dp/B07X5KMTHT/ref=sr_1_9?keywords=PRO+Loose+Setting+Powder&amp;qid=1695565801&amp;sr=8-9")</f>
        <v/>
      </c>
      <c r="F2176" t="inlineStr">
        <is>
          <t>B07X5KMTHT</t>
        </is>
      </c>
      <c r="G2176">
        <f>_xlfn.IMAGE("https://camerareadycosmetics.com/cdn/shop/products/1810218_PROLooseSettingPowder_Vanilla_Front_50x.jpg?v=1615382330")</f>
        <v/>
      </c>
      <c r="H2176">
        <f>_xlfn.IMAGE("https://m.media-amazon.com/images/I/71rwzLF0QJL._AC_UL320_.jpg")</f>
        <v/>
      </c>
      <c r="K2176" t="inlineStr">
        <is>
          <t>30.0</t>
        </is>
      </c>
      <c r="L2176" t="n">
        <v>14.99</v>
      </c>
      <c r="M2176" s="1" t="inlineStr">
        <is>
          <t>-50.03%</t>
        </is>
      </c>
      <c r="N2176" t="n">
        <v>4.3</v>
      </c>
      <c r="O2176" t="n">
        <v>1210</v>
      </c>
      <c r="Q2176" t="inlineStr">
        <is>
          <t>OutOfStock</t>
        </is>
      </c>
      <c r="R2176" t="inlineStr">
        <is>
          <t>undefined</t>
        </is>
      </c>
      <c r="S2176" t="inlineStr">
        <is>
          <t>6570130800825</t>
        </is>
      </c>
    </row>
    <row r="2177" ht="75" customHeight="1">
      <c r="A2177" s="2">
        <f>HYPERLINK("https://camerareadycosmetics.com/products/lorac-pro-loose-setting-powder", "https://camerareadycosmetics.com/products/lorac-pro-loose-setting-powder")</f>
        <v/>
      </c>
      <c r="B2177" s="2">
        <f>HYPERLINK("https://camerareadycosmetics.com/products/lorac-pro-loose-setting-powder", "https://camerareadycosmetics.com/products/lorac-pro-loose-setting-powder")</f>
        <v/>
      </c>
      <c r="C2177" t="inlineStr">
        <is>
          <t>PRO Loose Setting Powder</t>
        </is>
      </c>
      <c r="D2177" t="inlineStr">
        <is>
          <t>L'Oreal Paris Makeup Infallible Pro-Sweep and Lock Loose Matte Setting Face Powder</t>
        </is>
      </c>
      <c r="E2177" s="2">
        <f>HYPERLINK("https://www.amazon.com/LOreal-Paris-Infallible-Pro-Sweep-Translucent/dp/B074PPZYHD/ref=sr_1_1?keywords=PRO+Loose+Setting+Powder&amp;qid=1695565801&amp;sr=8-1", "https://www.amazon.com/LOreal-Paris-Infallible-Pro-Sweep-Translucent/dp/B074PPZYHD/ref=sr_1_1?keywords=PRO+Loose+Setting+Powder&amp;qid=1695565801&amp;sr=8-1")</f>
        <v/>
      </c>
      <c r="F2177" t="inlineStr">
        <is>
          <t>B074PPZYHD</t>
        </is>
      </c>
      <c r="G2177">
        <f>_xlfn.IMAGE("https://camerareadycosmetics.com/cdn/shop/products/1810218_PROLooseSettingPowder_Vanilla_Front_50x.jpg?v=1615382330")</f>
        <v/>
      </c>
      <c r="H2177">
        <f>_xlfn.IMAGE("https://m.media-amazon.com/images/I/81hlEfx7uUL._AC_UL320_.jpg")</f>
        <v/>
      </c>
      <c r="K2177" t="inlineStr">
        <is>
          <t>30.0</t>
        </is>
      </c>
      <c r="L2177" t="n">
        <v>13.99</v>
      </c>
      <c r="M2177" s="1" t="inlineStr">
        <is>
          <t>-53.37%</t>
        </is>
      </c>
      <c r="N2177" t="n">
        <v>4.4</v>
      </c>
      <c r="O2177" t="n">
        <v>4850</v>
      </c>
      <c r="Q2177" t="inlineStr">
        <is>
          <t>OutOfStock</t>
        </is>
      </c>
      <c r="R2177" t="inlineStr">
        <is>
          <t>undefined</t>
        </is>
      </c>
      <c r="S2177" t="inlineStr">
        <is>
          <t>6570130800825</t>
        </is>
      </c>
    </row>
    <row r="2178" ht="75" customHeight="1">
      <c r="A2178" s="2">
        <f>HYPERLINK("https://camerareadycosmetics.com/products/lorac-pro-loose-setting-powder", "https://camerareadycosmetics.com/products/lorac-pro-loose-setting-powder")</f>
        <v/>
      </c>
      <c r="B2178" s="2">
        <f>HYPERLINK("https://camerareadycosmetics.com/products/lorac-pro-loose-setting-powder", "https://camerareadycosmetics.com/products/lorac-pro-loose-setting-powder")</f>
        <v/>
      </c>
      <c r="C2178" t="inlineStr">
        <is>
          <t>PRO Loose Setting Powder</t>
        </is>
      </c>
      <c r="D2178" t="inlineStr">
        <is>
          <t>Kiss New York Pro Touch Setting Powder, Loose Setting Powder, Lightweight, Long-Lasting Face Powder Makeup, Controls Oil, Finishing Powder for Medium &amp; Tan Skin Tones (Earth)</t>
        </is>
      </c>
      <c r="E2178" s="2">
        <f>HYPERLINK("https://www.amazon.com/Setting-Lightweight-Long-Lasting-Controls-Finishing/dp/B0742R1N5Z/ref=sr_1_3?keywords=PRO+Loose+Setting+Powder&amp;qid=1695565801&amp;sr=8-3", "https://www.amazon.com/Setting-Lightweight-Long-Lasting-Controls-Finishing/dp/B0742R1N5Z/ref=sr_1_3?keywords=PRO+Loose+Setting+Powder&amp;qid=1695565801&amp;sr=8-3")</f>
        <v/>
      </c>
      <c r="F2178" t="inlineStr">
        <is>
          <t>B0742R1N5Z</t>
        </is>
      </c>
      <c r="G2178">
        <f>_xlfn.IMAGE("https://camerareadycosmetics.com/cdn/shop/products/1810218_PROLooseSettingPowder_Vanilla_Front_50x.jpg?v=1615382330")</f>
        <v/>
      </c>
      <c r="H2178">
        <f>_xlfn.IMAGE("https://m.media-amazon.com/images/I/71d9yslil2L._AC_UL320_.jpg")</f>
        <v/>
      </c>
      <c r="K2178" t="inlineStr">
        <is>
          <t>30.0</t>
        </is>
      </c>
      <c r="L2178" t="n">
        <v>7.99</v>
      </c>
      <c r="M2178" s="1" t="inlineStr">
        <is>
          <t>-73.37%</t>
        </is>
      </c>
      <c r="N2178" t="n">
        <v>4.6</v>
      </c>
      <c r="O2178" t="n">
        <v>24</v>
      </c>
      <c r="Q2178" t="inlineStr">
        <is>
          <t>OutOfStock</t>
        </is>
      </c>
      <c r="R2178" t="inlineStr">
        <is>
          <t>undefined</t>
        </is>
      </c>
      <c r="S2178" t="inlineStr">
        <is>
          <t>6570130800825</t>
        </is>
      </c>
    </row>
    <row r="2179" ht="75" customHeight="1">
      <c r="A2179" s="2">
        <f>HYPERLINK("https://camerareadycosmetics.com/products/lorac-pro-loose-setting-powder", "https://camerareadycosmetics.com/products/lorac-pro-loose-setting-powder")</f>
        <v/>
      </c>
      <c r="B2179" s="2">
        <f>HYPERLINK("https://camerareadycosmetics.com/products/lorac-pro-loose-setting-powder", "https://camerareadycosmetics.com/products/lorac-pro-loose-setting-powder")</f>
        <v/>
      </c>
      <c r="C2179" t="inlineStr">
        <is>
          <t>PRO Loose Setting Powder</t>
        </is>
      </c>
      <c r="D2179" t="inlineStr">
        <is>
          <t>Black Radiance True Complexion Loose Setting Powder, Banana, 0.64 Ounce</t>
        </is>
      </c>
      <c r="E2179" s="2">
        <f>HYPERLINK("https://www.amazon.com/Black-Radiance-Complexion-Setting-Powder/dp/B0784G54FT/ref=sr_1_10?keywords=PRO+Loose+Setting+Powder&amp;qid=1695565801&amp;sr=8-10", "https://www.amazon.com/Black-Radiance-Complexion-Setting-Powder/dp/B0784G54FT/ref=sr_1_10?keywords=PRO+Loose+Setting+Powder&amp;qid=1695565801&amp;sr=8-10")</f>
        <v/>
      </c>
      <c r="F2179" t="inlineStr">
        <is>
          <t>B0784G54FT</t>
        </is>
      </c>
      <c r="G2179">
        <f>_xlfn.IMAGE("https://camerareadycosmetics.com/cdn/shop/products/1810218_PROLooseSettingPowder_Vanilla_Front_50x.jpg?v=1615382330")</f>
        <v/>
      </c>
      <c r="H2179">
        <f>_xlfn.IMAGE("https://m.media-amazon.com/images/I/71P4YDQWvHL._AC_UL320_.jpg")</f>
        <v/>
      </c>
      <c r="K2179" t="inlineStr">
        <is>
          <t>30.0</t>
        </is>
      </c>
      <c r="L2179" t="n">
        <v>6.87</v>
      </c>
      <c r="M2179" s="1" t="inlineStr">
        <is>
          <t>-77.10%</t>
        </is>
      </c>
      <c r="N2179" t="n">
        <v>4.4</v>
      </c>
      <c r="O2179" t="n">
        <v>7389</v>
      </c>
      <c r="Q2179" t="inlineStr">
        <is>
          <t>OutOfStock</t>
        </is>
      </c>
      <c r="R2179" t="inlineStr">
        <is>
          <t>undefined</t>
        </is>
      </c>
      <c r="S2179" t="inlineStr">
        <is>
          <t>6570130800825</t>
        </is>
      </c>
    </row>
    <row r="2180" ht="75" customHeight="1">
      <c r="A2180" s="2">
        <f>HYPERLINK("https://camerareadycosmetics.com/products/lorac-pro-loose-setting-powder", "https://camerareadycosmetics.com/products/lorac-pro-loose-setting-powder")</f>
        <v/>
      </c>
      <c r="B2180" s="2">
        <f>HYPERLINK("https://camerareadycosmetics.com/products/lorac-pro-loose-setting-powder", "https://camerareadycosmetics.com/products/lorac-pro-loose-setting-powder")</f>
        <v/>
      </c>
      <c r="C2180" t="inlineStr">
        <is>
          <t>PRO Loose Setting Powder</t>
        </is>
      </c>
      <c r="D2180" t="inlineStr">
        <is>
          <t>L.A. GIRL HD PRO Setting Powder - Banana Yellow</t>
        </is>
      </c>
      <c r="E2180" s="2">
        <f>HYPERLINK("https://www.amazon.com/L-GIRL-Setting-Powder/dp/B01M1H52S1/ref=sr_1_6?keywords=PRO+Loose+Setting+Powder&amp;qid=1695565801&amp;sr=8-6", "https://www.amazon.com/L-GIRL-Setting-Powder/dp/B01M1H52S1/ref=sr_1_6?keywords=PRO+Loose+Setting+Powder&amp;qid=1695565801&amp;sr=8-6")</f>
        <v/>
      </c>
      <c r="F2180" t="inlineStr">
        <is>
          <t>B01M1H52S1</t>
        </is>
      </c>
      <c r="G2180">
        <f>_xlfn.IMAGE("https://camerareadycosmetics.com/cdn/shop/products/1810218_PROLooseSettingPowder_Vanilla_Front_50x.jpg?v=1615382330")</f>
        <v/>
      </c>
      <c r="H2180">
        <f>_xlfn.IMAGE("https://m.media-amazon.com/images/I/71bW4OFWADL._AC_UL320_.jpg")</f>
        <v/>
      </c>
      <c r="K2180" t="inlineStr">
        <is>
          <t>30.0</t>
        </is>
      </c>
      <c r="L2180" t="n">
        <v>5.99</v>
      </c>
      <c r="M2180" s="1" t="inlineStr">
        <is>
          <t>-80.03%</t>
        </is>
      </c>
      <c r="N2180" t="n">
        <v>4.1</v>
      </c>
      <c r="O2180" t="n">
        <v>1064</v>
      </c>
      <c r="Q2180" t="inlineStr">
        <is>
          <t>OutOfStock</t>
        </is>
      </c>
      <c r="R2180" t="inlineStr">
        <is>
          <t>undefined</t>
        </is>
      </c>
      <c r="S2180" t="inlineStr">
        <is>
          <t>6570130800825</t>
        </is>
      </c>
    </row>
    <row r="2181" ht="75" customHeight="1">
      <c r="A2181" s="2">
        <f>HYPERLINK("https://camerareadycosmetics.com/products/lorac-pro-loose-setting-powder", "https://camerareadycosmetics.com/products/lorac-pro-loose-setting-powder")</f>
        <v/>
      </c>
      <c r="B2181" s="2">
        <f>HYPERLINK("https://camerareadycosmetics.com/products/lorac-pro-loose-setting-powder", "https://camerareadycosmetics.com/products/lorac-pro-loose-setting-powder")</f>
        <v/>
      </c>
      <c r="C2181" t="inlineStr">
        <is>
          <t>PRO Loose Setting Powder</t>
        </is>
      </c>
      <c r="D2181" t="inlineStr">
        <is>
          <t>L'Oreal Paris Infallible Tinted Loose Setting Powders, Matte Finish, Lightweight, No White Cast, 2 Shades From Light To Deep, Translucent Medium-deep, 0.28 Oz</t>
        </is>
      </c>
      <c r="E2181" s="2">
        <f>HYPERLINK("https://www.amazon.com/LOreal-Paris-Lightweight-Translucent-Medium-deep/dp/B07X5KMTHT/ref=sr_1_9?keywords=PRO+Loose+Setting+Powder&amp;qid=1695565801&amp;sr=8-9", "https://www.amazon.com/LOreal-Paris-Lightweight-Translucent-Medium-deep/dp/B07X5KMTHT/ref=sr_1_9?keywords=PRO+Loose+Setting+Powder&amp;qid=1695565801&amp;sr=8-9")</f>
        <v/>
      </c>
      <c r="F2181" t="inlineStr">
        <is>
          <t>B07X5KMTHT</t>
        </is>
      </c>
      <c r="G2181">
        <f>_xlfn.IMAGE("https://camerareadycosmetics.com/cdn/shop/products/1810218_PROLooseSettingPowder_Vanilla_Front_50x.jpg?v=1615382330")</f>
        <v/>
      </c>
      <c r="H2181">
        <f>_xlfn.IMAGE("https://m.media-amazon.com/images/I/71rwzLF0QJL._AC_UL320_.jpg")</f>
        <v/>
      </c>
      <c r="K2181" t="inlineStr">
        <is>
          <t>30.0</t>
        </is>
      </c>
      <c r="L2181" t="n">
        <v>14.99</v>
      </c>
      <c r="M2181" s="1" t="inlineStr">
        <is>
          <t>-50.03%</t>
        </is>
      </c>
      <c r="N2181" t="n">
        <v>4.3</v>
      </c>
      <c r="O2181" t="n">
        <v>1210</v>
      </c>
      <c r="Q2181" t="inlineStr">
        <is>
          <t>OutOfStock</t>
        </is>
      </c>
      <c r="R2181" t="inlineStr">
        <is>
          <t>undefined</t>
        </is>
      </c>
      <c r="S2181" t="inlineStr">
        <is>
          <t>6570130800825</t>
        </is>
      </c>
    </row>
    <row r="2182" ht="75" customHeight="1">
      <c r="A2182" s="2">
        <f>HYPERLINK("https://camerareadycosmetics.com/products/lorac-pro-loose-setting-powder", "https://camerareadycosmetics.com/products/lorac-pro-loose-setting-powder")</f>
        <v/>
      </c>
      <c r="B2182" s="2">
        <f>HYPERLINK("https://camerareadycosmetics.com/products/lorac-pro-loose-setting-powder", "https://camerareadycosmetics.com/products/lorac-pro-loose-setting-powder")</f>
        <v/>
      </c>
      <c r="C2182" t="inlineStr">
        <is>
          <t>PRO Loose Setting Powder</t>
        </is>
      </c>
      <c r="D2182" t="inlineStr">
        <is>
          <t>L'Oreal Paris Makeup Infallible Pro-Sweep and Lock Loose Matte Setting Face Powder</t>
        </is>
      </c>
      <c r="E2182" s="2">
        <f>HYPERLINK("https://www.amazon.com/LOreal-Paris-Infallible-Pro-Sweep-Translucent/dp/B074PPZYHD/ref=sr_1_1?keywords=PRO+Loose+Setting+Powder&amp;qid=1695565801&amp;sr=8-1", "https://www.amazon.com/LOreal-Paris-Infallible-Pro-Sweep-Translucent/dp/B074PPZYHD/ref=sr_1_1?keywords=PRO+Loose+Setting+Powder&amp;qid=1695565801&amp;sr=8-1")</f>
        <v/>
      </c>
      <c r="F2182" t="inlineStr">
        <is>
          <t>B074PPZYHD</t>
        </is>
      </c>
      <c r="G2182">
        <f>_xlfn.IMAGE("https://camerareadycosmetics.com/cdn/shop/products/1810218_PROLooseSettingPowder_Vanilla_Front_50x.jpg?v=1615382330")</f>
        <v/>
      </c>
      <c r="H2182">
        <f>_xlfn.IMAGE("https://m.media-amazon.com/images/I/81hlEfx7uUL._AC_UL320_.jpg")</f>
        <v/>
      </c>
      <c r="K2182" t="inlineStr">
        <is>
          <t>30.0</t>
        </is>
      </c>
      <c r="L2182" t="n">
        <v>13.99</v>
      </c>
      <c r="M2182" s="1" t="inlineStr">
        <is>
          <t>-53.37%</t>
        </is>
      </c>
      <c r="N2182" t="n">
        <v>4.4</v>
      </c>
      <c r="O2182" t="n">
        <v>4850</v>
      </c>
      <c r="Q2182" t="inlineStr">
        <is>
          <t>OutOfStock</t>
        </is>
      </c>
      <c r="R2182" t="inlineStr">
        <is>
          <t>undefined</t>
        </is>
      </c>
      <c r="S2182" t="inlineStr">
        <is>
          <t>6570130800825</t>
        </is>
      </c>
    </row>
    <row r="2183" ht="75" customHeight="1">
      <c r="A2183" s="2">
        <f>HYPERLINK("https://camerareadycosmetics.com/products/lorac-pro-loose-setting-powder", "https://camerareadycosmetics.com/products/lorac-pro-loose-setting-powder")</f>
        <v/>
      </c>
      <c r="B2183" s="2">
        <f>HYPERLINK("https://camerareadycosmetics.com/products/lorac-pro-loose-setting-powder", "https://camerareadycosmetics.com/products/lorac-pro-loose-setting-powder")</f>
        <v/>
      </c>
      <c r="C2183" t="inlineStr">
        <is>
          <t>PRO Loose Setting Powder</t>
        </is>
      </c>
      <c r="D2183" t="inlineStr">
        <is>
          <t>Kiss New York Pro Touch Setting Powder, Loose Setting Powder, Lightweight, Long-Lasting Face Powder Makeup, Controls Oil, Finishing Powder for Medium &amp; Tan Skin Tones (Earth)</t>
        </is>
      </c>
      <c r="E2183" s="2">
        <f>HYPERLINK("https://www.amazon.com/Setting-Lightweight-Long-Lasting-Controls-Finishing/dp/B0742R1N5Z/ref=sr_1_3?keywords=PRO+Loose+Setting+Powder&amp;qid=1695565801&amp;sr=8-3", "https://www.amazon.com/Setting-Lightweight-Long-Lasting-Controls-Finishing/dp/B0742R1N5Z/ref=sr_1_3?keywords=PRO+Loose+Setting+Powder&amp;qid=1695565801&amp;sr=8-3")</f>
        <v/>
      </c>
      <c r="F2183" t="inlineStr">
        <is>
          <t>B0742R1N5Z</t>
        </is>
      </c>
      <c r="G2183">
        <f>_xlfn.IMAGE("https://camerareadycosmetics.com/cdn/shop/products/1810218_PROLooseSettingPowder_Vanilla_Front_50x.jpg?v=1615382330")</f>
        <v/>
      </c>
      <c r="H2183">
        <f>_xlfn.IMAGE("https://m.media-amazon.com/images/I/71d9yslil2L._AC_UL320_.jpg")</f>
        <v/>
      </c>
      <c r="K2183" t="inlineStr">
        <is>
          <t>30.0</t>
        </is>
      </c>
      <c r="L2183" t="n">
        <v>7.99</v>
      </c>
      <c r="M2183" s="1" t="inlineStr">
        <is>
          <t>-73.37%</t>
        </is>
      </c>
      <c r="N2183" t="n">
        <v>4.6</v>
      </c>
      <c r="O2183" t="n">
        <v>24</v>
      </c>
      <c r="Q2183" t="inlineStr">
        <is>
          <t>OutOfStock</t>
        </is>
      </c>
      <c r="R2183" t="inlineStr">
        <is>
          <t>undefined</t>
        </is>
      </c>
      <c r="S2183" t="inlineStr">
        <is>
          <t>6570130800825</t>
        </is>
      </c>
    </row>
    <row r="2184" ht="75" customHeight="1">
      <c r="A2184" s="2">
        <f>HYPERLINK("https://camerareadycosmetics.com/products/lorac-pro-loose-setting-powder", "https://camerareadycosmetics.com/products/lorac-pro-loose-setting-powder")</f>
        <v/>
      </c>
      <c r="B2184" s="2">
        <f>HYPERLINK("https://camerareadycosmetics.com/products/lorac-pro-loose-setting-powder", "https://camerareadycosmetics.com/products/lorac-pro-loose-setting-powder")</f>
        <v/>
      </c>
      <c r="C2184" t="inlineStr">
        <is>
          <t>PRO Loose Setting Powder</t>
        </is>
      </c>
      <c r="D2184" t="inlineStr">
        <is>
          <t>Black Radiance True Complexion Loose Setting Powder, Banana, 0.64 Ounce</t>
        </is>
      </c>
      <c r="E2184" s="2">
        <f>HYPERLINK("https://www.amazon.com/Black-Radiance-Complexion-Setting-Powder/dp/B0784G54FT/ref=sr_1_10?keywords=PRO+Loose+Setting+Powder&amp;qid=1695565801&amp;sr=8-10", "https://www.amazon.com/Black-Radiance-Complexion-Setting-Powder/dp/B0784G54FT/ref=sr_1_10?keywords=PRO+Loose+Setting+Powder&amp;qid=1695565801&amp;sr=8-10")</f>
        <v/>
      </c>
      <c r="F2184" t="inlineStr">
        <is>
          <t>B0784G54FT</t>
        </is>
      </c>
      <c r="G2184">
        <f>_xlfn.IMAGE("https://camerareadycosmetics.com/cdn/shop/products/1810218_PROLooseSettingPowder_Vanilla_Front_50x.jpg?v=1615382330")</f>
        <v/>
      </c>
      <c r="H2184">
        <f>_xlfn.IMAGE("https://m.media-amazon.com/images/I/71P4YDQWvHL._AC_UL320_.jpg")</f>
        <v/>
      </c>
      <c r="K2184" t="inlineStr">
        <is>
          <t>30.0</t>
        </is>
      </c>
      <c r="L2184" t="n">
        <v>6.87</v>
      </c>
      <c r="M2184" s="1" t="inlineStr">
        <is>
          <t>-77.10%</t>
        </is>
      </c>
      <c r="N2184" t="n">
        <v>4.4</v>
      </c>
      <c r="O2184" t="n">
        <v>7389</v>
      </c>
      <c r="Q2184" t="inlineStr">
        <is>
          <t>OutOfStock</t>
        </is>
      </c>
      <c r="R2184" t="inlineStr">
        <is>
          <t>undefined</t>
        </is>
      </c>
      <c r="S2184" t="inlineStr">
        <is>
          <t>6570130800825</t>
        </is>
      </c>
    </row>
    <row r="2185" ht="75" customHeight="1">
      <c r="A2185" s="2">
        <f>HYPERLINK("https://camerareadycosmetics.com/products/lorac-pro-loose-setting-powder", "https://camerareadycosmetics.com/products/lorac-pro-loose-setting-powder")</f>
        <v/>
      </c>
      <c r="B2185" s="2">
        <f>HYPERLINK("https://camerareadycosmetics.com/products/lorac-pro-loose-setting-powder", "https://camerareadycosmetics.com/products/lorac-pro-loose-setting-powder")</f>
        <v/>
      </c>
      <c r="C2185" t="inlineStr">
        <is>
          <t>PRO Loose Setting Powder</t>
        </is>
      </c>
      <c r="D2185" t="inlineStr">
        <is>
          <t>L.A. GIRL HD PRO Setting Powder - Banana Yellow</t>
        </is>
      </c>
      <c r="E2185" s="2">
        <f>HYPERLINK("https://www.amazon.com/L-GIRL-Setting-Powder/dp/B01M1H52S1/ref=sr_1_6?keywords=PRO+Loose+Setting+Powder&amp;qid=1695565801&amp;sr=8-6", "https://www.amazon.com/L-GIRL-Setting-Powder/dp/B01M1H52S1/ref=sr_1_6?keywords=PRO+Loose+Setting+Powder&amp;qid=1695565801&amp;sr=8-6")</f>
        <v/>
      </c>
      <c r="F2185" t="inlineStr">
        <is>
          <t>B01M1H52S1</t>
        </is>
      </c>
      <c r="G2185">
        <f>_xlfn.IMAGE("https://camerareadycosmetics.com/cdn/shop/products/1810218_PROLooseSettingPowder_Vanilla_Front_50x.jpg?v=1615382330")</f>
        <v/>
      </c>
      <c r="H2185">
        <f>_xlfn.IMAGE("https://m.media-amazon.com/images/I/71bW4OFWADL._AC_UL320_.jpg")</f>
        <v/>
      </c>
      <c r="K2185" t="inlineStr">
        <is>
          <t>30.0</t>
        </is>
      </c>
      <c r="L2185" t="n">
        <v>5.99</v>
      </c>
      <c r="M2185" s="1" t="inlineStr">
        <is>
          <t>-80.03%</t>
        </is>
      </c>
      <c r="N2185" t="n">
        <v>4.1</v>
      </c>
      <c r="O2185" t="n">
        <v>1064</v>
      </c>
      <c r="Q2185" t="inlineStr">
        <is>
          <t>OutOfStock</t>
        </is>
      </c>
      <c r="R2185" t="inlineStr">
        <is>
          <t>undefined</t>
        </is>
      </c>
      <c r="S2185" t="inlineStr">
        <is>
          <t>6570130800825</t>
        </is>
      </c>
    </row>
    <row r="2186" ht="75" customHeight="1">
      <c r="A2186" s="2">
        <f>HYPERLINK("https://camerareadycosmetics.com/products/lorac-pro-palette-fairytale-forest", "https://camerareadycosmetics.com/products/lorac-pro-palette-fairytale-forest")</f>
        <v/>
      </c>
      <c r="B2186" s="2">
        <f>HYPERLINK("https://camerareadycosmetics.com/products/lorac-pro-palette-fairytale-forest", "https://camerareadycosmetics.com/products/lorac-pro-palette-fairytale-forest")</f>
        <v/>
      </c>
      <c r="C2186" t="inlineStr">
        <is>
          <t>PRO Palette Fairytale Forest</t>
        </is>
      </c>
      <c r="D2186" t="inlineStr">
        <is>
          <t>LORAC PRO Eyeshadow Palette, Fairytale Forest | Matte &amp; Shimmer Makeup | Glitter | Mirror Compact | Cruelty Free, Gluten Free, Vegan</t>
        </is>
      </c>
      <c r="E2186" s="2">
        <f>HYPERLINK("https://www.amazon.com/LORAC-PRO-Palette-Fairytale-Forest/dp/B09NX3RNFG/ref=sr_1_1?keywords=PRO+Palette+Fairytale+Forest&amp;qid=1695565712&amp;sr=8-1", "https://www.amazon.com/LORAC-PRO-Palette-Fairytale-Forest/dp/B09NX3RNFG/ref=sr_1_1?keywords=PRO+Palette+Fairytale+Forest&amp;qid=1695565712&amp;sr=8-1")</f>
        <v/>
      </c>
      <c r="F2186" t="inlineStr">
        <is>
          <t>B09NX3RNFG</t>
        </is>
      </c>
      <c r="G2186">
        <f>_xlfn.IMAGE("https://camerareadycosmetics.com/cdn/shop/products/1810387_PRO-Palette_Fairytale-Forest_box_front_50x.jpg?v=1632943780")</f>
        <v/>
      </c>
      <c r="H2186">
        <f>_xlfn.IMAGE("https://m.media-amazon.com/images/I/81TjCahgsFL._AC_UL320_.jpg")</f>
        <v/>
      </c>
      <c r="K2186" t="inlineStr">
        <is>
          <t>39.0</t>
        </is>
      </c>
      <c r="L2186" t="n">
        <v>39</v>
      </c>
      <c r="M2186" s="1" t="inlineStr">
        <is>
          <t>0.00%</t>
        </is>
      </c>
      <c r="N2186" t="n">
        <v>4.3</v>
      </c>
      <c r="O2186" t="n">
        <v>125</v>
      </c>
      <c r="Q2186" t="inlineStr">
        <is>
          <t>InStock</t>
        </is>
      </c>
      <c r="R2186" t="inlineStr">
        <is>
          <t>undefined</t>
        </is>
      </c>
      <c r="S2186" t="inlineStr">
        <is>
          <t>7011784360121</t>
        </is>
      </c>
    </row>
    <row r="2187" ht="75" customHeight="1">
      <c r="A2187" s="2">
        <f>HYPERLINK("https://camerareadycosmetics.com/products/lorac-pro-plus-fiber-mascara", "https://camerareadycosmetics.com/products/lorac-pro-plus-fiber-mascara")</f>
        <v/>
      </c>
      <c r="B2187" s="2">
        <f>HYPERLINK("https://camerareadycosmetics.com/products/lorac-pro-plus-fiber-mascara", "https://camerareadycosmetics.com/products/lorac-pro-plus-fiber-mascara")</f>
        <v/>
      </c>
      <c r="C2187" t="inlineStr">
        <is>
          <t>PRO Plus Fiber Mascara</t>
        </is>
      </c>
      <c r="D2187" t="inlineStr">
        <is>
          <t>LORAC PRO Plus Fiber Mascara Black, Curling, Volumizing, Lifting, Lengthing, Buildable</t>
        </is>
      </c>
      <c r="E2187" s="2">
        <f>HYPERLINK("https://www.amazon.com/LORAC-Plus-Fiber-Mascara-Black/dp/B00ZZ8XP0Y/ref=sr_1_1?keywords=PRO+Plus+Fiber+Mascara&amp;qid=1695565789&amp;sr=8-1", "https://www.amazon.com/LORAC-Plus-Fiber-Mascara-Black/dp/B00ZZ8XP0Y/ref=sr_1_1?keywords=PRO+Plus+Fiber+Mascara&amp;qid=1695565789&amp;sr=8-1")</f>
        <v/>
      </c>
      <c r="F2187" t="inlineStr">
        <is>
          <t>B00ZZ8XP0Y</t>
        </is>
      </c>
      <c r="G2187">
        <f>_xlfn.IMAGE("https://camerareadycosmetics.com/cdn/shop/products/lorac-pro-plus-fiber-mascara-wand-10164_50x.jpg?v=1564090781")</f>
        <v/>
      </c>
      <c r="H2187">
        <f>_xlfn.IMAGE("https://m.media-amazon.com/images/I/61Bc4gdkpvL._AC_UL320_.jpg")</f>
        <v/>
      </c>
      <c r="K2187" t="inlineStr">
        <is>
          <t>24.0</t>
        </is>
      </c>
      <c r="L2187" t="n">
        <v>21.69</v>
      </c>
      <c r="M2187" s="1" t="inlineStr">
        <is>
          <t>-9.62%</t>
        </is>
      </c>
      <c r="N2187" t="n">
        <v>4.2</v>
      </c>
      <c r="O2187" t="n">
        <v>619</v>
      </c>
      <c r="Q2187" t="inlineStr">
        <is>
          <t>InStock</t>
        </is>
      </c>
      <c r="R2187" t="inlineStr">
        <is>
          <t>undefined</t>
        </is>
      </c>
      <c r="S2187" t="inlineStr">
        <is>
          <t>3945693675631</t>
        </is>
      </c>
    </row>
    <row r="2188" ht="75" customHeight="1">
      <c r="A2188" s="2">
        <f>HYPERLINK("https://camerareadycosmetics.com/products/lorac-pro-plus-fiber-mascara", "https://camerareadycosmetics.com/products/lorac-pro-plus-fiber-mascara")</f>
        <v/>
      </c>
      <c r="B2188" s="2">
        <f>HYPERLINK("https://camerareadycosmetics.com/products/lorac-pro-plus-fiber-mascara", "https://camerareadycosmetics.com/products/lorac-pro-plus-fiber-mascara")</f>
        <v/>
      </c>
      <c r="C2188" t="inlineStr">
        <is>
          <t>PRO Plus Fiber Mascara</t>
        </is>
      </c>
      <c r="D2188" t="inlineStr">
        <is>
          <t>400X Pure Silk Fiber Lash Mascara [Ultra Black Volume and Length], Longer &amp; Thicker Eyelashes, Waterproof, Long Lasting, Instant &amp; Very Easy to Apply, Smudge-proof, Hypoallergenic, Cruelty &amp; Paraben Free (Mia Adora)</t>
        </is>
      </c>
      <c r="E2188" s="2">
        <f>HYPERLINK("https://www.amazon.com/400X-Fiber-Mascara-Mia-Adora/dp/B00NBCD7MW/ref=sr_1_8?keywords=PRO+Plus+Fiber+Mascara&amp;qid=1695565789&amp;sr=8-8", "https://www.amazon.com/400X-Fiber-Mascara-Mia-Adora/dp/B00NBCD7MW/ref=sr_1_8?keywords=PRO+Plus+Fiber+Mascara&amp;qid=1695565789&amp;sr=8-8")</f>
        <v/>
      </c>
      <c r="F2188" t="inlineStr">
        <is>
          <t>B00NBCD7MW</t>
        </is>
      </c>
      <c r="G2188">
        <f>_xlfn.IMAGE("https://camerareadycosmetics.com/cdn/shop/products/lorac-pro-plus-fiber-mascara-wand-10164_50x.jpg?v=1564090781")</f>
        <v/>
      </c>
      <c r="H2188">
        <f>_xlfn.IMAGE("https://m.media-amazon.com/images/I/911g0OTy9CL._AC_UL320_.jpg")</f>
        <v/>
      </c>
      <c r="K2188" t="inlineStr">
        <is>
          <t>24.0</t>
        </is>
      </c>
      <c r="L2188" t="n">
        <v>19.49</v>
      </c>
      <c r="M2188" s="1" t="inlineStr">
        <is>
          <t>-18.79%</t>
        </is>
      </c>
      <c r="N2188" t="n">
        <v>4</v>
      </c>
      <c r="O2188" t="n">
        <v>13923</v>
      </c>
      <c r="Q2188" t="inlineStr">
        <is>
          <t>InStock</t>
        </is>
      </c>
      <c r="R2188" t="inlineStr">
        <is>
          <t>undefined</t>
        </is>
      </c>
      <c r="S2188" t="inlineStr">
        <is>
          <t>3945693675631</t>
        </is>
      </c>
    </row>
    <row r="2189" ht="75" customHeight="1">
      <c r="A2189" s="2">
        <f>HYPERLINK("https://camerareadycosmetics.com/products/lorac-pro-plus-fiber-mascara", "https://camerareadycosmetics.com/products/lorac-pro-plus-fiber-mascara")</f>
        <v/>
      </c>
      <c r="B2189" s="2">
        <f>HYPERLINK("https://camerareadycosmetics.com/products/lorac-pro-plus-fiber-mascara", "https://camerareadycosmetics.com/products/lorac-pro-plus-fiber-mascara")</f>
        <v/>
      </c>
      <c r="C2189" t="inlineStr">
        <is>
          <t>PRO Plus Fiber Mascara</t>
        </is>
      </c>
      <c r="D2189" t="inlineStr">
        <is>
          <t>Neenoxtub 4D Silk Fiber Lash Mascara, Lengthening and Thick, Long Lasting, Waterproof &amp; Smudge-Proof, Hypoallergenic Formula 2 Pack Black</t>
        </is>
      </c>
      <c r="E2189" s="2">
        <f>HYPERLINK("https://www.amazon.com/Neenoxtub-Lengthening-Waterproof-Smudge-Proof-Hypoallergenic/dp/B09JCPVC7H/ref=sr_1_9?keywords=PRO+Plus+Fiber+Mascara&amp;qid=1695565789&amp;sr=8-9", "https://www.amazon.com/Neenoxtub-Lengthening-Waterproof-Smudge-Proof-Hypoallergenic/dp/B09JCPVC7H/ref=sr_1_9?keywords=PRO+Plus+Fiber+Mascara&amp;qid=1695565789&amp;sr=8-9")</f>
        <v/>
      </c>
      <c r="F2189" t="inlineStr">
        <is>
          <t>B09JCPVC7H</t>
        </is>
      </c>
      <c r="G2189">
        <f>_xlfn.IMAGE("https://camerareadycosmetics.com/cdn/shop/products/lorac-pro-plus-fiber-mascara-wand-10164_50x.jpg?v=1564090781")</f>
        <v/>
      </c>
      <c r="H2189">
        <f>_xlfn.IMAGE("https://m.media-amazon.com/images/I/71gfcSmODvL._AC_UL320_.jpg")</f>
        <v/>
      </c>
      <c r="K2189" t="inlineStr">
        <is>
          <t>24.0</t>
        </is>
      </c>
      <c r="L2189" t="n">
        <v>14.99</v>
      </c>
      <c r="M2189" s="1" t="inlineStr">
        <is>
          <t>-37.54%</t>
        </is>
      </c>
      <c r="N2189" t="n">
        <v>4.3</v>
      </c>
      <c r="O2189" t="n">
        <v>3131</v>
      </c>
      <c r="Q2189" t="inlineStr">
        <is>
          <t>InStock</t>
        </is>
      </c>
      <c r="R2189" t="inlineStr">
        <is>
          <t>undefined</t>
        </is>
      </c>
      <c r="S2189" t="inlineStr">
        <is>
          <t>3945693675631</t>
        </is>
      </c>
    </row>
    <row r="2190" ht="75" customHeight="1">
      <c r="A2190" s="2">
        <f>HYPERLINK("https://camerareadycosmetics.com/products/lorac-pro-plus-fiber-mascara", "https://camerareadycosmetics.com/products/lorac-pro-plus-fiber-mascara")</f>
        <v/>
      </c>
      <c r="B2190" s="2">
        <f>HYPERLINK("https://camerareadycosmetics.com/products/lorac-pro-plus-fiber-mascara", "https://camerareadycosmetics.com/products/lorac-pro-plus-fiber-mascara")</f>
        <v/>
      </c>
      <c r="C2190" t="inlineStr">
        <is>
          <t>PRO Plus Fiber Mascara</t>
        </is>
      </c>
      <c r="D2190" t="inlineStr">
        <is>
          <t>Youngfocus 3D Fiber Lash Mascara Waterproof, Luxuriously Longer, Thicker, Voluminous Eyelashes, Long-Lasting, Dramatic Extension, Smudge-proof, Hypoallergenic Formula-Best Gif</t>
        </is>
      </c>
      <c r="E2190" s="2">
        <f>HYPERLINK("https://www.amazon.com/Youngfocus-Luxuriously-Long-Lasting-Smudge-proof-Hypoallergenic/dp/B06XBQKV2M/ref=sr_1_5?keywords=PRO+Plus+Fiber+Mascara&amp;qid=1695565789&amp;sr=8-5", "https://www.amazon.com/Youngfocus-Luxuriously-Long-Lasting-Smudge-proof-Hypoallergenic/dp/B06XBQKV2M/ref=sr_1_5?keywords=PRO+Plus+Fiber+Mascara&amp;qid=1695565789&amp;sr=8-5")</f>
        <v/>
      </c>
      <c r="F2190" t="inlineStr">
        <is>
          <t>B06XBQKV2M</t>
        </is>
      </c>
      <c r="G2190">
        <f>_xlfn.IMAGE("https://camerareadycosmetics.com/cdn/shop/products/lorac-pro-plus-fiber-mascara-wand-10164_50x.jpg?v=1564090781")</f>
        <v/>
      </c>
      <c r="H2190">
        <f>_xlfn.IMAGE("https://m.media-amazon.com/images/I/61uTg3+2BkL._AC_UL320_.jpg")</f>
        <v/>
      </c>
      <c r="K2190" t="inlineStr">
        <is>
          <t>24.0</t>
        </is>
      </c>
      <c r="L2190" t="n">
        <v>13.99</v>
      </c>
      <c r="M2190" s="1" t="inlineStr">
        <is>
          <t>-41.71%</t>
        </is>
      </c>
      <c r="N2190" t="n">
        <v>3.9</v>
      </c>
      <c r="O2190" t="n">
        <v>3081</v>
      </c>
      <c r="Q2190" t="inlineStr">
        <is>
          <t>InStock</t>
        </is>
      </c>
      <c r="R2190" t="inlineStr">
        <is>
          <t>undefined</t>
        </is>
      </c>
      <c r="S2190" t="inlineStr">
        <is>
          <t>3945693675631</t>
        </is>
      </c>
    </row>
    <row r="2191" ht="75" customHeight="1">
      <c r="A2191" s="2">
        <f>HYPERLINK("https://camerareadycosmetics.com/products/lorac-pro-plus-fiber-mascara", "https://camerareadycosmetics.com/products/lorac-pro-plus-fiber-mascara")</f>
        <v/>
      </c>
      <c r="B2191" s="2">
        <f>HYPERLINK("https://camerareadycosmetics.com/products/lorac-pro-plus-fiber-mascara", "https://camerareadycosmetics.com/products/lorac-pro-plus-fiber-mascara")</f>
        <v/>
      </c>
      <c r="C2191" t="inlineStr">
        <is>
          <t>PRO Plus Fiber Mascara</t>
        </is>
      </c>
      <c r="D2191" t="inlineStr">
        <is>
          <t>3 Pack 4D Silk Fiber Lash Mascara, Waterproof Smudge-proof Thickening Mascara Black Thickening Lengthening Mascara, All Day Exquisitely Full, Long, Thick, Long-Lasting No Flaking Lash Extensions</t>
        </is>
      </c>
      <c r="E2191" s="2">
        <f>HYPERLINK("https://www.amazon.com/Waterproof-Smudge-proof-Lengthening-Exquisitely-Long-Lasting/dp/B09X7BBVF7/ref=sr_1_4?keywords=PRO+Plus+Fiber+Mascara&amp;qid=1695565789&amp;sr=8-4", "https://www.amazon.com/Waterproof-Smudge-proof-Lengthening-Exquisitely-Long-Lasting/dp/B09X7BBVF7/ref=sr_1_4?keywords=PRO+Plus+Fiber+Mascara&amp;qid=1695565789&amp;sr=8-4")</f>
        <v/>
      </c>
      <c r="F2191" t="inlineStr">
        <is>
          <t>B09X7BBVF7</t>
        </is>
      </c>
      <c r="G2191">
        <f>_xlfn.IMAGE("https://camerareadycosmetics.com/cdn/shop/products/lorac-pro-plus-fiber-mascara-wand-10164_50x.jpg?v=1564090781")</f>
        <v/>
      </c>
      <c r="H2191">
        <f>_xlfn.IMAGE("https://m.media-amazon.com/images/I/81V8uKn2ElL._AC_UL320_.jpg")</f>
        <v/>
      </c>
      <c r="K2191" t="inlineStr">
        <is>
          <t>24.0</t>
        </is>
      </c>
      <c r="L2191" t="n">
        <v>9.98</v>
      </c>
      <c r="M2191" s="1" t="inlineStr">
        <is>
          <t>-58.42%</t>
        </is>
      </c>
      <c r="N2191" t="n">
        <v>4.1</v>
      </c>
      <c r="O2191" t="n">
        <v>253</v>
      </c>
      <c r="Q2191" t="inlineStr">
        <is>
          <t>InStock</t>
        </is>
      </c>
      <c r="R2191" t="inlineStr">
        <is>
          <t>undefined</t>
        </is>
      </c>
      <c r="S2191" t="inlineStr">
        <is>
          <t>3945693675631</t>
        </is>
      </c>
    </row>
    <row r="2192" ht="75" customHeight="1">
      <c r="A2192" s="2">
        <f>HYPERLINK("https://camerareadycosmetics.com/products/lorac-pro-plus-fiber-mascara", "https://camerareadycosmetics.com/products/lorac-pro-plus-fiber-mascara")</f>
        <v/>
      </c>
      <c r="B2192" s="2">
        <f>HYPERLINK("https://camerareadycosmetics.com/products/lorac-pro-plus-fiber-mascara", "https://camerareadycosmetics.com/products/lorac-pro-plus-fiber-mascara")</f>
        <v/>
      </c>
      <c r="C2192" t="inlineStr">
        <is>
          <t>PRO Plus Fiber Mascara</t>
        </is>
      </c>
      <c r="D2192" t="inlineStr">
        <is>
          <t>3 Pack 4D Silk Fiber Lash Mascara, Waterproof Smudge-proof Thickening Mascara Black Thickening Lengthening Mascara, All Day Exquisitely Full, Long, Thick, Long-Lasting No Flaking Lash Extensions</t>
        </is>
      </c>
      <c r="E2192" s="2">
        <f>HYPERLINK("https://www.amazon.com/Waterproof-Smudge-proof-Lengthening-Exquisitely-Long-Lasting/dp/B09X7BBVF7/ref=sr_1_4?keywords=PRO+Plus+Fiber+Mascara&amp;qid=1695565789&amp;sr=8-4", "https://www.amazon.com/Waterproof-Smudge-proof-Lengthening-Exquisitely-Long-Lasting/dp/B09X7BBVF7/ref=sr_1_4?keywords=PRO+Plus+Fiber+Mascara&amp;qid=1695565789&amp;sr=8-4")</f>
        <v/>
      </c>
      <c r="F2192" t="inlineStr">
        <is>
          <t>B09X7BBVF7</t>
        </is>
      </c>
      <c r="G2192">
        <f>_xlfn.IMAGE("https://camerareadycosmetics.com/cdn/shop/products/lorac-pro-plus-fiber-mascara-wand-10164_50x.jpg?v=1564090781")</f>
        <v/>
      </c>
      <c r="H2192">
        <f>_xlfn.IMAGE("https://m.media-amazon.com/images/I/81V8uKn2ElL._AC_UL320_.jpg")</f>
        <v/>
      </c>
      <c r="K2192" t="inlineStr">
        <is>
          <t>24.0</t>
        </is>
      </c>
      <c r="L2192" t="n">
        <v>9.98</v>
      </c>
      <c r="M2192" s="1" t="inlineStr">
        <is>
          <t>-58.42%</t>
        </is>
      </c>
      <c r="N2192" t="n">
        <v>4.1</v>
      </c>
      <c r="O2192" t="n">
        <v>253</v>
      </c>
      <c r="Q2192" t="inlineStr">
        <is>
          <t>InStock</t>
        </is>
      </c>
      <c r="R2192" t="inlineStr">
        <is>
          <t>undefined</t>
        </is>
      </c>
      <c r="S2192" t="inlineStr">
        <is>
          <t>3945693675631</t>
        </is>
      </c>
    </row>
    <row r="2193" ht="75" customHeight="1">
      <c r="A2193" s="2">
        <f>HYPERLINK("https://camerareadycosmetics.com/products/lorac-pro-skin-glass-skin-primer", "https://camerareadycosmetics.com/products/lorac-pro-skin-glass-skin-primer")</f>
        <v/>
      </c>
      <c r="B2193" s="2">
        <f>HYPERLINK("https://camerareadycosmetics.com/products/lorac-pro-skin-glass-skin-primer", "https://camerareadycosmetics.com/products/lorac-pro-skin-glass-skin-primer")</f>
        <v/>
      </c>
      <c r="C2193" t="inlineStr">
        <is>
          <t>PRO Skin Glass Skin Primer</t>
        </is>
      </c>
      <c r="D2193" t="inlineStr">
        <is>
          <t>LORAC Pro Skin Glass Skin Primer Makeup</t>
        </is>
      </c>
      <c r="E2193" s="2">
        <f>HYPERLINK("https://www.amazon.com/LORAC-PRO-Skin-Glass-Primer/dp/B085RVP1JS/ref=sr_1_1?keywords=PRO+Skin+Glass+Skin+Primer&amp;qid=1695565721&amp;sr=8-1", "https://www.amazon.com/LORAC-PRO-Skin-Glass-Primer/dp/B085RVP1JS/ref=sr_1_1?keywords=PRO+Skin+Glass+Skin+Primer&amp;qid=1695565721&amp;sr=8-1")</f>
        <v/>
      </c>
      <c r="F2193" t="inlineStr">
        <is>
          <t>B085RVP1JS</t>
        </is>
      </c>
      <c r="G2193">
        <f>_xlfn.IMAGE("https://camerareadycosmetics.com/cdn/shop/products/LORACPROSkinGlassSkinPrimer_50x.jpg?v=1594963937")</f>
        <v/>
      </c>
      <c r="H2193">
        <f>_xlfn.IMAGE("https://m.media-amazon.com/images/I/515hOEcJ+uL._AC_UL320_.jpg")</f>
        <v/>
      </c>
      <c r="K2193" t="inlineStr">
        <is>
          <t>35.0</t>
        </is>
      </c>
      <c r="L2193" t="n">
        <v>35</v>
      </c>
      <c r="M2193" s="1" t="inlineStr">
        <is>
          <t>0.00%</t>
        </is>
      </c>
      <c r="N2193" t="n">
        <v>4.3</v>
      </c>
      <c r="O2193" t="n">
        <v>105</v>
      </c>
      <c r="Q2193" t="inlineStr">
        <is>
          <t>InStock</t>
        </is>
      </c>
      <c r="R2193" t="inlineStr">
        <is>
          <t>undefined</t>
        </is>
      </c>
      <c r="S2193" t="inlineStr">
        <is>
          <t>4508256862319</t>
        </is>
      </c>
    </row>
    <row r="2194" ht="75" customHeight="1">
      <c r="A2194" s="2">
        <f>HYPERLINK("https://camerareadycosmetics.com/products/lorac-pro-skin-glass-skin-primer", "https://camerareadycosmetics.com/products/lorac-pro-skin-glass-skin-primer")</f>
        <v/>
      </c>
      <c r="B2194" s="2">
        <f>HYPERLINK("https://camerareadycosmetics.com/products/lorac-pro-skin-glass-skin-primer", "https://camerareadycosmetics.com/products/lorac-pro-skin-glass-skin-primer")</f>
        <v/>
      </c>
      <c r="C2194" t="inlineStr">
        <is>
          <t>PRO Skin Glass Skin Primer</t>
        </is>
      </c>
      <c r="D2194" t="inlineStr">
        <is>
          <t>Makeup Revolution, Glass Skin Primer, Face Primer, 25ml</t>
        </is>
      </c>
      <c r="E2194" s="2">
        <f>HYPERLINK("https://www.amazon.com/Makeup-Revolution-1198349-Glass-Primer/dp/B08Z62X746/ref=sr_1_2?keywords=PRO+Skin+Glass+Skin+Primer&amp;qid=1695565721&amp;sr=8-2", "https://www.amazon.com/Makeup-Revolution-1198349-Glass-Primer/dp/B08Z62X746/ref=sr_1_2?keywords=PRO+Skin+Glass+Skin+Primer&amp;qid=1695565721&amp;sr=8-2")</f>
        <v/>
      </c>
      <c r="F2194" t="inlineStr">
        <is>
          <t>B08Z62X746</t>
        </is>
      </c>
      <c r="G2194">
        <f>_xlfn.IMAGE("https://camerareadycosmetics.com/cdn/shop/products/LORACPROSkinGlassSkinPrimer_50x.jpg?v=1594963937")</f>
        <v/>
      </c>
      <c r="H2194">
        <f>_xlfn.IMAGE("https://m.media-amazon.com/images/I/71TQJOR9SRL._AC_UL320_.jpg")</f>
        <v/>
      </c>
      <c r="K2194" t="inlineStr">
        <is>
          <t>35.0</t>
        </is>
      </c>
      <c r="L2194" t="n">
        <v>12</v>
      </c>
      <c r="M2194" s="1" t="inlineStr">
        <is>
          <t>-65.71%</t>
        </is>
      </c>
      <c r="N2194" t="n">
        <v>4.3</v>
      </c>
      <c r="O2194" t="n">
        <v>48</v>
      </c>
      <c r="Q2194" t="inlineStr">
        <is>
          <t>InStock</t>
        </is>
      </c>
      <c r="R2194" t="inlineStr">
        <is>
          <t>undefined</t>
        </is>
      </c>
      <c r="S2194" t="inlineStr">
        <is>
          <t>4508256862319</t>
        </is>
      </c>
    </row>
    <row r="2195" ht="75" customHeight="1">
      <c r="A2195" s="2">
        <f>HYPERLINK("https://camerareadycosmetics.com/products/lorac-pro-skin-glass-skin-primer", "https://camerareadycosmetics.com/products/lorac-pro-skin-glass-skin-primer")</f>
        <v/>
      </c>
      <c r="B2195" s="2">
        <f>HYPERLINK("https://camerareadycosmetics.com/products/lorac-pro-skin-glass-skin-primer", "https://camerareadycosmetics.com/products/lorac-pro-skin-glass-skin-primer")</f>
        <v/>
      </c>
      <c r="C2195" t="inlineStr">
        <is>
          <t>PRO Skin Glass Skin Primer</t>
        </is>
      </c>
      <c r="D2195" t="inlineStr">
        <is>
          <t>Wet n Wild Prime Focus Glass Skin Correct Primer Bright Crystal Finish, Green, 0.91 Fl Oz</t>
        </is>
      </c>
      <c r="E2195" s="2">
        <f>HYPERLINK("https://www.amazon.com/Wet-Wild-Correct-Primer-Crystal/dp/B08RRVQ3B6/ref=sr_1_4?keywords=PRO+Skin+Glass+Skin+Primer&amp;qid=1695565721&amp;rdc=1&amp;sr=8-4", "https://www.amazon.com/Wet-Wild-Correct-Primer-Crystal/dp/B08RRVQ3B6/ref=sr_1_4?keywords=PRO+Skin+Glass+Skin+Primer&amp;qid=1695565721&amp;rdc=1&amp;sr=8-4")</f>
        <v/>
      </c>
      <c r="F2195" t="inlineStr">
        <is>
          <t>B08RRVQ3B6</t>
        </is>
      </c>
      <c r="G2195">
        <f>_xlfn.IMAGE("https://camerareadycosmetics.com/cdn/shop/products/LORACPROSkinGlassSkinPrimer_50x.jpg?v=1594963937")</f>
        <v/>
      </c>
      <c r="H2195">
        <f>_xlfn.IMAGE("https://m.media-amazon.com/images/I/71+ht3P72FL._AC_UL320_.jpg")</f>
        <v/>
      </c>
      <c r="K2195" t="inlineStr">
        <is>
          <t>35.0</t>
        </is>
      </c>
      <c r="L2195" t="n">
        <v>4.89</v>
      </c>
      <c r="M2195" s="1" t="inlineStr">
        <is>
          <t>-86.03%</t>
        </is>
      </c>
      <c r="N2195" t="n">
        <v>4.1</v>
      </c>
      <c r="O2195" t="n">
        <v>1557</v>
      </c>
      <c r="Q2195" t="inlineStr">
        <is>
          <t>InStock</t>
        </is>
      </c>
      <c r="R2195" t="inlineStr">
        <is>
          <t>undefined</t>
        </is>
      </c>
      <c r="S2195" t="inlineStr">
        <is>
          <t>4508256862319</t>
        </is>
      </c>
    </row>
    <row r="2196" ht="75" customHeight="1">
      <c r="A2196" s="2">
        <f>HYPERLINK("https://camerareadycosmetics.com/products/lorac-pro-skin-glass-skin-primer", "https://camerareadycosmetics.com/products/lorac-pro-skin-glass-skin-primer")</f>
        <v/>
      </c>
      <c r="B2196" s="2">
        <f>HYPERLINK("https://camerareadycosmetics.com/products/lorac-pro-skin-glass-skin-primer", "https://camerareadycosmetics.com/products/lorac-pro-skin-glass-skin-primer")</f>
        <v/>
      </c>
      <c r="C2196" t="inlineStr">
        <is>
          <t>PRO Skin Glass Skin Primer</t>
        </is>
      </c>
      <c r="D2196" t="inlineStr">
        <is>
          <t>Makeup Revolution, Glass Skin Primer, Face Primer, 25ml</t>
        </is>
      </c>
      <c r="E2196" s="2">
        <f>HYPERLINK("https://www.amazon.com/Makeup-Revolution-1198349-Glass-Primer/dp/B08Z62X746/ref=sr_1_2?keywords=PRO+Skin+Glass+Skin+Primer&amp;qid=1695565721&amp;sr=8-2", "https://www.amazon.com/Makeup-Revolution-1198349-Glass-Primer/dp/B08Z62X746/ref=sr_1_2?keywords=PRO+Skin+Glass+Skin+Primer&amp;qid=1695565721&amp;sr=8-2")</f>
        <v/>
      </c>
      <c r="F2196" t="inlineStr">
        <is>
          <t>B08Z62X746</t>
        </is>
      </c>
      <c r="G2196">
        <f>_xlfn.IMAGE("https://camerareadycosmetics.com/cdn/shop/products/LORACPROSkinGlassSkinPrimer_50x.jpg?v=1594963937")</f>
        <v/>
      </c>
      <c r="H2196">
        <f>_xlfn.IMAGE("https://m.media-amazon.com/images/I/71TQJOR9SRL._AC_UL320_.jpg")</f>
        <v/>
      </c>
      <c r="K2196" t="inlineStr">
        <is>
          <t>35.0</t>
        </is>
      </c>
      <c r="L2196" t="n">
        <v>12</v>
      </c>
      <c r="M2196" s="1" t="inlineStr">
        <is>
          <t>-65.71%</t>
        </is>
      </c>
      <c r="N2196" t="n">
        <v>4.3</v>
      </c>
      <c r="O2196" t="n">
        <v>48</v>
      </c>
      <c r="Q2196" t="inlineStr">
        <is>
          <t>InStock</t>
        </is>
      </c>
      <c r="R2196" t="inlineStr">
        <is>
          <t>undefined</t>
        </is>
      </c>
      <c r="S2196" t="inlineStr">
        <is>
          <t>4508256862319</t>
        </is>
      </c>
    </row>
    <row r="2197" ht="75" customHeight="1">
      <c r="A2197" s="2">
        <f>HYPERLINK("https://camerareadycosmetics.com/products/lorac-pro-skin-glass-skin-primer", "https://camerareadycosmetics.com/products/lorac-pro-skin-glass-skin-primer")</f>
        <v/>
      </c>
      <c r="B2197" s="2">
        <f>HYPERLINK("https://camerareadycosmetics.com/products/lorac-pro-skin-glass-skin-primer", "https://camerareadycosmetics.com/products/lorac-pro-skin-glass-skin-primer")</f>
        <v/>
      </c>
      <c r="C2197" t="inlineStr">
        <is>
          <t>PRO Skin Glass Skin Primer</t>
        </is>
      </c>
      <c r="D2197" t="inlineStr">
        <is>
          <t>Wet n Wild Prime Focus Glass Skin Correct Primer Bright Crystal Finish, Green, 0.91 Fl Oz</t>
        </is>
      </c>
      <c r="E2197" s="2">
        <f>HYPERLINK("https://www.amazon.com/Wet-Wild-Correct-Primer-Crystal/dp/B08RRVQ3B6/ref=sr_1_4?keywords=PRO+Skin+Glass+Skin+Primer&amp;qid=1695565721&amp;rdc=1&amp;sr=8-4", "https://www.amazon.com/Wet-Wild-Correct-Primer-Crystal/dp/B08RRVQ3B6/ref=sr_1_4?keywords=PRO+Skin+Glass+Skin+Primer&amp;qid=1695565721&amp;rdc=1&amp;sr=8-4")</f>
        <v/>
      </c>
      <c r="F2197" t="inlineStr">
        <is>
          <t>B08RRVQ3B6</t>
        </is>
      </c>
      <c r="G2197">
        <f>_xlfn.IMAGE("https://camerareadycosmetics.com/cdn/shop/products/LORACPROSkinGlassSkinPrimer_50x.jpg?v=1594963937")</f>
        <v/>
      </c>
      <c r="H2197">
        <f>_xlfn.IMAGE("https://m.media-amazon.com/images/I/71+ht3P72FL._AC_UL320_.jpg")</f>
        <v/>
      </c>
      <c r="K2197" t="inlineStr">
        <is>
          <t>35.0</t>
        </is>
      </c>
      <c r="L2197" t="n">
        <v>4.89</v>
      </c>
      <c r="M2197" s="1" t="inlineStr">
        <is>
          <t>-86.03%</t>
        </is>
      </c>
      <c r="N2197" t="n">
        <v>4.1</v>
      </c>
      <c r="O2197" t="n">
        <v>1557</v>
      </c>
      <c r="Q2197" t="inlineStr">
        <is>
          <t>InStock</t>
        </is>
      </c>
      <c r="R2197" t="inlineStr">
        <is>
          <t>undefined</t>
        </is>
      </c>
      <c r="S2197" t="inlineStr">
        <is>
          <t>4508256862319</t>
        </is>
      </c>
    </row>
    <row r="2198" ht="75" customHeight="1">
      <c r="A2198" s="2">
        <f>HYPERLINK("https://camerareadycosmetics.com/products/lorac-pro-soft-focus-longwear-concealer", "https://camerareadycosmetics.com/products/lorac-pro-soft-focus-longwear-concealer")</f>
        <v/>
      </c>
      <c r="B2198" s="2">
        <f>HYPERLINK("https://camerareadycosmetics.com/products/lorac-pro-soft-focus-longwear-concealer", "https://camerareadycosmetics.com/products/lorac-pro-soft-focus-longwear-concealer")</f>
        <v/>
      </c>
      <c r="C2198" t="inlineStr">
        <is>
          <t>PRO Soft Focus Longwear Concealer</t>
        </is>
      </c>
      <c r="D2198" t="inlineStr">
        <is>
          <t>LORAC PRO Soft Focus Longwear Foundation</t>
        </is>
      </c>
      <c r="E2198" s="2">
        <f>HYPERLINK("https://www.amazon.com/LORAC-Long-Wearing-Lightweight-Medium-Full-Oil-Fragrance/dp/B085RTR1H1/ref=sr_1_2?keywords=PRO+Soft+Focus+Longwear+Concealer&amp;qid=1695565789&amp;sr=8-2", "https://www.amazon.com/LORAC-Long-Wearing-Lightweight-Medium-Full-Oil-Fragrance/dp/B085RTR1H1/ref=sr_1_2?keywords=PRO+Soft+Focus+Longwear+Concealer&amp;qid=1695565789&amp;sr=8-2")</f>
        <v/>
      </c>
      <c r="F2198" t="inlineStr">
        <is>
          <t>B085RTR1H1</t>
        </is>
      </c>
      <c r="G2198">
        <f>_xlfn.IMAGE("https://camerareadycosmetics.com/cdn/shop/products/1-5-LORAC_PRO_Soft_Focus_Longwear_Concealer_50x.jpg?v=1607128311")</f>
        <v/>
      </c>
      <c r="H2198">
        <f>_xlfn.IMAGE("https://m.media-amazon.com/images/I/61jAdqecbNL._AC_UL320_.jpg")</f>
        <v/>
      </c>
      <c r="K2198" t="inlineStr">
        <is>
          <t>24.0</t>
        </is>
      </c>
      <c r="L2198" t="n">
        <v>33.8</v>
      </c>
      <c r="M2198" s="1" t="inlineStr">
        <is>
          <t>40.83%</t>
        </is>
      </c>
      <c r="N2198" t="n">
        <v>3.9</v>
      </c>
      <c r="O2198" t="n">
        <v>248</v>
      </c>
      <c r="Q2198" t="inlineStr">
        <is>
          <t>InStock</t>
        </is>
      </c>
      <c r="R2198" t="inlineStr">
        <is>
          <t>24.0</t>
        </is>
      </c>
      <c r="S2198" t="inlineStr">
        <is>
          <t>6144152993977</t>
        </is>
      </c>
    </row>
    <row r="2199" ht="75" customHeight="1">
      <c r="A2199" s="2">
        <f>HYPERLINK("https://camerareadycosmetics.com/products/lorac-pro-soft-focus-longwear-concealer", "https://camerareadycosmetics.com/products/lorac-pro-soft-focus-longwear-concealer")</f>
        <v/>
      </c>
      <c r="B2199" s="2">
        <f>HYPERLINK("https://camerareadycosmetics.com/products/lorac-pro-soft-focus-longwear-concealer", "https://camerareadycosmetics.com/products/lorac-pro-soft-focus-longwear-concealer")</f>
        <v/>
      </c>
      <c r="C2199" t="inlineStr">
        <is>
          <t>PRO Soft Focus Longwear Concealer</t>
        </is>
      </c>
      <c r="D2199" t="inlineStr">
        <is>
          <t>LORAC PRO Soft Focus Longwear Concealer, Full Coverage, Lightweight</t>
        </is>
      </c>
      <c r="E2199" s="2">
        <f>HYPERLINK("https://www.amazon.com/LORAC-Soft-Focus-Longwear-Concealer/dp/B085RTQZDB/ref=sr_1_1?keywords=PRO+Soft+Focus+Longwear+Concealer&amp;qid=1695565789&amp;sr=8-1", "https://www.amazon.com/LORAC-Soft-Focus-Longwear-Concealer/dp/B085RTQZDB/ref=sr_1_1?keywords=PRO+Soft+Focus+Longwear+Concealer&amp;qid=1695565789&amp;sr=8-1")</f>
        <v/>
      </c>
      <c r="F2199" t="inlineStr">
        <is>
          <t>B085RTQZDB</t>
        </is>
      </c>
      <c r="G2199">
        <f>_xlfn.IMAGE("https://camerareadycosmetics.com/cdn/shop/products/1-5-LORAC_PRO_Soft_Focus_Longwear_Concealer_50x.jpg?v=1607128311")</f>
        <v/>
      </c>
      <c r="H2199">
        <f>_xlfn.IMAGE("https://m.media-amazon.com/images/I/41u98wj8vCL._AC_UL320_.jpg")</f>
        <v/>
      </c>
      <c r="K2199" t="inlineStr">
        <is>
          <t>24.0</t>
        </is>
      </c>
      <c r="L2199" t="n">
        <v>24</v>
      </c>
      <c r="M2199" s="1" t="inlineStr">
        <is>
          <t>0.00%</t>
        </is>
      </c>
      <c r="N2199" t="n">
        <v>3.7</v>
      </c>
      <c r="O2199" t="n">
        <v>90</v>
      </c>
      <c r="Q2199" t="inlineStr">
        <is>
          <t>InStock</t>
        </is>
      </c>
      <c r="R2199" t="inlineStr">
        <is>
          <t>24.0</t>
        </is>
      </c>
      <c r="S2199" t="inlineStr">
        <is>
          <t>6144152993977</t>
        </is>
      </c>
    </row>
    <row r="2200" ht="75" customHeight="1">
      <c r="A2200" s="2">
        <f>HYPERLINK("https://camerareadycosmetics.com/products/lorac-pro-soft-focus-longwear-foundation", "https://camerareadycosmetics.com/products/lorac-pro-soft-focus-longwear-foundation")</f>
        <v/>
      </c>
      <c r="B2200" s="2">
        <f>HYPERLINK("https://camerareadycosmetics.com/products/lorac-pro-soft-focus-longwear-foundation", "https://camerareadycosmetics.com/products/lorac-pro-soft-focus-longwear-foundation")</f>
        <v/>
      </c>
      <c r="C2200" t="inlineStr">
        <is>
          <t>PRO Soft Focus Longwear Foundation</t>
        </is>
      </c>
      <c r="D2200" t="inlineStr">
        <is>
          <t>LORAC PRO Soft Focus Longwear Foundation</t>
        </is>
      </c>
      <c r="E2200" s="2">
        <f>HYPERLINK("https://www.amazon.com/LORAC-Long-Wearing-Lightweight-Medium-Full-Oil-Fragrance/dp/B085RTR1H1/ref=sr_1_5?keywords=PRO+Soft+Focus+Longwear+Foundation&amp;qid=1695565690&amp;sr=8-5", "https://www.amazon.com/LORAC-Long-Wearing-Lightweight-Medium-Full-Oil-Fragrance/dp/B085RTR1H1/ref=sr_1_5?keywords=PRO+Soft+Focus+Longwear+Foundation&amp;qid=1695565690&amp;sr=8-5")</f>
        <v/>
      </c>
      <c r="F2200" t="inlineStr">
        <is>
          <t>B085RTR1H1</t>
        </is>
      </c>
      <c r="G2200">
        <f>_xlfn.IMAGE("https://camerareadycosmetics.com/cdn/shop/products/16-LORAC_PRO_Soft_Focus_Longwear_Foundation_50x.jpg?v=1606206405")</f>
        <v/>
      </c>
      <c r="H2200">
        <f>_xlfn.IMAGE("https://m.media-amazon.com/images/I/61jAdqecbNL._AC_UL320_.jpg")</f>
        <v/>
      </c>
      <c r="K2200" t="inlineStr">
        <is>
          <t>19.0</t>
        </is>
      </c>
      <c r="L2200" t="n">
        <v>33.8</v>
      </c>
      <c r="M2200" s="1" t="inlineStr">
        <is>
          <t>77.89%</t>
        </is>
      </c>
      <c r="N2200" t="n">
        <v>3.9</v>
      </c>
      <c r="O2200" t="n">
        <v>248</v>
      </c>
      <c r="Q2200" t="inlineStr">
        <is>
          <t>InStock</t>
        </is>
      </c>
      <c r="R2200" t="inlineStr">
        <is>
          <t>38.0</t>
        </is>
      </c>
      <c r="S2200" t="inlineStr">
        <is>
          <t>6092000788665</t>
        </is>
      </c>
    </row>
    <row r="2201" ht="75" customHeight="1">
      <c r="A2201" s="2">
        <f>HYPERLINK("https://camerareadycosmetics.com/products/lorac-tantalizer-body-bronzing-luminizer", "https://camerareadycosmetics.com/products/lorac-tantalizer-body-bronzing-luminizer")</f>
        <v/>
      </c>
      <c r="B2201" s="2">
        <f>HYPERLINK("https://camerareadycosmetics.com/products/lorac-tantalizer-body-bronzing-luminizer", "https://camerareadycosmetics.com/products/lorac-tantalizer-body-bronzing-luminizer")</f>
        <v/>
      </c>
      <c r="C2201" t="inlineStr">
        <is>
          <t>Tantalizer Body Bronzing Luminizer</t>
        </is>
      </c>
      <c r="D2201" t="inlineStr">
        <is>
          <t>LORAC Tantalizer Body Bronzing Luminizer, Champagne Bronze | Bronzing Lotion | Full Body Bronzer, Antioxidant Infused, Cruelty Free, Gluten Free, Vegan</t>
        </is>
      </c>
      <c r="E2201" s="2">
        <f>HYPERLINK("https://www.amazon.com/LORAC-Tantalizer-Luminizer-Champagne-Antioxidant/dp/B09XJKBLDY/ref=sr_1_3?keywords=Tantalizer+Body+Bronzing+Luminizer&amp;qid=1695565811&amp;sr=8-3", "https://www.amazon.com/LORAC-Tantalizer-Luminizer-Champagne-Antioxidant/dp/B09XJKBLDY/ref=sr_1_3?keywords=Tantalizer+Body+Bronzing+Luminizer&amp;qid=1695565811&amp;sr=8-3")</f>
        <v/>
      </c>
      <c r="F2201" t="inlineStr">
        <is>
          <t>B09XJKBLDY</t>
        </is>
      </c>
      <c r="G2201">
        <f>_xlfn.IMAGE("https://camerareadycosmetics.com/cdn/shop/products/LORACTantalizerBodyBronzingLuminizer_50x.jpg?v=1628223481")</f>
        <v/>
      </c>
      <c r="H2201">
        <f>_xlfn.IMAGE("https://m.media-amazon.com/images/I/71ce3XCPpUL._AC_UL320_.jpg")</f>
        <v/>
      </c>
      <c r="K2201" t="inlineStr">
        <is>
          <t>32.0</t>
        </is>
      </c>
      <c r="L2201" t="n">
        <v>32</v>
      </c>
      <c r="M2201" s="1" t="inlineStr">
        <is>
          <t>0.00%</t>
        </is>
      </c>
      <c r="N2201" t="n">
        <v>4.3</v>
      </c>
      <c r="O2201" t="n">
        <v>47</v>
      </c>
      <c r="Q2201" t="inlineStr">
        <is>
          <t>InStock</t>
        </is>
      </c>
      <c r="R2201" t="inlineStr">
        <is>
          <t>undefined</t>
        </is>
      </c>
      <c r="S2201" t="inlineStr">
        <is>
          <t>6880457130169</t>
        </is>
      </c>
    </row>
    <row r="2202" ht="75" customHeight="1">
      <c r="A2202" s="2">
        <f>HYPERLINK("https://camerareadycosmetics.com/products/lorac-tantalizer-body-bronzing-luminizer", "https://camerareadycosmetics.com/products/lorac-tantalizer-body-bronzing-luminizer")</f>
        <v/>
      </c>
      <c r="B2202" s="2">
        <f>HYPERLINK("https://camerareadycosmetics.com/products/lorac-tantalizer-body-bronzing-luminizer", "https://camerareadycosmetics.com/products/lorac-tantalizer-body-bronzing-luminizer")</f>
        <v/>
      </c>
      <c r="C2202" t="inlineStr">
        <is>
          <t>Tantalizer Body Bronzing Luminizer</t>
        </is>
      </c>
      <c r="D2202" t="inlineStr">
        <is>
          <t>LORAC Tantalizer Body Bronzing Luminizer | Bronzing Lotion | Full Body Bronzer | Champagne Bronze</t>
        </is>
      </c>
      <c r="E2202" s="2">
        <f>HYPERLINK("https://www.amazon.com/LORAC-Tantalizer-Bronzing-Luminizer-Champagne/dp/B09XJMXDVX/ref=sr_1_2?keywords=Tantalizer+Body+Bronzing+Luminizer&amp;qid=1695565811&amp;sr=8-2", "https://www.amazon.com/LORAC-Tantalizer-Bronzing-Luminizer-Champagne/dp/B09XJMXDVX/ref=sr_1_2?keywords=Tantalizer+Body+Bronzing+Luminizer&amp;qid=1695565811&amp;sr=8-2")</f>
        <v/>
      </c>
      <c r="F2202" t="inlineStr">
        <is>
          <t>B09XJMXDVX</t>
        </is>
      </c>
      <c r="G2202">
        <f>_xlfn.IMAGE("https://camerareadycosmetics.com/cdn/shop/products/LORACTantalizerBodyBronzingLuminizer_50x.jpg?v=1628223481")</f>
        <v/>
      </c>
      <c r="H2202">
        <f>_xlfn.IMAGE("https://m.media-amazon.com/images/I/619ICdsdVOL._AC_UL320_.jpg")</f>
        <v/>
      </c>
      <c r="K2202" t="inlineStr">
        <is>
          <t>32.0</t>
        </is>
      </c>
      <c r="L2202" t="n">
        <v>30.72</v>
      </c>
      <c r="M2202" s="1" t="inlineStr">
        <is>
          <t>-4.00%</t>
        </is>
      </c>
      <c r="N2202" t="n">
        <v>4.2</v>
      </c>
      <c r="O2202" t="n">
        <v>26</v>
      </c>
      <c r="Q2202" t="inlineStr">
        <is>
          <t>InStock</t>
        </is>
      </c>
      <c r="R2202" t="inlineStr">
        <is>
          <t>undefined</t>
        </is>
      </c>
      <c r="S2202" t="inlineStr">
        <is>
          <t>6880457130169</t>
        </is>
      </c>
    </row>
    <row r="2203" ht="75" customHeight="1">
      <c r="A2203" s="2">
        <f>HYPERLINK("https://camerareadycosmetics.com/products/lorac-tantalizer-body-bronzing-luminizer", "https://camerareadycosmetics.com/products/lorac-tantalizer-body-bronzing-luminizer")</f>
        <v/>
      </c>
      <c r="B2203" s="2">
        <f>HYPERLINK("https://camerareadycosmetics.com/products/lorac-tantalizer-body-bronzing-luminizer", "https://camerareadycosmetics.com/products/lorac-tantalizer-body-bronzing-luminizer")</f>
        <v/>
      </c>
      <c r="C2203" t="inlineStr">
        <is>
          <t>Tantalizer Body Bronzing Luminizer</t>
        </is>
      </c>
      <c r="D2203" t="inlineStr">
        <is>
          <t>LORAC Tantalizer Body Bronzing Luminizer, Travel Size | Bronzing Lotion | Full Body Bronzer, Antioxidant Infused, Cruelty Free, Gluten Free, Vegan</t>
        </is>
      </c>
      <c r="E2203" s="2">
        <f>HYPERLINK("https://www.amazon.com/LORAC-Tantalizer-Bronzing-Luminizer-Antioxidant/dp/B09XJK7B4M/ref=sr_1_1?keywords=Tantalizer+Body+Bronzing+Luminizer&amp;qid=1695565811&amp;sr=8-1", "https://www.amazon.com/LORAC-Tantalizer-Bronzing-Luminizer-Antioxidant/dp/B09XJK7B4M/ref=sr_1_1?keywords=Tantalizer+Body+Bronzing+Luminizer&amp;qid=1695565811&amp;sr=8-1")</f>
        <v/>
      </c>
      <c r="F2203" t="inlineStr">
        <is>
          <t>B09XJK7B4M</t>
        </is>
      </c>
      <c r="G2203">
        <f>_xlfn.IMAGE("https://camerareadycosmetics.com/cdn/shop/products/LORACTantalizerBodyBronzingLuminizer_50x.jpg?v=1628223481")</f>
        <v/>
      </c>
      <c r="H2203">
        <f>_xlfn.IMAGE("https://m.media-amazon.com/images/I/61RBsD+-keL._AC_UL320_.jpg")</f>
        <v/>
      </c>
      <c r="K2203" t="inlineStr">
        <is>
          <t>32.0</t>
        </is>
      </c>
      <c r="L2203" t="n">
        <v>12</v>
      </c>
      <c r="M2203" s="1" t="inlineStr">
        <is>
          <t>-62.50%</t>
        </is>
      </c>
      <c r="N2203" t="n">
        <v>4.1</v>
      </c>
      <c r="O2203" t="n">
        <v>24</v>
      </c>
      <c r="Q2203" t="inlineStr">
        <is>
          <t>InStock</t>
        </is>
      </c>
      <c r="R2203" t="inlineStr">
        <is>
          <t>undefined</t>
        </is>
      </c>
      <c r="S2203" t="inlineStr">
        <is>
          <t>6880457130169</t>
        </is>
      </c>
    </row>
    <row r="2204" ht="75" customHeight="1">
      <c r="A2204" s="2">
        <f>HYPERLINK("https://camerareadycosmetics.com/products/lorac-tantalizer-body-bronzing-luminizer", "https://camerareadycosmetics.com/products/lorac-tantalizer-body-bronzing-luminizer")</f>
        <v/>
      </c>
      <c r="B2204" s="2">
        <f>HYPERLINK("https://camerareadycosmetics.com/products/lorac-tantalizer-body-bronzing-luminizer", "https://camerareadycosmetics.com/products/lorac-tantalizer-body-bronzing-luminizer")</f>
        <v/>
      </c>
      <c r="C2204" t="inlineStr">
        <is>
          <t>Tantalizer Body Bronzing Luminizer</t>
        </is>
      </c>
      <c r="D2204" t="inlineStr">
        <is>
          <t>LORAC Tantalizer Body Bronzing Luminizer, Travel Size | Bronzing Lotion | Full Body Bronzer, Antioxidant Infused, Cruelty Free, Gluten Free, Vegan</t>
        </is>
      </c>
      <c r="E2204" s="2">
        <f>HYPERLINK("https://www.amazon.com/LORAC-Tantalizer-Bronzing-Luminizer-Antioxidant/dp/B09XJK7B4M/ref=sr_1_1?keywords=Tantalizer+Body+Bronzing+Luminizer&amp;qid=1695565811&amp;sr=8-1", "https://www.amazon.com/LORAC-Tantalizer-Bronzing-Luminizer-Antioxidant/dp/B09XJK7B4M/ref=sr_1_1?keywords=Tantalizer+Body+Bronzing+Luminizer&amp;qid=1695565811&amp;sr=8-1")</f>
        <v/>
      </c>
      <c r="F2204" t="inlineStr">
        <is>
          <t>B09XJK7B4M</t>
        </is>
      </c>
      <c r="G2204">
        <f>_xlfn.IMAGE("https://camerareadycosmetics.com/cdn/shop/products/LORACTantalizerBodyBronzingLuminizer_50x.jpg?v=1628223481")</f>
        <v/>
      </c>
      <c r="H2204">
        <f>_xlfn.IMAGE("https://m.media-amazon.com/images/I/61RBsD+-keL._AC_UL320_.jpg")</f>
        <v/>
      </c>
      <c r="K2204" t="inlineStr">
        <is>
          <t>32.0</t>
        </is>
      </c>
      <c r="L2204" t="n">
        <v>12</v>
      </c>
      <c r="M2204" s="1" t="inlineStr">
        <is>
          <t>-62.50%</t>
        </is>
      </c>
      <c r="N2204" t="n">
        <v>4.1</v>
      </c>
      <c r="O2204" t="n">
        <v>24</v>
      </c>
      <c r="Q2204" t="inlineStr">
        <is>
          <t>InStock</t>
        </is>
      </c>
      <c r="R2204" t="inlineStr">
        <is>
          <t>undefined</t>
        </is>
      </c>
      <c r="S2204" t="inlineStr">
        <is>
          <t>6880457130169</t>
        </is>
      </c>
    </row>
    <row r="2205" ht="75" customHeight="1">
      <c r="A2205" s="2">
        <f>HYPERLINK("https://camerareadycosmetics.com/products/lorac-unzipped-eye-shadow-palette", "https://camerareadycosmetics.com/products/lorac-unzipped-eye-shadow-palette")</f>
        <v/>
      </c>
      <c r="B2205" s="2">
        <f>HYPERLINK("https://camerareadycosmetics.com/products/lorac-unzipped-eye-shadow-palette", "https://camerareadycosmetics.com/products/lorac-unzipped-eye-shadow-palette")</f>
        <v/>
      </c>
      <c r="C2205" t="inlineStr">
        <is>
          <t>UNZIPPED™ Eye Shadow Palette</t>
        </is>
      </c>
      <c r="D2205" t="inlineStr">
        <is>
          <t>Unzipped Eyeshadow Palette, Matte And Glitter Finish</t>
        </is>
      </c>
      <c r="E2205" s="2">
        <f>HYPERLINK("https://www.amazon.com/LORAC-Unzipped-Eye-Shadow-Palette/dp/B006Z773PM/ref=sr_1_1?keywords=UNZIPPED%E2%84%A2+Eye+Shadow+Palette&amp;qid=1695565674&amp;sr=8-1", "https://www.amazon.com/LORAC-Unzipped-Eye-Shadow-Palette/dp/B006Z773PM/ref=sr_1_1?keywords=UNZIPPED%E2%84%A2+Eye+Shadow+Palette&amp;qid=1695565674&amp;sr=8-1")</f>
        <v/>
      </c>
      <c r="F2205" t="inlineStr">
        <is>
          <t>B006Z773PM</t>
        </is>
      </c>
      <c r="G2205">
        <f>_xlfn.IMAGE("https://camerareadycosmetics.com/cdn/shop/products/lorac-unzipped-eyeshadow-palette-open-10337_2_1_50x.jpg?v=1564090808")</f>
        <v/>
      </c>
      <c r="H2205">
        <f>_xlfn.IMAGE("https://m.media-amazon.com/images/I/612Z7msI1XL._AC_UL320_.jpg")</f>
        <v/>
      </c>
      <c r="K2205" t="inlineStr">
        <is>
          <t>39.0</t>
        </is>
      </c>
      <c r="L2205" t="n">
        <v>39</v>
      </c>
      <c r="M2205" s="1" t="inlineStr">
        <is>
          <t>0.00%</t>
        </is>
      </c>
      <c r="N2205" t="n">
        <v>4.6</v>
      </c>
      <c r="O2205" t="n">
        <v>1007</v>
      </c>
      <c r="Q2205" t="inlineStr">
        <is>
          <t>InStock</t>
        </is>
      </c>
      <c r="R2205" t="inlineStr">
        <is>
          <t>undefined</t>
        </is>
      </c>
      <c r="S2205" t="inlineStr">
        <is>
          <t>3945594617967</t>
        </is>
      </c>
    </row>
    <row r="2206" ht="75" customHeight="1">
      <c r="A2206" s="2">
        <f>HYPERLINK("https://camerareadycosmetics.com/products/lorac-unzipped-eye-shadow-palette", "https://camerareadycosmetics.com/products/lorac-unzipped-eye-shadow-palette")</f>
        <v/>
      </c>
      <c r="B2206" s="2">
        <f>HYPERLINK("https://camerareadycosmetics.com/products/lorac-unzipped-eye-shadow-palette", "https://camerareadycosmetics.com/products/lorac-unzipped-eye-shadow-palette")</f>
        <v/>
      </c>
      <c r="C2206" t="inlineStr">
        <is>
          <t>UNZIPPED™ Eye Shadow Palette</t>
        </is>
      </c>
      <c r="D2206" t="inlineStr">
        <is>
          <t>LORAC Unzipped Amor Palette Matte Shimmer Eye Shadow</t>
        </is>
      </c>
      <c r="E2206" s="2">
        <f>HYPERLINK("https://www.amazon.com/LORAC-Unzipped-Palette-Shimmer-Shadow/dp/B09XJHKQYT/ref=sr_1_2?keywords=UNZIPPED%E2%84%A2+Eye+Shadow+Palette&amp;qid=1695565674&amp;sr=8-2", "https://www.amazon.com/LORAC-Unzipped-Palette-Shimmer-Shadow/dp/B09XJHKQYT/ref=sr_1_2?keywords=UNZIPPED%E2%84%A2+Eye+Shadow+Palette&amp;qid=1695565674&amp;sr=8-2")</f>
        <v/>
      </c>
      <c r="F2206" t="inlineStr">
        <is>
          <t>B09XJHKQYT</t>
        </is>
      </c>
      <c r="G2206">
        <f>_xlfn.IMAGE("https://camerareadycosmetics.com/cdn/shop/products/lorac-unzipped-eyeshadow-palette-open-10337_2_1_50x.jpg?v=1564090808")</f>
        <v/>
      </c>
      <c r="H2206">
        <f>_xlfn.IMAGE("https://m.media-amazon.com/images/I/81bsGnGx6rL._AC_UL320_.jpg")</f>
        <v/>
      </c>
      <c r="K2206" t="inlineStr">
        <is>
          <t>39.0</t>
        </is>
      </c>
      <c r="L2206" t="n">
        <v>32.7</v>
      </c>
      <c r="M2206" s="1" t="inlineStr">
        <is>
          <t>-16.15%</t>
        </is>
      </c>
      <c r="N2206" t="n">
        <v>4.1</v>
      </c>
      <c r="O2206" t="n">
        <v>39</v>
      </c>
      <c r="Q2206" t="inlineStr">
        <is>
          <t>InStock</t>
        </is>
      </c>
      <c r="R2206" t="inlineStr">
        <is>
          <t>undefined</t>
        </is>
      </c>
      <c r="S2206" t="inlineStr">
        <is>
          <t>3945594617967</t>
        </is>
      </c>
    </row>
    <row r="2207" ht="75" customHeight="1">
      <c r="A2207" s="2">
        <f>HYPERLINK("https://camerareadycosmetics.com/products/lorac-unzipped-eye-shadow-palette", "https://camerareadycosmetics.com/products/lorac-unzipped-eye-shadow-palette")</f>
        <v/>
      </c>
      <c r="B2207" s="2">
        <f>HYPERLINK("https://camerareadycosmetics.com/products/lorac-unzipped-eye-shadow-palette", "https://camerareadycosmetics.com/products/lorac-unzipped-eye-shadow-palette")</f>
        <v/>
      </c>
      <c r="C2207" t="inlineStr">
        <is>
          <t>UNZIPPED™ Eye Shadow Palette</t>
        </is>
      </c>
      <c r="D2207" t="inlineStr">
        <is>
          <t>PRO Matte &amp; Shimmer Eyeshadow Palette, Metallic High Pigmented, Mirror Compact</t>
        </is>
      </c>
      <c r="E2207" s="2">
        <f>HYPERLINK("https://www.amazon.com/LORAC-Pro-Matte-Shadow-Palette/dp/B00ZZ8XOD2/ref=sr_1_3?keywords=UNZIPPED%E2%84%A2+Eye+Shadow+Palette&amp;qid=1695565674&amp;sr=8-3", "https://www.amazon.com/LORAC-Pro-Matte-Shadow-Palette/dp/B00ZZ8XOD2/ref=sr_1_3?keywords=UNZIPPED%E2%84%A2+Eye+Shadow+Palette&amp;qid=1695565674&amp;sr=8-3")</f>
        <v/>
      </c>
      <c r="F2207" t="inlineStr">
        <is>
          <t>B00ZZ8XOD2</t>
        </is>
      </c>
      <c r="G2207">
        <f>_xlfn.IMAGE("https://camerareadycosmetics.com/cdn/shop/products/lorac-unzipped-eyeshadow-palette-open-10337_2_1_50x.jpg?v=1564090808")</f>
        <v/>
      </c>
      <c r="H2207">
        <f>_xlfn.IMAGE("https://m.media-amazon.com/images/I/71-8oA15ykL._AC_UL320_.jpg")</f>
        <v/>
      </c>
      <c r="K2207" t="inlineStr">
        <is>
          <t>39.0</t>
        </is>
      </c>
      <c r="L2207" t="n">
        <v>25</v>
      </c>
      <c r="M2207" s="1" t="inlineStr">
        <is>
          <t>-35.90%</t>
        </is>
      </c>
      <c r="N2207" t="n">
        <v>4.6</v>
      </c>
      <c r="O2207" t="n">
        <v>1829</v>
      </c>
      <c r="Q2207" t="inlineStr">
        <is>
          <t>InStock</t>
        </is>
      </c>
      <c r="R2207" t="inlineStr">
        <is>
          <t>undefined</t>
        </is>
      </c>
      <c r="S2207" t="inlineStr">
        <is>
          <t>3945594617967</t>
        </is>
      </c>
    </row>
    <row r="2208" ht="75" customHeight="1">
      <c r="A2208" s="2">
        <f>HYPERLINK("https://camerareadycosmetics.com/products/lorac-unzipped-eye-shadow-palette", "https://camerareadycosmetics.com/products/lorac-unzipped-eye-shadow-palette")</f>
        <v/>
      </c>
      <c r="B2208" s="2">
        <f>HYPERLINK("https://camerareadycosmetics.com/products/lorac-unzipped-eye-shadow-palette", "https://camerareadycosmetics.com/products/lorac-unzipped-eye-shadow-palette")</f>
        <v/>
      </c>
      <c r="C2208" t="inlineStr">
        <is>
          <t>UNZIPPED™ Eye Shadow Palette</t>
        </is>
      </c>
      <c r="D2208" t="inlineStr">
        <is>
          <t>UCANBE 12 Color Eyeshadow Makeup Palette, Naked Nude Eye Shadow, Neutral Matte Shimmer Make Up Pallet with Double-ended Brush Set Kit, Highly Pigmented Long Lasting Waterproof (01)</t>
        </is>
      </c>
      <c r="E2208" s="2">
        <f>HYPERLINK("https://www.amazon.com/UCANBE-Eyeshadow-Double-ended-Pigmented-Waterproof/dp/B0C4LFB2SQ/ref=sr_1_8?keywords=UNZIPPED%E2%84%A2+Eye+Shadow+Palette&amp;qid=1695565674&amp;sr=8-8", "https://www.amazon.com/UCANBE-Eyeshadow-Double-ended-Pigmented-Waterproof/dp/B0C4LFB2SQ/ref=sr_1_8?keywords=UNZIPPED%E2%84%A2+Eye+Shadow+Palette&amp;qid=1695565674&amp;sr=8-8")</f>
        <v/>
      </c>
      <c r="F2208" t="inlineStr">
        <is>
          <t>B0C4LFB2SQ</t>
        </is>
      </c>
      <c r="G2208">
        <f>_xlfn.IMAGE("https://camerareadycosmetics.com/cdn/shop/products/lorac-unzipped-eyeshadow-palette-open-10337_2_1_50x.jpg?v=1564090808")</f>
        <v/>
      </c>
      <c r="H2208">
        <f>_xlfn.IMAGE("https://m.media-amazon.com/images/I/71KDwfGL6zL._AC_UL320_.jpg")</f>
        <v/>
      </c>
      <c r="K2208" t="inlineStr">
        <is>
          <t>39.0</t>
        </is>
      </c>
      <c r="L2208" t="n">
        <v>9.99</v>
      </c>
      <c r="M2208" s="1" t="inlineStr">
        <is>
          <t>-74.38%</t>
        </is>
      </c>
      <c r="N2208" t="n">
        <v>4.5</v>
      </c>
      <c r="O2208" t="n">
        <v>459</v>
      </c>
      <c r="Q2208" t="inlineStr">
        <is>
          <t>InStock</t>
        </is>
      </c>
      <c r="R2208" t="inlineStr">
        <is>
          <t>undefined</t>
        </is>
      </c>
      <c r="S2208" t="inlineStr">
        <is>
          <t>3945594617967</t>
        </is>
      </c>
    </row>
    <row r="2209" ht="75" customHeight="1">
      <c r="A2209" s="2">
        <f>HYPERLINK("https://camerareadycosmetics.com/products/lorac-unzipped-eye-shadow-palette", "https://camerareadycosmetics.com/products/lorac-unzipped-eye-shadow-palette")</f>
        <v/>
      </c>
      <c r="B2209" s="2">
        <f>HYPERLINK("https://camerareadycosmetics.com/products/lorac-unzipped-eye-shadow-palette", "https://camerareadycosmetics.com/products/lorac-unzipped-eye-shadow-palette")</f>
        <v/>
      </c>
      <c r="C2209" t="inlineStr">
        <is>
          <t>UNZIPPED™ Eye Shadow Palette</t>
        </is>
      </c>
      <c r="D2209" t="inlineStr">
        <is>
          <t>Mini Naked Eyeshadow Palette Taupe &amp; Brown All Matte Neutral Nude Smoky Eye Shadow Make Up Pallet High Pigmented Naturing-Looking Ultra-Blendable Long Lasting Waterproof - Travel Size</t>
        </is>
      </c>
      <c r="E2209" s="2">
        <f>HYPERLINK("https://www.amazon.com/SUMEITANG-Eyeshadow-Naturing-Looking-Ultra-Blendable-Waterproof/dp/B0CDWNF8WT/ref=sr_1_7?keywords=UNZIPPED%E2%84%A2+Eye+Shadow+Palette&amp;qid=1695565674&amp;sr=8-7", "https://www.amazon.com/SUMEITANG-Eyeshadow-Naturing-Looking-Ultra-Blendable-Waterproof/dp/B0CDWNF8WT/ref=sr_1_7?keywords=UNZIPPED%E2%84%A2+Eye+Shadow+Palette&amp;qid=1695565674&amp;sr=8-7")</f>
        <v/>
      </c>
      <c r="F2209" t="inlineStr">
        <is>
          <t>B0CDWNF8WT</t>
        </is>
      </c>
      <c r="G2209">
        <f>_xlfn.IMAGE("https://camerareadycosmetics.com/cdn/shop/products/lorac-unzipped-eyeshadow-palette-open-10337_2_1_50x.jpg?v=1564090808")</f>
        <v/>
      </c>
      <c r="H2209">
        <f>_xlfn.IMAGE("https://m.media-amazon.com/images/I/71gxTnudV0L._AC_UL320_.jpg")</f>
        <v/>
      </c>
      <c r="K2209" t="inlineStr">
        <is>
          <t>39.0</t>
        </is>
      </c>
      <c r="L2209" t="n">
        <v>7.99</v>
      </c>
      <c r="M2209" s="1" t="inlineStr">
        <is>
          <t>-79.51%</t>
        </is>
      </c>
      <c r="N2209" t="n">
        <v>4.1</v>
      </c>
      <c r="O2209" t="n">
        <v>52</v>
      </c>
      <c r="Q2209" t="inlineStr">
        <is>
          <t>InStock</t>
        </is>
      </c>
      <c r="R2209" t="inlineStr">
        <is>
          <t>undefined</t>
        </is>
      </c>
      <c r="S2209" t="inlineStr">
        <is>
          <t>3945594617967</t>
        </is>
      </c>
    </row>
    <row r="2210" ht="75" customHeight="1">
      <c r="A2210" s="2">
        <f>HYPERLINK("https://camerareadycosmetics.com/products/lorac-unzipped-eye-shadow-palette", "https://camerareadycosmetics.com/products/lorac-unzipped-eye-shadow-palette")</f>
        <v/>
      </c>
      <c r="B2210" s="2">
        <f>HYPERLINK("https://camerareadycosmetics.com/products/lorac-unzipped-eye-shadow-palette", "https://camerareadycosmetics.com/products/lorac-unzipped-eye-shadow-palette")</f>
        <v/>
      </c>
      <c r="C2210" t="inlineStr">
        <is>
          <t>UNZIPPED™ Eye Shadow Palette</t>
        </is>
      </c>
      <c r="D2210" t="inlineStr">
        <is>
          <t>6 Colors Mini Naked Eyeshadow Makeup Palette Neutral Nude Smoky Eye Shadow Taupe &amp; Brown Matte Make Up Pallet with Mirror Highly Pigmented Long Lasting Waterproof Travel Size Gift Kit 01</t>
        </is>
      </c>
      <c r="E2210" s="2">
        <f>HYPERLINK("https://www.amazon.com/SUSIKEKI-Eyeshadow-Palette-Pigmented-Waterproof/dp/B0C4L2KRCH/ref=sr_1_6?keywords=UNZIPPED%E2%84%A2+Eye+Shadow+Palette&amp;qid=1695565674&amp;sr=8-6", "https://www.amazon.com/SUSIKEKI-Eyeshadow-Palette-Pigmented-Waterproof/dp/B0C4L2KRCH/ref=sr_1_6?keywords=UNZIPPED%E2%84%A2+Eye+Shadow+Palette&amp;qid=1695565674&amp;sr=8-6")</f>
        <v/>
      </c>
      <c r="F2210" t="inlineStr">
        <is>
          <t>B0C4L2KRCH</t>
        </is>
      </c>
      <c r="G2210">
        <f>_xlfn.IMAGE("https://camerareadycosmetics.com/cdn/shop/products/lorac-unzipped-eyeshadow-palette-open-10337_2_1_50x.jpg?v=1564090808")</f>
        <v/>
      </c>
      <c r="H2210">
        <f>_xlfn.IMAGE("https://m.media-amazon.com/images/I/712XpOgENpL._AC_UL320_.jpg")</f>
        <v/>
      </c>
      <c r="K2210" t="inlineStr">
        <is>
          <t>39.0</t>
        </is>
      </c>
      <c r="L2210" t="n">
        <v>7.98</v>
      </c>
      <c r="M2210" s="1" t="inlineStr">
        <is>
          <t>-79.54%</t>
        </is>
      </c>
      <c r="N2210" t="n">
        <v>4.4</v>
      </c>
      <c r="O2210" t="n">
        <v>59</v>
      </c>
      <c r="Q2210" t="inlineStr">
        <is>
          <t>InStock</t>
        </is>
      </c>
      <c r="R2210" t="inlineStr">
        <is>
          <t>undefined</t>
        </is>
      </c>
      <c r="S2210" t="inlineStr">
        <is>
          <t>3945594617967</t>
        </is>
      </c>
    </row>
    <row r="2211" ht="75" customHeight="1">
      <c r="A2211" s="2">
        <f>HYPERLINK("https://camerareadycosmetics.com/products/lorac-unzipped-eye-shadow-palette", "https://camerareadycosmetics.com/products/lorac-unzipped-eye-shadow-palette")</f>
        <v/>
      </c>
      <c r="B2211" s="2">
        <f>HYPERLINK("https://camerareadycosmetics.com/products/lorac-unzipped-eye-shadow-palette", "https://camerareadycosmetics.com/products/lorac-unzipped-eye-shadow-palette")</f>
        <v/>
      </c>
      <c r="C2211" t="inlineStr">
        <is>
          <t>UNZIPPED™ Eye Shadow Palette</t>
        </is>
      </c>
      <c r="D2211" t="inlineStr">
        <is>
          <t>10 Colors Eyeshadow Palette-Matte Naked High Pigmented Eye Shadow,Naturing-Looking, Waterproof&amp;Long Lasting Neutral Cream Korean Makeup Eye Shadow Palette for Older Women (Cement Color)</t>
        </is>
      </c>
      <c r="E2211" s="2">
        <f>HYPERLINK("https://www.amazon.com/Eyeshadow-Palette-Matte-Pigmented-Naturing-Looking-Waterproof/dp/B0C6SRYLK4/ref=sr_1_9?keywords=UNZIPPED%E2%84%A2+Eye+Shadow+Palette&amp;qid=1695565674&amp;sr=8-9", "https://www.amazon.com/Eyeshadow-Palette-Matte-Pigmented-Naturing-Looking-Waterproof/dp/B0C6SRYLK4/ref=sr_1_9?keywords=UNZIPPED%E2%84%A2+Eye+Shadow+Palette&amp;qid=1695565674&amp;sr=8-9")</f>
        <v/>
      </c>
      <c r="F2211" t="inlineStr">
        <is>
          <t>B0C6SRYLK4</t>
        </is>
      </c>
      <c r="G2211">
        <f>_xlfn.IMAGE("https://camerareadycosmetics.com/cdn/shop/products/lorac-unzipped-eyeshadow-palette-open-10337_2_1_50x.jpg?v=1564090808")</f>
        <v/>
      </c>
      <c r="H2211">
        <f>_xlfn.IMAGE("https://m.media-amazon.com/images/I/71aWUKMjuAL._AC_UL320_.jpg")</f>
        <v/>
      </c>
      <c r="K2211" t="inlineStr">
        <is>
          <t>39.0</t>
        </is>
      </c>
      <c r="L2211" t="n">
        <v>7.88</v>
      </c>
      <c r="M2211" s="1" t="inlineStr">
        <is>
          <t>-79.79%</t>
        </is>
      </c>
      <c r="N2211" t="n">
        <v>3.9</v>
      </c>
      <c r="O2211" t="n">
        <v>11</v>
      </c>
      <c r="Q2211" t="inlineStr">
        <is>
          <t>InStock</t>
        </is>
      </c>
      <c r="R2211" t="inlineStr">
        <is>
          <t>undefined</t>
        </is>
      </c>
      <c r="S2211" t="inlineStr">
        <is>
          <t>3945594617967</t>
        </is>
      </c>
    </row>
    <row r="2212" ht="75" customHeight="1">
      <c r="A2212" s="2">
        <f>HYPERLINK("https://camerareadycosmetics.com/products/lorac-unzipped-eye-shadow-palette", "https://camerareadycosmetics.com/products/lorac-unzipped-eye-shadow-palette")</f>
        <v/>
      </c>
      <c r="B2212" s="2">
        <f>HYPERLINK("https://camerareadycosmetics.com/products/lorac-unzipped-eye-shadow-palette", "https://camerareadycosmetics.com/products/lorac-unzipped-eye-shadow-palette")</f>
        <v/>
      </c>
      <c r="C2212" t="inlineStr">
        <is>
          <t>UNZIPPED™ Eye Shadow Palette</t>
        </is>
      </c>
      <c r="D2212" t="inlineStr">
        <is>
          <t>9Color Rose Gold Dark Brown Colorful Eyeshadow Palette Makeup,Matte Shimmer Korean Natural Neutral Smokey Eye Eyeshadow palettes Highly Pigmented Naturing-Looking Long Lasting Waterproof Blendable</t>
        </is>
      </c>
      <c r="E2212" s="2">
        <f>HYPERLINK("https://www.amazon.com/Eyeshadow-Pigmented-Naturing-Looking-Waterproof-Blendable/dp/B0C2ZGTJ55/ref=sr_1_5?keywords=UNZIPPED%E2%84%A2+Eye+Shadow+Palette&amp;qid=1695565674&amp;sr=8-5", "https://www.amazon.com/Eyeshadow-Pigmented-Naturing-Looking-Waterproof-Blendable/dp/B0C2ZGTJ55/ref=sr_1_5?keywords=UNZIPPED%E2%84%A2+Eye+Shadow+Palette&amp;qid=1695565674&amp;sr=8-5")</f>
        <v/>
      </c>
      <c r="F2212" t="inlineStr">
        <is>
          <t>B0C2ZGTJ55</t>
        </is>
      </c>
      <c r="G2212">
        <f>_xlfn.IMAGE("https://camerareadycosmetics.com/cdn/shop/products/lorac-unzipped-eyeshadow-palette-open-10337_2_1_50x.jpg?v=1564090808")</f>
        <v/>
      </c>
      <c r="H2212">
        <f>_xlfn.IMAGE("https://m.media-amazon.com/images/I/61+MBrzLcJL._AC_UL320_.jpg")</f>
        <v/>
      </c>
      <c r="K2212" t="inlineStr">
        <is>
          <t>39.0</t>
        </is>
      </c>
      <c r="L2212" t="n">
        <v>6.99</v>
      </c>
      <c r="M2212" s="1" t="inlineStr">
        <is>
          <t>-82.08%</t>
        </is>
      </c>
      <c r="N2212" t="n">
        <v>3.8</v>
      </c>
      <c r="O2212" t="n">
        <v>7</v>
      </c>
      <c r="Q2212" t="inlineStr">
        <is>
          <t>InStock</t>
        </is>
      </c>
      <c r="R2212" t="inlineStr">
        <is>
          <t>undefined</t>
        </is>
      </c>
      <c r="S2212" t="inlineStr">
        <is>
          <t>3945594617967</t>
        </is>
      </c>
    </row>
    <row r="2213" ht="75" customHeight="1">
      <c r="A2213" s="2">
        <f>HYPERLINK("https://camerareadycosmetics.com/products/lorac-unzipped-eye-shadow-palette", "https://camerareadycosmetics.com/products/lorac-unzipped-eye-shadow-palette")</f>
        <v/>
      </c>
      <c r="B2213" s="2">
        <f>HYPERLINK("https://camerareadycosmetics.com/products/lorac-unzipped-eye-shadow-palette", "https://camerareadycosmetics.com/products/lorac-unzipped-eye-shadow-palette")</f>
        <v/>
      </c>
      <c r="C2213" t="inlineStr">
        <is>
          <t>UNZIPPED™ Eye Shadow Palette</t>
        </is>
      </c>
      <c r="D2213" t="inlineStr">
        <is>
          <t>Covergirl truNAKED Quad Eyeshadow Palette, Sunshine Escape, 0.06 Ounce (Pack of 1)</t>
        </is>
      </c>
      <c r="E2213" s="2">
        <f>HYPERLINK("https://www.amazon.com/Covergirl-truNAKED-Eyeshadow-Palette-Sunshine/dp/B088P4C26J/ref=sr_1_4?keywords=UNZIPPED%E2%84%A2+Eye+Shadow+Palette&amp;qid=1695565674&amp;sr=8-4", "https://www.amazon.com/Covergirl-truNAKED-Eyeshadow-Palette-Sunshine/dp/B088P4C26J/ref=sr_1_4?keywords=UNZIPPED%E2%84%A2+Eye+Shadow+Palette&amp;qid=1695565674&amp;sr=8-4")</f>
        <v/>
      </c>
      <c r="F2213" t="inlineStr">
        <is>
          <t>B088P4C26J</t>
        </is>
      </c>
      <c r="G2213">
        <f>_xlfn.IMAGE("https://camerareadycosmetics.com/cdn/shop/products/lorac-unzipped-eyeshadow-palette-open-10337_2_1_50x.jpg?v=1564090808")</f>
        <v/>
      </c>
      <c r="H2213">
        <f>_xlfn.IMAGE("https://m.media-amazon.com/images/I/817Udeks79L._AC_UL320_.jpg")</f>
        <v/>
      </c>
      <c r="K2213" t="inlineStr">
        <is>
          <t>39.0</t>
        </is>
      </c>
      <c r="L2213" t="n">
        <v>4.05</v>
      </c>
      <c r="M2213" s="1" t="inlineStr">
        <is>
          <t>-89.62%</t>
        </is>
      </c>
      <c r="N2213" t="n">
        <v>4.4</v>
      </c>
      <c r="O2213" t="n">
        <v>9402</v>
      </c>
      <c r="Q2213" t="inlineStr">
        <is>
          <t>InStock</t>
        </is>
      </c>
      <c r="R2213" t="inlineStr">
        <is>
          <t>undefined</t>
        </is>
      </c>
      <c r="S2213" t="inlineStr">
        <is>
          <t>3945594617967</t>
        </is>
      </c>
    </row>
    <row r="2214" ht="75" customHeight="1">
      <c r="A2214" s="2">
        <f>HYPERLINK("https://camerareadycosmetics.com/products/lorac-unzipped-eye-shadow-palette", "https://camerareadycosmetics.com/products/lorac-unzipped-eye-shadow-palette")</f>
        <v/>
      </c>
      <c r="B2214" s="2">
        <f>HYPERLINK("https://camerareadycosmetics.com/products/lorac-unzipped-eye-shadow-palette", "https://camerareadycosmetics.com/products/lorac-unzipped-eye-shadow-palette")</f>
        <v/>
      </c>
      <c r="C2214" t="inlineStr">
        <is>
          <t>UNZIPPED™ Eye Shadow Palette</t>
        </is>
      </c>
      <c r="D2214" t="inlineStr">
        <is>
          <t>UCANBE 12 Color Eyeshadow Makeup Palette, Naked Nude Eye Shadow, Neutral Matte Shimmer Make Up Pallet with Double-ended Brush Set Kit, Highly Pigmented Long Lasting Waterproof (01)</t>
        </is>
      </c>
      <c r="E2214" s="2">
        <f>HYPERLINK("https://www.amazon.com/UCANBE-Eyeshadow-Double-ended-Pigmented-Waterproof/dp/B0C4LFB2SQ/ref=sr_1_8?keywords=UNZIPPED%E2%84%A2+Eye+Shadow+Palette&amp;qid=1695565674&amp;sr=8-8", "https://www.amazon.com/UCANBE-Eyeshadow-Double-ended-Pigmented-Waterproof/dp/B0C4LFB2SQ/ref=sr_1_8?keywords=UNZIPPED%E2%84%A2+Eye+Shadow+Palette&amp;qid=1695565674&amp;sr=8-8")</f>
        <v/>
      </c>
      <c r="F2214" t="inlineStr">
        <is>
          <t>B0C4LFB2SQ</t>
        </is>
      </c>
      <c r="G2214">
        <f>_xlfn.IMAGE("https://camerareadycosmetics.com/cdn/shop/products/lorac-unzipped-eyeshadow-palette-open-10337_2_1_50x.jpg?v=1564090808")</f>
        <v/>
      </c>
      <c r="H2214">
        <f>_xlfn.IMAGE("https://m.media-amazon.com/images/I/71KDwfGL6zL._AC_UL320_.jpg")</f>
        <v/>
      </c>
      <c r="K2214" t="inlineStr">
        <is>
          <t>39.0</t>
        </is>
      </c>
      <c r="L2214" t="n">
        <v>9.99</v>
      </c>
      <c r="M2214" s="1" t="inlineStr">
        <is>
          <t>-74.38%</t>
        </is>
      </c>
      <c r="N2214" t="n">
        <v>4.5</v>
      </c>
      <c r="O2214" t="n">
        <v>459</v>
      </c>
      <c r="Q2214" t="inlineStr">
        <is>
          <t>InStock</t>
        </is>
      </c>
      <c r="R2214" t="inlineStr">
        <is>
          <t>undefined</t>
        </is>
      </c>
      <c r="S2214" t="inlineStr">
        <is>
          <t>3945594617967</t>
        </is>
      </c>
    </row>
    <row r="2215" ht="75" customHeight="1">
      <c r="A2215" s="2">
        <f>HYPERLINK("https://camerareadycosmetics.com/products/lorac-unzipped-eye-shadow-palette", "https://camerareadycosmetics.com/products/lorac-unzipped-eye-shadow-palette")</f>
        <v/>
      </c>
      <c r="B2215" s="2">
        <f>HYPERLINK("https://camerareadycosmetics.com/products/lorac-unzipped-eye-shadow-palette", "https://camerareadycosmetics.com/products/lorac-unzipped-eye-shadow-palette")</f>
        <v/>
      </c>
      <c r="C2215" t="inlineStr">
        <is>
          <t>UNZIPPED™ Eye Shadow Palette</t>
        </is>
      </c>
      <c r="D2215" t="inlineStr">
        <is>
          <t>Mini Naked Eyeshadow Palette Taupe &amp; Brown All Matte Neutral Nude Smoky Eye Shadow Make Up Pallet High Pigmented Naturing-Looking Ultra-Blendable Long Lasting Waterproof - Travel Size</t>
        </is>
      </c>
      <c r="E2215" s="2">
        <f>HYPERLINK("https://www.amazon.com/SUMEITANG-Eyeshadow-Naturing-Looking-Ultra-Blendable-Waterproof/dp/B0CDWNF8WT/ref=sr_1_7?keywords=UNZIPPED%E2%84%A2+Eye+Shadow+Palette&amp;qid=1695565674&amp;sr=8-7", "https://www.amazon.com/SUMEITANG-Eyeshadow-Naturing-Looking-Ultra-Blendable-Waterproof/dp/B0CDWNF8WT/ref=sr_1_7?keywords=UNZIPPED%E2%84%A2+Eye+Shadow+Palette&amp;qid=1695565674&amp;sr=8-7")</f>
        <v/>
      </c>
      <c r="F2215" t="inlineStr">
        <is>
          <t>B0CDWNF8WT</t>
        </is>
      </c>
      <c r="G2215">
        <f>_xlfn.IMAGE("https://camerareadycosmetics.com/cdn/shop/products/lorac-unzipped-eyeshadow-palette-open-10337_2_1_50x.jpg?v=1564090808")</f>
        <v/>
      </c>
      <c r="H2215">
        <f>_xlfn.IMAGE("https://m.media-amazon.com/images/I/71gxTnudV0L._AC_UL320_.jpg")</f>
        <v/>
      </c>
      <c r="K2215" t="inlineStr">
        <is>
          <t>39.0</t>
        </is>
      </c>
      <c r="L2215" t="n">
        <v>7.99</v>
      </c>
      <c r="M2215" s="1" t="inlineStr">
        <is>
          <t>-79.51%</t>
        </is>
      </c>
      <c r="N2215" t="n">
        <v>4.1</v>
      </c>
      <c r="O2215" t="n">
        <v>52</v>
      </c>
      <c r="Q2215" t="inlineStr">
        <is>
          <t>InStock</t>
        </is>
      </c>
      <c r="R2215" t="inlineStr">
        <is>
          <t>undefined</t>
        </is>
      </c>
      <c r="S2215" t="inlineStr">
        <is>
          <t>3945594617967</t>
        </is>
      </c>
    </row>
    <row r="2216" ht="75" customHeight="1">
      <c r="A2216" s="2">
        <f>HYPERLINK("https://camerareadycosmetics.com/products/lorac-unzipped-eye-shadow-palette", "https://camerareadycosmetics.com/products/lorac-unzipped-eye-shadow-palette")</f>
        <v/>
      </c>
      <c r="B2216" s="2">
        <f>HYPERLINK("https://camerareadycosmetics.com/products/lorac-unzipped-eye-shadow-palette", "https://camerareadycosmetics.com/products/lorac-unzipped-eye-shadow-palette")</f>
        <v/>
      </c>
      <c r="C2216" t="inlineStr">
        <is>
          <t>UNZIPPED™ Eye Shadow Palette</t>
        </is>
      </c>
      <c r="D2216" t="inlineStr">
        <is>
          <t>6 Colors Mini Naked Eyeshadow Makeup Palette Neutral Nude Smoky Eye Shadow Taupe &amp; Brown Matte Make Up Pallet with Mirror Highly Pigmented Long Lasting Waterproof Travel Size Gift Kit 01</t>
        </is>
      </c>
      <c r="E2216" s="2">
        <f>HYPERLINK("https://www.amazon.com/SUSIKEKI-Eyeshadow-Palette-Pigmented-Waterproof/dp/B0C4L2KRCH/ref=sr_1_6?keywords=UNZIPPED%E2%84%A2+Eye+Shadow+Palette&amp;qid=1695565674&amp;sr=8-6", "https://www.amazon.com/SUSIKEKI-Eyeshadow-Palette-Pigmented-Waterproof/dp/B0C4L2KRCH/ref=sr_1_6?keywords=UNZIPPED%E2%84%A2+Eye+Shadow+Palette&amp;qid=1695565674&amp;sr=8-6")</f>
        <v/>
      </c>
      <c r="F2216" t="inlineStr">
        <is>
          <t>B0C4L2KRCH</t>
        </is>
      </c>
      <c r="G2216">
        <f>_xlfn.IMAGE("https://camerareadycosmetics.com/cdn/shop/products/lorac-unzipped-eyeshadow-palette-open-10337_2_1_50x.jpg?v=1564090808")</f>
        <v/>
      </c>
      <c r="H2216">
        <f>_xlfn.IMAGE("https://m.media-amazon.com/images/I/712XpOgENpL._AC_UL320_.jpg")</f>
        <v/>
      </c>
      <c r="K2216" t="inlineStr">
        <is>
          <t>39.0</t>
        </is>
      </c>
      <c r="L2216" t="n">
        <v>7.98</v>
      </c>
      <c r="M2216" s="1" t="inlineStr">
        <is>
          <t>-79.54%</t>
        </is>
      </c>
      <c r="N2216" t="n">
        <v>4.4</v>
      </c>
      <c r="O2216" t="n">
        <v>59</v>
      </c>
      <c r="Q2216" t="inlineStr">
        <is>
          <t>InStock</t>
        </is>
      </c>
      <c r="R2216" t="inlineStr">
        <is>
          <t>undefined</t>
        </is>
      </c>
      <c r="S2216" t="inlineStr">
        <is>
          <t>3945594617967</t>
        </is>
      </c>
    </row>
    <row r="2217" ht="75" customHeight="1">
      <c r="A2217" s="2">
        <f>HYPERLINK("https://camerareadycosmetics.com/products/lorac-unzipped-eye-shadow-palette", "https://camerareadycosmetics.com/products/lorac-unzipped-eye-shadow-palette")</f>
        <v/>
      </c>
      <c r="B2217" s="2">
        <f>HYPERLINK("https://camerareadycosmetics.com/products/lorac-unzipped-eye-shadow-palette", "https://camerareadycosmetics.com/products/lorac-unzipped-eye-shadow-palette")</f>
        <v/>
      </c>
      <c r="C2217" t="inlineStr">
        <is>
          <t>UNZIPPED™ Eye Shadow Palette</t>
        </is>
      </c>
      <c r="D2217" t="inlineStr">
        <is>
          <t>10 Colors Eyeshadow Palette-Matte Naked High Pigmented Eye Shadow,Naturing-Looking, Waterproof&amp;Long Lasting Neutral Cream Korean Makeup Eye Shadow Palette for Older Women (Cement Color)</t>
        </is>
      </c>
      <c r="E2217" s="2">
        <f>HYPERLINK("https://www.amazon.com/Eyeshadow-Palette-Matte-Pigmented-Naturing-Looking-Waterproof/dp/B0C6SRYLK4/ref=sr_1_9?keywords=UNZIPPED%E2%84%A2+Eye+Shadow+Palette&amp;qid=1695565674&amp;sr=8-9", "https://www.amazon.com/Eyeshadow-Palette-Matte-Pigmented-Naturing-Looking-Waterproof/dp/B0C6SRYLK4/ref=sr_1_9?keywords=UNZIPPED%E2%84%A2+Eye+Shadow+Palette&amp;qid=1695565674&amp;sr=8-9")</f>
        <v/>
      </c>
      <c r="F2217" t="inlineStr">
        <is>
          <t>B0C6SRYLK4</t>
        </is>
      </c>
      <c r="G2217">
        <f>_xlfn.IMAGE("https://camerareadycosmetics.com/cdn/shop/products/lorac-unzipped-eyeshadow-palette-open-10337_2_1_50x.jpg?v=1564090808")</f>
        <v/>
      </c>
      <c r="H2217">
        <f>_xlfn.IMAGE("https://m.media-amazon.com/images/I/71aWUKMjuAL._AC_UL320_.jpg")</f>
        <v/>
      </c>
      <c r="K2217" t="inlineStr">
        <is>
          <t>39.0</t>
        </is>
      </c>
      <c r="L2217" t="n">
        <v>7.88</v>
      </c>
      <c r="M2217" s="1" t="inlineStr">
        <is>
          <t>-79.79%</t>
        </is>
      </c>
      <c r="N2217" t="n">
        <v>3.9</v>
      </c>
      <c r="O2217" t="n">
        <v>11</v>
      </c>
      <c r="Q2217" t="inlineStr">
        <is>
          <t>InStock</t>
        </is>
      </c>
      <c r="R2217" t="inlineStr">
        <is>
          <t>undefined</t>
        </is>
      </c>
      <c r="S2217" t="inlineStr">
        <is>
          <t>3945594617967</t>
        </is>
      </c>
    </row>
    <row r="2218" ht="75" customHeight="1">
      <c r="A2218" s="2">
        <f>HYPERLINK("https://camerareadycosmetics.com/products/lorac-unzipped-eye-shadow-palette", "https://camerareadycosmetics.com/products/lorac-unzipped-eye-shadow-palette")</f>
        <v/>
      </c>
      <c r="B2218" s="2">
        <f>HYPERLINK("https://camerareadycosmetics.com/products/lorac-unzipped-eye-shadow-palette", "https://camerareadycosmetics.com/products/lorac-unzipped-eye-shadow-palette")</f>
        <v/>
      </c>
      <c r="C2218" t="inlineStr">
        <is>
          <t>UNZIPPED™ Eye Shadow Palette</t>
        </is>
      </c>
      <c r="D2218" t="inlineStr">
        <is>
          <t>9Color Rose Gold Dark Brown Colorful Eyeshadow Palette Makeup,Matte Shimmer Korean Natural Neutral Smokey Eye Eyeshadow palettes Highly Pigmented Naturing-Looking Long Lasting Waterproof Blendable</t>
        </is>
      </c>
      <c r="E2218" s="2">
        <f>HYPERLINK("https://www.amazon.com/Eyeshadow-Pigmented-Naturing-Looking-Waterproof-Blendable/dp/B0C2ZGTJ55/ref=sr_1_5?keywords=UNZIPPED%E2%84%A2+Eye+Shadow+Palette&amp;qid=1695565674&amp;sr=8-5", "https://www.amazon.com/Eyeshadow-Pigmented-Naturing-Looking-Waterproof-Blendable/dp/B0C2ZGTJ55/ref=sr_1_5?keywords=UNZIPPED%E2%84%A2+Eye+Shadow+Palette&amp;qid=1695565674&amp;sr=8-5")</f>
        <v/>
      </c>
      <c r="F2218" t="inlineStr">
        <is>
          <t>B0C2ZGTJ55</t>
        </is>
      </c>
      <c r="G2218">
        <f>_xlfn.IMAGE("https://camerareadycosmetics.com/cdn/shop/products/lorac-unzipped-eyeshadow-palette-open-10337_2_1_50x.jpg?v=1564090808")</f>
        <v/>
      </c>
      <c r="H2218">
        <f>_xlfn.IMAGE("https://m.media-amazon.com/images/I/61+MBrzLcJL._AC_UL320_.jpg")</f>
        <v/>
      </c>
      <c r="K2218" t="inlineStr">
        <is>
          <t>39.0</t>
        </is>
      </c>
      <c r="L2218" t="n">
        <v>6.99</v>
      </c>
      <c r="M2218" s="1" t="inlineStr">
        <is>
          <t>-82.08%</t>
        </is>
      </c>
      <c r="N2218" t="n">
        <v>3.8</v>
      </c>
      <c r="O2218" t="n">
        <v>7</v>
      </c>
      <c r="Q2218" t="inlineStr">
        <is>
          <t>InStock</t>
        </is>
      </c>
      <c r="R2218" t="inlineStr">
        <is>
          <t>undefined</t>
        </is>
      </c>
      <c r="S2218" t="inlineStr">
        <is>
          <t>3945594617967</t>
        </is>
      </c>
    </row>
    <row r="2219" ht="75" customHeight="1">
      <c r="A2219" s="2">
        <f>HYPERLINK("https://camerareadycosmetics.com/products/lorac-unzipped-eye-shadow-palette", "https://camerareadycosmetics.com/products/lorac-unzipped-eye-shadow-palette")</f>
        <v/>
      </c>
      <c r="B2219" s="2">
        <f>HYPERLINK("https://camerareadycosmetics.com/products/lorac-unzipped-eye-shadow-palette", "https://camerareadycosmetics.com/products/lorac-unzipped-eye-shadow-palette")</f>
        <v/>
      </c>
      <c r="C2219" t="inlineStr">
        <is>
          <t>UNZIPPED™ Eye Shadow Palette</t>
        </is>
      </c>
      <c r="D2219" t="inlineStr">
        <is>
          <t>Covergirl truNAKED Quad Eyeshadow Palette, Sunshine Escape, 0.06 Ounce (Pack of 1)</t>
        </is>
      </c>
      <c r="E2219" s="2">
        <f>HYPERLINK("https://www.amazon.com/Covergirl-truNAKED-Eyeshadow-Palette-Sunshine/dp/B088P4C26J/ref=sr_1_4?keywords=UNZIPPED%E2%84%A2+Eye+Shadow+Palette&amp;qid=1695565674&amp;sr=8-4", "https://www.amazon.com/Covergirl-truNAKED-Eyeshadow-Palette-Sunshine/dp/B088P4C26J/ref=sr_1_4?keywords=UNZIPPED%E2%84%A2+Eye+Shadow+Palette&amp;qid=1695565674&amp;sr=8-4")</f>
        <v/>
      </c>
      <c r="F2219" t="inlineStr">
        <is>
          <t>B088P4C26J</t>
        </is>
      </c>
      <c r="G2219">
        <f>_xlfn.IMAGE("https://camerareadycosmetics.com/cdn/shop/products/lorac-unzipped-eyeshadow-palette-open-10337_2_1_50x.jpg?v=1564090808")</f>
        <v/>
      </c>
      <c r="H2219">
        <f>_xlfn.IMAGE("https://m.media-amazon.com/images/I/817Udeks79L._AC_UL320_.jpg")</f>
        <v/>
      </c>
      <c r="K2219" t="inlineStr">
        <is>
          <t>39.0</t>
        </is>
      </c>
      <c r="L2219" t="n">
        <v>4.05</v>
      </c>
      <c r="M2219" s="1" t="inlineStr">
        <is>
          <t>-89.62%</t>
        </is>
      </c>
      <c r="N2219" t="n">
        <v>4.4</v>
      </c>
      <c r="O2219" t="n">
        <v>9402</v>
      </c>
      <c r="Q2219" t="inlineStr">
        <is>
          <t>InStock</t>
        </is>
      </c>
      <c r="R2219" t="inlineStr">
        <is>
          <t>undefined</t>
        </is>
      </c>
      <c r="S2219" t="inlineStr">
        <is>
          <t>3945594617967</t>
        </is>
      </c>
    </row>
    <row r="2220" ht="75" customHeight="1">
      <c r="A2220" s="2">
        <f>HYPERLINK("https://camerareadycosmetics.com/products/lorac-unzipped-gold-eye-shadow-palette", "https://camerareadycosmetics.com/products/lorac-unzipped-gold-eye-shadow-palette")</f>
        <v/>
      </c>
      <c r="B2220" s="2">
        <f>HYPERLINK("https://camerareadycosmetics.com/products/lorac-unzipped-gold-eye-shadow-palette", "https://camerareadycosmetics.com/products/lorac-unzipped-gold-eye-shadow-palette")</f>
        <v/>
      </c>
      <c r="C2220" t="inlineStr">
        <is>
          <t>UNZIPPED™ GOLD Eye Shadow Palette</t>
        </is>
      </c>
      <c r="D2220" t="inlineStr">
        <is>
          <t>Gold Eye Shadow Eyeshadow Palette Shimmer - 10 Colors Sparkly Eyeshadow Glitter Highly Pigmented Long Lasting Waterproof Sweatproof Professional Nudes Warm Natural Neutral Smoky Cosmetic Eye Palette Set Gold (#04)</t>
        </is>
      </c>
      <c r="E2220" s="2" t="n"/>
      <c r="F2220" t="inlineStr">
        <is>
          <t>B0BR2M7GHW</t>
        </is>
      </c>
      <c r="G2220">
        <f>_xlfn.IMAGE("https://camerareadycosmetics.com/cdn/shop/products/10329_50x.jpg?v=1564090810")</f>
        <v/>
      </c>
      <c r="H2220">
        <f>_xlfn.IMAGE("https://m.media-amazon.com/images/I/81EPgEzjWiL._AC_UL320_.jpg")</f>
        <v/>
      </c>
      <c r="K2220" t="inlineStr">
        <is>
          <t>35.0</t>
        </is>
      </c>
      <c r="L2220" t="n">
        <v>18.99</v>
      </c>
      <c r="M2220" s="1" t="inlineStr">
        <is>
          <t>-45.74%</t>
        </is>
      </c>
      <c r="N2220" t="n">
        <v>4.3</v>
      </c>
      <c r="O2220" t="n">
        <v>25</v>
      </c>
      <c r="Q2220" t="inlineStr">
        <is>
          <t>InStock</t>
        </is>
      </c>
      <c r="R2220" t="inlineStr">
        <is>
          <t>undefined</t>
        </is>
      </c>
      <c r="S2220" t="inlineStr">
        <is>
          <t>3945601400943</t>
        </is>
      </c>
    </row>
    <row r="2221" ht="75" customHeight="1">
      <c r="A2221" s="2">
        <f>HYPERLINK("https://camerareadycosmetics.com/products/lorac-unzipped-gold-eye-shadow-palette", "https://camerareadycosmetics.com/products/lorac-unzipped-gold-eye-shadow-palette")</f>
        <v/>
      </c>
      <c r="B2221" s="2">
        <f>HYPERLINK("https://camerareadycosmetics.com/products/lorac-unzipped-gold-eye-shadow-palette", "https://camerareadycosmetics.com/products/lorac-unzipped-gold-eye-shadow-palette")</f>
        <v/>
      </c>
      <c r="C2221" t="inlineStr">
        <is>
          <t>UNZIPPED™ GOLD Eye Shadow Palette</t>
        </is>
      </c>
      <c r="D2221" t="inlineStr">
        <is>
          <t>Sparkle Eyeshadow Palette - 6 Colors Glitter Eye Shadow Palettes Highly Pigmented Long Lasting Waterproof Sweatproof Professional Nudes Warm Natural Neutral Smoky Cosmetic Eye Palette Set Gold (#08)</t>
        </is>
      </c>
      <c r="E2221" s="2" t="n"/>
      <c r="F2221" t="inlineStr">
        <is>
          <t>B0BRBDCB8S</t>
        </is>
      </c>
      <c r="G2221">
        <f>_xlfn.IMAGE("https://camerareadycosmetics.com/cdn/shop/products/10329_50x.jpg?v=1564090810")</f>
        <v/>
      </c>
      <c r="H2221">
        <f>_xlfn.IMAGE("https://m.media-amazon.com/images/I/71pBhSduRgL._AC_UL320_.jpg")</f>
        <v/>
      </c>
      <c r="K2221" t="inlineStr">
        <is>
          <t>35.0</t>
        </is>
      </c>
      <c r="L2221" t="n">
        <v>16.99</v>
      </c>
      <c r="M2221" s="1" t="inlineStr">
        <is>
          <t>-51.46%</t>
        </is>
      </c>
      <c r="N2221" t="n">
        <v>4.4</v>
      </c>
      <c r="O2221" t="n">
        <v>60</v>
      </c>
      <c r="Q2221" t="inlineStr">
        <is>
          <t>InStock</t>
        </is>
      </c>
      <c r="R2221" t="inlineStr">
        <is>
          <t>undefined</t>
        </is>
      </c>
      <c r="S2221" t="inlineStr">
        <is>
          <t>3945601400943</t>
        </is>
      </c>
    </row>
    <row r="2222" ht="75" customHeight="1">
      <c r="A2222" s="2">
        <f>HYPERLINK("https://camerareadycosmetics.com/products/lorac-unzipped-gold-eye-shadow-palette", "https://camerareadycosmetics.com/products/lorac-unzipped-gold-eye-shadow-palette")</f>
        <v/>
      </c>
      <c r="B2222" s="2">
        <f>HYPERLINK("https://camerareadycosmetics.com/products/lorac-unzipped-gold-eye-shadow-palette", "https://camerareadycosmetics.com/products/lorac-unzipped-gold-eye-shadow-palette")</f>
        <v/>
      </c>
      <c r="C2222" t="inlineStr">
        <is>
          <t>UNZIPPED™ GOLD Eye Shadow Palette</t>
        </is>
      </c>
      <c r="D2222" t="inlineStr">
        <is>
          <t>Bernecy Glitter Eyeshadow Palette,10 Colors Sparkle Shimmer Eye Shadow Highly Pigmented Long Lasting Makeup Set Gold (Type 5), Small, Powder</t>
        </is>
      </c>
      <c r="E2222" s="2" t="n"/>
      <c r="F2222" t="inlineStr">
        <is>
          <t>B07RGX55DP</t>
        </is>
      </c>
      <c r="G2222">
        <f>_xlfn.IMAGE("https://camerareadycosmetics.com/cdn/shop/products/10329_50x.jpg?v=1564090810")</f>
        <v/>
      </c>
      <c r="H2222">
        <f>_xlfn.IMAGE("https://m.media-amazon.com/images/I/71l0uU6h6LL._AC_UL320_.jpg")</f>
        <v/>
      </c>
      <c r="K2222" t="inlineStr">
        <is>
          <t>35.0</t>
        </is>
      </c>
      <c r="L2222" t="n">
        <v>13.89</v>
      </c>
      <c r="M2222" s="1" t="inlineStr">
        <is>
          <t>-60.31%</t>
        </is>
      </c>
      <c r="N2222" t="n">
        <v>4.4</v>
      </c>
      <c r="O2222" t="n">
        <v>2491</v>
      </c>
      <c r="Q2222" t="inlineStr">
        <is>
          <t>InStock</t>
        </is>
      </c>
      <c r="R2222" t="inlineStr">
        <is>
          <t>undefined</t>
        </is>
      </c>
      <c r="S2222" t="inlineStr">
        <is>
          <t>3945601400943</t>
        </is>
      </c>
    </row>
    <row r="2223" ht="75" customHeight="1">
      <c r="A2223" s="2">
        <f>HYPERLINK("https://camerareadycosmetics.com/products/lorac-unzipped-gold-eye-shadow-palette", "https://camerareadycosmetics.com/products/lorac-unzipped-gold-eye-shadow-palette")</f>
        <v/>
      </c>
      <c r="B2223" s="2">
        <f>HYPERLINK("https://camerareadycosmetics.com/products/lorac-unzipped-gold-eye-shadow-palette", "https://camerareadycosmetics.com/products/lorac-unzipped-gold-eye-shadow-palette")</f>
        <v/>
      </c>
      <c r="C2223" t="inlineStr">
        <is>
          <t>UNZIPPED™ GOLD Eye Shadow Palette</t>
        </is>
      </c>
      <c r="D2223" t="inlineStr">
        <is>
          <t>Nude Bronze Neutral Eyeshadow Palette - 12 Highly Pigmented Shimmer Matte Colors For Professional Amber Light Gold Makeup Looks - Travel Size Eye Shadow Palette With Mirror</t>
        </is>
      </c>
      <c r="E2223" s="2">
        <f>HYPERLINK("https://www.amazon.com/Lamora-Bronze-Gold-Eyeshadow-Palette/dp/B09DGGC3XC/ref=sr_1_3?keywords=UNZIPPED%E2%84%A2+GOLD+Eye+Shadow+Palette&amp;qid=1695565751&amp;sr=8-3", "https://www.amazon.com/Lamora-Bronze-Gold-Eyeshadow-Palette/dp/B09DGGC3XC/ref=sr_1_3?keywords=UNZIPPED%E2%84%A2+GOLD+Eye+Shadow+Palette&amp;qid=1695565751&amp;sr=8-3")</f>
        <v/>
      </c>
      <c r="F2223" t="inlineStr">
        <is>
          <t>B09DGGC3XC</t>
        </is>
      </c>
      <c r="G2223">
        <f>_xlfn.IMAGE("https://camerareadycosmetics.com/cdn/shop/products/10329_50x.jpg?v=1564090810")</f>
        <v/>
      </c>
      <c r="H2223">
        <f>_xlfn.IMAGE("https://m.media-amazon.com/images/I/81dI6SdLkhL._AC_UL320_.jpg")</f>
        <v/>
      </c>
      <c r="K2223" t="inlineStr">
        <is>
          <t>35.0</t>
        </is>
      </c>
      <c r="L2223" t="n">
        <v>9.99</v>
      </c>
      <c r="M2223" s="1" t="inlineStr">
        <is>
          <t>-71.46%</t>
        </is>
      </c>
      <c r="N2223" t="n">
        <v>4.5</v>
      </c>
      <c r="O2223" t="n">
        <v>383</v>
      </c>
      <c r="Q2223" t="inlineStr">
        <is>
          <t>InStock</t>
        </is>
      </c>
      <c r="R2223" t="inlineStr">
        <is>
          <t>undefined</t>
        </is>
      </c>
      <c r="S2223" t="inlineStr">
        <is>
          <t>3945601400943</t>
        </is>
      </c>
    </row>
    <row r="2224" ht="75" customHeight="1">
      <c r="A2224" s="2">
        <f>HYPERLINK("https://camerareadycosmetics.com/products/lorac-unzipped-gold-eye-shadow-palette", "https://camerareadycosmetics.com/products/lorac-unzipped-gold-eye-shadow-palette")</f>
        <v/>
      </c>
      <c r="B2224" s="2">
        <f>HYPERLINK("https://camerareadycosmetics.com/products/lorac-unzipped-gold-eye-shadow-palette", "https://camerareadycosmetics.com/products/lorac-unzipped-gold-eye-shadow-palette")</f>
        <v/>
      </c>
      <c r="C2224" t="inlineStr">
        <is>
          <t>UNZIPPED™ GOLD Eye Shadow Palette</t>
        </is>
      </c>
      <c r="D2224" t="inlineStr">
        <is>
          <t>9Color Rose Gold Dark Brown Colorful Eyeshadow Palette Makeup,Matte Shimmer Korean Natural Neutral Smokey Eye Eyeshadow palettes Highly Pigmented Naturing-Looking Long Lasting Waterproof Blendable</t>
        </is>
      </c>
      <c r="E2224" s="2">
        <f>HYPERLINK("https://www.amazon.com/Eyeshadow-Pigmented-Naturing-Looking-Waterproof-Blendable/dp/B0C2ZGTJ55/ref=sr_1_4?keywords=UNZIPPED%E2%84%A2+GOLD+Eye+Shadow+Palette&amp;qid=1695565751&amp;sr=8-4", "https://www.amazon.com/Eyeshadow-Pigmented-Naturing-Looking-Waterproof-Blendable/dp/B0C2ZGTJ55/ref=sr_1_4?keywords=UNZIPPED%E2%84%A2+GOLD+Eye+Shadow+Palette&amp;qid=1695565751&amp;sr=8-4")</f>
        <v/>
      </c>
      <c r="F2224" t="inlineStr">
        <is>
          <t>B0C2ZGTJ55</t>
        </is>
      </c>
      <c r="G2224">
        <f>_xlfn.IMAGE("https://camerareadycosmetics.com/cdn/shop/products/10329_50x.jpg?v=1564090810")</f>
        <v/>
      </c>
      <c r="H2224">
        <f>_xlfn.IMAGE("https://m.media-amazon.com/images/I/61+MBrzLcJL._AC_UL320_.jpg")</f>
        <v/>
      </c>
      <c r="K2224" t="inlineStr">
        <is>
          <t>35.0</t>
        </is>
      </c>
      <c r="L2224" t="n">
        <v>6.99</v>
      </c>
      <c r="M2224" s="1" t="inlineStr">
        <is>
          <t>-80.03%</t>
        </is>
      </c>
      <c r="N2224" t="n">
        <v>3.8</v>
      </c>
      <c r="O2224" t="n">
        <v>7</v>
      </c>
      <c r="Q2224" t="inlineStr">
        <is>
          <t>InStock</t>
        </is>
      </c>
      <c r="R2224" t="inlineStr">
        <is>
          <t>undefined</t>
        </is>
      </c>
      <c r="S2224" t="inlineStr">
        <is>
          <t>3945601400943</t>
        </is>
      </c>
    </row>
    <row r="2225" ht="75" customHeight="1">
      <c r="A2225" s="2">
        <f>HYPERLINK("https://camerareadycosmetics.com/products/lorac-unzipped-gold-eye-shadow-palette", "https://camerareadycosmetics.com/products/lorac-unzipped-gold-eye-shadow-palette")</f>
        <v/>
      </c>
      <c r="B2225" s="2">
        <f>HYPERLINK("https://camerareadycosmetics.com/products/lorac-unzipped-gold-eye-shadow-palette", "https://camerareadycosmetics.com/products/lorac-unzipped-gold-eye-shadow-palette")</f>
        <v/>
      </c>
      <c r="C2225" t="inlineStr">
        <is>
          <t>UNZIPPED™ GOLD Eye Shadow Palette</t>
        </is>
      </c>
      <c r="D2225" t="inlineStr">
        <is>
          <t>Almay Shadow Squad, Pure Gold, 1 count, eyeshadow palette</t>
        </is>
      </c>
      <c r="E2225" s="2">
        <f>HYPERLINK("https://www.amazon.com/Almay-Shadow-Squad-eyeshadow-palette/dp/B075KHQ7Z6/ref=sr_1_2?keywords=UNZIPPED%E2%84%A2+GOLD+Eye+Shadow+Palette&amp;qid=1695565751&amp;sr=8-2", "https://www.amazon.com/Almay-Shadow-Squad-eyeshadow-palette/dp/B075KHQ7Z6/ref=sr_1_2?keywords=UNZIPPED%E2%84%A2+GOLD+Eye+Shadow+Palette&amp;qid=1695565751&amp;sr=8-2")</f>
        <v/>
      </c>
      <c r="F2225" t="inlineStr">
        <is>
          <t>B075KHQ7Z6</t>
        </is>
      </c>
      <c r="G2225">
        <f>_xlfn.IMAGE("https://camerareadycosmetics.com/cdn/shop/products/10329_50x.jpg?v=1564090810")</f>
        <v/>
      </c>
      <c r="H2225">
        <f>_xlfn.IMAGE("https://m.media-amazon.com/images/I/71gTfBhUetL._AC_UL320_.jpg")</f>
        <v/>
      </c>
      <c r="K2225" t="inlineStr">
        <is>
          <t>35.0</t>
        </is>
      </c>
      <c r="L2225" t="n">
        <v>4.38</v>
      </c>
      <c r="M2225" s="1" t="inlineStr">
        <is>
          <t>-87.49%</t>
        </is>
      </c>
      <c r="N2225" t="n">
        <v>4.3</v>
      </c>
      <c r="O2225" t="n">
        <v>7665</v>
      </c>
      <c r="Q2225" t="inlineStr">
        <is>
          <t>InStock</t>
        </is>
      </c>
      <c r="R2225" t="inlineStr">
        <is>
          <t>undefined</t>
        </is>
      </c>
      <c r="S2225" t="inlineStr">
        <is>
          <t>3945601400943</t>
        </is>
      </c>
    </row>
    <row r="2226" ht="75" customHeight="1">
      <c r="A2226" s="2">
        <f>HYPERLINK("https://camerareadycosmetics.com/products/lorac-unzipped-gold-eye-shadow-palette", "https://camerareadycosmetics.com/products/lorac-unzipped-gold-eye-shadow-palette")</f>
        <v/>
      </c>
      <c r="B2226" s="2">
        <f>HYPERLINK("https://camerareadycosmetics.com/products/lorac-unzipped-gold-eye-shadow-palette", "https://camerareadycosmetics.com/products/lorac-unzipped-gold-eye-shadow-palette")</f>
        <v/>
      </c>
      <c r="C2226" t="inlineStr">
        <is>
          <t>UNZIPPED™ GOLD Eye Shadow Palette</t>
        </is>
      </c>
      <c r="D2226" t="inlineStr">
        <is>
          <t>Sparkle Eyeshadow Palette - 6 Colors Glitter Eye Shadow Palettes Highly Pigmented Long Lasting Waterproof Sweatproof Professional Nudes Warm Natural Neutral Smoky Cosmetic Eye Palette Set Gold (#08)</t>
        </is>
      </c>
      <c r="E2226" s="2" t="n"/>
      <c r="F2226" t="inlineStr">
        <is>
          <t>B0BRBDCB8S</t>
        </is>
      </c>
      <c r="G2226">
        <f>_xlfn.IMAGE("https://camerareadycosmetics.com/cdn/shop/products/10329_50x.jpg?v=1564090810")</f>
        <v/>
      </c>
      <c r="H2226">
        <f>_xlfn.IMAGE("https://m.media-amazon.com/images/I/71pBhSduRgL._AC_UL320_.jpg")</f>
        <v/>
      </c>
      <c r="K2226" t="inlineStr">
        <is>
          <t>35.0</t>
        </is>
      </c>
      <c r="L2226" t="n">
        <v>16.99</v>
      </c>
      <c r="M2226" s="1" t="inlineStr">
        <is>
          <t>-51.46%</t>
        </is>
      </c>
      <c r="N2226" t="n">
        <v>4.4</v>
      </c>
      <c r="O2226" t="n">
        <v>60</v>
      </c>
      <c r="Q2226" t="inlineStr">
        <is>
          <t>InStock</t>
        </is>
      </c>
      <c r="R2226" t="inlineStr">
        <is>
          <t>undefined</t>
        </is>
      </c>
      <c r="S2226" t="inlineStr">
        <is>
          <t>3945601400943</t>
        </is>
      </c>
    </row>
    <row r="2227" ht="75" customHeight="1">
      <c r="A2227" s="2">
        <f>HYPERLINK("https://camerareadycosmetics.com/products/lorac-unzipped-gold-eye-shadow-palette", "https://camerareadycosmetics.com/products/lorac-unzipped-gold-eye-shadow-palette")</f>
        <v/>
      </c>
      <c r="B2227" s="2">
        <f>HYPERLINK("https://camerareadycosmetics.com/products/lorac-unzipped-gold-eye-shadow-palette", "https://camerareadycosmetics.com/products/lorac-unzipped-gold-eye-shadow-palette")</f>
        <v/>
      </c>
      <c r="C2227" t="inlineStr">
        <is>
          <t>UNZIPPED™ GOLD Eye Shadow Palette</t>
        </is>
      </c>
      <c r="D2227" t="inlineStr">
        <is>
          <t>Bernecy Glitter Eyeshadow Palette,10 Colors Sparkle Shimmer Eye Shadow Highly Pigmented Long Lasting Makeup Set Gold (Type 5), Small, Powder</t>
        </is>
      </c>
      <c r="E2227" s="2" t="n"/>
      <c r="F2227" t="inlineStr">
        <is>
          <t>B07RGX55DP</t>
        </is>
      </c>
      <c r="G2227">
        <f>_xlfn.IMAGE("https://camerareadycosmetics.com/cdn/shop/products/10329_50x.jpg?v=1564090810")</f>
        <v/>
      </c>
      <c r="H2227">
        <f>_xlfn.IMAGE("https://m.media-amazon.com/images/I/71l0uU6h6LL._AC_UL320_.jpg")</f>
        <v/>
      </c>
      <c r="K2227" t="inlineStr">
        <is>
          <t>35.0</t>
        </is>
      </c>
      <c r="L2227" t="n">
        <v>13.89</v>
      </c>
      <c r="M2227" s="1" t="inlineStr">
        <is>
          <t>-60.31%</t>
        </is>
      </c>
      <c r="N2227" t="n">
        <v>4.4</v>
      </c>
      <c r="O2227" t="n">
        <v>2491</v>
      </c>
      <c r="Q2227" t="inlineStr">
        <is>
          <t>InStock</t>
        </is>
      </c>
      <c r="R2227" t="inlineStr">
        <is>
          <t>undefined</t>
        </is>
      </c>
      <c r="S2227" t="inlineStr">
        <is>
          <t>3945601400943</t>
        </is>
      </c>
    </row>
    <row r="2228" ht="75" customHeight="1">
      <c r="A2228" s="2">
        <f>HYPERLINK("https://camerareadycosmetics.com/products/lorac-unzipped-gold-eye-shadow-palette", "https://camerareadycosmetics.com/products/lorac-unzipped-gold-eye-shadow-palette")</f>
        <v/>
      </c>
      <c r="B2228" s="2">
        <f>HYPERLINK("https://camerareadycosmetics.com/products/lorac-unzipped-gold-eye-shadow-palette", "https://camerareadycosmetics.com/products/lorac-unzipped-gold-eye-shadow-palette")</f>
        <v/>
      </c>
      <c r="C2228" t="inlineStr">
        <is>
          <t>UNZIPPED™ GOLD Eye Shadow Palette</t>
        </is>
      </c>
      <c r="D2228" t="inlineStr">
        <is>
          <t>Nude Bronze Neutral Eyeshadow Palette - 12 Highly Pigmented Shimmer Matte Colors For Professional Amber Light Gold Makeup Looks - Travel Size Eye Shadow Palette With Mirror</t>
        </is>
      </c>
      <c r="E2228" s="2">
        <f>HYPERLINK("https://www.amazon.com/Lamora-Bronze-Gold-Eyeshadow-Palette/dp/B09DGGC3XC/ref=sr_1_3?keywords=UNZIPPED%E2%84%A2+GOLD+Eye+Shadow+Palette&amp;qid=1695565751&amp;sr=8-3", "https://www.amazon.com/Lamora-Bronze-Gold-Eyeshadow-Palette/dp/B09DGGC3XC/ref=sr_1_3?keywords=UNZIPPED%E2%84%A2+GOLD+Eye+Shadow+Palette&amp;qid=1695565751&amp;sr=8-3")</f>
        <v/>
      </c>
      <c r="F2228" t="inlineStr">
        <is>
          <t>B09DGGC3XC</t>
        </is>
      </c>
      <c r="G2228">
        <f>_xlfn.IMAGE("https://camerareadycosmetics.com/cdn/shop/products/10329_50x.jpg?v=1564090810")</f>
        <v/>
      </c>
      <c r="H2228">
        <f>_xlfn.IMAGE("https://m.media-amazon.com/images/I/81dI6SdLkhL._AC_UL320_.jpg")</f>
        <v/>
      </c>
      <c r="K2228" t="inlineStr">
        <is>
          <t>35.0</t>
        </is>
      </c>
      <c r="L2228" t="n">
        <v>9.99</v>
      </c>
      <c r="M2228" s="1" t="inlineStr">
        <is>
          <t>-71.46%</t>
        </is>
      </c>
      <c r="N2228" t="n">
        <v>4.5</v>
      </c>
      <c r="O2228" t="n">
        <v>383</v>
      </c>
      <c r="Q2228" t="inlineStr">
        <is>
          <t>InStock</t>
        </is>
      </c>
      <c r="R2228" t="inlineStr">
        <is>
          <t>undefined</t>
        </is>
      </c>
      <c r="S2228" t="inlineStr">
        <is>
          <t>3945601400943</t>
        </is>
      </c>
    </row>
    <row r="2229" ht="75" customHeight="1">
      <c r="A2229" s="2">
        <f>HYPERLINK("https://camerareadycosmetics.com/products/lorac-unzipped-gold-eye-shadow-palette", "https://camerareadycosmetics.com/products/lorac-unzipped-gold-eye-shadow-palette")</f>
        <v/>
      </c>
      <c r="B2229" s="2">
        <f>HYPERLINK("https://camerareadycosmetics.com/products/lorac-unzipped-gold-eye-shadow-palette", "https://camerareadycosmetics.com/products/lorac-unzipped-gold-eye-shadow-palette")</f>
        <v/>
      </c>
      <c r="C2229" t="inlineStr">
        <is>
          <t>UNZIPPED™ GOLD Eye Shadow Palette</t>
        </is>
      </c>
      <c r="D2229" t="inlineStr">
        <is>
          <t>9Color Rose Gold Dark Brown Colorful Eyeshadow Palette Makeup,Matte Shimmer Korean Natural Neutral Smokey Eye Eyeshadow palettes Highly Pigmented Naturing-Looking Long Lasting Waterproof Blendable</t>
        </is>
      </c>
      <c r="E2229" s="2">
        <f>HYPERLINK("https://www.amazon.com/Eyeshadow-Pigmented-Naturing-Looking-Waterproof-Blendable/dp/B0C2ZGTJ55/ref=sr_1_4?keywords=UNZIPPED%E2%84%A2+GOLD+Eye+Shadow+Palette&amp;qid=1695565751&amp;sr=8-4", "https://www.amazon.com/Eyeshadow-Pigmented-Naturing-Looking-Waterproof-Blendable/dp/B0C2ZGTJ55/ref=sr_1_4?keywords=UNZIPPED%E2%84%A2+GOLD+Eye+Shadow+Palette&amp;qid=1695565751&amp;sr=8-4")</f>
        <v/>
      </c>
      <c r="F2229" t="inlineStr">
        <is>
          <t>B0C2ZGTJ55</t>
        </is>
      </c>
      <c r="G2229">
        <f>_xlfn.IMAGE("https://camerareadycosmetics.com/cdn/shop/products/10329_50x.jpg?v=1564090810")</f>
        <v/>
      </c>
      <c r="H2229">
        <f>_xlfn.IMAGE("https://m.media-amazon.com/images/I/61+MBrzLcJL._AC_UL320_.jpg")</f>
        <v/>
      </c>
      <c r="K2229" t="inlineStr">
        <is>
          <t>35.0</t>
        </is>
      </c>
      <c r="L2229" t="n">
        <v>6.99</v>
      </c>
      <c r="M2229" s="1" t="inlineStr">
        <is>
          <t>-80.03%</t>
        </is>
      </c>
      <c r="N2229" t="n">
        <v>3.8</v>
      </c>
      <c r="O2229" t="n">
        <v>7</v>
      </c>
      <c r="Q2229" t="inlineStr">
        <is>
          <t>InStock</t>
        </is>
      </c>
      <c r="R2229" t="inlineStr">
        <is>
          <t>undefined</t>
        </is>
      </c>
      <c r="S2229" t="inlineStr">
        <is>
          <t>3945601400943</t>
        </is>
      </c>
    </row>
    <row r="2230" ht="75" customHeight="1">
      <c r="A2230" s="2">
        <f>HYPERLINK("https://camerareadycosmetics.com/products/lorac-unzipped-gold-eye-shadow-palette", "https://camerareadycosmetics.com/products/lorac-unzipped-gold-eye-shadow-palette")</f>
        <v/>
      </c>
      <c r="B2230" s="2">
        <f>HYPERLINK("https://camerareadycosmetics.com/products/lorac-unzipped-gold-eye-shadow-palette", "https://camerareadycosmetics.com/products/lorac-unzipped-gold-eye-shadow-palette")</f>
        <v/>
      </c>
      <c r="C2230" t="inlineStr">
        <is>
          <t>UNZIPPED™ GOLD Eye Shadow Palette</t>
        </is>
      </c>
      <c r="D2230" t="inlineStr">
        <is>
          <t>Almay Shadow Squad, Pure Gold, 1 count, eyeshadow palette</t>
        </is>
      </c>
      <c r="E2230" s="2">
        <f>HYPERLINK("https://www.amazon.com/Almay-Shadow-Squad-eyeshadow-palette/dp/B075KHQ7Z6/ref=sr_1_2?keywords=UNZIPPED%E2%84%A2+GOLD+Eye+Shadow+Palette&amp;qid=1695565751&amp;sr=8-2", "https://www.amazon.com/Almay-Shadow-Squad-eyeshadow-palette/dp/B075KHQ7Z6/ref=sr_1_2?keywords=UNZIPPED%E2%84%A2+GOLD+Eye+Shadow+Palette&amp;qid=1695565751&amp;sr=8-2")</f>
        <v/>
      </c>
      <c r="F2230" t="inlineStr">
        <is>
          <t>B075KHQ7Z6</t>
        </is>
      </c>
      <c r="G2230">
        <f>_xlfn.IMAGE("https://camerareadycosmetics.com/cdn/shop/products/10329_50x.jpg?v=1564090810")</f>
        <v/>
      </c>
      <c r="H2230">
        <f>_xlfn.IMAGE("https://m.media-amazon.com/images/I/71gTfBhUetL._AC_UL320_.jpg")</f>
        <v/>
      </c>
      <c r="K2230" t="inlineStr">
        <is>
          <t>35.0</t>
        </is>
      </c>
      <c r="L2230" t="n">
        <v>4.38</v>
      </c>
      <c r="M2230" s="1" t="inlineStr">
        <is>
          <t>-87.49%</t>
        </is>
      </c>
      <c r="N2230" t="n">
        <v>4.3</v>
      </c>
      <c r="O2230" t="n">
        <v>7665</v>
      </c>
      <c r="Q2230" t="inlineStr">
        <is>
          <t>InStock</t>
        </is>
      </c>
      <c r="R2230" t="inlineStr">
        <is>
          <t>undefined</t>
        </is>
      </c>
      <c r="S2230" t="inlineStr">
        <is>
          <t>3945601400943</t>
        </is>
      </c>
    </row>
    <row r="2231" ht="75" customHeight="1">
      <c r="A2231" s="2">
        <f>HYPERLINK("https://camerareadycosmetics.com/products/loving-tan-bronze-shimmer-luminous-cream", "https://camerareadycosmetics.com/products/loving-tan-bronze-shimmer-luminous-cream")</f>
        <v/>
      </c>
      <c r="B2231" s="2">
        <f>HYPERLINK("https://camerareadycosmetics.com/products/loving-tan-bronze-shimmer-luminous-cream", "https://camerareadycosmetics.com/products/loving-tan-bronze-shimmer-luminous-cream")</f>
        <v/>
      </c>
      <c r="C2231" t="inlineStr">
        <is>
          <t>Bronze Shimmer Luminous Cream</t>
        </is>
      </c>
      <c r="D2231" t="inlineStr">
        <is>
          <t>Loving Tan Bronze Shimmer Luminous Cream - Dark</t>
        </is>
      </c>
      <c r="E2231" s="2">
        <f>HYPERLINK("https://www.amazon.com/Bronze-Shimmer-Luminous-Cream-Dark/dp/B07594P1MQ/ref=sr_1_2?keywords=Bronze+Shimmer+Luminous+Cream&amp;qid=1695565660&amp;sr=8-2", "https://www.amazon.com/Bronze-Shimmer-Luminous-Cream-Dark/dp/B07594P1MQ/ref=sr_1_2?keywords=Bronze+Shimmer+Luminous+Cream&amp;qid=1695565660&amp;sr=8-2")</f>
        <v/>
      </c>
      <c r="F2231" t="inlineStr">
        <is>
          <t>B07594P1MQ</t>
        </is>
      </c>
      <c r="G2231">
        <f>_xlfn.IMAGE("https://camerareadycosmetics.com/cdn/shop/products/BronzeShimmer-ultradrk_50x.jpg?v=1625257802")</f>
        <v/>
      </c>
      <c r="H2231">
        <f>_xlfn.IMAGE("https://m.media-amazon.com/images/I/51OoEJjvtJL._AC_UL320_.jpg")</f>
        <v/>
      </c>
      <c r="K2231" t="inlineStr">
        <is>
          <t>32.95</t>
        </is>
      </c>
      <c r="L2231" t="n">
        <v>32.95</v>
      </c>
      <c r="M2231" s="1" t="inlineStr">
        <is>
          <t>0.00%</t>
        </is>
      </c>
      <c r="N2231" t="n">
        <v>4.5</v>
      </c>
      <c r="O2231" t="n">
        <v>126</v>
      </c>
      <c r="Q2231" t="inlineStr">
        <is>
          <t>InStock</t>
        </is>
      </c>
      <c r="R2231" t="inlineStr">
        <is>
          <t>undefined</t>
        </is>
      </c>
      <c r="S2231" t="inlineStr">
        <is>
          <t>551277395978</t>
        </is>
      </c>
    </row>
    <row r="2232" ht="75" customHeight="1">
      <c r="A2232" s="2">
        <f>HYPERLINK("https://camerareadycosmetics.com/products/loving-tan-bronze-shimmer-luminous-cream", "https://camerareadycosmetics.com/products/loving-tan-bronze-shimmer-luminous-cream")</f>
        <v/>
      </c>
      <c r="B2232" s="2">
        <f>HYPERLINK("https://camerareadycosmetics.com/products/loving-tan-bronze-shimmer-luminous-cream", "https://camerareadycosmetics.com/products/loving-tan-bronze-shimmer-luminous-cream")</f>
        <v/>
      </c>
      <c r="C2232" t="inlineStr">
        <is>
          <t>Bronze Shimmer Luminous Cream</t>
        </is>
      </c>
      <c r="D2232" t="inlineStr">
        <is>
          <t>Loving Tan Bronze Shimmer Luminous Cream - Ultra Dark</t>
        </is>
      </c>
      <c r="E2232" s="2">
        <f>HYPERLINK("https://www.amazon.com/Bronze-Shimmer-Luminous-Cream-Ultra/dp/B0759CD66K/ref=sr_1_1?keywords=Bronze+Shimmer+Luminous+Cream&amp;qid=1695565660&amp;sr=8-1", "https://www.amazon.com/Bronze-Shimmer-Luminous-Cream-Ultra/dp/B0759CD66K/ref=sr_1_1?keywords=Bronze+Shimmer+Luminous+Cream&amp;qid=1695565660&amp;sr=8-1")</f>
        <v/>
      </c>
      <c r="F2232" t="inlineStr">
        <is>
          <t>B0759CD66K</t>
        </is>
      </c>
      <c r="G2232">
        <f>_xlfn.IMAGE("https://camerareadycosmetics.com/cdn/shop/products/BronzeShimmer-ultradrk_50x.jpg?v=1625257802")</f>
        <v/>
      </c>
      <c r="H2232">
        <f>_xlfn.IMAGE("https://m.media-amazon.com/images/I/51YKZ6bMSFL._AC_UL320_.jpg")</f>
        <v/>
      </c>
      <c r="K2232" t="inlineStr">
        <is>
          <t>32.95</t>
        </is>
      </c>
      <c r="L2232" t="n">
        <v>32.95</v>
      </c>
      <c r="M2232" s="1" t="inlineStr">
        <is>
          <t>0.00%</t>
        </is>
      </c>
      <c r="N2232" t="n">
        <v>4.2</v>
      </c>
      <c r="O2232" t="n">
        <v>101</v>
      </c>
      <c r="Q2232" t="inlineStr">
        <is>
          <t>InStock</t>
        </is>
      </c>
      <c r="R2232" t="inlineStr">
        <is>
          <t>undefined</t>
        </is>
      </c>
      <c r="S2232" t="inlineStr">
        <is>
          <t>551277395978</t>
        </is>
      </c>
    </row>
    <row r="2233" ht="75" customHeight="1">
      <c r="A2233" s="2">
        <f>HYPERLINK("https://camerareadycosmetics.com/products/loving-tan-bronze-shimmer-luminous-cream", "https://camerareadycosmetics.com/products/loving-tan-bronze-shimmer-luminous-cream")</f>
        <v/>
      </c>
      <c r="B2233" s="2">
        <f>HYPERLINK("https://camerareadycosmetics.com/products/loving-tan-bronze-shimmer-luminous-cream", "https://camerareadycosmetics.com/products/loving-tan-bronze-shimmer-luminous-cream")</f>
        <v/>
      </c>
      <c r="C2233" t="inlineStr">
        <is>
          <t>Bronze Shimmer Luminous Cream</t>
        </is>
      </c>
      <c r="D2233" t="inlineStr">
        <is>
          <t>Loving Tan Bronze Shimmer Luminous Cream - Medium</t>
        </is>
      </c>
      <c r="E2233" s="2">
        <f>HYPERLINK("https://www.amazon.com/Loving-Tan-Bronze-Shimmer-Luminous/dp/B0759624TC/ref=sr_1_3?keywords=Bronze+Shimmer+Luminous+Cream&amp;qid=1695565660&amp;sr=8-3", "https://www.amazon.com/Loving-Tan-Bronze-Shimmer-Luminous/dp/B0759624TC/ref=sr_1_3?keywords=Bronze+Shimmer+Luminous+Cream&amp;qid=1695565660&amp;sr=8-3")</f>
        <v/>
      </c>
      <c r="F2233" t="inlineStr">
        <is>
          <t>B0759624TC</t>
        </is>
      </c>
      <c r="G2233">
        <f>_xlfn.IMAGE("https://camerareadycosmetics.com/cdn/shop/products/BronzeShimmer-ultradrk_50x.jpg?v=1625257802")</f>
        <v/>
      </c>
      <c r="H2233">
        <f>_xlfn.IMAGE("https://m.media-amazon.com/images/I/51uWPRamn9L._AC_UL320_.jpg")</f>
        <v/>
      </c>
      <c r="K2233" t="inlineStr">
        <is>
          <t>32.95</t>
        </is>
      </c>
      <c r="L2233" t="n">
        <v>32.95</v>
      </c>
      <c r="M2233" s="1" t="inlineStr">
        <is>
          <t>0.00%</t>
        </is>
      </c>
      <c r="N2233" t="n">
        <v>4.4</v>
      </c>
      <c r="O2233" t="n">
        <v>157</v>
      </c>
      <c r="Q2233" t="inlineStr">
        <is>
          <t>InStock</t>
        </is>
      </c>
      <c r="R2233" t="inlineStr">
        <is>
          <t>undefined</t>
        </is>
      </c>
      <c r="S2233" t="inlineStr">
        <is>
          <t>551277395978</t>
        </is>
      </c>
    </row>
    <row r="2234" ht="75" customHeight="1">
      <c r="A2234" s="2">
        <f>HYPERLINK("https://camerareadycosmetics.com/products/loving-tan-bronze-shimmer-luminous-cream", "https://camerareadycosmetics.com/products/loving-tan-bronze-shimmer-luminous-cream")</f>
        <v/>
      </c>
      <c r="B2234" s="2">
        <f>HYPERLINK("https://camerareadycosmetics.com/products/loving-tan-bronze-shimmer-luminous-cream", "https://camerareadycosmetics.com/products/loving-tan-bronze-shimmer-luminous-cream")</f>
        <v/>
      </c>
      <c r="C2234" t="inlineStr">
        <is>
          <t>Bronze Shimmer Luminous Cream</t>
        </is>
      </c>
      <c r="D2234" t="inlineStr">
        <is>
          <t>2 Pack Body Luminizer, High Gloss Waterproof Body Luminizer Glitter Face Shimmer Moisturizer Lotion Tan Cream Foundation Makeup Bronzer(103 Glistering Bronze)</t>
        </is>
      </c>
      <c r="E2234" s="2">
        <f>HYPERLINK("https://www.amazon.com/Luminizer-Waterproof-Moisturizer-Foundation-Glistering/dp/B0987Y5C9H/ref=sr_1_6?keywords=Bronze+Shimmer+Luminous+Cream&amp;qid=1695565660&amp;sr=8-6", "https://www.amazon.com/Luminizer-Waterproof-Moisturizer-Foundation-Glistering/dp/B0987Y5C9H/ref=sr_1_6?keywords=Bronze+Shimmer+Luminous+Cream&amp;qid=1695565660&amp;sr=8-6")</f>
        <v/>
      </c>
      <c r="F2234" t="inlineStr">
        <is>
          <t>B0987Y5C9H</t>
        </is>
      </c>
      <c r="G2234">
        <f>_xlfn.IMAGE("https://camerareadycosmetics.com/cdn/shop/products/BronzeShimmer-ultradrk_50x.jpg?v=1625257802")</f>
        <v/>
      </c>
      <c r="H2234">
        <f>_xlfn.IMAGE("https://m.media-amazon.com/images/I/515dZAMdJSS._AC_UL320_.jpg")</f>
        <v/>
      </c>
      <c r="K2234" t="inlineStr">
        <is>
          <t>32.95</t>
        </is>
      </c>
      <c r="L2234" t="n">
        <v>15.99</v>
      </c>
      <c r="M2234" s="1" t="inlineStr">
        <is>
          <t>-51.47%</t>
        </is>
      </c>
      <c r="N2234" t="n">
        <v>4.3</v>
      </c>
      <c r="O2234" t="n">
        <v>157</v>
      </c>
      <c r="Q2234" t="inlineStr">
        <is>
          <t>InStock</t>
        </is>
      </c>
      <c r="R2234" t="inlineStr">
        <is>
          <t>undefined</t>
        </is>
      </c>
      <c r="S2234" t="inlineStr">
        <is>
          <t>551277395978</t>
        </is>
      </c>
    </row>
    <row r="2235" ht="75" customHeight="1">
      <c r="A2235" s="2">
        <f>HYPERLINK("https://camerareadycosmetics.com/products/loving-tan-bronze-shimmer-luminous-cream", "https://camerareadycosmetics.com/products/loving-tan-bronze-shimmer-luminous-cream")</f>
        <v/>
      </c>
      <c r="B2235" s="2">
        <f>HYPERLINK("https://camerareadycosmetics.com/products/loving-tan-bronze-shimmer-luminous-cream", "https://camerareadycosmetics.com/products/loving-tan-bronze-shimmer-luminous-cream")</f>
        <v/>
      </c>
      <c r="C2235" t="inlineStr">
        <is>
          <t>Bronze Shimmer Luminous Cream</t>
        </is>
      </c>
      <c r="D2235" t="inlineStr">
        <is>
          <t>Bondi Sands GLO Shimmer One Day Tan | Luminous Bronze Glow for Face &amp; Body | Instant Illuminator Cream | Transfer &amp; Water Resistant | 100 ml/3.38 Oz</t>
        </is>
      </c>
      <c r="E2235" s="2">
        <f>HYPERLINK("https://www.amazon.com/Bondi-Sands-Glo-Shimmer-Cream/dp/B07N41VSK9/ref=sr_1_4?keywords=Bronze+Shimmer+Luminous+Cream&amp;qid=1695565660&amp;sr=8-4", "https://www.amazon.com/Bondi-Sands-Glo-Shimmer-Cream/dp/B07N41VSK9/ref=sr_1_4?keywords=Bronze+Shimmer+Luminous+Cream&amp;qid=1695565660&amp;sr=8-4")</f>
        <v/>
      </c>
      <c r="F2235" t="inlineStr">
        <is>
          <t>B07N41VSK9</t>
        </is>
      </c>
      <c r="G2235">
        <f>_xlfn.IMAGE("https://camerareadycosmetics.com/cdn/shop/products/BronzeShimmer-ultradrk_50x.jpg?v=1625257802")</f>
        <v/>
      </c>
      <c r="H2235">
        <f>_xlfn.IMAGE("https://m.media-amazon.com/images/I/71aIKWBoWAL._AC_UL320_.jpg")</f>
        <v/>
      </c>
      <c r="K2235" t="inlineStr">
        <is>
          <t>32.95</t>
        </is>
      </c>
      <c r="L2235" t="n">
        <v>13.99</v>
      </c>
      <c r="M2235" s="1" t="inlineStr">
        <is>
          <t>-57.54%</t>
        </is>
      </c>
      <c r="N2235" t="n">
        <v>4</v>
      </c>
      <c r="O2235" t="n">
        <v>110</v>
      </c>
      <c r="Q2235" t="inlineStr">
        <is>
          <t>InStock</t>
        </is>
      </c>
      <c r="R2235" t="inlineStr">
        <is>
          <t>undefined</t>
        </is>
      </c>
      <c r="S2235" t="inlineStr">
        <is>
          <t>551277395978</t>
        </is>
      </c>
    </row>
    <row r="2236" ht="75" customHeight="1">
      <c r="A2236" s="2">
        <f>HYPERLINK("https://camerareadycosmetics.com/products/loving-tan-bronze-shimmer-luminous-cream", "https://camerareadycosmetics.com/products/loving-tan-bronze-shimmer-luminous-cream")</f>
        <v/>
      </c>
      <c r="B2236" s="2">
        <f>HYPERLINK("https://camerareadycosmetics.com/products/loving-tan-bronze-shimmer-luminous-cream", "https://camerareadycosmetics.com/products/loving-tan-bronze-shimmer-luminous-cream")</f>
        <v/>
      </c>
      <c r="C2236" t="inlineStr">
        <is>
          <t>Bronze Shimmer Luminous Cream</t>
        </is>
      </c>
      <c r="D2236" t="inlineStr">
        <is>
          <t>2 Pack Body Luminizer, High Gloss Waterproof Body Luminizer Glitter Face Shimmer Moisturizer Lotion Tan Cream Foundation Makeup Bronzer(103 Glistering Bronze)</t>
        </is>
      </c>
      <c r="E2236" s="2">
        <f>HYPERLINK("https://www.amazon.com/Luminizer-Waterproof-Moisturizer-Foundation-Glistering/dp/B0987Y5C9H/ref=sr_1_6?keywords=Bronze+Shimmer+Luminous+Cream&amp;qid=1695565660&amp;sr=8-6", "https://www.amazon.com/Luminizer-Waterproof-Moisturizer-Foundation-Glistering/dp/B0987Y5C9H/ref=sr_1_6?keywords=Bronze+Shimmer+Luminous+Cream&amp;qid=1695565660&amp;sr=8-6")</f>
        <v/>
      </c>
      <c r="F2236" t="inlineStr">
        <is>
          <t>B0987Y5C9H</t>
        </is>
      </c>
      <c r="G2236">
        <f>_xlfn.IMAGE("https://camerareadycosmetics.com/cdn/shop/products/BronzeShimmer-ultradrk_50x.jpg?v=1625257802")</f>
        <v/>
      </c>
      <c r="H2236">
        <f>_xlfn.IMAGE("https://m.media-amazon.com/images/I/515dZAMdJSS._AC_UL320_.jpg")</f>
        <v/>
      </c>
      <c r="K2236" t="inlineStr">
        <is>
          <t>32.95</t>
        </is>
      </c>
      <c r="L2236" t="n">
        <v>15.99</v>
      </c>
      <c r="M2236" s="1" t="inlineStr">
        <is>
          <t>-51.47%</t>
        </is>
      </c>
      <c r="N2236" t="n">
        <v>4.3</v>
      </c>
      <c r="O2236" t="n">
        <v>157</v>
      </c>
      <c r="Q2236" t="inlineStr">
        <is>
          <t>InStock</t>
        </is>
      </c>
      <c r="R2236" t="inlineStr">
        <is>
          <t>undefined</t>
        </is>
      </c>
      <c r="S2236" t="inlineStr">
        <is>
          <t>551277395978</t>
        </is>
      </c>
    </row>
    <row r="2237" ht="75" customHeight="1">
      <c r="A2237" s="2">
        <f>HYPERLINK("https://camerareadycosmetics.com/products/loving-tan-bronze-shimmer-luminous-cream", "https://camerareadycosmetics.com/products/loving-tan-bronze-shimmer-luminous-cream")</f>
        <v/>
      </c>
      <c r="B2237" s="2">
        <f>HYPERLINK("https://camerareadycosmetics.com/products/loving-tan-bronze-shimmer-luminous-cream", "https://camerareadycosmetics.com/products/loving-tan-bronze-shimmer-luminous-cream")</f>
        <v/>
      </c>
      <c r="C2237" t="inlineStr">
        <is>
          <t>Bronze Shimmer Luminous Cream</t>
        </is>
      </c>
      <c r="D2237" t="inlineStr">
        <is>
          <t>Bondi Sands GLO Shimmer One Day Tan | Luminous Bronze Glow for Face &amp; Body | Instant Illuminator Cream | Transfer &amp; Water Resistant | 100 ml/3.38 Oz</t>
        </is>
      </c>
      <c r="E2237" s="2">
        <f>HYPERLINK("https://www.amazon.com/Bondi-Sands-Glo-Shimmer-Cream/dp/B07N41VSK9/ref=sr_1_4?keywords=Bronze+Shimmer+Luminous+Cream&amp;qid=1695565660&amp;sr=8-4", "https://www.amazon.com/Bondi-Sands-Glo-Shimmer-Cream/dp/B07N41VSK9/ref=sr_1_4?keywords=Bronze+Shimmer+Luminous+Cream&amp;qid=1695565660&amp;sr=8-4")</f>
        <v/>
      </c>
      <c r="F2237" t="inlineStr">
        <is>
          <t>B07N41VSK9</t>
        </is>
      </c>
      <c r="G2237">
        <f>_xlfn.IMAGE("https://camerareadycosmetics.com/cdn/shop/products/BronzeShimmer-ultradrk_50x.jpg?v=1625257802")</f>
        <v/>
      </c>
      <c r="H2237">
        <f>_xlfn.IMAGE("https://m.media-amazon.com/images/I/71aIKWBoWAL._AC_UL320_.jpg")</f>
        <v/>
      </c>
      <c r="K2237" t="inlineStr">
        <is>
          <t>32.95</t>
        </is>
      </c>
      <c r="L2237" t="n">
        <v>13.99</v>
      </c>
      <c r="M2237" s="1" t="inlineStr">
        <is>
          <t>-57.54%</t>
        </is>
      </c>
      <c r="N2237" t="n">
        <v>4</v>
      </c>
      <c r="O2237" t="n">
        <v>110</v>
      </c>
      <c r="Q2237" t="inlineStr">
        <is>
          <t>InStock</t>
        </is>
      </c>
      <c r="R2237" t="inlineStr">
        <is>
          <t>undefined</t>
        </is>
      </c>
      <c r="S2237" t="inlineStr">
        <is>
          <t>551277395978</t>
        </is>
      </c>
    </row>
    <row r="2238" ht="75" customHeight="1">
      <c r="A2238" s="2">
        <f>HYPERLINK("https://camerareadycosmetics.com/products/loving-tan-deluxe-body-make-up", "https://camerareadycosmetics.com/products/loving-tan-deluxe-body-make-up")</f>
        <v/>
      </c>
      <c r="B2238" s="2">
        <f>HYPERLINK("https://camerareadycosmetics.com/products/loving-tan-deluxe-body-make-up", "https://camerareadycosmetics.com/products/loving-tan-deluxe-body-make-up")</f>
        <v/>
      </c>
      <c r="C2238" t="inlineStr">
        <is>
          <t>Deluxe Body Make Up</t>
        </is>
      </c>
      <c r="D2238" t="inlineStr">
        <is>
          <t>Melanie Mills Hollywood Gleam Body Radiance All In One Makeup, Moisturizer &amp; Glow For Face &amp; Body - Peach Deluxe, 3.4 fl.oz.</t>
        </is>
      </c>
      <c r="E2238" s="2">
        <f>HYPERLINK("https://www.amazon.com/Melanie-Mills-Hollywood-Radiance-Moisturizer/dp/B01N33M9NM/ref=sr_1_2?keywords=Deluxe+Body+Make+Up&amp;qid=1695565825&amp;sr=8-2", "https://www.amazon.com/Melanie-Mills-Hollywood-Radiance-Moisturizer/dp/B01N33M9NM/ref=sr_1_2?keywords=Deluxe+Body+Make+Up&amp;qid=1695565825&amp;sr=8-2")</f>
        <v/>
      </c>
      <c r="F2238" t="inlineStr">
        <is>
          <t>B01N33M9NM</t>
        </is>
      </c>
      <c r="G2238">
        <f>_xlfn.IMAGE("https://camerareadycosmetics.com/cdn/shop/products/DeluxeBodyMakeup_-_Dark_50x.jpg?v=1523116539")</f>
        <v/>
      </c>
      <c r="H2238">
        <f>_xlfn.IMAGE("https://m.media-amazon.com/images/I/818E8bxEOCL._AC_UL320_.jpg")</f>
        <v/>
      </c>
      <c r="K2238" t="inlineStr">
        <is>
          <t>34.95</t>
        </is>
      </c>
      <c r="L2238" t="n">
        <v>45</v>
      </c>
      <c r="M2238" s="1" t="inlineStr">
        <is>
          <t>28.76%</t>
        </is>
      </c>
      <c r="N2238" t="n">
        <v>4.3</v>
      </c>
      <c r="O2238" t="n">
        <v>26</v>
      </c>
      <c r="Q2238" t="inlineStr">
        <is>
          <t>OutOfStock</t>
        </is>
      </c>
      <c r="R2238" t="inlineStr">
        <is>
          <t>34.95</t>
        </is>
      </c>
      <c r="S2238" t="inlineStr">
        <is>
          <t>551316193290</t>
        </is>
      </c>
    </row>
    <row r="2239" ht="75" customHeight="1">
      <c r="A2239" s="2">
        <f>HYPERLINK("https://camerareadycosmetics.com/products/loving-tan-deluxe-body-make-up", "https://camerareadycosmetics.com/products/loving-tan-deluxe-body-make-up")</f>
        <v/>
      </c>
      <c r="B2239" s="2">
        <f>HYPERLINK("https://camerareadycosmetics.com/products/loving-tan-deluxe-body-make-up", "https://camerareadycosmetics.com/products/loving-tan-deluxe-body-make-up")</f>
        <v/>
      </c>
      <c r="C2239" t="inlineStr">
        <is>
          <t>Deluxe Body Make Up</t>
        </is>
      </c>
      <c r="D2239" t="inlineStr">
        <is>
          <t>Melanie Mills Hollywood Gleam Body Radiance All In One Makeup, Moisturizer &amp; Glow For Face &amp; Body - Peach Deluxe, Mini 1 fl.oz.</t>
        </is>
      </c>
      <c r="E2239" s="2">
        <f>HYPERLINK("https://www.amazon.com/Melanie-Mills-Hollywood-Radiance-Moisturizer/dp/B01MZD9FR7/ref=sr_1_1?keywords=Deluxe+Body+Make+Up&amp;qid=1695565825&amp;sr=8-1", "https://www.amazon.com/Melanie-Mills-Hollywood-Radiance-Moisturizer/dp/B01MZD9FR7/ref=sr_1_1?keywords=Deluxe+Body+Make+Up&amp;qid=1695565825&amp;sr=8-1")</f>
        <v/>
      </c>
      <c r="F2239" t="inlineStr">
        <is>
          <t>B01MZD9FR7</t>
        </is>
      </c>
      <c r="G2239">
        <f>_xlfn.IMAGE("https://camerareadycosmetics.com/cdn/shop/products/DeluxeBodyMakeup_-_Dark_50x.jpg?v=1523116539")</f>
        <v/>
      </c>
      <c r="H2239">
        <f>_xlfn.IMAGE("https://m.media-amazon.com/images/I/716Qn2EjRFL._AC_UL320_.jpg")</f>
        <v/>
      </c>
      <c r="K2239" t="inlineStr">
        <is>
          <t>34.95</t>
        </is>
      </c>
      <c r="L2239" t="n">
        <v>18</v>
      </c>
      <c r="M2239" s="1" t="inlineStr">
        <is>
          <t>-48.50%</t>
        </is>
      </c>
      <c r="N2239" t="n">
        <v>4.1</v>
      </c>
      <c r="O2239" t="n">
        <v>648</v>
      </c>
      <c r="Q2239" t="inlineStr">
        <is>
          <t>OutOfStock</t>
        </is>
      </c>
      <c r="R2239" t="inlineStr">
        <is>
          <t>34.95</t>
        </is>
      </c>
      <c r="S2239" t="inlineStr">
        <is>
          <t>551316193290</t>
        </is>
      </c>
    </row>
    <row r="2240" ht="75" customHeight="1">
      <c r="A2240" s="2">
        <f>HYPERLINK("https://camerareadycosmetics.com/products/loving-tan-deluxe-body-make-up", "https://camerareadycosmetics.com/products/loving-tan-deluxe-body-make-up")</f>
        <v/>
      </c>
      <c r="B2240" s="2">
        <f>HYPERLINK("https://camerareadycosmetics.com/products/loving-tan-deluxe-body-make-up", "https://camerareadycosmetics.com/products/loving-tan-deluxe-body-make-up")</f>
        <v/>
      </c>
      <c r="C2240" t="inlineStr">
        <is>
          <t>Deluxe Body Make Up</t>
        </is>
      </c>
      <c r="D2240" t="inlineStr">
        <is>
          <t>| 100% Turkish Cotton, Face Washcloths for Bathrooms | Quick Dry Wash Rags for Kitchen, Best for Makeup | Beige Small Wash Cloths for Face and Body | Beige</t>
        </is>
      </c>
      <c r="E2240" s="2">
        <f>HYPERLINK("https://www.amazon.com/Miones-Turkish-Cotton-Washcloths-Kitchen/dp/B0BDZRMSKL/ref=sr_1_10?keywords=Deluxe+Body+Make+Up&amp;qid=1695565825&amp;sr=8-10", "https://www.amazon.com/Miones-Turkish-Cotton-Washcloths-Kitchen/dp/B0BDZRMSKL/ref=sr_1_10?keywords=Deluxe+Body+Make+Up&amp;qid=1695565825&amp;sr=8-10")</f>
        <v/>
      </c>
      <c r="F2240" t="inlineStr">
        <is>
          <t>B0BDZRMSKL</t>
        </is>
      </c>
      <c r="G2240">
        <f>_xlfn.IMAGE("https://camerareadycosmetics.com/cdn/shop/products/DeluxeBodyMakeup_-_Dark_50x.jpg?v=1523116539")</f>
        <v/>
      </c>
      <c r="H2240">
        <f>_xlfn.IMAGE("https://m.media-amazon.com/images/I/712wvznyVgL._AC_UL320_.jpg")</f>
        <v/>
      </c>
      <c r="K2240" t="inlineStr">
        <is>
          <t>34.95</t>
        </is>
      </c>
      <c r="L2240" t="n">
        <v>8.99</v>
      </c>
      <c r="M2240" s="1" t="inlineStr">
        <is>
          <t>-74.28%</t>
        </is>
      </c>
      <c r="N2240" t="n">
        <v>4.5</v>
      </c>
      <c r="O2240" t="n">
        <v>84</v>
      </c>
      <c r="Q2240" t="inlineStr">
        <is>
          <t>OutOfStock</t>
        </is>
      </c>
      <c r="R2240" t="inlineStr">
        <is>
          <t>34.95</t>
        </is>
      </c>
      <c r="S2240" t="inlineStr">
        <is>
          <t>551316193290</t>
        </is>
      </c>
    </row>
    <row r="2241" ht="75" customHeight="1">
      <c r="A2241" s="2">
        <f>HYPERLINK("https://camerareadycosmetics.com/products/loving-tan-deluxe-body-make-up", "https://camerareadycosmetics.com/products/loving-tan-deluxe-body-make-up")</f>
        <v/>
      </c>
      <c r="B2241" s="2">
        <f>HYPERLINK("https://camerareadycosmetics.com/products/loving-tan-deluxe-body-make-up", "https://camerareadycosmetics.com/products/loving-tan-deluxe-body-make-up")</f>
        <v/>
      </c>
      <c r="C2241" t="inlineStr">
        <is>
          <t>Deluxe Body Make Up</t>
        </is>
      </c>
      <c r="D2241" t="inlineStr">
        <is>
          <t>Polvo De Hadas Highlighter Makeup Body Glitter Stick,Shimmer Face Blusher Body Highlighter Glitter Makeup Gift for Girls Women-01#White Moonbeam</t>
        </is>
      </c>
      <c r="E2241" s="2">
        <f>HYPERLINK("https://www.amazon.com/Highlighter-Glitter-Shimmer-Women-01-Moonbeam/dp/B0BR8DZ897/ref=sr_1_9?keywords=Deluxe+Body+Make+Up&amp;qid=1695565825&amp;sr=8-9", "https://www.amazon.com/Highlighter-Glitter-Shimmer-Women-01-Moonbeam/dp/B0BR8DZ897/ref=sr_1_9?keywords=Deluxe+Body+Make+Up&amp;qid=1695565825&amp;sr=8-9")</f>
        <v/>
      </c>
      <c r="F2241" t="inlineStr">
        <is>
          <t>B0BR8DZ897</t>
        </is>
      </c>
      <c r="G2241">
        <f>_xlfn.IMAGE("https://camerareadycosmetics.com/cdn/shop/products/DeluxeBodyMakeup_-_Dark_50x.jpg?v=1523116539")</f>
        <v/>
      </c>
      <c r="H2241">
        <f>_xlfn.IMAGE("https://m.media-amazon.com/images/I/61VJ7Ey-oQL._AC_UL320_.jpg")</f>
        <v/>
      </c>
      <c r="K2241" t="inlineStr">
        <is>
          <t>34.95</t>
        </is>
      </c>
      <c r="L2241" t="n">
        <v>5.19</v>
      </c>
      <c r="M2241" s="1" t="inlineStr">
        <is>
          <t>-85.15%</t>
        </is>
      </c>
      <c r="N2241" t="n">
        <v>4.2</v>
      </c>
      <c r="O2241" t="n">
        <v>250</v>
      </c>
      <c r="Q2241" t="inlineStr">
        <is>
          <t>OutOfStock</t>
        </is>
      </c>
      <c r="R2241" t="inlineStr">
        <is>
          <t>34.95</t>
        </is>
      </c>
      <c r="S2241" t="inlineStr">
        <is>
          <t>551316193290</t>
        </is>
      </c>
    </row>
    <row r="2242" ht="75" customHeight="1">
      <c r="A2242" s="2">
        <f>HYPERLINK("https://camerareadycosmetics.com/products/loving-tan-deluxe-body-make-up", "https://camerareadycosmetics.com/products/loving-tan-deluxe-body-make-up")</f>
        <v/>
      </c>
      <c r="B2242" s="2">
        <f>HYPERLINK("https://camerareadycosmetics.com/products/loving-tan-deluxe-body-make-up", "https://camerareadycosmetics.com/products/loving-tan-deluxe-body-make-up")</f>
        <v/>
      </c>
      <c r="C2242" t="inlineStr">
        <is>
          <t>Deluxe Body Make Up</t>
        </is>
      </c>
      <c r="D2242" t="inlineStr">
        <is>
          <t>Melanie Mills Hollywood Gleam Body Radiance All In One Makeup, Moisturizer &amp; Glow For Face &amp; Body - Peach Deluxe, Mini 1 fl.oz.</t>
        </is>
      </c>
      <c r="E2242" s="2">
        <f>HYPERLINK("https://www.amazon.com/Melanie-Mills-Hollywood-Radiance-Moisturizer/dp/B01MZD9FR7/ref=sr_1_1?keywords=Deluxe+Body+Make+Up&amp;qid=1695565825&amp;sr=8-1", "https://www.amazon.com/Melanie-Mills-Hollywood-Radiance-Moisturizer/dp/B01MZD9FR7/ref=sr_1_1?keywords=Deluxe+Body+Make+Up&amp;qid=1695565825&amp;sr=8-1")</f>
        <v/>
      </c>
      <c r="F2242" t="inlineStr">
        <is>
          <t>B01MZD9FR7</t>
        </is>
      </c>
      <c r="G2242">
        <f>_xlfn.IMAGE("https://camerareadycosmetics.com/cdn/shop/products/DeluxeBodyMakeup_-_Dark_50x.jpg?v=1523116539")</f>
        <v/>
      </c>
      <c r="H2242">
        <f>_xlfn.IMAGE("https://m.media-amazon.com/images/I/716Qn2EjRFL._AC_UL320_.jpg")</f>
        <v/>
      </c>
      <c r="K2242" t="inlineStr">
        <is>
          <t>34.95</t>
        </is>
      </c>
      <c r="L2242" t="n">
        <v>18</v>
      </c>
      <c r="M2242" s="1" t="inlineStr">
        <is>
          <t>-48.50%</t>
        </is>
      </c>
      <c r="N2242" t="n">
        <v>4.1</v>
      </c>
      <c r="O2242" t="n">
        <v>648</v>
      </c>
      <c r="Q2242" t="inlineStr">
        <is>
          <t>OutOfStock</t>
        </is>
      </c>
      <c r="R2242" t="inlineStr">
        <is>
          <t>34.95</t>
        </is>
      </c>
      <c r="S2242" t="inlineStr">
        <is>
          <t>551316193290</t>
        </is>
      </c>
    </row>
    <row r="2243" ht="75" customHeight="1">
      <c r="A2243" s="2">
        <f>HYPERLINK("https://camerareadycosmetics.com/products/loving-tan-deluxe-body-make-up", "https://camerareadycosmetics.com/products/loving-tan-deluxe-body-make-up")</f>
        <v/>
      </c>
      <c r="B2243" s="2">
        <f>HYPERLINK("https://camerareadycosmetics.com/products/loving-tan-deluxe-body-make-up", "https://camerareadycosmetics.com/products/loving-tan-deluxe-body-make-up")</f>
        <v/>
      </c>
      <c r="C2243" t="inlineStr">
        <is>
          <t>Deluxe Body Make Up</t>
        </is>
      </c>
      <c r="D2243" t="inlineStr">
        <is>
          <t>| 100% Turkish Cotton, Face Washcloths for Bathrooms | Quick Dry Wash Rags for Kitchen, Best for Makeup | Beige Small Wash Cloths for Face and Body | Beige</t>
        </is>
      </c>
      <c r="E2243" s="2">
        <f>HYPERLINK("https://www.amazon.com/Miones-Turkish-Cotton-Washcloths-Kitchen/dp/B0BDZRMSKL/ref=sr_1_10?keywords=Deluxe+Body+Make+Up&amp;qid=1695565825&amp;sr=8-10", "https://www.amazon.com/Miones-Turkish-Cotton-Washcloths-Kitchen/dp/B0BDZRMSKL/ref=sr_1_10?keywords=Deluxe+Body+Make+Up&amp;qid=1695565825&amp;sr=8-10")</f>
        <v/>
      </c>
      <c r="F2243" t="inlineStr">
        <is>
          <t>B0BDZRMSKL</t>
        </is>
      </c>
      <c r="G2243">
        <f>_xlfn.IMAGE("https://camerareadycosmetics.com/cdn/shop/products/DeluxeBodyMakeup_-_Dark_50x.jpg?v=1523116539")</f>
        <v/>
      </c>
      <c r="H2243">
        <f>_xlfn.IMAGE("https://m.media-amazon.com/images/I/712wvznyVgL._AC_UL320_.jpg")</f>
        <v/>
      </c>
      <c r="K2243" t="inlineStr">
        <is>
          <t>34.95</t>
        </is>
      </c>
      <c r="L2243" t="n">
        <v>8.99</v>
      </c>
      <c r="M2243" s="1" t="inlineStr">
        <is>
          <t>-74.28%</t>
        </is>
      </c>
      <c r="N2243" t="n">
        <v>4.5</v>
      </c>
      <c r="O2243" t="n">
        <v>84</v>
      </c>
      <c r="Q2243" t="inlineStr">
        <is>
          <t>OutOfStock</t>
        </is>
      </c>
      <c r="R2243" t="inlineStr">
        <is>
          <t>34.95</t>
        </is>
      </c>
      <c r="S2243" t="inlineStr">
        <is>
          <t>551316193290</t>
        </is>
      </c>
    </row>
    <row r="2244" ht="75" customHeight="1">
      <c r="A2244" s="2">
        <f>HYPERLINK("https://camerareadycosmetics.com/products/loving-tan-deluxe-body-make-up", "https://camerareadycosmetics.com/products/loving-tan-deluxe-body-make-up")</f>
        <v/>
      </c>
      <c r="B2244" s="2">
        <f>HYPERLINK("https://camerareadycosmetics.com/products/loving-tan-deluxe-body-make-up", "https://camerareadycosmetics.com/products/loving-tan-deluxe-body-make-up")</f>
        <v/>
      </c>
      <c r="C2244" t="inlineStr">
        <is>
          <t>Deluxe Body Make Up</t>
        </is>
      </c>
      <c r="D2244" t="inlineStr">
        <is>
          <t>Polvo De Hadas Highlighter Makeup Body Glitter Stick,Shimmer Face Blusher Body Highlighter Glitter Makeup Gift for Girls Women-01#White Moonbeam</t>
        </is>
      </c>
      <c r="E2244" s="2">
        <f>HYPERLINK("https://www.amazon.com/Highlighter-Glitter-Shimmer-Women-01-Moonbeam/dp/B0BR8DZ897/ref=sr_1_9?keywords=Deluxe+Body+Make+Up&amp;qid=1695565825&amp;sr=8-9", "https://www.amazon.com/Highlighter-Glitter-Shimmer-Women-01-Moonbeam/dp/B0BR8DZ897/ref=sr_1_9?keywords=Deluxe+Body+Make+Up&amp;qid=1695565825&amp;sr=8-9")</f>
        <v/>
      </c>
      <c r="F2244" t="inlineStr">
        <is>
          <t>B0BR8DZ897</t>
        </is>
      </c>
      <c r="G2244">
        <f>_xlfn.IMAGE("https://camerareadycosmetics.com/cdn/shop/products/DeluxeBodyMakeup_-_Dark_50x.jpg?v=1523116539")</f>
        <v/>
      </c>
      <c r="H2244">
        <f>_xlfn.IMAGE("https://m.media-amazon.com/images/I/61VJ7Ey-oQL._AC_UL320_.jpg")</f>
        <v/>
      </c>
      <c r="K2244" t="inlineStr">
        <is>
          <t>34.95</t>
        </is>
      </c>
      <c r="L2244" t="n">
        <v>5.19</v>
      </c>
      <c r="M2244" s="1" t="inlineStr">
        <is>
          <t>-85.15%</t>
        </is>
      </c>
      <c r="N2244" t="n">
        <v>4.2</v>
      </c>
      <c r="O2244" t="n">
        <v>250</v>
      </c>
      <c r="Q2244" t="inlineStr">
        <is>
          <t>OutOfStock</t>
        </is>
      </c>
      <c r="R2244" t="inlineStr">
        <is>
          <t>34.95</t>
        </is>
      </c>
      <c r="S2244" t="inlineStr">
        <is>
          <t>551316193290</t>
        </is>
      </c>
    </row>
    <row r="2245" ht="75" customHeight="1">
      <c r="A2245" s="2">
        <f>HYPERLINK("https://camerareadycosmetics.com/products/made-by-mitchell-all-lip-no-trip-lip-liner-pencil", "https://camerareadycosmetics.com/products/made-by-mitchell-all-lip-no-trip-lip-liner-pencil")</f>
        <v/>
      </c>
      <c r="B2245" s="2">
        <f>HYPERLINK("https://camerareadycosmetics.com/products/made-by-mitchell-all-lip-no-trip-lip-liner-pencil", "https://camerareadycosmetics.com/products/made-by-mitchell-all-lip-no-trip-lip-liner-pencil")</f>
        <v/>
      </c>
      <c r="C2245" t="inlineStr">
        <is>
          <t>All Lip No Trip Lip Liner Pencil</t>
        </is>
      </c>
      <c r="D2245" t="inlineStr">
        <is>
          <t>Eternal Automatic Twist Up Water Resistant Lip Liner – Easy Glide-on, Long Lasting and Non-Smudge Retractable Lip Pencil with Strong Pigments and Professional Creamy Matte Finish (Fire)</t>
        </is>
      </c>
      <c r="E2245" s="2">
        <f>HYPERLINK("https://www.amazon.com/Eternal-Automatic-Twist-Resistant-Glide/dp/B07WXLH4FH/ref=sr_1_8?keywords=All+Lip+No+Trip+Lip+Liner+Pencil&amp;qid=1695565801&amp;sr=8-8", "https://www.amazon.com/Eternal-Automatic-Twist-Resistant-Glide/dp/B07WXLH4FH/ref=sr_1_8?keywords=All+Lip+No+Trip+Lip+Liner+Pencil&amp;qid=1695565801&amp;sr=8-8")</f>
        <v/>
      </c>
      <c r="F2245" t="inlineStr">
        <is>
          <t>B07WXLH4FH</t>
        </is>
      </c>
      <c r="G2245">
        <f>_xlfn.IMAGE("https://camerareadycosmetics.com/cdn/shop/files/mauvemonday_50x.jpg?v=1687204952")</f>
        <v/>
      </c>
      <c r="H2245">
        <f>_xlfn.IMAGE("https://m.media-amazon.com/images/I/7195-cA1eAL._AC_UL320_.jpg")</f>
        <v/>
      </c>
      <c r="K2245" t="inlineStr">
        <is>
          <t>16.0</t>
        </is>
      </c>
      <c r="L2245" t="n">
        <v>6.29</v>
      </c>
      <c r="M2245" s="1" t="inlineStr">
        <is>
          <t>-60.69%</t>
        </is>
      </c>
      <c r="N2245" t="n">
        <v>4.1</v>
      </c>
      <c r="O2245" t="n">
        <v>1115</v>
      </c>
      <c r="Q2245" t="inlineStr">
        <is>
          <t>InStock</t>
        </is>
      </c>
      <c r="R2245" t="inlineStr">
        <is>
          <t>undefined</t>
        </is>
      </c>
      <c r="S2245" t="inlineStr">
        <is>
          <t>7594837901497</t>
        </is>
      </c>
    </row>
    <row r="2246" ht="75" customHeight="1">
      <c r="A2246" s="2">
        <f>HYPERLINK("https://camerareadycosmetics.com/products/made-by-mitchell-all-lip-no-trip-lip-liner-pencil", "https://camerareadycosmetics.com/products/made-by-mitchell-all-lip-no-trip-lip-liner-pencil")</f>
        <v/>
      </c>
      <c r="B2246" s="2">
        <f>HYPERLINK("https://camerareadycosmetics.com/products/made-by-mitchell-all-lip-no-trip-lip-liner-pencil", "https://camerareadycosmetics.com/products/made-by-mitchell-all-lip-no-trip-lip-liner-pencil")</f>
        <v/>
      </c>
      <c r="C2246" t="inlineStr">
        <is>
          <t>All Lip No Trip Lip Liner Pencil</t>
        </is>
      </c>
      <c r="D2246" t="inlineStr">
        <is>
          <t>Eternal Automatic Twist Up Water Resistant Lip Liner – Easy Glide-on, Long Lasting and Non-Smudge Retractable Lip Pencil with Strong Pigments and Professional Creamy Matte Finish (Fire)</t>
        </is>
      </c>
      <c r="E2246" s="2">
        <f>HYPERLINK("https://www.amazon.com/Eternal-Automatic-Twist-Resistant-Glide/dp/B07WXLH4FH/ref=sr_1_8?keywords=All+Lip+No+Trip+Lip+Liner+Pencil&amp;qid=1695565801&amp;sr=8-8", "https://www.amazon.com/Eternal-Automatic-Twist-Resistant-Glide/dp/B07WXLH4FH/ref=sr_1_8?keywords=All+Lip+No+Trip+Lip+Liner+Pencil&amp;qid=1695565801&amp;sr=8-8")</f>
        <v/>
      </c>
      <c r="F2246" t="inlineStr">
        <is>
          <t>B07WXLH4FH</t>
        </is>
      </c>
      <c r="G2246">
        <f>_xlfn.IMAGE("https://camerareadycosmetics.com/cdn/shop/files/mauvemonday_50x.jpg?v=1687204952")</f>
        <v/>
      </c>
      <c r="H2246">
        <f>_xlfn.IMAGE("https://m.media-amazon.com/images/I/7195-cA1eAL._AC_UL320_.jpg")</f>
        <v/>
      </c>
      <c r="K2246" t="inlineStr">
        <is>
          <t>16.0</t>
        </is>
      </c>
      <c r="L2246" t="n">
        <v>6.29</v>
      </c>
      <c r="M2246" s="1" t="inlineStr">
        <is>
          <t>-60.69%</t>
        </is>
      </c>
      <c r="N2246" t="n">
        <v>4.1</v>
      </c>
      <c r="O2246" t="n">
        <v>1115</v>
      </c>
      <c r="Q2246" t="inlineStr">
        <is>
          <t>InStock</t>
        </is>
      </c>
      <c r="R2246" t="inlineStr">
        <is>
          <t>undefined</t>
        </is>
      </c>
      <c r="S2246" t="inlineStr">
        <is>
          <t>7594837901497</t>
        </is>
      </c>
    </row>
    <row r="2247" ht="75" customHeight="1">
      <c r="A2247" s="2">
        <f>HYPERLINK("https://camerareadycosmetics.com/products/made-by-mitchell-all-smudge-no-budge-liner", "https://camerareadycosmetics.com/products/made-by-mitchell-all-smudge-no-budge-liner")</f>
        <v/>
      </c>
      <c r="B2247" s="2">
        <f>HYPERLINK("https://camerareadycosmetics.com/products/made-by-mitchell-all-smudge-no-budge-liner", "https://camerareadycosmetics.com/products/made-by-mitchell-all-smudge-no-budge-liner")</f>
        <v/>
      </c>
      <c r="C2247" t="inlineStr">
        <is>
          <t>All Smudge No Budge Liner</t>
        </is>
      </c>
      <c r="D2247" t="inlineStr">
        <is>
          <t>e.l.f., No Budge Retractable Eyeliner, Creamy, Ultra-Pigmented, Long Lasting, Enhances, Defines, Intensifies, Boldens, Grey, All-Day Wear, 0.006 Oz</t>
        </is>
      </c>
      <c r="E2247" s="2">
        <f>HYPERLINK("https://www.amazon.com/l-f-Retractable-Eyeliner-Pencil-Waterproof/dp/B07ZVXDB1F/ref=sr_1_5?keywords=All+Smudge+No+Budge+Liner&amp;qid=1695565887&amp;sr=8-5", "https://www.amazon.com/l-f-Retractable-Eyeliner-Pencil-Waterproof/dp/B07ZVXDB1F/ref=sr_1_5?keywords=All+Smudge+No+Budge+Liner&amp;qid=1695565887&amp;sr=8-5")</f>
        <v/>
      </c>
      <c r="F2247" t="inlineStr">
        <is>
          <t>B07ZVXDB1F</t>
        </is>
      </c>
      <c r="G2247">
        <f>_xlfn.IMAGE("https://camerareadycosmetics.com/cdn/shop/products/made-by-mitchell-tigers-eye-liner_50x.jpg?v=1678938675")</f>
        <v/>
      </c>
      <c r="H2247">
        <f>_xlfn.IMAGE("https://m.media-amazon.com/images/I/51vcgY-+-cL._AC_UL320_.jpg")</f>
        <v/>
      </c>
      <c r="K2247" t="inlineStr">
        <is>
          <t>13.0</t>
        </is>
      </c>
      <c r="L2247" t="n">
        <v>4.49</v>
      </c>
      <c r="M2247" s="1" t="inlineStr">
        <is>
          <t>-65.46%</t>
        </is>
      </c>
      <c r="N2247" t="n">
        <v>4.5</v>
      </c>
      <c r="O2247" t="n">
        <v>13508</v>
      </c>
      <c r="Q2247" t="inlineStr">
        <is>
          <t>OutOfStock</t>
        </is>
      </c>
      <c r="R2247" t="inlineStr">
        <is>
          <t>undefined</t>
        </is>
      </c>
      <c r="S2247" t="inlineStr">
        <is>
          <t>7576160862393</t>
        </is>
      </c>
    </row>
    <row r="2248" ht="75" customHeight="1">
      <c r="A2248" s="2">
        <f>HYPERLINK("https://camerareadycosmetics.com/products/make-up-atelier-5-color-concealer-palette", "https://camerareadycosmetics.com/products/make-up-atelier-5-color-concealer-palette")</f>
        <v/>
      </c>
      <c r="B2248" s="2">
        <f>HYPERLINK("https://camerareadycosmetics.com/products/make-up-atelier-5-color-concealer-palette", "https://camerareadycosmetics.com/products/make-up-atelier-5-color-concealer-palette")</f>
        <v/>
      </c>
      <c r="C2248" t="inlineStr">
        <is>
          <t>5 Color Concealer Palette</t>
        </is>
      </c>
      <c r="D2248" t="inlineStr">
        <is>
          <t>Graftobian HD Glamour Crème Foundation Palette (Ultra-Lights) - High Definition 5 Color Makeup Palette, Cream Based Foundation Concealer and Contour Palette, Full Coverage - Lightest Skin Shades</t>
        </is>
      </c>
      <c r="E2248" s="2">
        <f>HYPERLINK("https://www.amazon.com/Graftobian-HD-Palette-Color-Ultralites/dp/B004V3GTDE/ref=sr_1_7?keywords=5+Color+Concealer+Palette&amp;qid=1695565561&amp;sr=8-7", "https://www.amazon.com/Graftobian-HD-Palette-Color-Ultralites/dp/B004V3GTDE/ref=sr_1_7?keywords=5+Color+Concealer+Palette&amp;qid=1695565561&amp;sr=8-7")</f>
        <v/>
      </c>
      <c r="F2248" t="inlineStr">
        <is>
          <t>B004V3GTDE</t>
        </is>
      </c>
      <c r="G2248">
        <f>_xlfn.IMAGE("https://camerareadycosmetics.com/cdn/shop/products/apn-palette-5-cream-concealers-3_50x.jpg?v=1616788943")</f>
        <v/>
      </c>
      <c r="H2248">
        <f>_xlfn.IMAGE("https://m.media-amazon.com/images/I/617uh023UQL._AC_UL320_.jpg")</f>
        <v/>
      </c>
      <c r="K2248" t="inlineStr">
        <is>
          <t>36.0</t>
        </is>
      </c>
      <c r="L2248" t="n">
        <v>28.94</v>
      </c>
      <c r="M2248" s="1" t="inlineStr">
        <is>
          <t>-19.61%</t>
        </is>
      </c>
      <c r="N2248" t="n">
        <v>4.2</v>
      </c>
      <c r="O2248" t="n">
        <v>577</v>
      </c>
      <c r="Q2248" t="inlineStr">
        <is>
          <t>InStock</t>
        </is>
      </c>
      <c r="R2248" t="inlineStr">
        <is>
          <t>undefined</t>
        </is>
      </c>
      <c r="S2248" t="inlineStr">
        <is>
          <t>2011233747055</t>
        </is>
      </c>
    </row>
    <row r="2249" ht="75" customHeight="1">
      <c r="A2249" s="2">
        <f>HYPERLINK("https://camerareadycosmetics.com/products/make-up-atelier-5-color-concealer-palette", "https://camerareadycosmetics.com/products/make-up-atelier-5-color-concealer-palette")</f>
        <v/>
      </c>
      <c r="B2249" s="2">
        <f>HYPERLINK("https://camerareadycosmetics.com/products/make-up-atelier-5-color-concealer-palette", "https://camerareadycosmetics.com/products/make-up-atelier-5-color-concealer-palette")</f>
        <v/>
      </c>
      <c r="C2249" t="inlineStr">
        <is>
          <t>5 Color Concealer Palette</t>
        </is>
      </c>
      <c r="D2249" t="inlineStr">
        <is>
          <t>W7 5 Colour Camouflage Concealer Palette</t>
        </is>
      </c>
      <c r="E2249" s="2">
        <f>HYPERLINK("https://www.amazon.com/W7-Colour-Camouflage-Concealer-Palette/dp/B004JGFP2Y/ref=sr_1_9?keywords=5+Color+Concealer+Palette&amp;qid=1695565561&amp;sr=8-9", "https://www.amazon.com/W7-Colour-Camouflage-Concealer-Palette/dp/B004JGFP2Y/ref=sr_1_9?keywords=5+Color+Concealer+Palette&amp;qid=1695565561&amp;sr=8-9")</f>
        <v/>
      </c>
      <c r="F2249" t="inlineStr">
        <is>
          <t>B004JGFP2Y</t>
        </is>
      </c>
      <c r="G2249">
        <f>_xlfn.IMAGE("https://camerareadycosmetics.com/cdn/shop/products/apn-palette-5-cream-concealers-3_50x.jpg?v=1616788943")</f>
        <v/>
      </c>
      <c r="H2249">
        <f>_xlfn.IMAGE("https://m.media-amazon.com/images/I/61Myor9246L._AC_UL320_.jpg")</f>
        <v/>
      </c>
      <c r="K2249" t="inlineStr">
        <is>
          <t>36.0</t>
        </is>
      </c>
      <c r="L2249" t="n">
        <v>12.95</v>
      </c>
      <c r="M2249" s="1" t="inlineStr">
        <is>
          <t>-64.03%</t>
        </is>
      </c>
      <c r="N2249" t="n">
        <v>3.6</v>
      </c>
      <c r="O2249" t="n">
        <v>423</v>
      </c>
      <c r="Q2249" t="inlineStr">
        <is>
          <t>InStock</t>
        </is>
      </c>
      <c r="R2249" t="inlineStr">
        <is>
          <t>undefined</t>
        </is>
      </c>
      <c r="S2249" t="inlineStr">
        <is>
          <t>2011233747055</t>
        </is>
      </c>
    </row>
    <row r="2250" ht="75" customHeight="1">
      <c r="A2250" s="2">
        <f>HYPERLINK("https://camerareadycosmetics.com/products/make-up-atelier-5-color-concealer-palette", "https://camerareadycosmetics.com/products/make-up-atelier-5-color-concealer-palette")</f>
        <v/>
      </c>
      <c r="B2250" s="2">
        <f>HYPERLINK("https://camerareadycosmetics.com/products/make-up-atelier-5-color-concealer-palette", "https://camerareadycosmetics.com/products/make-up-atelier-5-color-concealer-palette")</f>
        <v/>
      </c>
      <c r="C2250" t="inlineStr">
        <is>
          <t>5 Color Concealer Palette</t>
        </is>
      </c>
      <c r="D2250" t="inlineStr">
        <is>
          <t>SHANY Color Corrector Canvas - 9-Color Universal Concealer Palette with Lightweight Correcting and Contouring Cream Shades for Blemishes and Discoloration</t>
        </is>
      </c>
      <c r="E2250" s="2">
        <f>HYPERLINK("https://www.amazon.com/SHANY-Color-Corrector-Canvas-Discoloration/dp/B094JMWCBJ/ref=sr_1_8?keywords=5+Color+Concealer+Palette&amp;qid=1695565561&amp;sr=8-8", "https://www.amazon.com/SHANY-Color-Corrector-Canvas-Discoloration/dp/B094JMWCBJ/ref=sr_1_8?keywords=5+Color+Concealer+Palette&amp;qid=1695565561&amp;sr=8-8")</f>
        <v/>
      </c>
      <c r="F2250" t="inlineStr">
        <is>
          <t>B094JMWCBJ</t>
        </is>
      </c>
      <c r="G2250">
        <f>_xlfn.IMAGE("https://camerareadycosmetics.com/cdn/shop/products/apn-palette-5-cream-concealers-3_50x.jpg?v=1616788943")</f>
        <v/>
      </c>
      <c r="H2250">
        <f>_xlfn.IMAGE("https://m.media-amazon.com/images/I/61nsk4+A9hS._AC_UL320_.jpg")</f>
        <v/>
      </c>
      <c r="K2250" t="inlineStr">
        <is>
          <t>36.0</t>
        </is>
      </c>
      <c r="L2250" t="n">
        <v>11.95</v>
      </c>
      <c r="M2250" s="1" t="inlineStr">
        <is>
          <t>-66.81%</t>
        </is>
      </c>
      <c r="N2250" t="n">
        <v>3.6</v>
      </c>
      <c r="O2250" t="n">
        <v>16</v>
      </c>
      <c r="Q2250" t="inlineStr">
        <is>
          <t>InStock</t>
        </is>
      </c>
      <c r="R2250" t="inlineStr">
        <is>
          <t>undefined</t>
        </is>
      </c>
      <c r="S2250" t="inlineStr">
        <is>
          <t>2011233747055</t>
        </is>
      </c>
    </row>
    <row r="2251" ht="75" customHeight="1">
      <c r="A2251" s="2">
        <f>HYPERLINK("https://camerareadycosmetics.com/products/make-up-atelier-5-color-concealer-palette", "https://camerareadycosmetics.com/products/make-up-atelier-5-color-concealer-palette")</f>
        <v/>
      </c>
      <c r="B2251" s="2">
        <f>HYPERLINK("https://camerareadycosmetics.com/products/make-up-atelier-5-color-concealer-palette", "https://camerareadycosmetics.com/products/make-up-atelier-5-color-concealer-palette")</f>
        <v/>
      </c>
      <c r="C2251" t="inlineStr">
        <is>
          <t>5 Color Concealer Palette</t>
        </is>
      </c>
      <c r="D2251" t="inlineStr">
        <is>
          <t>SHANY Cream Concealer/Color Correction Palette with Mirror - Layer 1 - Refill for the Contour and Highlight 4-Layer Makeup Kit</t>
        </is>
      </c>
      <c r="E2251" s="2">
        <f>HYPERLINK("https://www.amazon.com/SHANY-Concealer-Correction-Palette-Mirror/dp/B07L5XGTRN/ref=sr_1_10?keywords=5+Color+Concealer+Palette&amp;qid=1695565561&amp;sr=8-10", "https://www.amazon.com/SHANY-Concealer-Correction-Palette-Mirror/dp/B07L5XGTRN/ref=sr_1_10?keywords=5+Color+Concealer+Palette&amp;qid=1695565561&amp;sr=8-10")</f>
        <v/>
      </c>
      <c r="F2251" t="inlineStr">
        <is>
          <t>B07L5XGTRN</t>
        </is>
      </c>
      <c r="G2251">
        <f>_xlfn.IMAGE("https://camerareadycosmetics.com/cdn/shop/products/apn-palette-5-cream-concealers-3_50x.jpg?v=1616788943")</f>
        <v/>
      </c>
      <c r="H2251">
        <f>_xlfn.IMAGE("https://m.media-amazon.com/images/I/71dBaBDKNoL._AC_UL320_.jpg")</f>
        <v/>
      </c>
      <c r="K2251" t="inlineStr">
        <is>
          <t>36.0</t>
        </is>
      </c>
      <c r="L2251" t="n">
        <v>11.86</v>
      </c>
      <c r="M2251" s="1" t="inlineStr">
        <is>
          <t>-67.06%</t>
        </is>
      </c>
      <c r="N2251" t="n">
        <v>4.3</v>
      </c>
      <c r="O2251" t="n">
        <v>513</v>
      </c>
      <c r="Q2251" t="inlineStr">
        <is>
          <t>InStock</t>
        </is>
      </c>
      <c r="R2251" t="inlineStr">
        <is>
          <t>undefined</t>
        </is>
      </c>
      <c r="S2251" t="inlineStr">
        <is>
          <t>2011233747055</t>
        </is>
      </c>
    </row>
    <row r="2252" ht="75" customHeight="1">
      <c r="A2252" s="2">
        <f>HYPERLINK("https://camerareadycosmetics.com/products/make-up-atelier-5-color-concealer-palette", "https://camerareadycosmetics.com/products/make-up-atelier-5-color-concealer-palette")</f>
        <v/>
      </c>
      <c r="B2252" s="2">
        <f>HYPERLINK("https://camerareadycosmetics.com/products/make-up-atelier-5-color-concealer-palette", "https://camerareadycosmetics.com/products/make-up-atelier-5-color-concealer-palette")</f>
        <v/>
      </c>
      <c r="C2252" t="inlineStr">
        <is>
          <t>5 Color Concealer Palette</t>
        </is>
      </c>
      <c r="D2252" t="inlineStr">
        <is>
          <t>NYX PROFESSIONAL MAKEUP Color Correcting Concealer Palette</t>
        </is>
      </c>
      <c r="E2252" s="2">
        <f>HYPERLINK("https://www.amazon.com/NYX-PROFESSIONAL-MAKEUP-Concealer-Correcting/dp/B00VF9Z7OE/ref=sr_1_5?keywords=5+Color+Concealer+Palette&amp;qid=1695565561&amp;sr=8-5", "https://www.amazon.com/NYX-PROFESSIONAL-MAKEUP-Concealer-Correcting/dp/B00VF9Z7OE/ref=sr_1_5?keywords=5+Color+Concealer+Palette&amp;qid=1695565561&amp;sr=8-5")</f>
        <v/>
      </c>
      <c r="F2252" t="inlineStr">
        <is>
          <t>B00VF9Z7OE</t>
        </is>
      </c>
      <c r="G2252">
        <f>_xlfn.IMAGE("https://camerareadycosmetics.com/cdn/shop/products/apn-palette-5-cream-concealers-3_50x.jpg?v=1616788943")</f>
        <v/>
      </c>
      <c r="H2252">
        <f>_xlfn.IMAGE("https://m.media-amazon.com/images/I/51NTnvNZHJL._AC_UL320_.jpg")</f>
        <v/>
      </c>
      <c r="K2252" t="inlineStr">
        <is>
          <t>36.0</t>
        </is>
      </c>
      <c r="L2252" t="n">
        <v>10.48</v>
      </c>
      <c r="M2252" s="1" t="inlineStr">
        <is>
          <t>-70.89%</t>
        </is>
      </c>
      <c r="N2252" t="n">
        <v>4.3</v>
      </c>
      <c r="O2252" t="n">
        <v>12686</v>
      </c>
      <c r="Q2252" t="inlineStr">
        <is>
          <t>InStock</t>
        </is>
      </c>
      <c r="R2252" t="inlineStr">
        <is>
          <t>undefined</t>
        </is>
      </c>
      <c r="S2252" t="inlineStr">
        <is>
          <t>2011233747055</t>
        </is>
      </c>
    </row>
    <row r="2253" ht="75" customHeight="1">
      <c r="A2253" s="2">
        <f>HYPERLINK("https://camerareadycosmetics.com/products/make-up-atelier-5-color-concealer-palette", "https://camerareadycosmetics.com/products/make-up-atelier-5-color-concealer-palette")</f>
        <v/>
      </c>
      <c r="B2253" s="2">
        <f>HYPERLINK("https://camerareadycosmetics.com/products/make-up-atelier-5-color-concealer-palette", "https://camerareadycosmetics.com/products/make-up-atelier-5-color-concealer-palette")</f>
        <v/>
      </c>
      <c r="C2253" t="inlineStr">
        <is>
          <t>5 Color Concealer Palette</t>
        </is>
      </c>
      <c r="D2253" t="inlineStr">
        <is>
          <t>FALOCUTUS 5 Colors Correcting Concealer Palette with Makeup Brush,5 In 1 Concealer Makeup Palette,Full Coverage and Long Lasting Neutralizing Cream Color Corrector,Face Camouflage Contour Palette,Conceals Blemishes,Redness and Dark Circles.#1</t>
        </is>
      </c>
      <c r="E2253" s="2">
        <f>HYPERLINK("https://www.amazon.com/FALOCUTUS-Correcting-Concealer-Neutralizing-Camouflage/dp/B0B7VGXRWG/ref=sr_1_3?keywords=5+Color+Concealer+Palette&amp;qid=1695565561&amp;sr=8-3", "https://www.amazon.com/FALOCUTUS-Correcting-Concealer-Neutralizing-Camouflage/dp/B0B7VGXRWG/ref=sr_1_3?keywords=5+Color+Concealer+Palette&amp;qid=1695565561&amp;sr=8-3")</f>
        <v/>
      </c>
      <c r="F2253" t="inlineStr">
        <is>
          <t>B0B7VGXRWG</t>
        </is>
      </c>
      <c r="G2253">
        <f>_xlfn.IMAGE("https://camerareadycosmetics.com/cdn/shop/products/apn-palette-5-cream-concealers-3_50x.jpg?v=1616788943")</f>
        <v/>
      </c>
      <c r="H2253">
        <f>_xlfn.IMAGE("https://m.media-amazon.com/images/I/61mt-Hn8pSL._AC_UL320_.jpg")</f>
        <v/>
      </c>
      <c r="K2253" t="inlineStr">
        <is>
          <t>36.0</t>
        </is>
      </c>
      <c r="L2253" t="n">
        <v>9.949999999999999</v>
      </c>
      <c r="M2253" s="1" t="inlineStr">
        <is>
          <t>-72.36%</t>
        </is>
      </c>
      <c r="N2253" t="n">
        <v>4.4</v>
      </c>
      <c r="O2253" t="n">
        <v>49</v>
      </c>
      <c r="Q2253" t="inlineStr">
        <is>
          <t>InStock</t>
        </is>
      </c>
      <c r="R2253" t="inlineStr">
        <is>
          <t>undefined</t>
        </is>
      </c>
      <c r="S2253" t="inlineStr">
        <is>
          <t>2011233747055</t>
        </is>
      </c>
    </row>
    <row r="2254" ht="75" customHeight="1">
      <c r="A2254" s="2">
        <f>HYPERLINK("https://camerareadycosmetics.com/products/make-up-atelier-5-color-concealer-palette", "https://camerareadycosmetics.com/products/make-up-atelier-5-color-concealer-palette")</f>
        <v/>
      </c>
      <c r="B2254" s="2">
        <f>HYPERLINK("https://camerareadycosmetics.com/products/make-up-atelier-5-color-concealer-palette", "https://camerareadycosmetics.com/products/make-up-atelier-5-color-concealer-palette")</f>
        <v/>
      </c>
      <c r="C2254" t="inlineStr">
        <is>
          <t>5 Color Concealer Palette</t>
        </is>
      </c>
      <c r="D2254" t="inlineStr">
        <is>
          <t>FOCALLURE #GoldenAge 5 in 1 Multi Uses Concealer Palette, 5 Colors Correcting Conceal Palette, Camouflage Contour Palettes for Dark Circles, Face Contouring Highlighter Pallet, CC01 LIGHT-CORRECTING</t>
        </is>
      </c>
      <c r="E2254" s="2">
        <f>HYPERLINK("https://www.amazon.com/FOCALLURE-Correcting-Camouflage-Highlighter-LIGHT-CORRECTING/dp/B0BTYK2R2H/ref=sr_1_1?keywords=5+Color+Concealer+Palette&amp;qid=1695565561&amp;sr=8-1", "https://www.amazon.com/FOCALLURE-Correcting-Camouflage-Highlighter-LIGHT-CORRECTING/dp/B0BTYK2R2H/ref=sr_1_1?keywords=5+Color+Concealer+Palette&amp;qid=1695565561&amp;sr=8-1")</f>
        <v/>
      </c>
      <c r="F2254" t="inlineStr">
        <is>
          <t>B0BTYK2R2H</t>
        </is>
      </c>
      <c r="G2254">
        <f>_xlfn.IMAGE("https://camerareadycosmetics.com/cdn/shop/products/apn-palette-5-cream-concealers-3_50x.jpg?v=1616788943")</f>
        <v/>
      </c>
      <c r="H2254">
        <f>_xlfn.IMAGE("https://m.media-amazon.com/images/I/61HIXgpbHjL._AC_UL320_.jpg")</f>
        <v/>
      </c>
      <c r="K2254" t="inlineStr">
        <is>
          <t>36.0</t>
        </is>
      </c>
      <c r="L2254" t="n">
        <v>9.949999999999999</v>
      </c>
      <c r="M2254" s="1" t="inlineStr">
        <is>
          <t>-72.36%</t>
        </is>
      </c>
      <c r="N2254" t="n">
        <v>4</v>
      </c>
      <c r="O2254" t="n">
        <v>21</v>
      </c>
      <c r="Q2254" t="inlineStr">
        <is>
          <t>InStock</t>
        </is>
      </c>
      <c r="R2254" t="inlineStr">
        <is>
          <t>undefined</t>
        </is>
      </c>
      <c r="S2254" t="inlineStr">
        <is>
          <t>2011233747055</t>
        </is>
      </c>
    </row>
    <row r="2255" ht="75" customHeight="1">
      <c r="A2255" s="2">
        <f>HYPERLINK("https://camerareadycosmetics.com/products/make-up-atelier-5-color-concealer-palette", "https://camerareadycosmetics.com/products/make-up-atelier-5-color-concealer-palette")</f>
        <v/>
      </c>
      <c r="B2255" s="2">
        <f>HYPERLINK("https://camerareadycosmetics.com/products/make-up-atelier-5-color-concealer-palette", "https://camerareadycosmetics.com/products/make-up-atelier-5-color-concealer-palette")</f>
        <v/>
      </c>
      <c r="C2255" t="inlineStr">
        <is>
          <t>5 Color Concealer Palette</t>
        </is>
      </c>
      <c r="D2255" t="inlineStr">
        <is>
          <t>Music Flower Contour &amp; Highlighter Palette, Makeup and Concealer Palette, Perfect for Sculpting Facial Features, 5 Colors for Contouring and Highlighting, Powder Compact with Mirror</t>
        </is>
      </c>
      <c r="E2255" s="2">
        <f>HYPERLINK("https://www.amazon.com/Music-Flower-Highlighter-Contouring-Highlighting/dp/B0B9RP95L6/ref=sr_1_6?keywords=5+Color+Concealer+Palette&amp;qid=1695565561&amp;sr=8-6", "https://www.amazon.com/Music-Flower-Highlighter-Contouring-Highlighting/dp/B0B9RP95L6/ref=sr_1_6?keywords=5+Color+Concealer+Palette&amp;qid=1695565561&amp;sr=8-6")</f>
        <v/>
      </c>
      <c r="F2255" t="inlineStr">
        <is>
          <t>B0B9RP95L6</t>
        </is>
      </c>
      <c r="G2255">
        <f>_xlfn.IMAGE("https://camerareadycosmetics.com/cdn/shop/products/apn-palette-5-cream-concealers-3_50x.jpg?v=1616788943")</f>
        <v/>
      </c>
      <c r="H2255">
        <f>_xlfn.IMAGE("https://m.media-amazon.com/images/I/61gtdJ3B5LL._AC_UL320_.jpg")</f>
        <v/>
      </c>
      <c r="K2255" t="inlineStr">
        <is>
          <t>36.0</t>
        </is>
      </c>
      <c r="L2255" t="n">
        <v>9.66</v>
      </c>
      <c r="M2255" s="1" t="inlineStr">
        <is>
          <t>-73.17%</t>
        </is>
      </c>
      <c r="N2255" t="n">
        <v>2.9</v>
      </c>
      <c r="O2255" t="n">
        <v>4</v>
      </c>
      <c r="Q2255" t="inlineStr">
        <is>
          <t>InStock</t>
        </is>
      </c>
      <c r="R2255" t="inlineStr">
        <is>
          <t>undefined</t>
        </is>
      </c>
      <c r="S2255" t="inlineStr">
        <is>
          <t>2011233747055</t>
        </is>
      </c>
    </row>
    <row r="2256" ht="75" customHeight="1">
      <c r="A2256" s="2">
        <f>HYPERLINK("https://camerareadycosmetics.com/products/make-up-atelier-5-color-concealer-palette", "https://camerareadycosmetics.com/products/make-up-atelier-5-color-concealer-palette")</f>
        <v/>
      </c>
      <c r="B2256" s="2">
        <f>HYPERLINK("https://camerareadycosmetics.com/products/make-up-atelier-5-color-concealer-palette", "https://camerareadycosmetics.com/products/make-up-atelier-5-color-concealer-palette")</f>
        <v/>
      </c>
      <c r="C2256" t="inlineStr">
        <is>
          <t>5 Color Concealer Palette</t>
        </is>
      </c>
      <c r="D2256" t="inlineStr">
        <is>
          <t>FOCALLURE Color Correcting Concealer Palette - 5 Colors Corrector Palette - Cream Camouflage Contour Palette - Face Contouring Highlighter Pallet - Conceals Dark Circles,Blemishes,Redness</t>
        </is>
      </c>
      <c r="E2256" s="2">
        <f>HYPERLINK("https://www.amazon.com/FOCALLURE-Color-Correcting-Concealer-Palette/dp/B09QXK9Y9Q/ref=sr_1_2?keywords=5+Color+Concealer+Palette&amp;qid=1695565561&amp;sr=8-2", "https://www.amazon.com/FOCALLURE-Color-Correcting-Concealer-Palette/dp/B09QXK9Y9Q/ref=sr_1_2?keywords=5+Color+Concealer+Palette&amp;qid=1695565561&amp;sr=8-2")</f>
        <v/>
      </c>
      <c r="F2256" t="inlineStr">
        <is>
          <t>B09QXK9Y9Q</t>
        </is>
      </c>
      <c r="G2256">
        <f>_xlfn.IMAGE("https://camerareadycosmetics.com/cdn/shop/products/apn-palette-5-cream-concealers-3_50x.jpg?v=1616788943")</f>
        <v/>
      </c>
      <c r="H2256">
        <f>_xlfn.IMAGE("https://m.media-amazon.com/images/I/61ZJR5zKklL._AC_UL320_.jpg")</f>
        <v/>
      </c>
      <c r="K2256" t="inlineStr">
        <is>
          <t>36.0</t>
        </is>
      </c>
      <c r="L2256" t="n">
        <v>9.550000000000001</v>
      </c>
      <c r="M2256" s="1" t="inlineStr">
        <is>
          <t>-73.47%</t>
        </is>
      </c>
      <c r="N2256" t="n">
        <v>4.1</v>
      </c>
      <c r="O2256" t="n">
        <v>125</v>
      </c>
      <c r="Q2256" t="inlineStr">
        <is>
          <t>InStock</t>
        </is>
      </c>
      <c r="R2256" t="inlineStr">
        <is>
          <t>undefined</t>
        </is>
      </c>
      <c r="S2256" t="inlineStr">
        <is>
          <t>2011233747055</t>
        </is>
      </c>
    </row>
    <row r="2257" ht="75" customHeight="1">
      <c r="A2257" s="2">
        <f>HYPERLINK("https://camerareadycosmetics.com/products/make-up-atelier-5-color-concealer-palette", "https://camerareadycosmetics.com/products/make-up-atelier-5-color-concealer-palette")</f>
        <v/>
      </c>
      <c r="B2257" s="2">
        <f>HYPERLINK("https://camerareadycosmetics.com/products/make-up-atelier-5-color-concealer-palette", "https://camerareadycosmetics.com/products/make-up-atelier-5-color-concealer-palette")</f>
        <v/>
      </c>
      <c r="C2257" t="inlineStr">
        <is>
          <t>5 Color Concealer Palette</t>
        </is>
      </c>
      <c r="D2257" t="inlineStr">
        <is>
          <t>Erinde 5 Colors Concealer Palette, 3 In 1 Cream Concealer, Contour, Foundation, Color Corrector for Dark Circles, Waterproof Long-Lasting, Full Cover Concealer Makeup with Concealer Brush</t>
        </is>
      </c>
      <c r="E2257" s="2">
        <f>HYPERLINK("https://www.amazon.com/Erinde-Concealer-Foundation-Waterproof-Long-Lasting/dp/B0C6KFX2N1/ref=sr_1_4?keywords=5+Color+Concealer+Palette&amp;qid=1695565561&amp;sr=8-4", "https://www.amazon.com/Erinde-Concealer-Foundation-Waterproof-Long-Lasting/dp/B0C6KFX2N1/ref=sr_1_4?keywords=5+Color+Concealer+Palette&amp;qid=1695565561&amp;sr=8-4")</f>
        <v/>
      </c>
      <c r="F2257" t="inlineStr">
        <is>
          <t>B0C6KFX2N1</t>
        </is>
      </c>
      <c r="G2257">
        <f>_xlfn.IMAGE("https://camerareadycosmetics.com/cdn/shop/products/apn-palette-5-cream-concealers-3_50x.jpg?v=1616788943")</f>
        <v/>
      </c>
      <c r="H2257">
        <f>_xlfn.IMAGE("https://m.media-amazon.com/images/I/617zRV1Zl7L._AC_UL320_.jpg")</f>
        <v/>
      </c>
      <c r="K2257" t="inlineStr">
        <is>
          <t>36.0</t>
        </is>
      </c>
      <c r="L2257" t="n">
        <v>7.99</v>
      </c>
      <c r="M2257" s="1" t="inlineStr">
        <is>
          <t>-77.81%</t>
        </is>
      </c>
      <c r="N2257" t="n">
        <v>3.8</v>
      </c>
      <c r="O2257" t="n">
        <v>295</v>
      </c>
      <c r="Q2257" t="inlineStr">
        <is>
          <t>InStock</t>
        </is>
      </c>
      <c r="R2257" t="inlineStr">
        <is>
          <t>undefined</t>
        </is>
      </c>
      <c r="S2257" t="inlineStr">
        <is>
          <t>2011233747055</t>
        </is>
      </c>
    </row>
    <row r="2258" ht="75" customHeight="1">
      <c r="A2258" s="2">
        <f>HYPERLINK("https://camerareadycosmetics.com/products/make-up-atelier-5-color-concealer-palette", "https://camerareadycosmetics.com/products/make-up-atelier-5-color-concealer-palette")</f>
        <v/>
      </c>
      <c r="B2258" s="2">
        <f>HYPERLINK("https://camerareadycosmetics.com/products/make-up-atelier-5-color-concealer-palette", "https://camerareadycosmetics.com/products/make-up-atelier-5-color-concealer-palette")</f>
        <v/>
      </c>
      <c r="C2258" t="inlineStr">
        <is>
          <t>5 Color Concealer Palette</t>
        </is>
      </c>
      <c r="D2258" t="inlineStr">
        <is>
          <t>W7 5 Colour Camouflage Concealer Palette</t>
        </is>
      </c>
      <c r="E2258" s="2">
        <f>HYPERLINK("https://www.amazon.com/W7-Colour-Camouflage-Concealer-Palette/dp/B004JGFP2Y/ref=sr_1_9?keywords=5+Color+Concealer+Palette&amp;qid=1695565561&amp;sr=8-9", "https://www.amazon.com/W7-Colour-Camouflage-Concealer-Palette/dp/B004JGFP2Y/ref=sr_1_9?keywords=5+Color+Concealer+Palette&amp;qid=1695565561&amp;sr=8-9")</f>
        <v/>
      </c>
      <c r="F2258" t="inlineStr">
        <is>
          <t>B004JGFP2Y</t>
        </is>
      </c>
      <c r="G2258">
        <f>_xlfn.IMAGE("https://camerareadycosmetics.com/cdn/shop/products/apn-palette-5-cream-concealers-3_50x.jpg?v=1616788943")</f>
        <v/>
      </c>
      <c r="H2258">
        <f>_xlfn.IMAGE("https://m.media-amazon.com/images/I/61Myor9246L._AC_UL320_.jpg")</f>
        <v/>
      </c>
      <c r="K2258" t="inlineStr">
        <is>
          <t>36.0</t>
        </is>
      </c>
      <c r="L2258" t="n">
        <v>12.95</v>
      </c>
      <c r="M2258" s="1" t="inlineStr">
        <is>
          <t>-64.03%</t>
        </is>
      </c>
      <c r="N2258" t="n">
        <v>3.6</v>
      </c>
      <c r="O2258" t="n">
        <v>423</v>
      </c>
      <c r="Q2258" t="inlineStr">
        <is>
          <t>InStock</t>
        </is>
      </c>
      <c r="R2258" t="inlineStr">
        <is>
          <t>undefined</t>
        </is>
      </c>
      <c r="S2258" t="inlineStr">
        <is>
          <t>2011233747055</t>
        </is>
      </c>
    </row>
    <row r="2259" ht="75" customHeight="1">
      <c r="A2259" s="2">
        <f>HYPERLINK("https://camerareadycosmetics.com/products/make-up-atelier-5-color-concealer-palette", "https://camerareadycosmetics.com/products/make-up-atelier-5-color-concealer-palette")</f>
        <v/>
      </c>
      <c r="B2259" s="2">
        <f>HYPERLINK("https://camerareadycosmetics.com/products/make-up-atelier-5-color-concealer-palette", "https://camerareadycosmetics.com/products/make-up-atelier-5-color-concealer-palette")</f>
        <v/>
      </c>
      <c r="C2259" t="inlineStr">
        <is>
          <t>5 Color Concealer Palette</t>
        </is>
      </c>
      <c r="D2259" t="inlineStr">
        <is>
          <t>SHANY Color Corrector Canvas - 9-Color Universal Concealer Palette with Lightweight Correcting and Contouring Cream Shades for Blemishes and Discoloration</t>
        </is>
      </c>
      <c r="E2259" s="2">
        <f>HYPERLINK("https://www.amazon.com/SHANY-Color-Corrector-Canvas-Discoloration/dp/B094JMWCBJ/ref=sr_1_8?keywords=5+Color+Concealer+Palette&amp;qid=1695565561&amp;sr=8-8", "https://www.amazon.com/SHANY-Color-Corrector-Canvas-Discoloration/dp/B094JMWCBJ/ref=sr_1_8?keywords=5+Color+Concealer+Palette&amp;qid=1695565561&amp;sr=8-8")</f>
        <v/>
      </c>
      <c r="F2259" t="inlineStr">
        <is>
          <t>B094JMWCBJ</t>
        </is>
      </c>
      <c r="G2259">
        <f>_xlfn.IMAGE("https://camerareadycosmetics.com/cdn/shop/products/apn-palette-5-cream-concealers-3_50x.jpg?v=1616788943")</f>
        <v/>
      </c>
      <c r="H2259">
        <f>_xlfn.IMAGE("https://m.media-amazon.com/images/I/61nsk4+A9hS._AC_UL320_.jpg")</f>
        <v/>
      </c>
      <c r="K2259" t="inlineStr">
        <is>
          <t>36.0</t>
        </is>
      </c>
      <c r="L2259" t="n">
        <v>11.95</v>
      </c>
      <c r="M2259" s="1" t="inlineStr">
        <is>
          <t>-66.81%</t>
        </is>
      </c>
      <c r="N2259" t="n">
        <v>3.6</v>
      </c>
      <c r="O2259" t="n">
        <v>16</v>
      </c>
      <c r="Q2259" t="inlineStr">
        <is>
          <t>InStock</t>
        </is>
      </c>
      <c r="R2259" t="inlineStr">
        <is>
          <t>undefined</t>
        </is>
      </c>
      <c r="S2259" t="inlineStr">
        <is>
          <t>2011233747055</t>
        </is>
      </c>
    </row>
    <row r="2260" ht="75" customHeight="1">
      <c r="A2260" s="2">
        <f>HYPERLINK("https://camerareadycosmetics.com/products/make-up-atelier-5-color-concealer-palette", "https://camerareadycosmetics.com/products/make-up-atelier-5-color-concealer-palette")</f>
        <v/>
      </c>
      <c r="B2260" s="2">
        <f>HYPERLINK("https://camerareadycosmetics.com/products/make-up-atelier-5-color-concealer-palette", "https://camerareadycosmetics.com/products/make-up-atelier-5-color-concealer-palette")</f>
        <v/>
      </c>
      <c r="C2260" t="inlineStr">
        <is>
          <t>5 Color Concealer Palette</t>
        </is>
      </c>
      <c r="D2260" t="inlineStr">
        <is>
          <t>SHANY Cream Concealer/Color Correction Palette with Mirror - Layer 1 - Refill for the Contour and Highlight 4-Layer Makeup Kit</t>
        </is>
      </c>
      <c r="E2260" s="2">
        <f>HYPERLINK("https://www.amazon.com/SHANY-Concealer-Correction-Palette-Mirror/dp/B07L5XGTRN/ref=sr_1_10?keywords=5+Color+Concealer+Palette&amp;qid=1695565561&amp;sr=8-10", "https://www.amazon.com/SHANY-Concealer-Correction-Palette-Mirror/dp/B07L5XGTRN/ref=sr_1_10?keywords=5+Color+Concealer+Palette&amp;qid=1695565561&amp;sr=8-10")</f>
        <v/>
      </c>
      <c r="F2260" t="inlineStr">
        <is>
          <t>B07L5XGTRN</t>
        </is>
      </c>
      <c r="G2260">
        <f>_xlfn.IMAGE("https://camerareadycosmetics.com/cdn/shop/products/apn-palette-5-cream-concealers-3_50x.jpg?v=1616788943")</f>
        <v/>
      </c>
      <c r="H2260">
        <f>_xlfn.IMAGE("https://m.media-amazon.com/images/I/71dBaBDKNoL._AC_UL320_.jpg")</f>
        <v/>
      </c>
      <c r="K2260" t="inlineStr">
        <is>
          <t>36.0</t>
        </is>
      </c>
      <c r="L2260" t="n">
        <v>11.86</v>
      </c>
      <c r="M2260" s="1" t="inlineStr">
        <is>
          <t>-67.06%</t>
        </is>
      </c>
      <c r="N2260" t="n">
        <v>4.3</v>
      </c>
      <c r="O2260" t="n">
        <v>513</v>
      </c>
      <c r="Q2260" t="inlineStr">
        <is>
          <t>InStock</t>
        </is>
      </c>
      <c r="R2260" t="inlineStr">
        <is>
          <t>undefined</t>
        </is>
      </c>
      <c r="S2260" t="inlineStr">
        <is>
          <t>2011233747055</t>
        </is>
      </c>
    </row>
    <row r="2261" ht="75" customHeight="1">
      <c r="A2261" s="2">
        <f>HYPERLINK("https://camerareadycosmetics.com/products/make-up-atelier-5-color-concealer-palette", "https://camerareadycosmetics.com/products/make-up-atelier-5-color-concealer-palette")</f>
        <v/>
      </c>
      <c r="B2261" s="2">
        <f>HYPERLINK("https://camerareadycosmetics.com/products/make-up-atelier-5-color-concealer-palette", "https://camerareadycosmetics.com/products/make-up-atelier-5-color-concealer-palette")</f>
        <v/>
      </c>
      <c r="C2261" t="inlineStr">
        <is>
          <t>5 Color Concealer Palette</t>
        </is>
      </c>
      <c r="D2261" t="inlineStr">
        <is>
          <t>NYX PROFESSIONAL MAKEUP Color Correcting Concealer Palette</t>
        </is>
      </c>
      <c r="E2261" s="2">
        <f>HYPERLINK("https://www.amazon.com/NYX-PROFESSIONAL-MAKEUP-Concealer-Correcting/dp/B00VF9Z7OE/ref=sr_1_5?keywords=5+Color+Concealer+Palette&amp;qid=1695565561&amp;sr=8-5", "https://www.amazon.com/NYX-PROFESSIONAL-MAKEUP-Concealer-Correcting/dp/B00VF9Z7OE/ref=sr_1_5?keywords=5+Color+Concealer+Palette&amp;qid=1695565561&amp;sr=8-5")</f>
        <v/>
      </c>
      <c r="F2261" t="inlineStr">
        <is>
          <t>B00VF9Z7OE</t>
        </is>
      </c>
      <c r="G2261">
        <f>_xlfn.IMAGE("https://camerareadycosmetics.com/cdn/shop/products/apn-palette-5-cream-concealers-3_50x.jpg?v=1616788943")</f>
        <v/>
      </c>
      <c r="H2261">
        <f>_xlfn.IMAGE("https://m.media-amazon.com/images/I/51NTnvNZHJL._AC_UL320_.jpg")</f>
        <v/>
      </c>
      <c r="K2261" t="inlineStr">
        <is>
          <t>36.0</t>
        </is>
      </c>
      <c r="L2261" t="n">
        <v>10.48</v>
      </c>
      <c r="M2261" s="1" t="inlineStr">
        <is>
          <t>-70.89%</t>
        </is>
      </c>
      <c r="N2261" t="n">
        <v>4.3</v>
      </c>
      <c r="O2261" t="n">
        <v>12686</v>
      </c>
      <c r="Q2261" t="inlineStr">
        <is>
          <t>InStock</t>
        </is>
      </c>
      <c r="R2261" t="inlineStr">
        <is>
          <t>undefined</t>
        </is>
      </c>
      <c r="S2261" t="inlineStr">
        <is>
          <t>2011233747055</t>
        </is>
      </c>
    </row>
    <row r="2262" ht="75" customHeight="1">
      <c r="A2262" s="2">
        <f>HYPERLINK("https://camerareadycosmetics.com/products/make-up-atelier-5-color-concealer-palette", "https://camerareadycosmetics.com/products/make-up-atelier-5-color-concealer-palette")</f>
        <v/>
      </c>
      <c r="B2262" s="2">
        <f>HYPERLINK("https://camerareadycosmetics.com/products/make-up-atelier-5-color-concealer-palette", "https://camerareadycosmetics.com/products/make-up-atelier-5-color-concealer-palette")</f>
        <v/>
      </c>
      <c r="C2262" t="inlineStr">
        <is>
          <t>5 Color Concealer Palette</t>
        </is>
      </c>
      <c r="D2262" t="inlineStr">
        <is>
          <t>FALOCUTUS 5 Colors Correcting Concealer Palette with Makeup Brush,5 In 1 Concealer Makeup Palette,Full Coverage and Long Lasting Neutralizing Cream Color Corrector,Face Camouflage Contour Palette,Conceals Blemishes,Redness and Dark Circles.#1</t>
        </is>
      </c>
      <c r="E2262" s="2">
        <f>HYPERLINK("https://www.amazon.com/FALOCUTUS-Correcting-Concealer-Neutralizing-Camouflage/dp/B0B7VGXRWG/ref=sr_1_3?keywords=5+Color+Concealer+Palette&amp;qid=1695565561&amp;sr=8-3", "https://www.amazon.com/FALOCUTUS-Correcting-Concealer-Neutralizing-Camouflage/dp/B0B7VGXRWG/ref=sr_1_3?keywords=5+Color+Concealer+Palette&amp;qid=1695565561&amp;sr=8-3")</f>
        <v/>
      </c>
      <c r="F2262" t="inlineStr">
        <is>
          <t>B0B7VGXRWG</t>
        </is>
      </c>
      <c r="G2262">
        <f>_xlfn.IMAGE("https://camerareadycosmetics.com/cdn/shop/products/apn-palette-5-cream-concealers-3_50x.jpg?v=1616788943")</f>
        <v/>
      </c>
      <c r="H2262">
        <f>_xlfn.IMAGE("https://m.media-amazon.com/images/I/61mt-Hn8pSL._AC_UL320_.jpg")</f>
        <v/>
      </c>
      <c r="K2262" t="inlineStr">
        <is>
          <t>36.0</t>
        </is>
      </c>
      <c r="L2262" t="n">
        <v>9.949999999999999</v>
      </c>
      <c r="M2262" s="1" t="inlineStr">
        <is>
          <t>-72.36%</t>
        </is>
      </c>
      <c r="N2262" t="n">
        <v>4.4</v>
      </c>
      <c r="O2262" t="n">
        <v>49</v>
      </c>
      <c r="Q2262" t="inlineStr">
        <is>
          <t>InStock</t>
        </is>
      </c>
      <c r="R2262" t="inlineStr">
        <is>
          <t>undefined</t>
        </is>
      </c>
      <c r="S2262" t="inlineStr">
        <is>
          <t>2011233747055</t>
        </is>
      </c>
    </row>
    <row r="2263" ht="75" customHeight="1">
      <c r="A2263" s="2">
        <f>HYPERLINK("https://camerareadycosmetics.com/products/make-up-atelier-5-color-concealer-palette", "https://camerareadycosmetics.com/products/make-up-atelier-5-color-concealer-palette")</f>
        <v/>
      </c>
      <c r="B2263" s="2">
        <f>HYPERLINK("https://camerareadycosmetics.com/products/make-up-atelier-5-color-concealer-palette", "https://camerareadycosmetics.com/products/make-up-atelier-5-color-concealer-palette")</f>
        <v/>
      </c>
      <c r="C2263" t="inlineStr">
        <is>
          <t>5 Color Concealer Palette</t>
        </is>
      </c>
      <c r="D2263" t="inlineStr">
        <is>
          <t>FOCALLURE #GoldenAge 5 in 1 Multi Uses Concealer Palette, 5 Colors Correcting Conceal Palette, Camouflage Contour Palettes for Dark Circles, Face Contouring Highlighter Pallet, CC01 LIGHT-CORRECTING</t>
        </is>
      </c>
      <c r="E2263" s="2">
        <f>HYPERLINK("https://www.amazon.com/FOCALLURE-Correcting-Camouflage-Highlighter-LIGHT-CORRECTING/dp/B0BTYK2R2H/ref=sr_1_1?keywords=5+Color+Concealer+Palette&amp;qid=1695565561&amp;sr=8-1", "https://www.amazon.com/FOCALLURE-Correcting-Camouflage-Highlighter-LIGHT-CORRECTING/dp/B0BTYK2R2H/ref=sr_1_1?keywords=5+Color+Concealer+Palette&amp;qid=1695565561&amp;sr=8-1")</f>
        <v/>
      </c>
      <c r="F2263" t="inlineStr">
        <is>
          <t>B0BTYK2R2H</t>
        </is>
      </c>
      <c r="G2263">
        <f>_xlfn.IMAGE("https://camerareadycosmetics.com/cdn/shop/products/apn-palette-5-cream-concealers-3_50x.jpg?v=1616788943")</f>
        <v/>
      </c>
      <c r="H2263">
        <f>_xlfn.IMAGE("https://m.media-amazon.com/images/I/61HIXgpbHjL._AC_UL320_.jpg")</f>
        <v/>
      </c>
      <c r="K2263" t="inlineStr">
        <is>
          <t>36.0</t>
        </is>
      </c>
      <c r="L2263" t="n">
        <v>9.949999999999999</v>
      </c>
      <c r="M2263" s="1" t="inlineStr">
        <is>
          <t>-72.36%</t>
        </is>
      </c>
      <c r="N2263" t="n">
        <v>4</v>
      </c>
      <c r="O2263" t="n">
        <v>21</v>
      </c>
      <c r="Q2263" t="inlineStr">
        <is>
          <t>InStock</t>
        </is>
      </c>
      <c r="R2263" t="inlineStr">
        <is>
          <t>undefined</t>
        </is>
      </c>
      <c r="S2263" t="inlineStr">
        <is>
          <t>2011233747055</t>
        </is>
      </c>
    </row>
    <row r="2264" ht="75" customHeight="1">
      <c r="A2264" s="2">
        <f>HYPERLINK("https://camerareadycosmetics.com/products/make-up-atelier-5-color-concealer-palette", "https://camerareadycosmetics.com/products/make-up-atelier-5-color-concealer-palette")</f>
        <v/>
      </c>
      <c r="B2264" s="2">
        <f>HYPERLINK("https://camerareadycosmetics.com/products/make-up-atelier-5-color-concealer-palette", "https://camerareadycosmetics.com/products/make-up-atelier-5-color-concealer-palette")</f>
        <v/>
      </c>
      <c r="C2264" t="inlineStr">
        <is>
          <t>5 Color Concealer Palette</t>
        </is>
      </c>
      <c r="D2264" t="inlineStr">
        <is>
          <t>Music Flower Contour &amp; Highlighter Palette, Makeup and Concealer Palette, Perfect for Sculpting Facial Features, 5 Colors for Contouring and Highlighting, Powder Compact with Mirror</t>
        </is>
      </c>
      <c r="E2264" s="2">
        <f>HYPERLINK("https://www.amazon.com/Music-Flower-Highlighter-Contouring-Highlighting/dp/B0B9RP95L6/ref=sr_1_6?keywords=5+Color+Concealer+Palette&amp;qid=1695565561&amp;sr=8-6", "https://www.amazon.com/Music-Flower-Highlighter-Contouring-Highlighting/dp/B0B9RP95L6/ref=sr_1_6?keywords=5+Color+Concealer+Palette&amp;qid=1695565561&amp;sr=8-6")</f>
        <v/>
      </c>
      <c r="F2264" t="inlineStr">
        <is>
          <t>B0B9RP95L6</t>
        </is>
      </c>
      <c r="G2264">
        <f>_xlfn.IMAGE("https://camerareadycosmetics.com/cdn/shop/products/apn-palette-5-cream-concealers-3_50x.jpg?v=1616788943")</f>
        <v/>
      </c>
      <c r="H2264">
        <f>_xlfn.IMAGE("https://m.media-amazon.com/images/I/61gtdJ3B5LL._AC_UL320_.jpg")</f>
        <v/>
      </c>
      <c r="K2264" t="inlineStr">
        <is>
          <t>36.0</t>
        </is>
      </c>
      <c r="L2264" t="n">
        <v>9.66</v>
      </c>
      <c r="M2264" s="1" t="inlineStr">
        <is>
          <t>-73.17%</t>
        </is>
      </c>
      <c r="N2264" t="n">
        <v>2.9</v>
      </c>
      <c r="O2264" t="n">
        <v>4</v>
      </c>
      <c r="Q2264" t="inlineStr">
        <is>
          <t>InStock</t>
        </is>
      </c>
      <c r="R2264" t="inlineStr">
        <is>
          <t>undefined</t>
        </is>
      </c>
      <c r="S2264" t="inlineStr">
        <is>
          <t>2011233747055</t>
        </is>
      </c>
    </row>
    <row r="2265" ht="75" customHeight="1">
      <c r="A2265" s="2">
        <f>HYPERLINK("https://camerareadycosmetics.com/products/make-up-atelier-5-color-concealer-palette", "https://camerareadycosmetics.com/products/make-up-atelier-5-color-concealer-palette")</f>
        <v/>
      </c>
      <c r="B2265" s="2">
        <f>HYPERLINK("https://camerareadycosmetics.com/products/make-up-atelier-5-color-concealer-palette", "https://camerareadycosmetics.com/products/make-up-atelier-5-color-concealer-palette")</f>
        <v/>
      </c>
      <c r="C2265" t="inlineStr">
        <is>
          <t>5 Color Concealer Palette</t>
        </is>
      </c>
      <c r="D2265" t="inlineStr">
        <is>
          <t>FOCALLURE Color Correcting Concealer Palette - 5 Colors Corrector Palette - Cream Camouflage Contour Palette - Face Contouring Highlighter Pallet - Conceals Dark Circles,Blemishes,Redness</t>
        </is>
      </c>
      <c r="E2265" s="2">
        <f>HYPERLINK("https://www.amazon.com/FOCALLURE-Color-Correcting-Concealer-Palette/dp/B09QXK9Y9Q/ref=sr_1_2?keywords=5+Color+Concealer+Palette&amp;qid=1695565561&amp;sr=8-2", "https://www.amazon.com/FOCALLURE-Color-Correcting-Concealer-Palette/dp/B09QXK9Y9Q/ref=sr_1_2?keywords=5+Color+Concealer+Palette&amp;qid=1695565561&amp;sr=8-2")</f>
        <v/>
      </c>
      <c r="F2265" t="inlineStr">
        <is>
          <t>B09QXK9Y9Q</t>
        </is>
      </c>
      <c r="G2265">
        <f>_xlfn.IMAGE("https://camerareadycosmetics.com/cdn/shop/products/apn-palette-5-cream-concealers-3_50x.jpg?v=1616788943")</f>
        <v/>
      </c>
      <c r="H2265">
        <f>_xlfn.IMAGE("https://m.media-amazon.com/images/I/61ZJR5zKklL._AC_UL320_.jpg")</f>
        <v/>
      </c>
      <c r="K2265" t="inlineStr">
        <is>
          <t>36.0</t>
        </is>
      </c>
      <c r="L2265" t="n">
        <v>9.550000000000001</v>
      </c>
      <c r="M2265" s="1" t="inlineStr">
        <is>
          <t>-73.47%</t>
        </is>
      </c>
      <c r="N2265" t="n">
        <v>4.1</v>
      </c>
      <c r="O2265" t="n">
        <v>125</v>
      </c>
      <c r="Q2265" t="inlineStr">
        <is>
          <t>InStock</t>
        </is>
      </c>
      <c r="R2265" t="inlineStr">
        <is>
          <t>undefined</t>
        </is>
      </c>
      <c r="S2265" t="inlineStr">
        <is>
          <t>2011233747055</t>
        </is>
      </c>
    </row>
    <row r="2266" ht="75" customHeight="1">
      <c r="A2266" s="2">
        <f>HYPERLINK("https://camerareadycosmetics.com/products/make-up-atelier-5-color-concealer-palette", "https://camerareadycosmetics.com/products/make-up-atelier-5-color-concealer-palette")</f>
        <v/>
      </c>
      <c r="B2266" s="2">
        <f>HYPERLINK("https://camerareadycosmetics.com/products/make-up-atelier-5-color-concealer-palette", "https://camerareadycosmetics.com/products/make-up-atelier-5-color-concealer-palette")</f>
        <v/>
      </c>
      <c r="C2266" t="inlineStr">
        <is>
          <t>5 Color Concealer Palette</t>
        </is>
      </c>
      <c r="D2266" t="inlineStr">
        <is>
          <t>Erinde 5 Colors Concealer Palette, 3 In 1 Cream Concealer, Contour, Foundation, Color Corrector for Dark Circles, Waterproof Long-Lasting, Full Cover Concealer Makeup with Concealer Brush</t>
        </is>
      </c>
      <c r="E2266" s="2">
        <f>HYPERLINK("https://www.amazon.com/Erinde-Concealer-Foundation-Waterproof-Long-Lasting/dp/B0C6KFX2N1/ref=sr_1_4?keywords=5+Color+Concealer+Palette&amp;qid=1695565561&amp;sr=8-4", "https://www.amazon.com/Erinde-Concealer-Foundation-Waterproof-Long-Lasting/dp/B0C6KFX2N1/ref=sr_1_4?keywords=5+Color+Concealer+Palette&amp;qid=1695565561&amp;sr=8-4")</f>
        <v/>
      </c>
      <c r="F2266" t="inlineStr">
        <is>
          <t>B0C6KFX2N1</t>
        </is>
      </c>
      <c r="G2266">
        <f>_xlfn.IMAGE("https://camerareadycosmetics.com/cdn/shop/products/apn-palette-5-cream-concealers-3_50x.jpg?v=1616788943")</f>
        <v/>
      </c>
      <c r="H2266">
        <f>_xlfn.IMAGE("https://m.media-amazon.com/images/I/617zRV1Zl7L._AC_UL320_.jpg")</f>
        <v/>
      </c>
      <c r="K2266" t="inlineStr">
        <is>
          <t>36.0</t>
        </is>
      </c>
      <c r="L2266" t="n">
        <v>7.99</v>
      </c>
      <c r="M2266" s="1" t="inlineStr">
        <is>
          <t>-77.81%</t>
        </is>
      </c>
      <c r="N2266" t="n">
        <v>3.8</v>
      </c>
      <c r="O2266" t="n">
        <v>295</v>
      </c>
      <c r="Q2266" t="inlineStr">
        <is>
          <t>InStock</t>
        </is>
      </c>
      <c r="R2266" t="inlineStr">
        <is>
          <t>undefined</t>
        </is>
      </c>
      <c r="S2266" t="inlineStr">
        <is>
          <t>2011233747055</t>
        </is>
      </c>
    </row>
    <row r="2267" ht="75" customHeight="1">
      <c r="A2267" s="2">
        <f>HYPERLINK("https://camerareadycosmetics.com/products/make-up-atelier-5-color-contour-palette", "https://camerareadycosmetics.com/products/make-up-atelier-5-color-contour-palette")</f>
        <v/>
      </c>
      <c r="B2267" s="2">
        <f>HYPERLINK("https://camerareadycosmetics.com/products/make-up-atelier-5-color-contour-palette", "https://camerareadycosmetics.com/products/make-up-atelier-5-color-contour-palette")</f>
        <v/>
      </c>
      <c r="C2267" t="inlineStr">
        <is>
          <t>5 Cream Color Contour Palette</t>
        </is>
      </c>
      <c r="D2267" t="inlineStr">
        <is>
          <t>Graftobian HD Glamour Crème Foundation Palette (Highlight &amp; Contour Light) - High Definition 5 Color Makeup Palette, Cream Based Hi-Lite and Contour Palette, Full Coverage - Light Skin Shades</t>
        </is>
      </c>
      <c r="E2267" s="2">
        <f>HYPERLINK("https://www.amazon.com/Graftobian-Foundation-Palette-Hi-Lite-Contour/dp/B01LMMNVHI/ref=sr_1_2?keywords=5+Cream+Color+Contour+Palette&amp;qid=1695565724&amp;sr=8-2", "https://www.amazon.com/Graftobian-Foundation-Palette-Hi-Lite-Contour/dp/B01LMMNVHI/ref=sr_1_2?keywords=5+Cream+Color+Contour+Palette&amp;qid=1695565724&amp;sr=8-2")</f>
        <v/>
      </c>
      <c r="F2267" t="inlineStr">
        <is>
          <t>B01LMMNVHI</t>
        </is>
      </c>
      <c r="G2267">
        <f>_xlfn.IMAGE("https://camerareadycosmetics.com/cdn/shop/products/warm-brown-cream-modeling-palette_50x.jpg?v=1646356142")</f>
        <v/>
      </c>
      <c r="H2267">
        <f>_xlfn.IMAGE("https://m.media-amazon.com/images/I/714TrHFvCiL._AC_UL320_.jpg")</f>
        <v/>
      </c>
      <c r="K2267" t="inlineStr">
        <is>
          <t>31.05</t>
        </is>
      </c>
      <c r="L2267" t="n">
        <v>32</v>
      </c>
      <c r="M2267" s="1" t="inlineStr">
        <is>
          <t>3.06%</t>
        </is>
      </c>
      <c r="N2267" t="n">
        <v>4.2</v>
      </c>
      <c r="O2267" t="n">
        <v>577</v>
      </c>
      <c r="Q2267" t="inlineStr">
        <is>
          <t>OutOfStock</t>
        </is>
      </c>
      <c r="R2267" t="inlineStr">
        <is>
          <t>undefined</t>
        </is>
      </c>
      <c r="S2267" t="inlineStr">
        <is>
          <t>6609540874425</t>
        </is>
      </c>
    </row>
    <row r="2268" ht="75" customHeight="1">
      <c r="A2268" s="2">
        <f>HYPERLINK("https://camerareadycosmetics.com/products/make-up-atelier-5-color-contour-palette", "https://camerareadycosmetics.com/products/make-up-atelier-5-color-contour-palette")</f>
        <v/>
      </c>
      <c r="B2268" s="2">
        <f>HYPERLINK("https://camerareadycosmetics.com/products/make-up-atelier-5-color-contour-palette", "https://camerareadycosmetics.com/products/make-up-atelier-5-color-contour-palette")</f>
        <v/>
      </c>
      <c r="C2268" t="inlineStr">
        <is>
          <t>5 Cream Color Contour Palette</t>
        </is>
      </c>
      <c r="D2268" t="inlineStr">
        <is>
          <t>Youngfocus Cosmetics Cream Contour Best 8 Colors and Highlighting Makeup Kit - Contouring Foundation/Concealer Palette - Vegan, Cruelty Free &amp; Hypoallergenic - Step-by-Step Instructions Included</t>
        </is>
      </c>
      <c r="E2268" s="2">
        <f>HYPERLINK("https://www.amazon.com/Youngfocus-Cosmetics-Contour-Contouring-Foundation/dp/B078SPWH8T/ref=sr_1_3?keywords=5+Cream+Color+Contour+Palette&amp;qid=1695565724&amp;sr=8-3", "https://www.amazon.com/Youngfocus-Cosmetics-Contour-Contouring-Foundation/dp/B078SPWH8T/ref=sr_1_3?keywords=5+Cream+Color+Contour+Palette&amp;qid=1695565724&amp;sr=8-3")</f>
        <v/>
      </c>
      <c r="F2268" t="inlineStr">
        <is>
          <t>B078SPWH8T</t>
        </is>
      </c>
      <c r="G2268">
        <f>_xlfn.IMAGE("https://camerareadycosmetics.com/cdn/shop/products/warm-brown-cream-modeling-palette_50x.jpg?v=1646356142")</f>
        <v/>
      </c>
      <c r="H2268">
        <f>_xlfn.IMAGE("https://m.media-amazon.com/images/I/61RV59+JM2L._AC_UL320_.jpg")</f>
        <v/>
      </c>
      <c r="K2268" t="inlineStr">
        <is>
          <t>31.05</t>
        </is>
      </c>
      <c r="L2268" t="n">
        <v>18.99</v>
      </c>
      <c r="M2268" s="1" t="inlineStr">
        <is>
          <t>-38.84%</t>
        </is>
      </c>
      <c r="N2268" t="n">
        <v>4.1</v>
      </c>
      <c r="O2268" t="n">
        <v>2585</v>
      </c>
      <c r="Q2268" t="inlineStr">
        <is>
          <t>OutOfStock</t>
        </is>
      </c>
      <c r="R2268" t="inlineStr">
        <is>
          <t>undefined</t>
        </is>
      </c>
      <c r="S2268" t="inlineStr">
        <is>
          <t>6609540874425</t>
        </is>
      </c>
    </row>
    <row r="2269" ht="75" customHeight="1">
      <c r="A2269" s="2">
        <f>HYPERLINK("https://camerareadycosmetics.com/products/make-up-atelier-5-color-contour-palette", "https://camerareadycosmetics.com/products/make-up-atelier-5-color-contour-palette")</f>
        <v/>
      </c>
      <c r="B2269" s="2">
        <f>HYPERLINK("https://camerareadycosmetics.com/products/make-up-atelier-5-color-contour-palette", "https://camerareadycosmetics.com/products/make-up-atelier-5-color-contour-palette")</f>
        <v/>
      </c>
      <c r="C2269" t="inlineStr">
        <is>
          <t>5 Cream Color Contour Palette</t>
        </is>
      </c>
      <c r="D2269" t="inlineStr">
        <is>
          <t>FALOCUTUS 5 In 1 Multi-Use Correcting Concealer Palette,Waterproof Long Lasting Contour Palette,Professional Creamy Concealer Kit for Women,Easy to Create Full Coverage and Natural Finish.#4</t>
        </is>
      </c>
      <c r="E2269" s="2">
        <f>HYPERLINK("https://www.amazon.com/FALOCUTUS-Multi-Use-Correcting-Waterproof-Professional/dp/B0C4HB3PD7/ref=sr_1_8?keywords=5+Cream+Color+Contour+Palette&amp;qid=1695565724&amp;sr=8-8", "https://www.amazon.com/FALOCUTUS-Multi-Use-Correcting-Waterproof-Professional/dp/B0C4HB3PD7/ref=sr_1_8?keywords=5+Cream+Color+Contour+Palette&amp;qid=1695565724&amp;sr=8-8")</f>
        <v/>
      </c>
      <c r="F2269" t="inlineStr">
        <is>
          <t>B0C4HB3PD7</t>
        </is>
      </c>
      <c r="G2269">
        <f>_xlfn.IMAGE("https://camerareadycosmetics.com/cdn/shop/products/warm-brown-cream-modeling-palette_50x.jpg?v=1646356142")</f>
        <v/>
      </c>
      <c r="H2269">
        <f>_xlfn.IMAGE("https://m.media-amazon.com/images/I/61hSnwQ85CL._AC_UL320_.jpg")</f>
        <v/>
      </c>
      <c r="K2269" t="inlineStr">
        <is>
          <t>31.05</t>
        </is>
      </c>
      <c r="L2269" t="n">
        <v>9.949999999999999</v>
      </c>
      <c r="M2269" s="1" t="inlineStr">
        <is>
          <t>-67.95%</t>
        </is>
      </c>
      <c r="N2269" t="n">
        <v>4.4</v>
      </c>
      <c r="O2269" t="n">
        <v>49</v>
      </c>
      <c r="Q2269" t="inlineStr">
        <is>
          <t>OutOfStock</t>
        </is>
      </c>
      <c r="R2269" t="inlineStr">
        <is>
          <t>undefined</t>
        </is>
      </c>
      <c r="S2269" t="inlineStr">
        <is>
          <t>6609540874425</t>
        </is>
      </c>
    </row>
    <row r="2270" ht="75" customHeight="1">
      <c r="A2270" s="2">
        <f>HYPERLINK("https://camerareadycosmetics.com/products/make-up-atelier-5-color-contour-palette", "https://camerareadycosmetics.com/products/make-up-atelier-5-color-contour-palette")</f>
        <v/>
      </c>
      <c r="B2270" s="2">
        <f>HYPERLINK("https://camerareadycosmetics.com/products/make-up-atelier-5-color-contour-palette", "https://camerareadycosmetics.com/products/make-up-atelier-5-color-contour-palette")</f>
        <v/>
      </c>
      <c r="C2270" t="inlineStr">
        <is>
          <t>5 Cream Color Contour Palette</t>
        </is>
      </c>
      <c r="D2270" t="inlineStr">
        <is>
          <t>FOCALLURE Color Correcting Concealer Palette - 5 Colors Corrector Palette - Cream Camouflage Contour Palette - Face Contouring Highlighter Pallet - Conceals Dark Circles,Blemishes,Redness</t>
        </is>
      </c>
      <c r="E2270" s="2">
        <f>HYPERLINK("https://www.amazon.com/FOCALLURE-Color-Correcting-Concealer-Palette/dp/B09QXK9Y9Q/ref=sr_1_1?keywords=5+Cream+Color+Contour+Palette&amp;qid=1695565724&amp;sr=8-1", "https://www.amazon.com/FOCALLURE-Color-Correcting-Concealer-Palette/dp/B09QXK9Y9Q/ref=sr_1_1?keywords=5+Cream+Color+Contour+Palette&amp;qid=1695565724&amp;sr=8-1")</f>
        <v/>
      </c>
      <c r="F2270" t="inlineStr">
        <is>
          <t>B09QXK9Y9Q</t>
        </is>
      </c>
      <c r="G2270">
        <f>_xlfn.IMAGE("https://camerareadycosmetics.com/cdn/shop/products/warm-brown-cream-modeling-palette_50x.jpg?v=1646356142")</f>
        <v/>
      </c>
      <c r="H2270">
        <f>_xlfn.IMAGE("https://m.media-amazon.com/images/I/61ZJR5zKklL._AC_UL320_.jpg")</f>
        <v/>
      </c>
      <c r="K2270" t="inlineStr">
        <is>
          <t>31.05</t>
        </is>
      </c>
      <c r="L2270" t="n">
        <v>9.449999999999999</v>
      </c>
      <c r="M2270" s="1" t="inlineStr">
        <is>
          <t>-69.57%</t>
        </is>
      </c>
      <c r="N2270" t="n">
        <v>4.1</v>
      </c>
      <c r="O2270" t="n">
        <v>125</v>
      </c>
      <c r="Q2270" t="inlineStr">
        <is>
          <t>OutOfStock</t>
        </is>
      </c>
      <c r="R2270" t="inlineStr">
        <is>
          <t>undefined</t>
        </is>
      </c>
      <c r="S2270" t="inlineStr">
        <is>
          <t>6609540874425</t>
        </is>
      </c>
    </row>
    <row r="2271" ht="75" customHeight="1">
      <c r="A2271" s="2">
        <f>HYPERLINK("https://camerareadycosmetics.com/products/make-up-atelier-5-color-contour-palette", "https://camerareadycosmetics.com/products/make-up-atelier-5-color-contour-palette")</f>
        <v/>
      </c>
      <c r="B2271" s="2">
        <f>HYPERLINK("https://camerareadycosmetics.com/products/make-up-atelier-5-color-contour-palette", "https://camerareadycosmetics.com/products/make-up-atelier-5-color-contour-palette")</f>
        <v/>
      </c>
      <c r="C2271" t="inlineStr">
        <is>
          <t>5 Cream Color Contour Palette</t>
        </is>
      </c>
      <c r="D2271" t="inlineStr">
        <is>
          <t>Kusslippe 5 Shades Cream Makeup Contour Palette, Contouring Highlighter Kit, Correct and Conceal Dark Circles, Wrinkles, and Redness (5 Colors)</t>
        </is>
      </c>
      <c r="E2271" s="2">
        <f>HYPERLINK("https://www.amazon.com/Kusslippe-Contour-Contouring-Highlighter-Wrinkles/dp/B09YRJF5ZY/ref=sr_1_4?keywords=5+Cream+Color+Contour+Palette&amp;qid=1695565724&amp;sr=8-4", "https://www.amazon.com/Kusslippe-Contour-Contouring-Highlighter-Wrinkles/dp/B09YRJF5ZY/ref=sr_1_4?keywords=5+Cream+Color+Contour+Palette&amp;qid=1695565724&amp;sr=8-4")</f>
        <v/>
      </c>
      <c r="F2271" t="inlineStr">
        <is>
          <t>B09YRJF5ZY</t>
        </is>
      </c>
      <c r="G2271">
        <f>_xlfn.IMAGE("https://camerareadycosmetics.com/cdn/shop/products/warm-brown-cream-modeling-palette_50x.jpg?v=1646356142")</f>
        <v/>
      </c>
      <c r="H2271">
        <f>_xlfn.IMAGE("https://m.media-amazon.com/images/I/515LZdfnjfL._AC_UL320_.jpg")</f>
        <v/>
      </c>
      <c r="K2271" t="inlineStr">
        <is>
          <t>31.05</t>
        </is>
      </c>
      <c r="L2271" t="n">
        <v>8.99</v>
      </c>
      <c r="M2271" s="1" t="inlineStr">
        <is>
          <t>-71.05%</t>
        </is>
      </c>
      <c r="N2271" t="n">
        <v>3.6</v>
      </c>
      <c r="O2271" t="n">
        <v>62</v>
      </c>
      <c r="Q2271" t="inlineStr">
        <is>
          <t>OutOfStock</t>
        </is>
      </c>
      <c r="R2271" t="inlineStr">
        <is>
          <t>undefined</t>
        </is>
      </c>
      <c r="S2271" t="inlineStr">
        <is>
          <t>6609540874425</t>
        </is>
      </c>
    </row>
    <row r="2272" ht="75" customHeight="1">
      <c r="A2272" s="2">
        <f>HYPERLINK("https://camerareadycosmetics.com/products/make-up-atelier-5-color-contour-palette", "https://camerareadycosmetics.com/products/make-up-atelier-5-color-contour-palette")</f>
        <v/>
      </c>
      <c r="B2272" s="2">
        <f>HYPERLINK("https://camerareadycosmetics.com/products/make-up-atelier-5-color-contour-palette", "https://camerareadycosmetics.com/products/make-up-atelier-5-color-contour-palette")</f>
        <v/>
      </c>
      <c r="C2272" t="inlineStr">
        <is>
          <t>5 Cream Color Contour Palette</t>
        </is>
      </c>
      <c r="D2272" t="inlineStr">
        <is>
          <t>6Color Peach Orange Color Corrector Contour Palette Kit for Women,Cream Makeup Palettes Full Coverage Cream Foundation for Mature Skin,Contour Palette Powder Contour Kit,Cream Concealer Palette Makeup</t>
        </is>
      </c>
      <c r="E2272" s="2">
        <f>HYPERLINK("https://www.amazon.com/Corrector-Palettes-Coverage-Foundation-Concealer/dp/B0C2KKMNF2/ref=sr_1_6?keywords=5+Cream+Color+Contour+Palette&amp;qid=1695565724&amp;sr=8-6", "https://www.amazon.com/Corrector-Palettes-Coverage-Foundation-Concealer/dp/B0C2KKMNF2/ref=sr_1_6?keywords=5+Cream+Color+Contour+Palette&amp;qid=1695565724&amp;sr=8-6")</f>
        <v/>
      </c>
      <c r="F2272" t="inlineStr">
        <is>
          <t>B0C2KKMNF2</t>
        </is>
      </c>
      <c r="G2272">
        <f>_xlfn.IMAGE("https://camerareadycosmetics.com/cdn/shop/products/warm-brown-cream-modeling-palette_50x.jpg?v=1646356142")</f>
        <v/>
      </c>
      <c r="H2272">
        <f>_xlfn.IMAGE("https://m.media-amazon.com/images/I/51l-iSGCskL._AC_UL320_.jpg")</f>
        <v/>
      </c>
      <c r="K2272" t="inlineStr">
        <is>
          <t>31.05</t>
        </is>
      </c>
      <c r="L2272" t="n">
        <v>7.99</v>
      </c>
      <c r="M2272" s="1" t="inlineStr">
        <is>
          <t>-74.27%</t>
        </is>
      </c>
      <c r="N2272" t="n">
        <v>3.8</v>
      </c>
      <c r="O2272" t="n">
        <v>34</v>
      </c>
      <c r="Q2272" t="inlineStr">
        <is>
          <t>OutOfStock</t>
        </is>
      </c>
      <c r="R2272" t="inlineStr">
        <is>
          <t>undefined</t>
        </is>
      </c>
      <c r="S2272" t="inlineStr">
        <is>
          <t>6609540874425</t>
        </is>
      </c>
    </row>
    <row r="2273" ht="75" customHeight="1">
      <c r="A2273" s="2">
        <f>HYPERLINK("https://camerareadycosmetics.com/products/make-up-atelier-5-color-contour-palette", "https://camerareadycosmetics.com/products/make-up-atelier-5-color-contour-palette")</f>
        <v/>
      </c>
      <c r="B2273" s="2">
        <f>HYPERLINK("https://camerareadycosmetics.com/products/make-up-atelier-5-color-contour-palette", "https://camerareadycosmetics.com/products/make-up-atelier-5-color-contour-palette")</f>
        <v/>
      </c>
      <c r="C2273" t="inlineStr">
        <is>
          <t>5 Cream Color Contour Palette</t>
        </is>
      </c>
      <c r="D2273" t="inlineStr">
        <is>
          <t>Erinde 5 Colors Concealer Palette, 3 In 1 Cream Concealer, Contour, Foundation, Color Corrector for Dark Circles, Waterproof Long-Lasting, Full Cover Concealer Makeup with Concealer Brush</t>
        </is>
      </c>
      <c r="E2273" s="2">
        <f>HYPERLINK("https://www.amazon.com/Erinde-Concealer-Foundation-Waterproof-Long-Lasting/dp/B0C6KFX2N1/ref=sr_1_5?keywords=5+Cream+Color+Contour+Palette&amp;qid=1695565724&amp;sr=8-5", "https://www.amazon.com/Erinde-Concealer-Foundation-Waterproof-Long-Lasting/dp/B0C6KFX2N1/ref=sr_1_5?keywords=5+Cream+Color+Contour+Palette&amp;qid=1695565724&amp;sr=8-5")</f>
        <v/>
      </c>
      <c r="F2273" t="inlineStr">
        <is>
          <t>B0C6KFX2N1</t>
        </is>
      </c>
      <c r="G2273">
        <f>_xlfn.IMAGE("https://camerareadycosmetics.com/cdn/shop/products/warm-brown-cream-modeling-palette_50x.jpg?v=1646356142")</f>
        <v/>
      </c>
      <c r="H2273">
        <f>_xlfn.IMAGE("https://m.media-amazon.com/images/I/617zRV1Zl7L._AC_UL320_.jpg")</f>
        <v/>
      </c>
      <c r="K2273" t="inlineStr">
        <is>
          <t>31.05</t>
        </is>
      </c>
      <c r="L2273" t="n">
        <v>7.99</v>
      </c>
      <c r="M2273" s="1" t="inlineStr">
        <is>
          <t>-74.27%</t>
        </is>
      </c>
      <c r="N2273" t="n">
        <v>3.8</v>
      </c>
      <c r="O2273" t="n">
        <v>295</v>
      </c>
      <c r="Q2273" t="inlineStr">
        <is>
          <t>OutOfStock</t>
        </is>
      </c>
      <c r="R2273" t="inlineStr">
        <is>
          <t>undefined</t>
        </is>
      </c>
      <c r="S2273" t="inlineStr">
        <is>
          <t>6609540874425</t>
        </is>
      </c>
    </row>
    <row r="2274" ht="75" customHeight="1">
      <c r="A2274" s="2">
        <f>HYPERLINK("https://camerareadycosmetics.com/products/make-up-atelier-5-color-contour-palette", "https://camerareadycosmetics.com/products/make-up-atelier-5-color-contour-palette")</f>
        <v/>
      </c>
      <c r="B2274" s="2">
        <f>HYPERLINK("https://camerareadycosmetics.com/products/make-up-atelier-5-color-contour-palette", "https://camerareadycosmetics.com/products/make-up-atelier-5-color-contour-palette")</f>
        <v/>
      </c>
      <c r="C2274" t="inlineStr">
        <is>
          <t>5 Cream Color Contour Palette</t>
        </is>
      </c>
      <c r="D2274" t="inlineStr">
        <is>
          <t>6 Colors Correcting Concealer Palette, Concealer Makeup Cream Contour Palette - 6 In 1 Liquid Contour Highlighting Makeup Kit, Contouring Concealer Palette for Conceals Dark Circles, Blemish (02)</t>
        </is>
      </c>
      <c r="E2274" s="2">
        <f>HYPERLINK("https://www.amazon.com/Cream-Contour-Palette-Concealer-Makeup/dp/B09XN7PDSG/ref=sr_1_9?keywords=5+Cream+Color+Contour+Palette&amp;qid=1695565724&amp;sr=8-9", "https://www.amazon.com/Cream-Contour-Palette-Concealer-Makeup/dp/B09XN7PDSG/ref=sr_1_9?keywords=5+Cream+Color+Contour+Palette&amp;qid=1695565724&amp;sr=8-9")</f>
        <v/>
      </c>
      <c r="F2274" t="inlineStr">
        <is>
          <t>B09XN7PDSG</t>
        </is>
      </c>
      <c r="G2274">
        <f>_xlfn.IMAGE("https://camerareadycosmetics.com/cdn/shop/products/warm-brown-cream-modeling-palette_50x.jpg?v=1646356142")</f>
        <v/>
      </c>
      <c r="H2274">
        <f>_xlfn.IMAGE("https://m.media-amazon.com/images/I/61i-BxA+kUL._AC_UL320_.jpg")</f>
        <v/>
      </c>
      <c r="K2274" t="inlineStr">
        <is>
          <t>31.05</t>
        </is>
      </c>
      <c r="L2274" t="n">
        <v>6.98</v>
      </c>
      <c r="M2274" s="1" t="inlineStr">
        <is>
          <t>-77.52%</t>
        </is>
      </c>
      <c r="N2274" t="n">
        <v>3.9</v>
      </c>
      <c r="O2274" t="n">
        <v>115</v>
      </c>
      <c r="Q2274" t="inlineStr">
        <is>
          <t>OutOfStock</t>
        </is>
      </c>
      <c r="R2274" t="inlineStr">
        <is>
          <t>undefined</t>
        </is>
      </c>
      <c r="S2274" t="inlineStr">
        <is>
          <t>6609540874425</t>
        </is>
      </c>
    </row>
    <row r="2275" ht="75" customHeight="1">
      <c r="A2275" s="2">
        <f>HYPERLINK("https://camerareadycosmetics.com/products/make-up-atelier-5-color-contour-palette", "https://camerareadycosmetics.com/products/make-up-atelier-5-color-contour-palette")</f>
        <v/>
      </c>
      <c r="B2275" s="2">
        <f>HYPERLINK("https://camerareadycosmetics.com/products/make-up-atelier-5-color-contour-palette", "https://camerareadycosmetics.com/products/make-up-atelier-5-color-contour-palette")</f>
        <v/>
      </c>
      <c r="C2275" t="inlineStr">
        <is>
          <t>5 Cream Color Contour Palette</t>
        </is>
      </c>
      <c r="D2275" t="inlineStr">
        <is>
          <t>FALOCUTUS 5 In 1 Multi-Use Correcting Concealer Palette,Waterproof Long Lasting Contour Palette,Professional Creamy Concealer Kit for Women,Easy to Create Full Coverage and Natural Finish.#4</t>
        </is>
      </c>
      <c r="E2275" s="2">
        <f>HYPERLINK("https://www.amazon.com/FALOCUTUS-Multi-Use-Correcting-Waterproof-Professional/dp/B0C4HB3PD7/ref=sr_1_8?keywords=5+Cream+Color+Contour+Palette&amp;qid=1695565724&amp;sr=8-8", "https://www.amazon.com/FALOCUTUS-Multi-Use-Correcting-Waterproof-Professional/dp/B0C4HB3PD7/ref=sr_1_8?keywords=5+Cream+Color+Contour+Palette&amp;qid=1695565724&amp;sr=8-8")</f>
        <v/>
      </c>
      <c r="F2275" t="inlineStr">
        <is>
          <t>B0C4HB3PD7</t>
        </is>
      </c>
      <c r="G2275">
        <f>_xlfn.IMAGE("https://camerareadycosmetics.com/cdn/shop/products/warm-brown-cream-modeling-palette_50x.jpg?v=1646356142")</f>
        <v/>
      </c>
      <c r="H2275">
        <f>_xlfn.IMAGE("https://m.media-amazon.com/images/I/61hSnwQ85CL._AC_UL320_.jpg")</f>
        <v/>
      </c>
      <c r="K2275" t="inlineStr">
        <is>
          <t>31.05</t>
        </is>
      </c>
      <c r="L2275" t="n">
        <v>9.949999999999999</v>
      </c>
      <c r="M2275" s="1" t="inlineStr">
        <is>
          <t>-67.95%</t>
        </is>
      </c>
      <c r="N2275" t="n">
        <v>4.4</v>
      </c>
      <c r="O2275" t="n">
        <v>49</v>
      </c>
      <c r="Q2275" t="inlineStr">
        <is>
          <t>OutOfStock</t>
        </is>
      </c>
      <c r="R2275" t="inlineStr">
        <is>
          <t>undefined</t>
        </is>
      </c>
      <c r="S2275" t="inlineStr">
        <is>
          <t>6609540874425</t>
        </is>
      </c>
    </row>
    <row r="2276" ht="75" customHeight="1">
      <c r="A2276" s="2">
        <f>HYPERLINK("https://camerareadycosmetics.com/products/make-up-atelier-5-color-contour-palette", "https://camerareadycosmetics.com/products/make-up-atelier-5-color-contour-palette")</f>
        <v/>
      </c>
      <c r="B2276" s="2">
        <f>HYPERLINK("https://camerareadycosmetics.com/products/make-up-atelier-5-color-contour-palette", "https://camerareadycosmetics.com/products/make-up-atelier-5-color-contour-palette")</f>
        <v/>
      </c>
      <c r="C2276" t="inlineStr">
        <is>
          <t>5 Cream Color Contour Palette</t>
        </is>
      </c>
      <c r="D2276" t="inlineStr">
        <is>
          <t>FOCALLURE Color Correcting Concealer Palette - 5 Colors Corrector Palette - Cream Camouflage Contour Palette - Face Contouring Highlighter Pallet - Conceals Dark Circles,Blemishes,Redness</t>
        </is>
      </c>
      <c r="E2276" s="2">
        <f>HYPERLINK("https://www.amazon.com/FOCALLURE-Color-Correcting-Concealer-Palette/dp/B09QXK9Y9Q/ref=sr_1_1?keywords=5+Cream+Color+Contour+Palette&amp;qid=1695565724&amp;sr=8-1", "https://www.amazon.com/FOCALLURE-Color-Correcting-Concealer-Palette/dp/B09QXK9Y9Q/ref=sr_1_1?keywords=5+Cream+Color+Contour+Palette&amp;qid=1695565724&amp;sr=8-1")</f>
        <v/>
      </c>
      <c r="F2276" t="inlineStr">
        <is>
          <t>B09QXK9Y9Q</t>
        </is>
      </c>
      <c r="G2276">
        <f>_xlfn.IMAGE("https://camerareadycosmetics.com/cdn/shop/products/warm-brown-cream-modeling-palette_50x.jpg?v=1646356142")</f>
        <v/>
      </c>
      <c r="H2276">
        <f>_xlfn.IMAGE("https://m.media-amazon.com/images/I/61ZJR5zKklL._AC_UL320_.jpg")</f>
        <v/>
      </c>
      <c r="K2276" t="inlineStr">
        <is>
          <t>31.05</t>
        </is>
      </c>
      <c r="L2276" t="n">
        <v>9.449999999999999</v>
      </c>
      <c r="M2276" s="1" t="inlineStr">
        <is>
          <t>-69.57%</t>
        </is>
      </c>
      <c r="N2276" t="n">
        <v>4.1</v>
      </c>
      <c r="O2276" t="n">
        <v>125</v>
      </c>
      <c r="Q2276" t="inlineStr">
        <is>
          <t>OutOfStock</t>
        </is>
      </c>
      <c r="R2276" t="inlineStr">
        <is>
          <t>undefined</t>
        </is>
      </c>
      <c r="S2276" t="inlineStr">
        <is>
          <t>6609540874425</t>
        </is>
      </c>
    </row>
    <row r="2277" ht="75" customHeight="1">
      <c r="A2277" s="2">
        <f>HYPERLINK("https://camerareadycosmetics.com/products/make-up-atelier-5-color-contour-palette", "https://camerareadycosmetics.com/products/make-up-atelier-5-color-contour-palette")</f>
        <v/>
      </c>
      <c r="B2277" s="2">
        <f>HYPERLINK("https://camerareadycosmetics.com/products/make-up-atelier-5-color-contour-palette", "https://camerareadycosmetics.com/products/make-up-atelier-5-color-contour-palette")</f>
        <v/>
      </c>
      <c r="C2277" t="inlineStr">
        <is>
          <t>5 Cream Color Contour Palette</t>
        </is>
      </c>
      <c r="D2277" t="inlineStr">
        <is>
          <t>Kusslippe 5 Shades Cream Makeup Contour Palette, Contouring Highlighter Kit, Correct and Conceal Dark Circles, Wrinkles, and Redness (5 Colors)</t>
        </is>
      </c>
      <c r="E2277" s="2">
        <f>HYPERLINK("https://www.amazon.com/Kusslippe-Contour-Contouring-Highlighter-Wrinkles/dp/B09YRJF5ZY/ref=sr_1_4?keywords=5+Cream+Color+Contour+Palette&amp;qid=1695565724&amp;sr=8-4", "https://www.amazon.com/Kusslippe-Contour-Contouring-Highlighter-Wrinkles/dp/B09YRJF5ZY/ref=sr_1_4?keywords=5+Cream+Color+Contour+Palette&amp;qid=1695565724&amp;sr=8-4")</f>
        <v/>
      </c>
      <c r="F2277" t="inlineStr">
        <is>
          <t>B09YRJF5ZY</t>
        </is>
      </c>
      <c r="G2277">
        <f>_xlfn.IMAGE("https://camerareadycosmetics.com/cdn/shop/products/warm-brown-cream-modeling-palette_50x.jpg?v=1646356142")</f>
        <v/>
      </c>
      <c r="H2277">
        <f>_xlfn.IMAGE("https://m.media-amazon.com/images/I/515LZdfnjfL._AC_UL320_.jpg")</f>
        <v/>
      </c>
      <c r="K2277" t="inlineStr">
        <is>
          <t>31.05</t>
        </is>
      </c>
      <c r="L2277" t="n">
        <v>8.99</v>
      </c>
      <c r="M2277" s="1" t="inlineStr">
        <is>
          <t>-71.05%</t>
        </is>
      </c>
      <c r="N2277" t="n">
        <v>3.6</v>
      </c>
      <c r="O2277" t="n">
        <v>62</v>
      </c>
      <c r="Q2277" t="inlineStr">
        <is>
          <t>OutOfStock</t>
        </is>
      </c>
      <c r="R2277" t="inlineStr">
        <is>
          <t>undefined</t>
        </is>
      </c>
      <c r="S2277" t="inlineStr">
        <is>
          <t>6609540874425</t>
        </is>
      </c>
    </row>
    <row r="2278" ht="75" customHeight="1">
      <c r="A2278" s="2">
        <f>HYPERLINK("https://camerareadycosmetics.com/products/make-up-atelier-5-color-contour-palette", "https://camerareadycosmetics.com/products/make-up-atelier-5-color-contour-palette")</f>
        <v/>
      </c>
      <c r="B2278" s="2">
        <f>HYPERLINK("https://camerareadycosmetics.com/products/make-up-atelier-5-color-contour-palette", "https://camerareadycosmetics.com/products/make-up-atelier-5-color-contour-palette")</f>
        <v/>
      </c>
      <c r="C2278" t="inlineStr">
        <is>
          <t>5 Cream Color Contour Palette</t>
        </is>
      </c>
      <c r="D2278" t="inlineStr">
        <is>
          <t>6Color Peach Orange Color Corrector Contour Palette Kit for Women,Cream Makeup Palettes Full Coverage Cream Foundation for Mature Skin,Contour Palette Powder Contour Kit,Cream Concealer Palette Makeup</t>
        </is>
      </c>
      <c r="E2278" s="2">
        <f>HYPERLINK("https://www.amazon.com/Corrector-Palettes-Coverage-Foundation-Concealer/dp/B0C2KKMNF2/ref=sr_1_6?keywords=5+Cream+Color+Contour+Palette&amp;qid=1695565724&amp;sr=8-6", "https://www.amazon.com/Corrector-Palettes-Coverage-Foundation-Concealer/dp/B0C2KKMNF2/ref=sr_1_6?keywords=5+Cream+Color+Contour+Palette&amp;qid=1695565724&amp;sr=8-6")</f>
        <v/>
      </c>
      <c r="F2278" t="inlineStr">
        <is>
          <t>B0C2KKMNF2</t>
        </is>
      </c>
      <c r="G2278">
        <f>_xlfn.IMAGE("https://camerareadycosmetics.com/cdn/shop/products/warm-brown-cream-modeling-palette_50x.jpg?v=1646356142")</f>
        <v/>
      </c>
      <c r="H2278">
        <f>_xlfn.IMAGE("https://m.media-amazon.com/images/I/51l-iSGCskL._AC_UL320_.jpg")</f>
        <v/>
      </c>
      <c r="K2278" t="inlineStr">
        <is>
          <t>31.05</t>
        </is>
      </c>
      <c r="L2278" t="n">
        <v>7.99</v>
      </c>
      <c r="M2278" s="1" t="inlineStr">
        <is>
          <t>-74.27%</t>
        </is>
      </c>
      <c r="N2278" t="n">
        <v>3.8</v>
      </c>
      <c r="O2278" t="n">
        <v>34</v>
      </c>
      <c r="Q2278" t="inlineStr">
        <is>
          <t>OutOfStock</t>
        </is>
      </c>
      <c r="R2278" t="inlineStr">
        <is>
          <t>undefined</t>
        </is>
      </c>
      <c r="S2278" t="inlineStr">
        <is>
          <t>6609540874425</t>
        </is>
      </c>
    </row>
    <row r="2279" ht="75" customHeight="1">
      <c r="A2279" s="2">
        <f>HYPERLINK("https://camerareadycosmetics.com/products/make-up-atelier-5-color-contour-palette", "https://camerareadycosmetics.com/products/make-up-atelier-5-color-contour-palette")</f>
        <v/>
      </c>
      <c r="B2279" s="2">
        <f>HYPERLINK("https://camerareadycosmetics.com/products/make-up-atelier-5-color-contour-palette", "https://camerareadycosmetics.com/products/make-up-atelier-5-color-contour-palette")</f>
        <v/>
      </c>
      <c r="C2279" t="inlineStr">
        <is>
          <t>5 Cream Color Contour Palette</t>
        </is>
      </c>
      <c r="D2279" t="inlineStr">
        <is>
          <t>Erinde 5 Colors Concealer Palette, 3 In 1 Cream Concealer, Contour, Foundation, Color Corrector for Dark Circles, Waterproof Long-Lasting, Full Cover Concealer Makeup with Concealer Brush</t>
        </is>
      </c>
      <c r="E2279" s="2">
        <f>HYPERLINK("https://www.amazon.com/Erinde-Concealer-Foundation-Waterproof-Long-Lasting/dp/B0C6KFX2N1/ref=sr_1_5?keywords=5+Cream+Color+Contour+Palette&amp;qid=1695565724&amp;sr=8-5", "https://www.amazon.com/Erinde-Concealer-Foundation-Waterproof-Long-Lasting/dp/B0C6KFX2N1/ref=sr_1_5?keywords=5+Cream+Color+Contour+Palette&amp;qid=1695565724&amp;sr=8-5")</f>
        <v/>
      </c>
      <c r="F2279" t="inlineStr">
        <is>
          <t>B0C6KFX2N1</t>
        </is>
      </c>
      <c r="G2279">
        <f>_xlfn.IMAGE("https://camerareadycosmetics.com/cdn/shop/products/warm-brown-cream-modeling-palette_50x.jpg?v=1646356142")</f>
        <v/>
      </c>
      <c r="H2279">
        <f>_xlfn.IMAGE("https://m.media-amazon.com/images/I/617zRV1Zl7L._AC_UL320_.jpg")</f>
        <v/>
      </c>
      <c r="K2279" t="inlineStr">
        <is>
          <t>31.05</t>
        </is>
      </c>
      <c r="L2279" t="n">
        <v>7.99</v>
      </c>
      <c r="M2279" s="1" t="inlineStr">
        <is>
          <t>-74.27%</t>
        </is>
      </c>
      <c r="N2279" t="n">
        <v>3.8</v>
      </c>
      <c r="O2279" t="n">
        <v>295</v>
      </c>
      <c r="Q2279" t="inlineStr">
        <is>
          <t>OutOfStock</t>
        </is>
      </c>
      <c r="R2279" t="inlineStr">
        <is>
          <t>undefined</t>
        </is>
      </c>
      <c r="S2279" t="inlineStr">
        <is>
          <t>6609540874425</t>
        </is>
      </c>
    </row>
    <row r="2280" ht="75" customHeight="1">
      <c r="A2280" s="2">
        <f>HYPERLINK("https://camerareadycosmetics.com/products/make-up-atelier-5-color-contour-palette", "https://camerareadycosmetics.com/products/make-up-atelier-5-color-contour-palette")</f>
        <v/>
      </c>
      <c r="B2280" s="2">
        <f>HYPERLINK("https://camerareadycosmetics.com/products/make-up-atelier-5-color-contour-palette", "https://camerareadycosmetics.com/products/make-up-atelier-5-color-contour-palette")</f>
        <v/>
      </c>
      <c r="C2280" t="inlineStr">
        <is>
          <t>5 Cream Color Contour Palette</t>
        </is>
      </c>
      <c r="D2280" t="inlineStr">
        <is>
          <t>6 Colors Correcting Concealer Palette, Concealer Makeup Cream Contour Palette - 6 In 1 Liquid Contour Highlighting Makeup Kit, Contouring Concealer Palette for Conceals Dark Circles, Blemish (02)</t>
        </is>
      </c>
      <c r="E2280" s="2">
        <f>HYPERLINK("https://www.amazon.com/Cream-Contour-Palette-Concealer-Makeup/dp/B09XN7PDSG/ref=sr_1_9?keywords=5+Cream+Color+Contour+Palette&amp;qid=1695565724&amp;sr=8-9", "https://www.amazon.com/Cream-Contour-Palette-Concealer-Makeup/dp/B09XN7PDSG/ref=sr_1_9?keywords=5+Cream+Color+Contour+Palette&amp;qid=1695565724&amp;sr=8-9")</f>
        <v/>
      </c>
      <c r="F2280" t="inlineStr">
        <is>
          <t>B09XN7PDSG</t>
        </is>
      </c>
      <c r="G2280">
        <f>_xlfn.IMAGE("https://camerareadycosmetics.com/cdn/shop/products/warm-brown-cream-modeling-palette_50x.jpg?v=1646356142")</f>
        <v/>
      </c>
      <c r="H2280">
        <f>_xlfn.IMAGE("https://m.media-amazon.com/images/I/61i-BxA+kUL._AC_UL320_.jpg")</f>
        <v/>
      </c>
      <c r="K2280" t="inlineStr">
        <is>
          <t>31.05</t>
        </is>
      </c>
      <c r="L2280" t="n">
        <v>6.98</v>
      </c>
      <c r="M2280" s="1" t="inlineStr">
        <is>
          <t>-77.52%</t>
        </is>
      </c>
      <c r="N2280" t="n">
        <v>3.9</v>
      </c>
      <c r="O2280" t="n">
        <v>115</v>
      </c>
      <c r="Q2280" t="inlineStr">
        <is>
          <t>OutOfStock</t>
        </is>
      </c>
      <c r="R2280" t="inlineStr">
        <is>
          <t>undefined</t>
        </is>
      </c>
      <c r="S2280" t="inlineStr">
        <is>
          <t>6609540874425</t>
        </is>
      </c>
    </row>
    <row r="2281" ht="75" customHeight="1">
      <c r="A2281" s="2">
        <f>HYPERLINK("https://camerareadycosmetics.com/products/make-up-atelier-5-color-eyeshadow-palettes", "https://camerareadycosmetics.com/products/make-up-atelier-5-color-eyeshadow-palettes")</f>
        <v/>
      </c>
      <c r="B2281" s="2">
        <f>HYPERLINK("https://camerareadycosmetics.com/products/make-up-atelier-5-color-eyeshadow-palettes", "https://camerareadycosmetics.com/products/make-up-atelier-5-color-eyeshadow-palettes")</f>
        <v/>
      </c>
      <c r="C2281" t="inlineStr">
        <is>
          <t>5 Color Eyeshadow Palettes</t>
        </is>
      </c>
      <c r="D2281" t="inlineStr">
        <is>
          <t>Lancôme Drama Hypnôse 5-Color Eyeshadow Palette with Long-wear Intense Pigment</t>
        </is>
      </c>
      <c r="E2281" s="2">
        <f>HYPERLINK("https://www.amazon.com/LANCOME-PARIS-Lanc%C3%B4me-Eyeshadow-Long-wear/dp/B07SFGN4M4/ref=sr_1_5?keywords=5+Color+Eyeshadow+Palettes&amp;qid=1695565508&amp;sr=8-5", "https://www.amazon.com/LANCOME-PARIS-Lanc%C3%B4me-Eyeshadow-Long-wear/dp/B07SFGN4M4/ref=sr_1_5?keywords=5+Color+Eyeshadow+Palettes&amp;qid=1695565508&amp;sr=8-5")</f>
        <v/>
      </c>
      <c r="F2281" t="inlineStr">
        <is>
          <t>B07SFGN4M4</t>
        </is>
      </c>
      <c r="G2281">
        <f>_xlfn.IMAGE("https://camerareadycosmetics.com/cdn/shop/products/t34-glam-chic-5-eyeshadows-palette_50x.jpg?v=1622259345")</f>
        <v/>
      </c>
      <c r="H2281">
        <f>_xlfn.IMAGE("https://m.media-amazon.com/images/I/819w8+M4ZZL._AC_UL320_.jpg")</f>
        <v/>
      </c>
      <c r="K2281" t="inlineStr">
        <is>
          <t>36.0</t>
        </is>
      </c>
      <c r="L2281" t="n">
        <v>60</v>
      </c>
      <c r="M2281" s="1" t="inlineStr">
        <is>
          <t>66.67%</t>
        </is>
      </c>
      <c r="N2281" t="n">
        <v>4.6</v>
      </c>
      <c r="O2281" t="n">
        <v>196</v>
      </c>
      <c r="Q2281" t="inlineStr">
        <is>
          <t>InStock</t>
        </is>
      </c>
      <c r="R2281" t="inlineStr">
        <is>
          <t>undefined</t>
        </is>
      </c>
      <c r="S2281" t="inlineStr">
        <is>
          <t>2016110968943</t>
        </is>
      </c>
    </row>
    <row r="2282" ht="75" customHeight="1">
      <c r="A2282" s="2">
        <f>HYPERLINK("https://camerareadycosmetics.com/products/make-up-atelier-5-color-eyeshadow-palettes", "https://camerareadycosmetics.com/products/make-up-atelier-5-color-eyeshadow-palettes")</f>
        <v/>
      </c>
      <c r="B2282" s="2">
        <f>HYPERLINK("https://camerareadycosmetics.com/products/make-up-atelier-5-color-eyeshadow-palettes", "https://camerareadycosmetics.com/products/make-up-atelier-5-color-eyeshadow-palettes")</f>
        <v/>
      </c>
      <c r="C2282" t="inlineStr">
        <is>
          <t>5 Color Eyeshadow Palettes</t>
        </is>
      </c>
      <c r="D2282" t="inlineStr">
        <is>
          <t>120 Color Pro 5 Kind Fashion Eyeshadow Palette Shimmer Eye Shadow Makeup Set (120-03)</t>
        </is>
      </c>
      <c r="E2282" s="2">
        <f>HYPERLINK("https://www.amazon.com/Fashion-Eyeshadow-Palette-Shimmer-Shadow/dp/B07BY6XX8P/ref=sr_1_10?keywords=5+Color+Eyeshadow+Palettes&amp;qid=1695565508&amp;sr=8-10", "https://www.amazon.com/Fashion-Eyeshadow-Palette-Shimmer-Shadow/dp/B07BY6XX8P/ref=sr_1_10?keywords=5+Color+Eyeshadow+Palettes&amp;qid=1695565508&amp;sr=8-10")</f>
        <v/>
      </c>
      <c r="F2282" t="inlineStr">
        <is>
          <t>B07BY6XX8P</t>
        </is>
      </c>
      <c r="G2282">
        <f>_xlfn.IMAGE("https://camerareadycosmetics.com/cdn/shop/products/t34-glam-chic-5-eyeshadows-palette_50x.jpg?v=1622259345")</f>
        <v/>
      </c>
      <c r="H2282">
        <f>_xlfn.IMAGE("https://m.media-amazon.com/images/I/71eLxeWW2LL._AC_UL320_.jpg")</f>
        <v/>
      </c>
      <c r="K2282" t="inlineStr">
        <is>
          <t>36.0</t>
        </is>
      </c>
      <c r="L2282" t="n">
        <v>19.99</v>
      </c>
      <c r="M2282" s="1" t="inlineStr">
        <is>
          <t>-44.47%</t>
        </is>
      </c>
      <c r="N2282" t="n">
        <v>4.2</v>
      </c>
      <c r="O2282" t="n">
        <v>86</v>
      </c>
      <c r="Q2282" t="inlineStr">
        <is>
          <t>InStock</t>
        </is>
      </c>
      <c r="R2282" t="inlineStr">
        <is>
          <t>undefined</t>
        </is>
      </c>
      <c r="S2282" t="inlineStr">
        <is>
          <t>2016110968943</t>
        </is>
      </c>
    </row>
    <row r="2283" ht="75" customHeight="1">
      <c r="A2283" s="2">
        <f>HYPERLINK("https://camerareadycosmetics.com/products/make-up-atelier-5-color-eyeshadow-palettes", "https://camerareadycosmetics.com/products/make-up-atelier-5-color-eyeshadow-palettes")</f>
        <v/>
      </c>
      <c r="B2283" s="2">
        <f>HYPERLINK("https://camerareadycosmetics.com/products/make-up-atelier-5-color-eyeshadow-palettes", "https://camerareadycosmetics.com/products/make-up-atelier-5-color-eyeshadow-palettes")</f>
        <v/>
      </c>
      <c r="C2283" t="inlineStr">
        <is>
          <t>5 Color Eyeshadow Palettes</t>
        </is>
      </c>
      <c r="D2283" t="inlineStr">
        <is>
          <t>Palladio Eyeland Vibes, Escape to the Tropics, 10 Count Eyeshadow Palette, 5 Curated Palettes, Seductive Nudes to Vibrant Hues, Complimentary Shades, Day and Night Looks, Rich Pigment, Paradise</t>
        </is>
      </c>
      <c r="E2283" s="2">
        <f>HYPERLINK("https://www.amazon.com/Palladio-Eyeland-Eyeshadow-Palette-Paradise/dp/B0799QW8FD/ref=sr_1_9?keywords=5+Color+Eyeshadow+Palettes&amp;qid=1695565508&amp;sr=8-9", "https://www.amazon.com/Palladio-Eyeland-Eyeshadow-Palette-Paradise/dp/B0799QW8FD/ref=sr_1_9?keywords=5+Color+Eyeshadow+Palettes&amp;qid=1695565508&amp;sr=8-9")</f>
        <v/>
      </c>
      <c r="F2283" t="inlineStr">
        <is>
          <t>B0799QW8FD</t>
        </is>
      </c>
      <c r="G2283">
        <f>_xlfn.IMAGE("https://camerareadycosmetics.com/cdn/shop/products/t34-glam-chic-5-eyeshadows-palette_50x.jpg?v=1622259345")</f>
        <v/>
      </c>
      <c r="H2283">
        <f>_xlfn.IMAGE("https://m.media-amazon.com/images/I/71oGUlDPErL._AC_UL320_.jpg")</f>
        <v/>
      </c>
      <c r="K2283" t="inlineStr">
        <is>
          <t>36.0</t>
        </is>
      </c>
      <c r="L2283" t="n">
        <v>13.99</v>
      </c>
      <c r="M2283" s="1" t="inlineStr">
        <is>
          <t>-61.14%</t>
        </is>
      </c>
      <c r="N2283" t="n">
        <v>4</v>
      </c>
      <c r="O2283" t="n">
        <v>132</v>
      </c>
      <c r="Q2283" t="inlineStr">
        <is>
          <t>InStock</t>
        </is>
      </c>
      <c r="R2283" t="inlineStr">
        <is>
          <t>undefined</t>
        </is>
      </c>
      <c r="S2283" t="inlineStr">
        <is>
          <t>2016110968943</t>
        </is>
      </c>
    </row>
    <row r="2284" ht="75" customHeight="1">
      <c r="A2284" s="2">
        <f>HYPERLINK("https://camerareadycosmetics.com/products/make-up-atelier-5-color-eyeshadow-palettes", "https://camerareadycosmetics.com/products/make-up-atelier-5-color-eyeshadow-palettes")</f>
        <v/>
      </c>
      <c r="B2284" s="2">
        <f>HYPERLINK("https://camerareadycosmetics.com/products/make-up-atelier-5-color-eyeshadow-palettes", "https://camerareadycosmetics.com/products/make-up-atelier-5-color-eyeshadow-palettes")</f>
        <v/>
      </c>
      <c r="C2284" t="inlineStr">
        <is>
          <t>5 Color Eyeshadow Palettes</t>
        </is>
      </c>
      <c r="D2284" t="inlineStr">
        <is>
          <t>Mallofusa Portable 5 Colors Eye Shadow Palette Trendy Eyeshadow Powder Glitter Makeup Metallic Shimmer Charming Highlight Look (Ice Age) 4.7oz</t>
        </is>
      </c>
      <c r="E2284" s="2">
        <f>HYPERLINK("https://www.amazon.com/Mallofusa-Portable-Eyeshadow-Metallic-Highlight/dp/B00LE3IXQK/ref=sr_1_6?keywords=5+Color+Eyeshadow+Palettes&amp;qid=1695565508&amp;sr=8-6", "https://www.amazon.com/Mallofusa-Portable-Eyeshadow-Metallic-Highlight/dp/B00LE3IXQK/ref=sr_1_6?keywords=5+Color+Eyeshadow+Palettes&amp;qid=1695565508&amp;sr=8-6")</f>
        <v/>
      </c>
      <c r="F2284" t="inlineStr">
        <is>
          <t>B00LE3IXQK</t>
        </is>
      </c>
      <c r="G2284">
        <f>_xlfn.IMAGE("https://camerareadycosmetics.com/cdn/shop/products/t34-glam-chic-5-eyeshadows-palette_50x.jpg?v=1622259345")</f>
        <v/>
      </c>
      <c r="H2284">
        <f>_xlfn.IMAGE("https://m.media-amazon.com/images/I/61j8xgUghvL._AC_UL320_.jpg")</f>
        <v/>
      </c>
      <c r="K2284" t="inlineStr">
        <is>
          <t>36.0</t>
        </is>
      </c>
      <c r="L2284" t="n">
        <v>9.49</v>
      </c>
      <c r="M2284" s="1" t="inlineStr">
        <is>
          <t>-73.64%</t>
        </is>
      </c>
      <c r="N2284" t="n">
        <v>4.2</v>
      </c>
      <c r="O2284" t="n">
        <v>955</v>
      </c>
      <c r="Q2284" t="inlineStr">
        <is>
          <t>InStock</t>
        </is>
      </c>
      <c r="R2284" t="inlineStr">
        <is>
          <t>undefined</t>
        </is>
      </c>
      <c r="S2284" t="inlineStr">
        <is>
          <t>2016110968943</t>
        </is>
      </c>
    </row>
    <row r="2285" ht="75" customHeight="1">
      <c r="A2285" s="2">
        <f>HYPERLINK("https://camerareadycosmetics.com/products/make-up-atelier-5-color-eyeshadow-palettes", "https://camerareadycosmetics.com/products/make-up-atelier-5-color-eyeshadow-palettes")</f>
        <v/>
      </c>
      <c r="B2285" s="2">
        <f>HYPERLINK("https://camerareadycosmetics.com/products/make-up-atelier-5-color-eyeshadow-palettes", "https://camerareadycosmetics.com/products/make-up-atelier-5-color-eyeshadow-palettes")</f>
        <v/>
      </c>
      <c r="C2285" t="inlineStr">
        <is>
          <t>5 Color Eyeshadow Palettes</t>
        </is>
      </c>
      <c r="D2285" t="inlineStr">
        <is>
          <t>L.A. COLORS 5 Color Matte Eyeshadow, Brown Tweed, 0.25 Oz Powder</t>
        </is>
      </c>
      <c r="E2285" s="2">
        <f>HYPERLINK("https://www.amazon.com/L-Colors-Color-Eyeshadow/dp/B01DX1ODPK/ref=sr_1_2?keywords=5+Color+Eyeshadow+Palettes&amp;qid=1695565508&amp;sr=8-2", "https://www.amazon.com/L-Colors-Color-Eyeshadow/dp/B01DX1ODPK/ref=sr_1_2?keywords=5+Color+Eyeshadow+Palettes&amp;qid=1695565508&amp;sr=8-2")</f>
        <v/>
      </c>
      <c r="F2285" t="inlineStr">
        <is>
          <t>B01DX1ODPK</t>
        </is>
      </c>
      <c r="G2285">
        <f>_xlfn.IMAGE("https://camerareadycosmetics.com/cdn/shop/products/t34-glam-chic-5-eyeshadows-palette_50x.jpg?v=1622259345")</f>
        <v/>
      </c>
      <c r="H2285">
        <f>_xlfn.IMAGE("https://m.media-amazon.com/images/I/712btTsDOQL._AC_UL320_.jpg")</f>
        <v/>
      </c>
      <c r="K2285" t="inlineStr">
        <is>
          <t>36.0</t>
        </is>
      </c>
      <c r="L2285" t="n">
        <v>3.5</v>
      </c>
      <c r="M2285" s="1" t="inlineStr">
        <is>
          <t>-90.28%</t>
        </is>
      </c>
      <c r="N2285" t="n">
        <v>4.3</v>
      </c>
      <c r="O2285" t="n">
        <v>10752</v>
      </c>
      <c r="Q2285" t="inlineStr">
        <is>
          <t>InStock</t>
        </is>
      </c>
      <c r="R2285" t="inlineStr">
        <is>
          <t>undefined</t>
        </is>
      </c>
      <c r="S2285" t="inlineStr">
        <is>
          <t>2016110968943</t>
        </is>
      </c>
    </row>
    <row r="2286" ht="75" customHeight="1">
      <c r="A2286" s="2">
        <f>HYPERLINK("https://camerareadycosmetics.com/products/make-up-atelier-5-color-eyeshadow-palettes", "https://camerareadycosmetics.com/products/make-up-atelier-5-color-eyeshadow-palettes")</f>
        <v/>
      </c>
      <c r="B2286" s="2">
        <f>HYPERLINK("https://camerareadycosmetics.com/products/make-up-atelier-5-color-eyeshadow-palettes", "https://camerareadycosmetics.com/products/make-up-atelier-5-color-eyeshadow-palettes")</f>
        <v/>
      </c>
      <c r="C2286" t="inlineStr">
        <is>
          <t>5 Color Eyeshadow Palettes</t>
        </is>
      </c>
      <c r="D2286" t="inlineStr">
        <is>
          <t>wet n wild Color Icon Eyeshadow Makeup 5 Pan Palette, Pink Camo-flaunt, Matte, Shimmer, Metallic, Long Wearing, Rich Buttery Pigment, Cruelty Free</t>
        </is>
      </c>
      <c r="E2286" s="2">
        <f>HYPERLINK("https://www.amazon.com/Wet-Wild-Makeup-Palette-Camo-flaunt/dp/B08RRRRZNK/ref=sr_1_1?keywords=5+Color+Eyeshadow+Palettes&amp;qid=1695565508&amp;rdc=1&amp;sr=8-1", "https://www.amazon.com/Wet-Wild-Makeup-Palette-Camo-flaunt/dp/B08RRRRZNK/ref=sr_1_1?keywords=5+Color+Eyeshadow+Palettes&amp;qid=1695565508&amp;rdc=1&amp;sr=8-1")</f>
        <v/>
      </c>
      <c r="F2286" t="inlineStr">
        <is>
          <t>B08RRRRZNK</t>
        </is>
      </c>
      <c r="G2286">
        <f>_xlfn.IMAGE("https://camerareadycosmetics.com/cdn/shop/products/t34-glam-chic-5-eyeshadows-palette_50x.jpg?v=1622259345")</f>
        <v/>
      </c>
      <c r="H2286">
        <f>_xlfn.IMAGE("https://m.media-amazon.com/images/I/81W1-nrvdFL._AC_UL320_.jpg")</f>
        <v/>
      </c>
      <c r="K2286" t="inlineStr">
        <is>
          <t>36.0</t>
        </is>
      </c>
      <c r="L2286" t="n">
        <v>3.28</v>
      </c>
      <c r="M2286" s="1" t="inlineStr">
        <is>
          <t>-90.89%</t>
        </is>
      </c>
      <c r="N2286" t="n">
        <v>4.3</v>
      </c>
      <c r="O2286" t="n">
        <v>5941</v>
      </c>
      <c r="Q2286" t="inlineStr">
        <is>
          <t>InStock</t>
        </is>
      </c>
      <c r="R2286" t="inlineStr">
        <is>
          <t>undefined</t>
        </is>
      </c>
      <c r="S2286" t="inlineStr">
        <is>
          <t>2016110968943</t>
        </is>
      </c>
    </row>
    <row r="2287" ht="75" customHeight="1">
      <c r="A2287" s="2">
        <f>HYPERLINK("https://camerareadycosmetics.com/products/make-up-atelier-5-color-eyeshadow-palettes", "https://camerareadycosmetics.com/products/make-up-atelier-5-color-eyeshadow-palettes")</f>
        <v/>
      </c>
      <c r="B2287" s="2">
        <f>HYPERLINK("https://camerareadycosmetics.com/products/make-up-atelier-5-color-eyeshadow-palettes", "https://camerareadycosmetics.com/products/make-up-atelier-5-color-eyeshadow-palettes")</f>
        <v/>
      </c>
      <c r="C2287" t="inlineStr">
        <is>
          <t>5 Color Eyeshadow Palettes</t>
        </is>
      </c>
      <c r="D2287" t="inlineStr">
        <is>
          <t>Palladio Eyeland Vibes, Escape to the Tropics, 10 Count Eyeshadow Palette, 5 Curated Palettes, Seductive Nudes to Vibrant Hues, Complimentary Shades, Day and Night Looks, Rich Pigment, Paradise</t>
        </is>
      </c>
      <c r="E2287" s="2">
        <f>HYPERLINK("https://www.amazon.com/Palladio-Eyeland-Eyeshadow-Palette-Paradise/dp/B0799QW8FD/ref=sr_1_9?keywords=5+Color+Eyeshadow+Palettes&amp;qid=1695565508&amp;sr=8-9", "https://www.amazon.com/Palladio-Eyeland-Eyeshadow-Palette-Paradise/dp/B0799QW8FD/ref=sr_1_9?keywords=5+Color+Eyeshadow+Palettes&amp;qid=1695565508&amp;sr=8-9")</f>
        <v/>
      </c>
      <c r="F2287" t="inlineStr">
        <is>
          <t>B0799QW8FD</t>
        </is>
      </c>
      <c r="G2287">
        <f>_xlfn.IMAGE("https://camerareadycosmetics.com/cdn/shop/products/t34-glam-chic-5-eyeshadows-palette_50x.jpg?v=1622259345")</f>
        <v/>
      </c>
      <c r="H2287">
        <f>_xlfn.IMAGE("https://m.media-amazon.com/images/I/71oGUlDPErL._AC_UL320_.jpg")</f>
        <v/>
      </c>
      <c r="K2287" t="inlineStr">
        <is>
          <t>36.0</t>
        </is>
      </c>
      <c r="L2287" t="n">
        <v>13.99</v>
      </c>
      <c r="M2287" s="1" t="inlineStr">
        <is>
          <t>-61.14%</t>
        </is>
      </c>
      <c r="N2287" t="n">
        <v>4</v>
      </c>
      <c r="O2287" t="n">
        <v>132</v>
      </c>
      <c r="Q2287" t="inlineStr">
        <is>
          <t>InStock</t>
        </is>
      </c>
      <c r="R2287" t="inlineStr">
        <is>
          <t>undefined</t>
        </is>
      </c>
      <c r="S2287" t="inlineStr">
        <is>
          <t>2016110968943</t>
        </is>
      </c>
    </row>
    <row r="2288" ht="75" customHeight="1">
      <c r="A2288" s="2">
        <f>HYPERLINK("https://camerareadycosmetics.com/products/make-up-atelier-5-color-eyeshadow-palettes", "https://camerareadycosmetics.com/products/make-up-atelier-5-color-eyeshadow-palettes")</f>
        <v/>
      </c>
      <c r="B2288" s="2">
        <f>HYPERLINK("https://camerareadycosmetics.com/products/make-up-atelier-5-color-eyeshadow-palettes", "https://camerareadycosmetics.com/products/make-up-atelier-5-color-eyeshadow-palettes")</f>
        <v/>
      </c>
      <c r="C2288" t="inlineStr">
        <is>
          <t>5 Color Eyeshadow Palettes</t>
        </is>
      </c>
      <c r="D2288" t="inlineStr">
        <is>
          <t>Mallofusa Portable 5 Colors Eye Shadow Palette Trendy Eyeshadow Powder Glitter Makeup Metallic Shimmer Charming Highlight Look (Ice Age) 4.7oz</t>
        </is>
      </c>
      <c r="E2288" s="2">
        <f>HYPERLINK("https://www.amazon.com/Mallofusa-Portable-Eyeshadow-Metallic-Highlight/dp/B00LE3IXQK/ref=sr_1_6?keywords=5+Color+Eyeshadow+Palettes&amp;qid=1695565508&amp;sr=8-6", "https://www.amazon.com/Mallofusa-Portable-Eyeshadow-Metallic-Highlight/dp/B00LE3IXQK/ref=sr_1_6?keywords=5+Color+Eyeshadow+Palettes&amp;qid=1695565508&amp;sr=8-6")</f>
        <v/>
      </c>
      <c r="F2288" t="inlineStr">
        <is>
          <t>B00LE3IXQK</t>
        </is>
      </c>
      <c r="G2288">
        <f>_xlfn.IMAGE("https://camerareadycosmetics.com/cdn/shop/products/t34-glam-chic-5-eyeshadows-palette_50x.jpg?v=1622259345")</f>
        <v/>
      </c>
      <c r="H2288">
        <f>_xlfn.IMAGE("https://m.media-amazon.com/images/I/61j8xgUghvL._AC_UL320_.jpg")</f>
        <v/>
      </c>
      <c r="K2288" t="inlineStr">
        <is>
          <t>36.0</t>
        </is>
      </c>
      <c r="L2288" t="n">
        <v>9.49</v>
      </c>
      <c r="M2288" s="1" t="inlineStr">
        <is>
          <t>-73.64%</t>
        </is>
      </c>
      <c r="N2288" t="n">
        <v>4.2</v>
      </c>
      <c r="O2288" t="n">
        <v>955</v>
      </c>
      <c r="Q2288" t="inlineStr">
        <is>
          <t>InStock</t>
        </is>
      </c>
      <c r="R2288" t="inlineStr">
        <is>
          <t>undefined</t>
        </is>
      </c>
      <c r="S2288" t="inlineStr">
        <is>
          <t>2016110968943</t>
        </is>
      </c>
    </row>
    <row r="2289" ht="75" customHeight="1">
      <c r="A2289" s="2">
        <f>HYPERLINK("https://camerareadycosmetics.com/products/make-up-atelier-5-color-eyeshadow-palettes", "https://camerareadycosmetics.com/products/make-up-atelier-5-color-eyeshadow-palettes")</f>
        <v/>
      </c>
      <c r="B2289" s="2">
        <f>HYPERLINK("https://camerareadycosmetics.com/products/make-up-atelier-5-color-eyeshadow-palettes", "https://camerareadycosmetics.com/products/make-up-atelier-5-color-eyeshadow-palettes")</f>
        <v/>
      </c>
      <c r="C2289" t="inlineStr">
        <is>
          <t>5 Color Eyeshadow Palettes</t>
        </is>
      </c>
      <c r="D2289" t="inlineStr">
        <is>
          <t>L.A. COLORS 5 Color Matte Eyeshadow, Brown Tweed, 0.25 Oz Powder</t>
        </is>
      </c>
      <c r="E2289" s="2">
        <f>HYPERLINK("https://www.amazon.com/L-Colors-Color-Eyeshadow/dp/B01DX1ODPK/ref=sr_1_2?keywords=5+Color+Eyeshadow+Palettes&amp;qid=1695565508&amp;sr=8-2", "https://www.amazon.com/L-Colors-Color-Eyeshadow/dp/B01DX1ODPK/ref=sr_1_2?keywords=5+Color+Eyeshadow+Palettes&amp;qid=1695565508&amp;sr=8-2")</f>
        <v/>
      </c>
      <c r="F2289" t="inlineStr">
        <is>
          <t>B01DX1ODPK</t>
        </is>
      </c>
      <c r="G2289">
        <f>_xlfn.IMAGE("https://camerareadycosmetics.com/cdn/shop/products/t34-glam-chic-5-eyeshadows-palette_50x.jpg?v=1622259345")</f>
        <v/>
      </c>
      <c r="H2289">
        <f>_xlfn.IMAGE("https://m.media-amazon.com/images/I/712btTsDOQL._AC_UL320_.jpg")</f>
        <v/>
      </c>
      <c r="K2289" t="inlineStr">
        <is>
          <t>36.0</t>
        </is>
      </c>
      <c r="L2289" t="n">
        <v>3.5</v>
      </c>
      <c r="M2289" s="1" t="inlineStr">
        <is>
          <t>-90.28%</t>
        </is>
      </c>
      <c r="N2289" t="n">
        <v>4.3</v>
      </c>
      <c r="O2289" t="n">
        <v>10752</v>
      </c>
      <c r="Q2289" t="inlineStr">
        <is>
          <t>InStock</t>
        </is>
      </c>
      <c r="R2289" t="inlineStr">
        <is>
          <t>undefined</t>
        </is>
      </c>
      <c r="S2289" t="inlineStr">
        <is>
          <t>2016110968943</t>
        </is>
      </c>
    </row>
    <row r="2290" ht="75" customHeight="1">
      <c r="A2290" s="2">
        <f>HYPERLINK("https://camerareadycosmetics.com/products/make-up-atelier-5-color-eyeshadow-palettes", "https://camerareadycosmetics.com/products/make-up-atelier-5-color-eyeshadow-palettes")</f>
        <v/>
      </c>
      <c r="B2290" s="2">
        <f>HYPERLINK("https://camerareadycosmetics.com/products/make-up-atelier-5-color-eyeshadow-palettes", "https://camerareadycosmetics.com/products/make-up-atelier-5-color-eyeshadow-palettes")</f>
        <v/>
      </c>
      <c r="C2290" t="inlineStr">
        <is>
          <t>5 Color Eyeshadow Palettes</t>
        </is>
      </c>
      <c r="D2290" t="inlineStr">
        <is>
          <t>wet n wild Color Icon Eyeshadow Makeup 5 Pan Palette, Pink Camo-flaunt, Matte, Shimmer, Metallic, Long Wearing, Rich Buttery Pigment, Cruelty Free</t>
        </is>
      </c>
      <c r="E2290" s="2">
        <f>HYPERLINK("https://www.amazon.com/Wet-Wild-Makeup-Palette-Camo-flaunt/dp/B08RRRRZNK/ref=sr_1_1?keywords=5+Color+Eyeshadow+Palettes&amp;qid=1695565508&amp;rdc=1&amp;sr=8-1", "https://www.amazon.com/Wet-Wild-Makeup-Palette-Camo-flaunt/dp/B08RRRRZNK/ref=sr_1_1?keywords=5+Color+Eyeshadow+Palettes&amp;qid=1695565508&amp;rdc=1&amp;sr=8-1")</f>
        <v/>
      </c>
      <c r="F2290" t="inlineStr">
        <is>
          <t>B08RRRRZNK</t>
        </is>
      </c>
      <c r="G2290">
        <f>_xlfn.IMAGE("https://camerareadycosmetics.com/cdn/shop/products/t34-glam-chic-5-eyeshadows-palette_50x.jpg?v=1622259345")</f>
        <v/>
      </c>
      <c r="H2290">
        <f>_xlfn.IMAGE("https://m.media-amazon.com/images/I/81W1-nrvdFL._AC_UL320_.jpg")</f>
        <v/>
      </c>
      <c r="K2290" t="inlineStr">
        <is>
          <t>36.0</t>
        </is>
      </c>
      <c r="L2290" t="n">
        <v>3.28</v>
      </c>
      <c r="M2290" s="1" t="inlineStr">
        <is>
          <t>-90.89%</t>
        </is>
      </c>
      <c r="N2290" t="n">
        <v>4.3</v>
      </c>
      <c r="O2290" t="n">
        <v>5941</v>
      </c>
      <c r="Q2290" t="inlineStr">
        <is>
          <t>InStock</t>
        </is>
      </c>
      <c r="R2290" t="inlineStr">
        <is>
          <t>undefined</t>
        </is>
      </c>
      <c r="S2290" t="inlineStr">
        <is>
          <t>2016110968943</t>
        </is>
      </c>
    </row>
    <row r="2291" ht="75" customHeight="1">
      <c r="A2291" s="2">
        <f>HYPERLINK("https://camerareadycosmetics.com/products/make-up-atelier-dry-skin-moisturizing-base", "https://camerareadycosmetics.com/products/make-up-atelier-dry-skin-moisturizing-base")</f>
        <v/>
      </c>
      <c r="B2291" s="2">
        <f>HYPERLINK("https://camerareadycosmetics.com/products/make-up-atelier-dry-skin-moisturizing-base", "https://camerareadycosmetics.com/products/make-up-atelier-dry-skin-moisturizing-base")</f>
        <v/>
      </c>
      <c r="C2291" t="inlineStr">
        <is>
          <t>Dry Skin Moisturizing Base</t>
        </is>
      </c>
      <c r="D2291" t="inlineStr">
        <is>
          <t>ClarityRx SomeBODY To Love 4-in-1 Anti-Aging Body Cream, Natural Plant-Based Moisturizing Lotion for Brightening, Tightening &amp; Smoothing Dry Skin (3.5 oz)</t>
        </is>
      </c>
      <c r="E2291" s="2">
        <f>HYPERLINK("https://www.amazon.com/ClarityRx-Anti-Aging-Plant-Based-Moisturizing-Brightening/dp/B08MXT3F5D/ref=sr_1_10?keywords=Dry+Skin+Moisturizing+Base&amp;qid=1695565720&amp;sr=8-10", "https://www.amazon.com/ClarityRx-Anti-Aging-Plant-Based-Moisturizing-Brightening/dp/B08MXT3F5D/ref=sr_1_10?keywords=Dry+Skin+Moisturizing+Base&amp;qid=1695565720&amp;sr=8-10")</f>
        <v/>
      </c>
      <c r="F2291" t="inlineStr">
        <is>
          <t>B08MXT3F5D</t>
        </is>
      </c>
      <c r="G2291">
        <f>_xlfn.IMAGE("https://camerareadycosmetics.com/cdn/shop/products/moisturizing-base_62f5a84f-2116-4297-9a15-bc8646415593_50x.jpg?v=1652720080")</f>
        <v/>
      </c>
      <c r="H2291">
        <f>_xlfn.IMAGE("https://m.media-amazon.com/images/I/61p2tlNtA4L._AC_UL320_.jpg")</f>
        <v/>
      </c>
      <c r="K2291" t="inlineStr">
        <is>
          <t>24.0</t>
        </is>
      </c>
      <c r="L2291" t="n">
        <v>48</v>
      </c>
      <c r="M2291" s="1" t="inlineStr">
        <is>
          <t>100.00%</t>
        </is>
      </c>
      <c r="N2291" t="n">
        <v>4.6</v>
      </c>
      <c r="O2291" t="n">
        <v>15</v>
      </c>
      <c r="Q2291" t="inlineStr">
        <is>
          <t>InStock</t>
        </is>
      </c>
      <c r="R2291" t="inlineStr">
        <is>
          <t>undefined</t>
        </is>
      </c>
      <c r="S2291" t="inlineStr">
        <is>
          <t>2016478036079</t>
        </is>
      </c>
    </row>
    <row r="2292" ht="75" customHeight="1">
      <c r="A2292" s="2">
        <f>HYPERLINK("https://camerareadycosmetics.com/products/make-up-atelier-dry-skin-moisturizing-base", "https://camerareadycosmetics.com/products/make-up-atelier-dry-skin-moisturizing-base")</f>
        <v/>
      </c>
      <c r="B2292" s="2">
        <f>HYPERLINK("https://camerareadycosmetics.com/products/make-up-atelier-dry-skin-moisturizing-base", "https://camerareadycosmetics.com/products/make-up-atelier-dry-skin-moisturizing-base")</f>
        <v/>
      </c>
      <c r="C2292" t="inlineStr">
        <is>
          <t>Dry Skin Moisturizing Base</t>
        </is>
      </c>
      <c r="D2292" t="inlineStr">
        <is>
          <t>Land &amp; Lore Ultra-Premium Men's Botanical Hand &amp; Body Lotion – Daily Lotion for Dry Skin – Nourishing Lotion for Dry Skin – Healing - Plant Based Moisture – Daily use – Organic argan oil – All Natural ingredients – Cruelty free - 8oz</t>
        </is>
      </c>
      <c r="E2292" s="2">
        <f>HYPERLINK("https://www.amazon.com/Land-Lore-Ultra-Premium-Botanical-Lotion/dp/B0BYG14X1M/ref=sr_1_9?keywords=Dry+Skin+Moisturizing+Base&amp;qid=1695565720&amp;sr=8-9", "https://www.amazon.com/Land-Lore-Ultra-Premium-Botanical-Lotion/dp/B0BYG14X1M/ref=sr_1_9?keywords=Dry+Skin+Moisturizing+Base&amp;qid=1695565720&amp;sr=8-9")</f>
        <v/>
      </c>
      <c r="F2292" t="inlineStr">
        <is>
          <t>B0BYG14X1M</t>
        </is>
      </c>
      <c r="G2292">
        <f>_xlfn.IMAGE("https://camerareadycosmetics.com/cdn/shop/products/moisturizing-base_62f5a84f-2116-4297-9a15-bc8646415593_50x.jpg?v=1652720080")</f>
        <v/>
      </c>
      <c r="H2292">
        <f>_xlfn.IMAGE("https://m.media-amazon.com/images/I/61xpNWGzlgL._AC_UL320_.jpg")</f>
        <v/>
      </c>
      <c r="K2292" t="inlineStr">
        <is>
          <t>24.0</t>
        </is>
      </c>
      <c r="L2292" t="n">
        <v>38</v>
      </c>
      <c r="M2292" s="1" t="inlineStr">
        <is>
          <t>58.33%</t>
        </is>
      </c>
      <c r="N2292" t="n">
        <v>4</v>
      </c>
      <c r="O2292" t="n">
        <v>1</v>
      </c>
      <c r="Q2292" t="inlineStr">
        <is>
          <t>InStock</t>
        </is>
      </c>
      <c r="R2292" t="inlineStr">
        <is>
          <t>undefined</t>
        </is>
      </c>
      <c r="S2292" t="inlineStr">
        <is>
          <t>2016478036079</t>
        </is>
      </c>
    </row>
    <row r="2293" ht="75" customHeight="1">
      <c r="A2293" s="2">
        <f>HYPERLINK("https://camerareadycosmetics.com/products/make-up-atelier-dry-skin-moisturizing-base", "https://camerareadycosmetics.com/products/make-up-atelier-dry-skin-moisturizing-base")</f>
        <v/>
      </c>
      <c r="B2293" s="2">
        <f>HYPERLINK("https://camerareadycosmetics.com/products/make-up-atelier-dry-skin-moisturizing-base", "https://camerareadycosmetics.com/products/make-up-atelier-dry-skin-moisturizing-base")</f>
        <v/>
      </c>
      <c r="C2293" t="inlineStr">
        <is>
          <t>Dry Skin Moisturizing Base</t>
        </is>
      </c>
      <c r="D2293" t="inlineStr">
        <is>
          <t>RaGaNaturals Lavender Hand and Body Cream – Calming Mango Butter Body Cream with Argan and Avocado Oil - Plant Based, All Natural, Lavender Essential Oil, No Artificial Flavor, Thick Cream, Vegan, Cruelty-Free, Deeply Nourishing, Moisturize Dry Sensitive Itchy Skin &amp; Eczema - Women, Men, Babies and Kids - 8 Fl Oz</t>
        </is>
      </c>
      <c r="E2293" s="2">
        <f>HYPERLINK("https://www.amazon.com/RaGaNaturals-Soothing-Hydrating-Nourishing-Moisturizing/dp/B083DXFD2Q/ref=sr_1_7?keywords=Dry+Skin+Moisturizing+Base&amp;qid=1695565720&amp;sr=8-7", "https://www.amazon.com/RaGaNaturals-Soothing-Hydrating-Nourishing-Moisturizing/dp/B083DXFD2Q/ref=sr_1_7?keywords=Dry+Skin+Moisturizing+Base&amp;qid=1695565720&amp;sr=8-7")</f>
        <v/>
      </c>
      <c r="F2293" t="inlineStr">
        <is>
          <t>B083DXFD2Q</t>
        </is>
      </c>
      <c r="G2293">
        <f>_xlfn.IMAGE("https://camerareadycosmetics.com/cdn/shop/products/moisturizing-base_62f5a84f-2116-4297-9a15-bc8646415593_50x.jpg?v=1652720080")</f>
        <v/>
      </c>
      <c r="H2293">
        <f>_xlfn.IMAGE("https://m.media-amazon.com/images/I/61bdZE6TeuL._AC_UL320_.jpg")</f>
        <v/>
      </c>
      <c r="K2293" t="inlineStr">
        <is>
          <t>24.0</t>
        </is>
      </c>
      <c r="L2293" t="n">
        <v>23.99</v>
      </c>
      <c r="M2293" s="1" t="inlineStr">
        <is>
          <t>-0.04%</t>
        </is>
      </c>
      <c r="N2293" t="n">
        <v>4.4</v>
      </c>
      <c r="O2293" t="n">
        <v>141</v>
      </c>
      <c r="Q2293" t="inlineStr">
        <is>
          <t>InStock</t>
        </is>
      </c>
      <c r="R2293" t="inlineStr">
        <is>
          <t>undefined</t>
        </is>
      </c>
      <c r="S2293" t="inlineStr">
        <is>
          <t>2016478036079</t>
        </is>
      </c>
    </row>
    <row r="2294" ht="75" customHeight="1">
      <c r="A2294" s="2">
        <f>HYPERLINK("https://camerareadycosmetics.com/products/make-up-atelier-dry-skin-moisturizing-base", "https://camerareadycosmetics.com/products/make-up-atelier-dry-skin-moisturizing-base")</f>
        <v/>
      </c>
      <c r="B2294" s="2">
        <f>HYPERLINK("https://camerareadycosmetics.com/products/make-up-atelier-dry-skin-moisturizing-base", "https://camerareadycosmetics.com/products/make-up-atelier-dry-skin-moisturizing-base")</f>
        <v/>
      </c>
      <c r="C2294" t="inlineStr">
        <is>
          <t>Dry Skin Moisturizing Base</t>
        </is>
      </c>
      <c r="D2294" t="inlineStr">
        <is>
          <t>ShiKai - Borage Therapy Plant-Based Advanced Dry Skin Lotion, Soothing &amp; Moisturizing Relief for Dry, Irritated &amp; Itchy Skin, Non-Greasy, Sensitive Skin Friendly (Fragrance-Free, 8 Ounces, Pack of 2)</t>
        </is>
      </c>
      <c r="E2294" s="2">
        <f>HYPERLINK("https://www.amazon.com/ShiKai-Plant-Based-Moisturizing-Non-Greasy-Fragrance-Free/dp/B004FQRXK0/ref=sr_1_2?keywords=Dry+Skin+Moisturizing+Base&amp;qid=1695565720&amp;sr=8-2", "https://www.amazon.com/ShiKai-Plant-Based-Moisturizing-Non-Greasy-Fragrance-Free/dp/B004FQRXK0/ref=sr_1_2?keywords=Dry+Skin+Moisturizing+Base&amp;qid=1695565720&amp;sr=8-2")</f>
        <v/>
      </c>
      <c r="F2294" t="inlineStr">
        <is>
          <t>B004FQRXK0</t>
        </is>
      </c>
      <c r="G2294">
        <f>_xlfn.IMAGE("https://camerareadycosmetics.com/cdn/shop/products/moisturizing-base_62f5a84f-2116-4297-9a15-bc8646415593_50x.jpg?v=1652720080")</f>
        <v/>
      </c>
      <c r="H2294">
        <f>_xlfn.IMAGE("https://m.media-amazon.com/images/I/81gyZ-EFZXL._AC_UL320_.jpg")</f>
        <v/>
      </c>
      <c r="K2294" t="inlineStr">
        <is>
          <t>24.0</t>
        </is>
      </c>
      <c r="L2294" t="n">
        <v>20</v>
      </c>
      <c r="M2294" s="1" t="inlineStr">
        <is>
          <t>-16.67%</t>
        </is>
      </c>
      <c r="N2294" t="n">
        <v>4.6</v>
      </c>
      <c r="O2294" t="n">
        <v>427</v>
      </c>
      <c r="Q2294" t="inlineStr">
        <is>
          <t>InStock</t>
        </is>
      </c>
      <c r="R2294" t="inlineStr">
        <is>
          <t>undefined</t>
        </is>
      </c>
      <c r="S2294" t="inlineStr">
        <is>
          <t>2016478036079</t>
        </is>
      </c>
    </row>
    <row r="2295" ht="75" customHeight="1">
      <c r="A2295" s="2">
        <f>HYPERLINK("https://camerareadycosmetics.com/products/make-up-atelier-dry-skin-moisturizing-base", "https://camerareadycosmetics.com/products/make-up-atelier-dry-skin-moisturizing-base")</f>
        <v/>
      </c>
      <c r="B2295" s="2">
        <f>HYPERLINK("https://camerareadycosmetics.com/products/make-up-atelier-dry-skin-moisturizing-base", "https://camerareadycosmetics.com/products/make-up-atelier-dry-skin-moisturizing-base")</f>
        <v/>
      </c>
      <c r="C2295" t="inlineStr">
        <is>
          <t>Dry Skin Moisturizing Base</t>
        </is>
      </c>
      <c r="D2295" t="inlineStr">
        <is>
          <t>RaGaNaturals Body Lotion - Unscented, Soothing Shea Butter Lotion with Argan, Avocado Oil and Vitamin E- Plant Based, All Natural, No Synthetic Fragrance, Non-Greasy, Vegan, Cruelty-Free, Deeply Nourishing Moisturizer, Hydrate Dry Flaky Skin - For Women, Men, and Kids - 8 Fl Oz</t>
        </is>
      </c>
      <c r="E2295" s="2">
        <f>HYPERLINK("https://www.amazon.com/RaGaNaturals-Body-Lotion-Cruelty-Free-Moisturizer/dp/B07KVN4HP9/ref=sr_1_5?keywords=Dry+Skin+Moisturizing+Base&amp;qid=1695565720&amp;sr=8-5", "https://www.amazon.com/RaGaNaturals-Body-Lotion-Cruelty-Free-Moisturizer/dp/B07KVN4HP9/ref=sr_1_5?keywords=Dry+Skin+Moisturizing+Base&amp;qid=1695565720&amp;sr=8-5")</f>
        <v/>
      </c>
      <c r="F2295" t="inlineStr">
        <is>
          <t>B07KVN4HP9</t>
        </is>
      </c>
      <c r="G2295">
        <f>_xlfn.IMAGE("https://camerareadycosmetics.com/cdn/shop/products/moisturizing-base_62f5a84f-2116-4297-9a15-bc8646415593_50x.jpg?v=1652720080")</f>
        <v/>
      </c>
      <c r="H2295">
        <f>_xlfn.IMAGE("https://m.media-amazon.com/images/I/61FHRrqHS5L._AC_UL320_.jpg")</f>
        <v/>
      </c>
      <c r="K2295" t="inlineStr">
        <is>
          <t>24.0</t>
        </is>
      </c>
      <c r="L2295" t="n">
        <v>17.99</v>
      </c>
      <c r="M2295" s="1" t="inlineStr">
        <is>
          <t>-25.04%</t>
        </is>
      </c>
      <c r="N2295" t="n">
        <v>4.4</v>
      </c>
      <c r="O2295" t="n">
        <v>474</v>
      </c>
      <c r="Q2295" t="inlineStr">
        <is>
          <t>InStock</t>
        </is>
      </c>
      <c r="R2295" t="inlineStr">
        <is>
          <t>undefined</t>
        </is>
      </c>
      <c r="S2295" t="inlineStr">
        <is>
          <t>2016478036079</t>
        </is>
      </c>
    </row>
    <row r="2296" ht="75" customHeight="1">
      <c r="A2296" s="2">
        <f>HYPERLINK("https://camerareadycosmetics.com/products/make-up-atelier-dry-skin-moisturizing-base", "https://camerareadycosmetics.com/products/make-up-atelier-dry-skin-moisturizing-base")</f>
        <v/>
      </c>
      <c r="B2296" s="2">
        <f>HYPERLINK("https://camerareadycosmetics.com/products/make-up-atelier-dry-skin-moisturizing-base", "https://camerareadycosmetics.com/products/make-up-atelier-dry-skin-moisturizing-base")</f>
        <v/>
      </c>
      <c r="C2296" t="inlineStr">
        <is>
          <t>Dry Skin Moisturizing Base</t>
        </is>
      </c>
      <c r="D2296" t="inlineStr">
        <is>
          <t>APOTHEKE Luxury Scented Lotion, 10 oz - Nourishing, Moisturizing, &amp; Hydrating for Hand &amp; Body, Enriched Aloe Vera, Plant Based for Dry Skin (White Vetiver)</t>
        </is>
      </c>
      <c r="E2296" s="2">
        <f>HYPERLINK("https://www.amazon.com/APOTHEKE-White-Vetiver-Lotion-fl-oz/dp/B07PMY9DBB/ref=sr_1_8?keywords=Dry+Skin+Moisturizing+Base&amp;qid=1695565720&amp;sr=8-8", "https://www.amazon.com/APOTHEKE-White-Vetiver-Lotion-fl-oz/dp/B07PMY9DBB/ref=sr_1_8?keywords=Dry+Skin+Moisturizing+Base&amp;qid=1695565720&amp;sr=8-8")</f>
        <v/>
      </c>
      <c r="F2296" t="inlineStr">
        <is>
          <t>B07PMY9DBB</t>
        </is>
      </c>
      <c r="G2296">
        <f>_xlfn.IMAGE("https://camerareadycosmetics.com/cdn/shop/products/moisturizing-base_62f5a84f-2116-4297-9a15-bc8646415593_50x.jpg?v=1652720080")</f>
        <v/>
      </c>
      <c r="H2296">
        <f>_xlfn.IMAGE("https://m.media-amazon.com/images/I/41FMvcnEHTL._AC_UL320_.jpg")</f>
        <v/>
      </c>
      <c r="K2296" t="inlineStr">
        <is>
          <t>24.0</t>
        </is>
      </c>
      <c r="L2296" t="n">
        <v>17.94</v>
      </c>
      <c r="M2296" s="1" t="inlineStr">
        <is>
          <t>-25.25%</t>
        </is>
      </c>
      <c r="N2296" t="n">
        <v>4.1</v>
      </c>
      <c r="O2296" t="n">
        <v>326</v>
      </c>
      <c r="Q2296" t="inlineStr">
        <is>
          <t>InStock</t>
        </is>
      </c>
      <c r="R2296" t="inlineStr">
        <is>
          <t>undefined</t>
        </is>
      </c>
      <c r="S2296" t="inlineStr">
        <is>
          <t>2016478036079</t>
        </is>
      </c>
    </row>
    <row r="2297" ht="75" customHeight="1">
      <c r="A2297" s="2">
        <f>HYPERLINK("https://camerareadycosmetics.com/products/make-up-atelier-dry-skin-moisturizing-base", "https://camerareadycosmetics.com/products/make-up-atelier-dry-skin-moisturizing-base")</f>
        <v/>
      </c>
      <c r="B2297" s="2">
        <f>HYPERLINK("https://camerareadycosmetics.com/products/make-up-atelier-dry-skin-moisturizing-base", "https://camerareadycosmetics.com/products/make-up-atelier-dry-skin-moisturizing-base")</f>
        <v/>
      </c>
      <c r="C2297" t="inlineStr">
        <is>
          <t>Dry Skin Moisturizing Base</t>
        </is>
      </c>
      <c r="D2297" t="inlineStr">
        <is>
          <t>IUNIK Centella Calming Gel Cream Vegan Non-Sticky Face Moisturizer Acne-prone Sensitive Oily Dry Skin Hydrating Plant-based - Centella 70% Tea Tree Water 10% Rosacea Breakout Blemish Korean Skincare</t>
        </is>
      </c>
      <c r="E2297" s="2">
        <f>HYPERLINK("https://www.amazon.com/IUNIK-Plant-based-Ingredients-Non-Sticky-Moisturizer/dp/B07NMHC86M/ref=sr_1_4?keywords=Dry+Skin+Moisturizing+Base&amp;qid=1695565720&amp;sr=8-4", "https://www.amazon.com/IUNIK-Plant-based-Ingredients-Non-Sticky-Moisturizer/dp/B07NMHC86M/ref=sr_1_4?keywords=Dry+Skin+Moisturizing+Base&amp;qid=1695565720&amp;sr=8-4")</f>
        <v/>
      </c>
      <c r="F2297" t="inlineStr">
        <is>
          <t>B07NMHC86M</t>
        </is>
      </c>
      <c r="G2297">
        <f>_xlfn.IMAGE("https://camerareadycosmetics.com/cdn/shop/products/moisturizing-base_62f5a84f-2116-4297-9a15-bc8646415593_50x.jpg?v=1652720080")</f>
        <v/>
      </c>
      <c r="H2297">
        <f>_xlfn.IMAGE("https://m.media-amazon.com/images/I/611A0AIKsWL._AC_UL320_.jpg")</f>
        <v/>
      </c>
      <c r="K2297" t="inlineStr">
        <is>
          <t>24.0</t>
        </is>
      </c>
      <c r="L2297" t="n">
        <v>14.99</v>
      </c>
      <c r="M2297" s="1" t="inlineStr">
        <is>
          <t>-37.54%</t>
        </is>
      </c>
      <c r="N2297" t="n">
        <v>4.5</v>
      </c>
      <c r="O2297" t="n">
        <v>2867</v>
      </c>
      <c r="Q2297" t="inlineStr">
        <is>
          <t>InStock</t>
        </is>
      </c>
      <c r="R2297" t="inlineStr">
        <is>
          <t>undefined</t>
        </is>
      </c>
      <c r="S2297" t="inlineStr">
        <is>
          <t>2016478036079</t>
        </is>
      </c>
    </row>
    <row r="2298" ht="75" customHeight="1">
      <c r="A2298" s="2">
        <f>HYPERLINK("https://camerareadycosmetics.com/products/make-up-atelier-dry-skin-moisturizing-base", "https://camerareadycosmetics.com/products/make-up-atelier-dry-skin-moisturizing-base")</f>
        <v/>
      </c>
      <c r="B2298" s="2">
        <f>HYPERLINK("https://camerareadycosmetics.com/products/make-up-atelier-dry-skin-moisturizing-base", "https://camerareadycosmetics.com/products/make-up-atelier-dry-skin-moisturizing-base")</f>
        <v/>
      </c>
      <c r="C2298" t="inlineStr">
        <is>
          <t>Dry Skin Moisturizing Base</t>
        </is>
      </c>
      <c r="D2298" t="inlineStr">
        <is>
          <t>Thera Moisturizing Body Shield Skin Cream - Hydrates Dry, Chapped, Cracked Skin - Lavender-Scented, 4 oz Tube, 1 Count</t>
        </is>
      </c>
      <c r="E2298" s="2">
        <f>HYPERLINK("https://www.amazon.com/Thera-Scented-Protectant-Cream-53-MS4/dp/B07JP69YF2/ref=sr_1_3?keywords=Dry+Skin+Moisturizing+Base&amp;qid=1695565720&amp;sr=8-3", "https://www.amazon.com/Thera-Scented-Protectant-Cream-53-MS4/dp/B07JP69YF2/ref=sr_1_3?keywords=Dry+Skin+Moisturizing+Base&amp;qid=1695565720&amp;sr=8-3")</f>
        <v/>
      </c>
      <c r="F2298" t="inlineStr">
        <is>
          <t>B07JP69YF2</t>
        </is>
      </c>
      <c r="G2298">
        <f>_xlfn.IMAGE("https://camerareadycosmetics.com/cdn/shop/products/moisturizing-base_62f5a84f-2116-4297-9a15-bc8646415593_50x.jpg?v=1652720080")</f>
        <v/>
      </c>
      <c r="H2298">
        <f>_xlfn.IMAGE("https://m.media-amazon.com/images/I/61Gg1t+MZ7L._AC_UL320_.jpg")</f>
        <v/>
      </c>
      <c r="K2298" t="inlineStr">
        <is>
          <t>24.0</t>
        </is>
      </c>
      <c r="L2298" t="n">
        <v>12.4</v>
      </c>
      <c r="M2298" s="1" t="inlineStr">
        <is>
          <t>-48.33%</t>
        </is>
      </c>
      <c r="N2298" t="n">
        <v>4.6</v>
      </c>
      <c r="O2298" t="n">
        <v>23</v>
      </c>
      <c r="Q2298" t="inlineStr">
        <is>
          <t>InStock</t>
        </is>
      </c>
      <c r="R2298" t="inlineStr">
        <is>
          <t>undefined</t>
        </is>
      </c>
      <c r="S2298" t="inlineStr">
        <is>
          <t>2016478036079</t>
        </is>
      </c>
    </row>
    <row r="2299" ht="75" customHeight="1">
      <c r="A2299" s="2">
        <f>HYPERLINK("https://camerareadycosmetics.com/products/make-up-atelier-dry-skin-moisturizing-base", "https://camerareadycosmetics.com/products/make-up-atelier-dry-skin-moisturizing-base")</f>
        <v/>
      </c>
      <c r="B2299" s="2">
        <f>HYPERLINK("https://camerareadycosmetics.com/products/make-up-atelier-dry-skin-moisturizing-base", "https://camerareadycosmetics.com/products/make-up-atelier-dry-skin-moisturizing-base")</f>
        <v/>
      </c>
      <c r="C2299" t="inlineStr">
        <is>
          <t>Dry Skin Moisturizing Base</t>
        </is>
      </c>
      <c r="D2299" t="inlineStr">
        <is>
          <t>ShiKai - Borage Therapy Plant-Based Dry Skin Lotion, Soothing &amp; Moisturizing Relief For Dry, Irritated &amp; Itchy Skin, Non-Greasy, Sensitive Skin Friendly (Unscented, 8 Ounces), Multi (Pack of 1), 40202</t>
        </is>
      </c>
      <c r="E2299" s="2">
        <f>HYPERLINK("https://www.amazon.com/ShiKai-Plant-Based-Moisturizing-Irritated-Non-Greasy/dp/B0012QYX18/ref=sr_1_6?keywords=Dry+Skin+Moisturizing+Base&amp;qid=1695565720&amp;sr=8-6", "https://www.amazon.com/ShiKai-Plant-Based-Moisturizing-Irritated-Non-Greasy/dp/B0012QYX18/ref=sr_1_6?keywords=Dry+Skin+Moisturizing+Base&amp;qid=1695565720&amp;sr=8-6")</f>
        <v/>
      </c>
      <c r="F2299" t="inlineStr">
        <is>
          <t>B0012QYX18</t>
        </is>
      </c>
      <c r="G2299">
        <f>_xlfn.IMAGE("https://camerareadycosmetics.com/cdn/shop/products/moisturizing-base_62f5a84f-2116-4297-9a15-bc8646415593_50x.jpg?v=1652720080")</f>
        <v/>
      </c>
      <c r="H2299">
        <f>_xlfn.IMAGE("https://m.media-amazon.com/images/I/81N0KvnKknL._AC_UL320_.jpg")</f>
        <v/>
      </c>
      <c r="K2299" t="inlineStr">
        <is>
          <t>24.0</t>
        </is>
      </c>
      <c r="L2299" t="n">
        <v>11.99</v>
      </c>
      <c r="M2299" s="1" t="inlineStr">
        <is>
          <t>-50.04%</t>
        </is>
      </c>
      <c r="N2299" t="n">
        <v>4.4</v>
      </c>
      <c r="O2299" t="n">
        <v>379</v>
      </c>
      <c r="Q2299" t="inlineStr">
        <is>
          <t>InStock</t>
        </is>
      </c>
      <c r="R2299" t="inlineStr">
        <is>
          <t>undefined</t>
        </is>
      </c>
      <c r="S2299" t="inlineStr">
        <is>
          <t>2016478036079</t>
        </is>
      </c>
    </row>
    <row r="2300" ht="75" customHeight="1">
      <c r="A2300" s="2">
        <f>HYPERLINK("https://camerareadycosmetics.com/products/make-up-atelier-dry-skin-moisturizing-base", "https://camerareadycosmetics.com/products/make-up-atelier-dry-skin-moisturizing-base")</f>
        <v/>
      </c>
      <c r="B2300" s="2">
        <f>HYPERLINK("https://camerareadycosmetics.com/products/make-up-atelier-dry-skin-moisturizing-base", "https://camerareadycosmetics.com/products/make-up-atelier-dry-skin-moisturizing-base")</f>
        <v/>
      </c>
      <c r="C2300" t="inlineStr">
        <is>
          <t>Dry Skin Moisturizing Base</t>
        </is>
      </c>
      <c r="D2300" t="inlineStr">
        <is>
          <t>Jergens Pure Hydration Body Lotion, Plant Based Moisturizer Hydrates Dry to Extra Dry Skin, Paraben and Cruelty Free, Fragrance Free Formula, 24hr Hydration, 13 oz Pump Bottle</t>
        </is>
      </c>
      <c r="E2300" s="2">
        <f>HYPERLINK("https://www.amazon.com/Jergens-Hydration-Moisturizer-Hydrates-Fragrance/dp/B0B5VZ1S3W/ref=sr_1_1?keywords=Dry+Skin+Moisturizing+Base&amp;qid=1695565720&amp;rdc=1&amp;sr=8-1", "https://www.amazon.com/Jergens-Hydration-Moisturizer-Hydrates-Fragrance/dp/B0B5VZ1S3W/ref=sr_1_1?keywords=Dry+Skin+Moisturizing+Base&amp;qid=1695565720&amp;rdc=1&amp;sr=8-1")</f>
        <v/>
      </c>
      <c r="F2300" t="inlineStr">
        <is>
          <t>B0B5VZ1S3W</t>
        </is>
      </c>
      <c r="G2300">
        <f>_xlfn.IMAGE("https://camerareadycosmetics.com/cdn/shop/products/moisturizing-base_62f5a84f-2116-4297-9a15-bc8646415593_50x.jpg?v=1652720080")</f>
        <v/>
      </c>
      <c r="H2300">
        <f>_xlfn.IMAGE("https://m.media-amazon.com/images/I/61ey9ho3RuL._AC_UL320_.jpg")</f>
        <v/>
      </c>
      <c r="K2300" t="inlineStr">
        <is>
          <t>24.0</t>
        </is>
      </c>
      <c r="L2300" t="n">
        <v>8.85</v>
      </c>
      <c r="M2300" s="1" t="inlineStr">
        <is>
          <t>-63.12%</t>
        </is>
      </c>
      <c r="N2300" t="n">
        <v>4.5</v>
      </c>
      <c r="O2300" t="n">
        <v>114</v>
      </c>
      <c r="Q2300" t="inlineStr">
        <is>
          <t>InStock</t>
        </is>
      </c>
      <c r="R2300" t="inlineStr">
        <is>
          <t>undefined</t>
        </is>
      </c>
      <c r="S2300" t="inlineStr">
        <is>
          <t>2016478036079</t>
        </is>
      </c>
    </row>
    <row r="2301" ht="75" customHeight="1">
      <c r="A2301" s="2">
        <f>HYPERLINK("https://camerareadycosmetics.com/products/make-up-atelier-dry-skin-moisturizing-base", "https://camerareadycosmetics.com/products/make-up-atelier-dry-skin-moisturizing-base")</f>
        <v/>
      </c>
      <c r="B2301" s="2">
        <f>HYPERLINK("https://camerareadycosmetics.com/products/make-up-atelier-dry-skin-moisturizing-base", "https://camerareadycosmetics.com/products/make-up-atelier-dry-skin-moisturizing-base")</f>
        <v/>
      </c>
      <c r="C2301" t="inlineStr">
        <is>
          <t>Dry Skin Moisturizing Base</t>
        </is>
      </c>
      <c r="D2301" t="inlineStr">
        <is>
          <t>Thera Moisturizing Body Shield Skin Cream - Hydrates Dry, Chapped, Cracked Skin - Lavender-Scented, 4 oz Tube, 1 Count</t>
        </is>
      </c>
      <c r="E2301" s="2">
        <f>HYPERLINK("https://www.amazon.com/Thera-Scented-Protectant-Cream-53-MS4/dp/B07JP69YF2/ref=sr_1_3?keywords=Dry+Skin+Moisturizing+Base&amp;qid=1695565720&amp;sr=8-3", "https://www.amazon.com/Thera-Scented-Protectant-Cream-53-MS4/dp/B07JP69YF2/ref=sr_1_3?keywords=Dry+Skin+Moisturizing+Base&amp;qid=1695565720&amp;sr=8-3")</f>
        <v/>
      </c>
      <c r="F2301" t="inlineStr">
        <is>
          <t>B07JP69YF2</t>
        </is>
      </c>
      <c r="G2301">
        <f>_xlfn.IMAGE("https://camerareadycosmetics.com/cdn/shop/products/moisturizing-base_62f5a84f-2116-4297-9a15-bc8646415593_50x.jpg?v=1652720080")</f>
        <v/>
      </c>
      <c r="H2301">
        <f>_xlfn.IMAGE("https://m.media-amazon.com/images/I/61Gg1t+MZ7L._AC_UL320_.jpg")</f>
        <v/>
      </c>
      <c r="K2301" t="inlineStr">
        <is>
          <t>24.0</t>
        </is>
      </c>
      <c r="L2301" t="n">
        <v>12.4</v>
      </c>
      <c r="M2301" s="1" t="inlineStr">
        <is>
          <t>-48.33%</t>
        </is>
      </c>
      <c r="N2301" t="n">
        <v>4.6</v>
      </c>
      <c r="O2301" t="n">
        <v>23</v>
      </c>
      <c r="Q2301" t="inlineStr">
        <is>
          <t>InStock</t>
        </is>
      </c>
      <c r="R2301" t="inlineStr">
        <is>
          <t>undefined</t>
        </is>
      </c>
      <c r="S2301" t="inlineStr">
        <is>
          <t>2016478036079</t>
        </is>
      </c>
    </row>
    <row r="2302" ht="75" customHeight="1">
      <c r="A2302" s="2">
        <f>HYPERLINK("https://camerareadycosmetics.com/products/make-up-atelier-dry-skin-moisturizing-base", "https://camerareadycosmetics.com/products/make-up-atelier-dry-skin-moisturizing-base")</f>
        <v/>
      </c>
      <c r="B2302" s="2">
        <f>HYPERLINK("https://camerareadycosmetics.com/products/make-up-atelier-dry-skin-moisturizing-base", "https://camerareadycosmetics.com/products/make-up-atelier-dry-skin-moisturizing-base")</f>
        <v/>
      </c>
      <c r="C2302" t="inlineStr">
        <is>
          <t>Dry Skin Moisturizing Base</t>
        </is>
      </c>
      <c r="D2302" t="inlineStr">
        <is>
          <t>ShiKai - Borage Therapy Plant-Based Dry Skin Lotion, Soothing &amp; Moisturizing Relief For Dry, Irritated &amp; Itchy Skin, Non-Greasy, Sensitive Skin Friendly (Unscented, 8 Ounces), Multi (Pack of 1), 40202</t>
        </is>
      </c>
      <c r="E2302" s="2">
        <f>HYPERLINK("https://www.amazon.com/ShiKai-Plant-Based-Moisturizing-Irritated-Non-Greasy/dp/B0012QYX18/ref=sr_1_6?keywords=Dry+Skin+Moisturizing+Base&amp;qid=1695565720&amp;sr=8-6", "https://www.amazon.com/ShiKai-Plant-Based-Moisturizing-Irritated-Non-Greasy/dp/B0012QYX18/ref=sr_1_6?keywords=Dry+Skin+Moisturizing+Base&amp;qid=1695565720&amp;sr=8-6")</f>
        <v/>
      </c>
      <c r="F2302" t="inlineStr">
        <is>
          <t>B0012QYX18</t>
        </is>
      </c>
      <c r="G2302">
        <f>_xlfn.IMAGE("https://camerareadycosmetics.com/cdn/shop/products/moisturizing-base_62f5a84f-2116-4297-9a15-bc8646415593_50x.jpg?v=1652720080")</f>
        <v/>
      </c>
      <c r="H2302">
        <f>_xlfn.IMAGE("https://m.media-amazon.com/images/I/81N0KvnKknL._AC_UL320_.jpg")</f>
        <v/>
      </c>
      <c r="K2302" t="inlineStr">
        <is>
          <t>24.0</t>
        </is>
      </c>
      <c r="L2302" t="n">
        <v>11.99</v>
      </c>
      <c r="M2302" s="1" t="inlineStr">
        <is>
          <t>-50.04%</t>
        </is>
      </c>
      <c r="N2302" t="n">
        <v>4.4</v>
      </c>
      <c r="O2302" t="n">
        <v>379</v>
      </c>
      <c r="Q2302" t="inlineStr">
        <is>
          <t>InStock</t>
        </is>
      </c>
      <c r="R2302" t="inlineStr">
        <is>
          <t>undefined</t>
        </is>
      </c>
      <c r="S2302" t="inlineStr">
        <is>
          <t>2016478036079</t>
        </is>
      </c>
    </row>
    <row r="2303" ht="75" customHeight="1">
      <c r="A2303" s="2">
        <f>HYPERLINK("https://camerareadycosmetics.com/products/make-up-atelier-dry-skin-moisturizing-base", "https://camerareadycosmetics.com/products/make-up-atelier-dry-skin-moisturizing-base")</f>
        <v/>
      </c>
      <c r="B2303" s="2">
        <f>HYPERLINK("https://camerareadycosmetics.com/products/make-up-atelier-dry-skin-moisturizing-base", "https://camerareadycosmetics.com/products/make-up-atelier-dry-skin-moisturizing-base")</f>
        <v/>
      </c>
      <c r="C2303" t="inlineStr">
        <is>
          <t>Dry Skin Moisturizing Base</t>
        </is>
      </c>
      <c r="D2303" t="inlineStr">
        <is>
          <t>Jergens Pure Hydration Body Lotion, Plant Based Moisturizer Hydrates Dry to Extra Dry Skin, Paraben and Cruelty Free, Fragrance Free Formula, 24hr Hydration, 13 oz Pump Bottle</t>
        </is>
      </c>
      <c r="E2303" s="2">
        <f>HYPERLINK("https://www.amazon.com/Jergens-Hydration-Moisturizer-Hydrates-Fragrance/dp/B0B5VZ1S3W/ref=sr_1_1?keywords=Dry+Skin+Moisturizing+Base&amp;qid=1695565720&amp;rdc=1&amp;sr=8-1", "https://www.amazon.com/Jergens-Hydration-Moisturizer-Hydrates-Fragrance/dp/B0B5VZ1S3W/ref=sr_1_1?keywords=Dry+Skin+Moisturizing+Base&amp;qid=1695565720&amp;rdc=1&amp;sr=8-1")</f>
        <v/>
      </c>
      <c r="F2303" t="inlineStr">
        <is>
          <t>B0B5VZ1S3W</t>
        </is>
      </c>
      <c r="G2303">
        <f>_xlfn.IMAGE("https://camerareadycosmetics.com/cdn/shop/products/moisturizing-base_62f5a84f-2116-4297-9a15-bc8646415593_50x.jpg?v=1652720080")</f>
        <v/>
      </c>
      <c r="H2303">
        <f>_xlfn.IMAGE("https://m.media-amazon.com/images/I/61ey9ho3RuL._AC_UL320_.jpg")</f>
        <v/>
      </c>
      <c r="K2303" t="inlineStr">
        <is>
          <t>24.0</t>
        </is>
      </c>
      <c r="L2303" t="n">
        <v>8.85</v>
      </c>
      <c r="M2303" s="1" t="inlineStr">
        <is>
          <t>-63.12%</t>
        </is>
      </c>
      <c r="N2303" t="n">
        <v>4.5</v>
      </c>
      <c r="O2303" t="n">
        <v>114</v>
      </c>
      <c r="Q2303" t="inlineStr">
        <is>
          <t>InStock</t>
        </is>
      </c>
      <c r="R2303" t="inlineStr">
        <is>
          <t>undefined</t>
        </is>
      </c>
      <c r="S2303" t="inlineStr">
        <is>
          <t>2016478036079</t>
        </is>
      </c>
    </row>
    <row r="2304" ht="75" customHeight="1">
      <c r="A2304" s="2">
        <f>HYPERLINK("https://camerareadycosmetics.com/products/make-up-atelier-eyebrow-pencil", "https://camerareadycosmetics.com/products/make-up-atelier-eyebrow-pencil")</f>
        <v/>
      </c>
      <c r="B2304" s="2">
        <f>HYPERLINK("https://camerareadycosmetics.com/products/make-up-atelier-eyebrow-pencil", "https://camerareadycosmetics.com/products/make-up-atelier-eyebrow-pencil")</f>
        <v/>
      </c>
      <c r="C2304" t="inlineStr">
        <is>
          <t>Eyebrow Pencil</t>
        </is>
      </c>
      <c r="D2304" t="inlineStr">
        <is>
          <t>Maybelline Total Temptation Eyebrow Definer Pencil, Blonde, 2 Count</t>
        </is>
      </c>
      <c r="E2304" s="2">
        <f>HYPERLINK("https://www.amazon.com/Maybelline-New-York-Temptation-Eyebrow/dp/B07M5SHNT4/ref=sr_1_2?keywords=Eyebrow+Pencil&amp;qid=1695565693&amp;sr=8-2", "https://www.amazon.com/Maybelline-New-York-Temptation-Eyebrow/dp/B07M5SHNT4/ref=sr_1_2?keywords=Eyebrow+Pencil&amp;qid=1695565693&amp;sr=8-2")</f>
        <v/>
      </c>
      <c r="F2304" t="inlineStr">
        <is>
          <t>B07M5SHNT4</t>
        </is>
      </c>
      <c r="G2304">
        <f>_xlfn.IMAGE("https://camerareadycosmetics.com/cdn/shop/products/makeup-atelier-c23-eyebrow-pencil_50x.jpg?v=1551601080")</f>
        <v/>
      </c>
      <c r="H2304">
        <f>_xlfn.IMAGE("https://m.media-amazon.com/images/I/51kdLtM9axL._AC_UL320_.jpg")</f>
        <v/>
      </c>
      <c r="K2304" t="inlineStr">
        <is>
          <t>12.0</t>
        </is>
      </c>
      <c r="L2304" t="n">
        <v>24.94</v>
      </c>
      <c r="M2304" s="1" t="inlineStr">
        <is>
          <t>107.83%</t>
        </is>
      </c>
      <c r="N2304" t="n">
        <v>4.5</v>
      </c>
      <c r="O2304" t="n">
        <v>111827</v>
      </c>
      <c r="Q2304" t="inlineStr">
        <is>
          <t>OutOfStock</t>
        </is>
      </c>
      <c r="R2304" t="inlineStr">
        <is>
          <t>undefined</t>
        </is>
      </c>
      <c r="S2304" t="inlineStr">
        <is>
          <t>2157073432687</t>
        </is>
      </c>
    </row>
    <row r="2305" ht="75" customHeight="1">
      <c r="A2305" s="2">
        <f>HYPERLINK("https://camerareadycosmetics.com/products/make-up-atelier-eyebrow-pencil", "https://camerareadycosmetics.com/products/make-up-atelier-eyebrow-pencil")</f>
        <v/>
      </c>
      <c r="B2305" s="2">
        <f>HYPERLINK("https://camerareadycosmetics.com/products/make-up-atelier-eyebrow-pencil", "https://camerareadycosmetics.com/products/make-up-atelier-eyebrow-pencil")</f>
        <v/>
      </c>
      <c r="C2305" t="inlineStr">
        <is>
          <t>Eyebrow Pencil</t>
        </is>
      </c>
      <c r="D2305" t="inlineStr">
        <is>
          <t>NYX PROFESSIONAL MAKEUP Micro Brow Pencil, Eyebrow Pencil, Espresso, 1 Count</t>
        </is>
      </c>
      <c r="E2305" s="2">
        <f>HYPERLINK("https://www.amazon.com/NYX-PROFESSIONAL-MAKEUP-Eyebrow-Espresso/dp/B00WZQTCS8/ref=sr_1_1?keywords=Eyebrow+Pencil&amp;qid=1695565693&amp;sr=8-1", "https://www.amazon.com/NYX-PROFESSIONAL-MAKEUP-Eyebrow-Espresso/dp/B00WZQTCS8/ref=sr_1_1?keywords=Eyebrow+Pencil&amp;qid=1695565693&amp;sr=8-1")</f>
        <v/>
      </c>
      <c r="F2305" t="inlineStr">
        <is>
          <t>B00WZQTCS8</t>
        </is>
      </c>
      <c r="G2305">
        <f>_xlfn.IMAGE("https://camerareadycosmetics.com/cdn/shop/products/makeup-atelier-c23-eyebrow-pencil_50x.jpg?v=1551601080")</f>
        <v/>
      </c>
      <c r="H2305">
        <f>_xlfn.IMAGE("https://m.media-amazon.com/images/I/51Qz+Qy9ciL._AC_UL320_.jpg")</f>
        <v/>
      </c>
      <c r="K2305" t="inlineStr">
        <is>
          <t>12.0</t>
        </is>
      </c>
      <c r="L2305" t="n">
        <v>8.9</v>
      </c>
      <c r="M2305" s="1" t="inlineStr">
        <is>
          <t>-25.83%</t>
        </is>
      </c>
      <c r="N2305" t="n">
        <v>4.5</v>
      </c>
      <c r="O2305" t="n">
        <v>55903</v>
      </c>
      <c r="Q2305" t="inlineStr">
        <is>
          <t>OutOfStock</t>
        </is>
      </c>
      <c r="R2305" t="inlineStr">
        <is>
          <t>undefined</t>
        </is>
      </c>
      <c r="S2305" t="inlineStr">
        <is>
          <t>2157073432687</t>
        </is>
      </c>
    </row>
    <row r="2306" ht="75" customHeight="1">
      <c r="A2306" s="2">
        <f>HYPERLINK("https://camerareadycosmetics.com/products/make-up-atelier-eyebrow-pencil", "https://camerareadycosmetics.com/products/make-up-atelier-eyebrow-pencil")</f>
        <v/>
      </c>
      <c r="B2306" s="2">
        <f>HYPERLINK("https://camerareadycosmetics.com/products/make-up-atelier-eyebrow-pencil", "https://camerareadycosmetics.com/products/make-up-atelier-eyebrow-pencil")</f>
        <v/>
      </c>
      <c r="C2306" t="inlineStr">
        <is>
          <t>Eyebrow Pencil</t>
        </is>
      </c>
      <c r="D2306" t="inlineStr">
        <is>
          <t>Maybelline Brow Ultra Slim Defining Eyebrow Makeup Mechanical Pencil With 1.55 MM Tip And Blending Spoolie For Precisely Defined Eyebrows, Light Blonde, 0.003 oz.</t>
        </is>
      </c>
      <c r="E2306" s="2">
        <f>HYPERLINK("https://www.amazon.com/Maybelline-New-York-defining-eyebrow/dp/B07PJZ64GN/ref=sr_1_7?keywords=Eyebrow+Pencil&amp;qid=1695565693&amp;sr=8-7", "https://www.amazon.com/Maybelline-New-York-defining-eyebrow/dp/B07PJZ64GN/ref=sr_1_7?keywords=Eyebrow+Pencil&amp;qid=1695565693&amp;sr=8-7")</f>
        <v/>
      </c>
      <c r="F2306" t="inlineStr">
        <is>
          <t>B07PJZ64GN</t>
        </is>
      </c>
      <c r="G2306">
        <f>_xlfn.IMAGE("https://camerareadycosmetics.com/cdn/shop/products/makeup-atelier-c23-eyebrow-pencil_50x.jpg?v=1551601080")</f>
        <v/>
      </c>
      <c r="H2306">
        <f>_xlfn.IMAGE("https://m.media-amazon.com/images/I/61xMxja6rBL._AC_UL320_.jpg")</f>
        <v/>
      </c>
      <c r="K2306" t="inlineStr">
        <is>
          <t>12.0</t>
        </is>
      </c>
      <c r="L2306" t="n">
        <v>4.85</v>
      </c>
      <c r="M2306" s="1" t="inlineStr">
        <is>
          <t>-59.58%</t>
        </is>
      </c>
      <c r="N2306" t="n">
        <v>4.6</v>
      </c>
      <c r="O2306" t="n">
        <v>17446</v>
      </c>
      <c r="Q2306" t="inlineStr">
        <is>
          <t>OutOfStock</t>
        </is>
      </c>
      <c r="R2306" t="inlineStr">
        <is>
          <t>undefined</t>
        </is>
      </c>
      <c r="S2306" t="inlineStr">
        <is>
          <t>2157073432687</t>
        </is>
      </c>
    </row>
    <row r="2307" ht="75" customHeight="1">
      <c r="A2307" s="2">
        <f>HYPERLINK("https://camerareadycosmetics.com/products/make-up-atelier-eyebrow-pencil", "https://camerareadycosmetics.com/products/make-up-atelier-eyebrow-pencil")</f>
        <v/>
      </c>
      <c r="B2307" s="2">
        <f>HYPERLINK("https://camerareadycosmetics.com/products/make-up-atelier-eyebrow-pencil", "https://camerareadycosmetics.com/products/make-up-atelier-eyebrow-pencil")</f>
        <v/>
      </c>
      <c r="C2307" t="inlineStr">
        <is>
          <t>Eyebrow Pencil</t>
        </is>
      </c>
      <c r="D2307" t="inlineStr">
        <is>
          <t>ETUDE Drawing Eye Brow #2 Gray Brown 21AD | Long-Lasting Eyebrow Pencil for Soft Textured Natural Daily Look Eyebrow Makeup | K-beauty</t>
        </is>
      </c>
      <c r="E2307" s="2">
        <f>HYPERLINK("https://www.amazon.com/Drawing-Lasting-Eyebrow-Textured-Natural/dp/B097DC59G7/ref=sr_1_9?keywords=Eyebrow+Pencil&amp;qid=1695565693&amp;sr=8-9", "https://www.amazon.com/Drawing-Lasting-Eyebrow-Textured-Natural/dp/B097DC59G7/ref=sr_1_9?keywords=Eyebrow+Pencil&amp;qid=1695565693&amp;sr=8-9")</f>
        <v/>
      </c>
      <c r="F2307" t="inlineStr">
        <is>
          <t>B097DC59G7</t>
        </is>
      </c>
      <c r="G2307">
        <f>_xlfn.IMAGE("https://camerareadycosmetics.com/cdn/shop/products/makeup-atelier-c23-eyebrow-pencil_50x.jpg?v=1551601080")</f>
        <v/>
      </c>
      <c r="H2307">
        <f>_xlfn.IMAGE("https://m.media-amazon.com/images/I/51cfRyu7u-L._AC_UL320_.jpg")</f>
        <v/>
      </c>
      <c r="K2307" t="inlineStr">
        <is>
          <t>12.0</t>
        </is>
      </c>
      <c r="L2307" t="n">
        <v>4.5</v>
      </c>
      <c r="M2307" s="1" t="inlineStr">
        <is>
          <t>-62.50%</t>
        </is>
      </c>
      <c r="N2307" t="n">
        <v>4.4</v>
      </c>
      <c r="O2307" t="n">
        <v>14143</v>
      </c>
      <c r="Q2307" t="inlineStr">
        <is>
          <t>OutOfStock</t>
        </is>
      </c>
      <c r="R2307" t="inlineStr">
        <is>
          <t>undefined</t>
        </is>
      </c>
      <c r="S2307" t="inlineStr">
        <is>
          <t>2157073432687</t>
        </is>
      </c>
    </row>
    <row r="2308" ht="75" customHeight="1">
      <c r="A2308" s="2">
        <f>HYPERLINK("https://camerareadycosmetics.com/products/make-up-atelier-eyebrow-pencil", "https://camerareadycosmetics.com/products/make-up-atelier-eyebrow-pencil")</f>
        <v/>
      </c>
      <c r="B2308" s="2">
        <f>HYPERLINK("https://camerareadycosmetics.com/products/make-up-atelier-eyebrow-pencil", "https://camerareadycosmetics.com/products/make-up-atelier-eyebrow-pencil")</f>
        <v/>
      </c>
      <c r="C2308" t="inlineStr">
        <is>
          <t>Eyebrow Pencil</t>
        </is>
      </c>
      <c r="D2308" t="inlineStr">
        <is>
          <t>COVERGIRL Easy Breezy Brow Fill + Define Pencils, 2-count, Rich Brown Eye Pencil, Brown Eyebrow Pencil, Blendable Pencil Fill and Defined Brows, Sharpener Included</t>
        </is>
      </c>
      <c r="E2308" s="2">
        <f>HYPERLINK("https://www.amazon.com/COVERGIRL-Breezy-Define-Pencils-Packaging/dp/B001ESKLZQ/ref=sr_1_10?keywords=Eyebrow+Pencil&amp;qid=1695565693&amp;sr=8-10", "https://www.amazon.com/COVERGIRL-Breezy-Define-Pencils-Packaging/dp/B001ESKLZQ/ref=sr_1_10?keywords=Eyebrow+Pencil&amp;qid=1695565693&amp;sr=8-10")</f>
        <v/>
      </c>
      <c r="F2308" t="inlineStr">
        <is>
          <t>B001ESKLZQ</t>
        </is>
      </c>
      <c r="G2308">
        <f>_xlfn.IMAGE("https://camerareadycosmetics.com/cdn/shop/products/makeup-atelier-c23-eyebrow-pencil_50x.jpg?v=1551601080")</f>
        <v/>
      </c>
      <c r="H2308">
        <f>_xlfn.IMAGE("https://m.media-amazon.com/images/I/616kg0s-H+S._AC_UL320_.jpg")</f>
        <v/>
      </c>
      <c r="K2308" t="inlineStr">
        <is>
          <t>12.0</t>
        </is>
      </c>
      <c r="L2308" t="n">
        <v>4.47</v>
      </c>
      <c r="M2308" s="1" t="inlineStr">
        <is>
          <t>-62.75%</t>
        </is>
      </c>
      <c r="N2308" t="n">
        <v>4.1</v>
      </c>
      <c r="O2308" t="n">
        <v>9440</v>
      </c>
      <c r="Q2308" t="inlineStr">
        <is>
          <t>OutOfStock</t>
        </is>
      </c>
      <c r="R2308" t="inlineStr">
        <is>
          <t>undefined</t>
        </is>
      </c>
      <c r="S2308" t="inlineStr">
        <is>
          <t>2157073432687</t>
        </is>
      </c>
    </row>
    <row r="2309" ht="75" customHeight="1">
      <c r="A2309" s="2">
        <f>HYPERLINK("https://camerareadycosmetics.com/products/make-up-atelier-eyebrow-pencil", "https://camerareadycosmetics.com/products/make-up-atelier-eyebrow-pencil")</f>
        <v/>
      </c>
      <c r="B2309" s="2">
        <f>HYPERLINK("https://camerareadycosmetics.com/products/make-up-atelier-eyebrow-pencil", "https://camerareadycosmetics.com/products/make-up-atelier-eyebrow-pencil")</f>
        <v/>
      </c>
      <c r="C2309" t="inlineStr">
        <is>
          <t>Eyebrow Pencil</t>
        </is>
      </c>
      <c r="D2309" t="inlineStr">
        <is>
          <t>Wet n Wild Ultimate Brow Micro Eyebrow Retractable Pencil, Ash Brow, Ultra Fine 1.5mm Tip, Draws Tiny Brow Hairs</t>
        </is>
      </c>
      <c r="E2309" s="2">
        <f>HYPERLINK("https://www.amazon.com/Wet-Wild-Ultimate-Eyebrow-Pencil/dp/B07QD2Y8W4/ref=sr_1_5?keywords=Eyebrow+Pencil&amp;qid=1695565693&amp;rdc=1&amp;sr=8-5", "https://www.amazon.com/Wet-Wild-Ultimate-Eyebrow-Pencil/dp/B07QD2Y8W4/ref=sr_1_5?keywords=Eyebrow+Pencil&amp;qid=1695565693&amp;rdc=1&amp;sr=8-5")</f>
        <v/>
      </c>
      <c r="F2309" t="inlineStr">
        <is>
          <t>B07QD2Y8W4</t>
        </is>
      </c>
      <c r="G2309">
        <f>_xlfn.IMAGE("https://camerareadycosmetics.com/cdn/shop/products/makeup-atelier-c23-eyebrow-pencil_50x.jpg?v=1551601080")</f>
        <v/>
      </c>
      <c r="H2309">
        <f>_xlfn.IMAGE("https://m.media-amazon.com/images/I/61d8077HRIL._AC_UL320_.jpg")</f>
        <v/>
      </c>
      <c r="K2309" t="inlineStr">
        <is>
          <t>12.0</t>
        </is>
      </c>
      <c r="L2309" t="n">
        <v>3.29</v>
      </c>
      <c r="M2309" s="1" t="inlineStr">
        <is>
          <t>-72.58%</t>
        </is>
      </c>
      <c r="N2309" t="n">
        <v>4.4</v>
      </c>
      <c r="O2309" t="n">
        <v>3796</v>
      </c>
      <c r="Q2309" t="inlineStr">
        <is>
          <t>OutOfStock</t>
        </is>
      </c>
      <c r="R2309" t="inlineStr">
        <is>
          <t>undefined</t>
        </is>
      </c>
      <c r="S2309" t="inlineStr">
        <is>
          <t>2157073432687</t>
        </is>
      </c>
    </row>
    <row r="2310" ht="75" customHeight="1">
      <c r="A2310" s="2">
        <f>HYPERLINK("https://camerareadycosmetics.com/products/make-up-atelier-eyebrow-pencil", "https://camerareadycosmetics.com/products/make-up-atelier-eyebrow-pencil")</f>
        <v/>
      </c>
      <c r="B2310" s="2">
        <f>HYPERLINK("https://camerareadycosmetics.com/products/make-up-atelier-eyebrow-pencil", "https://camerareadycosmetics.com/products/make-up-atelier-eyebrow-pencil")</f>
        <v/>
      </c>
      <c r="C2310" t="inlineStr">
        <is>
          <t>Eyebrow Pencil</t>
        </is>
      </c>
      <c r="D2310" t="inlineStr">
        <is>
          <t>Wet n Wild Ultimate Eyebrow Retractable Definer Pencil, Medium Brown, Dual-Sided Brow Brush, Fine Tip, Shapes, Defines, Fills Brow Makeup</t>
        </is>
      </c>
      <c r="E2310" s="2">
        <f>HYPERLINK("https://www.amazon.com/wet-wild-Ultimate-Brow-Retractable/dp/B078KB7L4G/ref=sr_1_3?keywords=Eyebrow+Pencil&amp;qid=1695565693&amp;sr=8-3", "https://www.amazon.com/wet-wild-Ultimate-Brow-Retractable/dp/B078KB7L4G/ref=sr_1_3?keywords=Eyebrow+Pencil&amp;qid=1695565693&amp;sr=8-3")</f>
        <v/>
      </c>
      <c r="F2310" t="inlineStr">
        <is>
          <t>B078KB7L4G</t>
        </is>
      </c>
      <c r="G2310">
        <f>_xlfn.IMAGE("https://camerareadycosmetics.com/cdn/shop/products/makeup-atelier-c23-eyebrow-pencil_50x.jpg?v=1551601080")</f>
        <v/>
      </c>
      <c r="H2310">
        <f>_xlfn.IMAGE("https://m.media-amazon.com/images/I/71Z6khL9EPL._AC_UL320_.jpg")</f>
        <v/>
      </c>
      <c r="K2310" t="inlineStr">
        <is>
          <t>12.0</t>
        </is>
      </c>
      <c r="L2310" t="n">
        <v>3.18</v>
      </c>
      <c r="M2310" s="1" t="inlineStr">
        <is>
          <t>-73.50%</t>
        </is>
      </c>
      <c r="N2310" t="n">
        <v>4.5</v>
      </c>
      <c r="O2310" t="n">
        <v>11833</v>
      </c>
      <c r="Q2310" t="inlineStr">
        <is>
          <t>OutOfStock</t>
        </is>
      </c>
      <c r="R2310" t="inlineStr">
        <is>
          <t>undefined</t>
        </is>
      </c>
      <c r="S2310" t="inlineStr">
        <is>
          <t>2157073432687</t>
        </is>
      </c>
    </row>
    <row r="2311" ht="75" customHeight="1">
      <c r="A2311" s="2">
        <f>HYPERLINK("https://camerareadycosmetics.com/products/make-up-atelier-eyebrow-pencil", "https://camerareadycosmetics.com/products/make-up-atelier-eyebrow-pencil")</f>
        <v/>
      </c>
      <c r="B2311" s="2">
        <f>HYPERLINK("https://camerareadycosmetics.com/products/make-up-atelier-eyebrow-pencil", "https://camerareadycosmetics.com/products/make-up-atelier-eyebrow-pencil")</f>
        <v/>
      </c>
      <c r="C2311" t="inlineStr">
        <is>
          <t>Eyebrow Pencil</t>
        </is>
      </c>
      <c r="D2311" t="inlineStr">
        <is>
          <t>Maybelline Brow Ultra Slim Defining Eyebrow Makeup Mechanical Pencil With 1.55 MM Tip And Blending Spoolie For Precisely Defined Eyebrows, Light Blonde, 0.003 oz.</t>
        </is>
      </c>
      <c r="E2311" s="2">
        <f>HYPERLINK("https://www.amazon.com/Maybelline-New-York-defining-eyebrow/dp/B07PJZ64GN/ref=sr_1_7?keywords=Eyebrow+Pencil&amp;qid=1695565693&amp;sr=8-7", "https://www.amazon.com/Maybelline-New-York-defining-eyebrow/dp/B07PJZ64GN/ref=sr_1_7?keywords=Eyebrow+Pencil&amp;qid=1695565693&amp;sr=8-7")</f>
        <v/>
      </c>
      <c r="F2311" t="inlineStr">
        <is>
          <t>B07PJZ64GN</t>
        </is>
      </c>
      <c r="G2311">
        <f>_xlfn.IMAGE("https://camerareadycosmetics.com/cdn/shop/products/makeup-atelier-c23-eyebrow-pencil_50x.jpg?v=1551601080")</f>
        <v/>
      </c>
      <c r="H2311">
        <f>_xlfn.IMAGE("https://m.media-amazon.com/images/I/61xMxja6rBL._AC_UL320_.jpg")</f>
        <v/>
      </c>
      <c r="K2311" t="inlineStr">
        <is>
          <t>12.0</t>
        </is>
      </c>
      <c r="L2311" t="n">
        <v>4.85</v>
      </c>
      <c r="M2311" s="1" t="inlineStr">
        <is>
          <t>-59.58%</t>
        </is>
      </c>
      <c r="N2311" t="n">
        <v>4.6</v>
      </c>
      <c r="O2311" t="n">
        <v>17446</v>
      </c>
      <c r="Q2311" t="inlineStr">
        <is>
          <t>OutOfStock</t>
        </is>
      </c>
      <c r="R2311" t="inlineStr">
        <is>
          <t>undefined</t>
        </is>
      </c>
      <c r="S2311" t="inlineStr">
        <is>
          <t>2157073432687</t>
        </is>
      </c>
    </row>
    <row r="2312" ht="75" customHeight="1">
      <c r="A2312" s="2">
        <f>HYPERLINK("https://camerareadycosmetics.com/products/make-up-atelier-eyebrow-pencil", "https://camerareadycosmetics.com/products/make-up-atelier-eyebrow-pencil")</f>
        <v/>
      </c>
      <c r="B2312" s="2">
        <f>HYPERLINK("https://camerareadycosmetics.com/products/make-up-atelier-eyebrow-pencil", "https://camerareadycosmetics.com/products/make-up-atelier-eyebrow-pencil")</f>
        <v/>
      </c>
      <c r="C2312" t="inlineStr">
        <is>
          <t>Eyebrow Pencil</t>
        </is>
      </c>
      <c r="D2312" t="inlineStr">
        <is>
          <t>ETUDE Drawing Eye Brow #2 Gray Brown 21AD | Long-Lasting Eyebrow Pencil for Soft Textured Natural Daily Look Eyebrow Makeup | K-beauty</t>
        </is>
      </c>
      <c r="E2312" s="2">
        <f>HYPERLINK("https://www.amazon.com/Drawing-Lasting-Eyebrow-Textured-Natural/dp/B097DC59G7/ref=sr_1_9?keywords=Eyebrow+Pencil&amp;qid=1695565693&amp;sr=8-9", "https://www.amazon.com/Drawing-Lasting-Eyebrow-Textured-Natural/dp/B097DC59G7/ref=sr_1_9?keywords=Eyebrow+Pencil&amp;qid=1695565693&amp;sr=8-9")</f>
        <v/>
      </c>
      <c r="F2312" t="inlineStr">
        <is>
          <t>B097DC59G7</t>
        </is>
      </c>
      <c r="G2312">
        <f>_xlfn.IMAGE("https://camerareadycosmetics.com/cdn/shop/products/makeup-atelier-c23-eyebrow-pencil_50x.jpg?v=1551601080")</f>
        <v/>
      </c>
      <c r="H2312">
        <f>_xlfn.IMAGE("https://m.media-amazon.com/images/I/51cfRyu7u-L._AC_UL320_.jpg")</f>
        <v/>
      </c>
      <c r="K2312" t="inlineStr">
        <is>
          <t>12.0</t>
        </is>
      </c>
      <c r="L2312" t="n">
        <v>4.5</v>
      </c>
      <c r="M2312" s="1" t="inlineStr">
        <is>
          <t>-62.50%</t>
        </is>
      </c>
      <c r="N2312" t="n">
        <v>4.4</v>
      </c>
      <c r="O2312" t="n">
        <v>14143</v>
      </c>
      <c r="Q2312" t="inlineStr">
        <is>
          <t>OutOfStock</t>
        </is>
      </c>
      <c r="R2312" t="inlineStr">
        <is>
          <t>undefined</t>
        </is>
      </c>
      <c r="S2312" t="inlineStr">
        <is>
          <t>2157073432687</t>
        </is>
      </c>
    </row>
    <row r="2313" ht="75" customHeight="1">
      <c r="A2313" s="2">
        <f>HYPERLINK("https://camerareadycosmetics.com/products/make-up-atelier-eyebrow-pencil", "https://camerareadycosmetics.com/products/make-up-atelier-eyebrow-pencil")</f>
        <v/>
      </c>
      <c r="B2313" s="2">
        <f>HYPERLINK("https://camerareadycosmetics.com/products/make-up-atelier-eyebrow-pencil", "https://camerareadycosmetics.com/products/make-up-atelier-eyebrow-pencil")</f>
        <v/>
      </c>
      <c r="C2313" t="inlineStr">
        <is>
          <t>Eyebrow Pencil</t>
        </is>
      </c>
      <c r="D2313" t="inlineStr">
        <is>
          <t>COVERGIRL Easy Breezy Brow Fill + Define Pencils, 2-count, Rich Brown Eye Pencil, Brown Eyebrow Pencil, Blendable Pencil Fill and Defined Brows, Sharpener Included</t>
        </is>
      </c>
      <c r="E2313" s="2">
        <f>HYPERLINK("https://www.amazon.com/COVERGIRL-Breezy-Define-Pencils-Packaging/dp/B001ESKLZQ/ref=sr_1_10?keywords=Eyebrow+Pencil&amp;qid=1695565693&amp;sr=8-10", "https://www.amazon.com/COVERGIRL-Breezy-Define-Pencils-Packaging/dp/B001ESKLZQ/ref=sr_1_10?keywords=Eyebrow+Pencil&amp;qid=1695565693&amp;sr=8-10")</f>
        <v/>
      </c>
      <c r="F2313" t="inlineStr">
        <is>
          <t>B001ESKLZQ</t>
        </is>
      </c>
      <c r="G2313">
        <f>_xlfn.IMAGE("https://camerareadycosmetics.com/cdn/shop/products/makeup-atelier-c23-eyebrow-pencil_50x.jpg?v=1551601080")</f>
        <v/>
      </c>
      <c r="H2313">
        <f>_xlfn.IMAGE("https://m.media-amazon.com/images/I/616kg0s-H+S._AC_UL320_.jpg")</f>
        <v/>
      </c>
      <c r="K2313" t="inlineStr">
        <is>
          <t>12.0</t>
        </is>
      </c>
      <c r="L2313" t="n">
        <v>4.47</v>
      </c>
      <c r="M2313" s="1" t="inlineStr">
        <is>
          <t>-62.75%</t>
        </is>
      </c>
      <c r="N2313" t="n">
        <v>4.1</v>
      </c>
      <c r="O2313" t="n">
        <v>9440</v>
      </c>
      <c r="Q2313" t="inlineStr">
        <is>
          <t>OutOfStock</t>
        </is>
      </c>
      <c r="R2313" t="inlineStr">
        <is>
          <t>undefined</t>
        </is>
      </c>
      <c r="S2313" t="inlineStr">
        <is>
          <t>2157073432687</t>
        </is>
      </c>
    </row>
    <row r="2314" ht="75" customHeight="1">
      <c r="A2314" s="2">
        <f>HYPERLINK("https://camerareadycosmetics.com/products/make-up-atelier-eyebrow-pencil", "https://camerareadycosmetics.com/products/make-up-atelier-eyebrow-pencil")</f>
        <v/>
      </c>
      <c r="B2314" s="2">
        <f>HYPERLINK("https://camerareadycosmetics.com/products/make-up-atelier-eyebrow-pencil", "https://camerareadycosmetics.com/products/make-up-atelier-eyebrow-pencil")</f>
        <v/>
      </c>
      <c r="C2314" t="inlineStr">
        <is>
          <t>Eyebrow Pencil</t>
        </is>
      </c>
      <c r="D2314" t="inlineStr">
        <is>
          <t>Wet n Wild Ultimate Brow Micro Eyebrow Retractable Pencil, Ash Brow, Ultra Fine 1.5mm Tip, Draws Tiny Brow Hairs</t>
        </is>
      </c>
      <c r="E2314" s="2">
        <f>HYPERLINK("https://www.amazon.com/Wet-Wild-Ultimate-Eyebrow-Pencil/dp/B07QD2Y8W4/ref=sr_1_5?keywords=Eyebrow+Pencil&amp;qid=1695565693&amp;rdc=1&amp;sr=8-5", "https://www.amazon.com/Wet-Wild-Ultimate-Eyebrow-Pencil/dp/B07QD2Y8W4/ref=sr_1_5?keywords=Eyebrow+Pencil&amp;qid=1695565693&amp;rdc=1&amp;sr=8-5")</f>
        <v/>
      </c>
      <c r="F2314" t="inlineStr">
        <is>
          <t>B07QD2Y8W4</t>
        </is>
      </c>
      <c r="G2314">
        <f>_xlfn.IMAGE("https://camerareadycosmetics.com/cdn/shop/products/makeup-atelier-c23-eyebrow-pencil_50x.jpg?v=1551601080")</f>
        <v/>
      </c>
      <c r="H2314">
        <f>_xlfn.IMAGE("https://m.media-amazon.com/images/I/61d8077HRIL._AC_UL320_.jpg")</f>
        <v/>
      </c>
      <c r="K2314" t="inlineStr">
        <is>
          <t>12.0</t>
        </is>
      </c>
      <c r="L2314" t="n">
        <v>3.29</v>
      </c>
      <c r="M2314" s="1" t="inlineStr">
        <is>
          <t>-72.58%</t>
        </is>
      </c>
      <c r="N2314" t="n">
        <v>4.4</v>
      </c>
      <c r="O2314" t="n">
        <v>3796</v>
      </c>
      <c r="Q2314" t="inlineStr">
        <is>
          <t>OutOfStock</t>
        </is>
      </c>
      <c r="R2314" t="inlineStr">
        <is>
          <t>undefined</t>
        </is>
      </c>
      <c r="S2314" t="inlineStr">
        <is>
          <t>2157073432687</t>
        </is>
      </c>
    </row>
    <row r="2315" ht="75" customHeight="1">
      <c r="A2315" s="2">
        <f>HYPERLINK("https://camerareadycosmetics.com/products/make-up-atelier-eyebrow-pencil", "https://camerareadycosmetics.com/products/make-up-atelier-eyebrow-pencil")</f>
        <v/>
      </c>
      <c r="B2315" s="2">
        <f>HYPERLINK("https://camerareadycosmetics.com/products/make-up-atelier-eyebrow-pencil", "https://camerareadycosmetics.com/products/make-up-atelier-eyebrow-pencil")</f>
        <v/>
      </c>
      <c r="C2315" t="inlineStr">
        <is>
          <t>Eyebrow Pencil</t>
        </is>
      </c>
      <c r="D2315" t="inlineStr">
        <is>
          <t>Wet n Wild Ultimate Eyebrow Retractable Definer Pencil, Medium Brown, Dual-Sided Brow Brush, Fine Tip, Shapes, Defines, Fills Brow Makeup</t>
        </is>
      </c>
      <c r="E2315" s="2">
        <f>HYPERLINK("https://www.amazon.com/wet-wild-Ultimate-Brow-Retractable/dp/B078KB7L4G/ref=sr_1_3?keywords=Eyebrow+Pencil&amp;qid=1695565693&amp;sr=8-3", "https://www.amazon.com/wet-wild-Ultimate-Brow-Retractable/dp/B078KB7L4G/ref=sr_1_3?keywords=Eyebrow+Pencil&amp;qid=1695565693&amp;sr=8-3")</f>
        <v/>
      </c>
      <c r="F2315" t="inlineStr">
        <is>
          <t>B078KB7L4G</t>
        </is>
      </c>
      <c r="G2315">
        <f>_xlfn.IMAGE("https://camerareadycosmetics.com/cdn/shop/products/makeup-atelier-c23-eyebrow-pencil_50x.jpg?v=1551601080")</f>
        <v/>
      </c>
      <c r="H2315">
        <f>_xlfn.IMAGE("https://m.media-amazon.com/images/I/71Z6khL9EPL._AC_UL320_.jpg")</f>
        <v/>
      </c>
      <c r="K2315" t="inlineStr">
        <is>
          <t>12.0</t>
        </is>
      </c>
      <c r="L2315" t="n">
        <v>3.18</v>
      </c>
      <c r="M2315" s="1" t="inlineStr">
        <is>
          <t>-73.50%</t>
        </is>
      </c>
      <c r="N2315" t="n">
        <v>4.5</v>
      </c>
      <c r="O2315" t="n">
        <v>11833</v>
      </c>
      <c r="Q2315" t="inlineStr">
        <is>
          <t>OutOfStock</t>
        </is>
      </c>
      <c r="R2315" t="inlineStr">
        <is>
          <t>undefined</t>
        </is>
      </c>
      <c r="S2315" t="inlineStr">
        <is>
          <t>2157073432687</t>
        </is>
      </c>
    </row>
    <row r="2316" ht="75" customHeight="1">
      <c r="A2316" s="2">
        <f>HYPERLINK("https://camerareadycosmetics.com/products/make-up-atelier-fluid-concealer", "https://camerareadycosmetics.com/products/make-up-atelier-fluid-concealer")</f>
        <v/>
      </c>
      <c r="B2316" s="2">
        <f>HYPERLINK("https://camerareadycosmetics.com/products/make-up-atelier-fluid-concealer", "https://camerareadycosmetics.com/products/make-up-atelier-fluid-concealer")</f>
        <v/>
      </c>
      <c r="C2316" t="inlineStr">
        <is>
          <t>Fluid Concealer</t>
        </is>
      </c>
      <c r="D2316" t="inlineStr">
        <is>
          <t>NARS Nars Radiant Creamy Concealer, Vanilla,, 0.22 fluid_ounces</t>
        </is>
      </c>
      <c r="E2316" s="2">
        <f>HYPERLINK("https://www.amazon.com/NARS-Radiant-Creamy-Concealer-Vanilla/dp/B00FU2BMT6/ref=sr_1_8?keywords=Fluid+Concealer&amp;qid=1695565643&amp;sr=8-8", "https://www.amazon.com/NARS-Radiant-Creamy-Concealer-Vanilla/dp/B00FU2BMT6/ref=sr_1_8?keywords=Fluid+Concealer&amp;qid=1695565643&amp;sr=8-8")</f>
        <v/>
      </c>
      <c r="F2316" t="inlineStr">
        <is>
          <t>B00FU2BMT6</t>
        </is>
      </c>
      <c r="G2316">
        <f>_xlfn.IMAGE("https://camerareadycosmetics.com/cdn/shop/products/amber-fluid-concealer_50x.jpg?v=1622259538")</f>
        <v/>
      </c>
      <c r="H2316">
        <f>_xlfn.IMAGE("https://m.media-amazon.com/images/I/517gI+r8TJL._AC_UL320_.jpg")</f>
        <v/>
      </c>
      <c r="K2316" t="inlineStr">
        <is>
          <t>16.5</t>
        </is>
      </c>
      <c r="L2316" t="n">
        <v>31</v>
      </c>
      <c r="M2316" s="1" t="inlineStr">
        <is>
          <t>87.88%</t>
        </is>
      </c>
      <c r="N2316" t="n">
        <v>4.6</v>
      </c>
      <c r="O2316" t="n">
        <v>5117</v>
      </c>
      <c r="Q2316" t="inlineStr">
        <is>
          <t>InStock</t>
        </is>
      </c>
      <c r="R2316" t="inlineStr">
        <is>
          <t>undefined</t>
        </is>
      </c>
      <c r="S2316" t="inlineStr">
        <is>
          <t>6737319493817</t>
        </is>
      </c>
    </row>
    <row r="2317" ht="75" customHeight="1">
      <c r="A2317" s="2">
        <f>HYPERLINK("https://camerareadycosmetics.com/products/make-up-atelier-fluid-concealer", "https://camerareadycosmetics.com/products/make-up-atelier-fluid-concealer")</f>
        <v/>
      </c>
      <c r="B2317" s="2">
        <f>HYPERLINK("https://camerareadycosmetics.com/products/make-up-atelier-fluid-concealer", "https://camerareadycosmetics.com/products/make-up-atelier-fluid-concealer")</f>
        <v/>
      </c>
      <c r="C2317" t="inlineStr">
        <is>
          <t>Fluid Concealer</t>
        </is>
      </c>
      <c r="D2317" t="inlineStr">
        <is>
          <t>MILK MAKEUP Future Fluid All Over Medium Coverage Hydrating Concealer 3N</t>
        </is>
      </c>
      <c r="E2317" s="2">
        <f>HYPERLINK("https://www.amazon.com/MAKEUP-Future-Coverage-Hydrating-Concealer/dp/B0BZ13NPF7/ref=sr_1_3?keywords=Fluid+Concealer&amp;qid=1695565643&amp;sr=8-3", "https://www.amazon.com/MAKEUP-Future-Coverage-Hydrating-Concealer/dp/B0BZ13NPF7/ref=sr_1_3?keywords=Fluid+Concealer&amp;qid=1695565643&amp;sr=8-3")</f>
        <v/>
      </c>
      <c r="F2317" t="inlineStr">
        <is>
          <t>B0BZ13NPF7</t>
        </is>
      </c>
      <c r="G2317">
        <f>_xlfn.IMAGE("https://camerareadycosmetics.com/cdn/shop/products/amber-fluid-concealer_50x.jpg?v=1622259538")</f>
        <v/>
      </c>
      <c r="H2317">
        <f>_xlfn.IMAGE("https://m.media-amazon.com/images/I/61fVhWpcOVL._AC_UL320_.jpg")</f>
        <v/>
      </c>
      <c r="K2317" t="inlineStr">
        <is>
          <t>16.5</t>
        </is>
      </c>
      <c r="L2317" t="n">
        <v>29</v>
      </c>
      <c r="M2317" s="1" t="inlineStr">
        <is>
          <t>75.76%</t>
        </is>
      </c>
      <c r="N2317" t="n">
        <v>3.5</v>
      </c>
      <c r="O2317" t="n">
        <v>13</v>
      </c>
      <c r="Q2317" t="inlineStr">
        <is>
          <t>InStock</t>
        </is>
      </c>
      <c r="R2317" t="inlineStr">
        <is>
          <t>undefined</t>
        </is>
      </c>
      <c r="S2317" t="inlineStr">
        <is>
          <t>6737319493817</t>
        </is>
      </c>
    </row>
    <row r="2318" ht="75" customHeight="1">
      <c r="A2318" s="2">
        <f>HYPERLINK("https://camerareadycosmetics.com/products/make-up-atelier-fluid-concealer", "https://camerareadycosmetics.com/products/make-up-atelier-fluid-concealer")</f>
        <v/>
      </c>
      <c r="B2318" s="2">
        <f>HYPERLINK("https://camerareadycosmetics.com/products/make-up-atelier-fluid-concealer", "https://camerareadycosmetics.com/products/make-up-atelier-fluid-concealer")</f>
        <v/>
      </c>
      <c r="C2318" t="inlineStr">
        <is>
          <t>Fluid Concealer</t>
        </is>
      </c>
      <c r="D2318" t="inlineStr">
        <is>
          <t>Rachel Couture Liquid Concealer | Medium to Full Coverage Fluid Concealer | Vegan &amp; Cruelty-Free | Infused with Arnica Extract - 0.3 Fl Oz - Light</t>
        </is>
      </c>
      <c r="E2318" s="2">
        <f>HYPERLINK("https://www.amazon.com/Rachel-Couture-Concealer-Coverage-Cruelty/dp/B0B3NGFH7R/ref=sr_1_5?keywords=Fluid+Concealer&amp;qid=1695565643&amp;sr=8-5", "https://www.amazon.com/Rachel-Couture-Concealer-Coverage-Cruelty/dp/B0B3NGFH7R/ref=sr_1_5?keywords=Fluid+Concealer&amp;qid=1695565643&amp;sr=8-5")</f>
        <v/>
      </c>
      <c r="F2318" t="inlineStr">
        <is>
          <t>B0B3NGFH7R</t>
        </is>
      </c>
      <c r="G2318">
        <f>_xlfn.IMAGE("https://camerareadycosmetics.com/cdn/shop/products/amber-fluid-concealer_50x.jpg?v=1622259538")</f>
        <v/>
      </c>
      <c r="H2318">
        <f>_xlfn.IMAGE("https://m.media-amazon.com/images/I/81eNFIBo6BL._AC_UL320_.jpg")</f>
        <v/>
      </c>
      <c r="K2318" t="inlineStr">
        <is>
          <t>16.5</t>
        </is>
      </c>
      <c r="L2318" t="n">
        <v>8.800000000000001</v>
      </c>
      <c r="M2318" s="1" t="inlineStr">
        <is>
          <t>-46.67%</t>
        </is>
      </c>
      <c r="N2318" t="n">
        <v>4.8</v>
      </c>
      <c r="O2318" t="n">
        <v>5</v>
      </c>
      <c r="Q2318" t="inlineStr">
        <is>
          <t>InStock</t>
        </is>
      </c>
      <c r="R2318" t="inlineStr">
        <is>
          <t>undefined</t>
        </is>
      </c>
      <c r="S2318" t="inlineStr">
        <is>
          <t>6737319493817</t>
        </is>
      </c>
    </row>
    <row r="2319" ht="75" customHeight="1">
      <c r="A2319" s="2">
        <f>HYPERLINK("https://camerareadycosmetics.com/products/make-up-atelier-fluid-concealer", "https://camerareadycosmetics.com/products/make-up-atelier-fluid-concealer")</f>
        <v/>
      </c>
      <c r="B2319" s="2">
        <f>HYPERLINK("https://camerareadycosmetics.com/products/make-up-atelier-fluid-concealer", "https://camerareadycosmetics.com/products/make-up-atelier-fluid-concealer")</f>
        <v/>
      </c>
      <c r="C2319" t="inlineStr">
        <is>
          <t>Fluid Concealer</t>
        </is>
      </c>
      <c r="D2319" t="inlineStr">
        <is>
          <t>e.l.f. cosmetics Hydrating Satin Camo Concealer - Medium Beige, 0.203 Fluid_Ounces</t>
        </is>
      </c>
      <c r="E2319" s="2">
        <f>HYPERLINK("https://www.amazon.com/l-f-Cosmetics-Hydrating-Concealer-Full-coverage/dp/B07ZR15BY5/ref=sr_1_1?keywords=Fluid+Concealer&amp;qid=1695565643&amp;sr=8-1", "https://www.amazon.com/l-f-Cosmetics-Hydrating-Concealer-Full-coverage/dp/B07ZR15BY5/ref=sr_1_1?keywords=Fluid+Concealer&amp;qid=1695565643&amp;sr=8-1")</f>
        <v/>
      </c>
      <c r="F2319" t="inlineStr">
        <is>
          <t>B07ZR15BY5</t>
        </is>
      </c>
      <c r="G2319">
        <f>_xlfn.IMAGE("https://camerareadycosmetics.com/cdn/shop/products/amber-fluid-concealer_50x.jpg?v=1622259538")</f>
        <v/>
      </c>
      <c r="H2319">
        <f>_xlfn.IMAGE("https://m.media-amazon.com/images/I/61zmdUtnrcL._AC_UL320_.jpg")</f>
        <v/>
      </c>
      <c r="K2319" t="inlineStr">
        <is>
          <t>16.5</t>
        </is>
      </c>
      <c r="L2319" t="n">
        <v>7</v>
      </c>
      <c r="M2319" s="1" t="inlineStr">
        <is>
          <t>-57.58%</t>
        </is>
      </c>
      <c r="N2319" t="n">
        <v>4.3</v>
      </c>
      <c r="O2319" t="n">
        <v>78405</v>
      </c>
      <c r="Q2319" t="inlineStr">
        <is>
          <t>InStock</t>
        </is>
      </c>
      <c r="R2319" t="inlineStr">
        <is>
          <t>undefined</t>
        </is>
      </c>
      <c r="S2319" t="inlineStr">
        <is>
          <t>6737319493817</t>
        </is>
      </c>
    </row>
    <row r="2320" ht="75" customHeight="1">
      <c r="A2320" s="2">
        <f>HYPERLINK("https://camerareadycosmetics.com/products/make-up-atelier-fluid-concealer", "https://camerareadycosmetics.com/products/make-up-atelier-fluid-concealer")</f>
        <v/>
      </c>
      <c r="B2320" s="2">
        <f>HYPERLINK("https://camerareadycosmetics.com/products/make-up-atelier-fluid-concealer", "https://camerareadycosmetics.com/products/make-up-atelier-fluid-concealer")</f>
        <v/>
      </c>
      <c r="C2320" t="inlineStr">
        <is>
          <t>Fluid Concealer</t>
        </is>
      </c>
      <c r="D2320" t="inlineStr">
        <is>
          <t>Revlon Youth Fx Fill + Blur Concealer, Light, 0.11 Fluid Ounce</t>
        </is>
      </c>
      <c r="E2320" s="2">
        <f>HYPERLINK("https://www.amazon.com/Revlon-Youth-Concealer-Light-Fluid/dp/B06ZZLJZ49/ref=sr_1_10?keywords=Fluid+Concealer&amp;qid=1695565643&amp;sr=8-10", "https://www.amazon.com/Revlon-Youth-Concealer-Light-Fluid/dp/B06ZZLJZ49/ref=sr_1_10?keywords=Fluid+Concealer&amp;qid=1695565643&amp;sr=8-10")</f>
        <v/>
      </c>
      <c r="F2320" t="inlineStr">
        <is>
          <t>B06ZZLJZ49</t>
        </is>
      </c>
      <c r="G2320">
        <f>_xlfn.IMAGE("https://camerareadycosmetics.com/cdn/shop/products/amber-fluid-concealer_50x.jpg?v=1622259538")</f>
        <v/>
      </c>
      <c r="H2320">
        <f>_xlfn.IMAGE("https://m.media-amazon.com/images/I/61AKuyGwG1L._AC_UL320_.jpg")</f>
        <v/>
      </c>
      <c r="K2320" t="inlineStr">
        <is>
          <t>16.5</t>
        </is>
      </c>
      <c r="L2320" t="n">
        <v>5.99</v>
      </c>
      <c r="M2320" s="1" t="inlineStr">
        <is>
          <t>-63.70%</t>
        </is>
      </c>
      <c r="N2320" t="n">
        <v>3.8</v>
      </c>
      <c r="O2320" t="n">
        <v>1332</v>
      </c>
      <c r="Q2320" t="inlineStr">
        <is>
          <t>InStock</t>
        </is>
      </c>
      <c r="R2320" t="inlineStr">
        <is>
          <t>undefined</t>
        </is>
      </c>
      <c r="S2320" t="inlineStr">
        <is>
          <t>6737319493817</t>
        </is>
      </c>
    </row>
    <row r="2321" ht="75" customHeight="1">
      <c r="A2321" s="2">
        <f>HYPERLINK("https://camerareadycosmetics.com/products/make-up-atelier-fluid-concealer", "https://camerareadycosmetics.com/products/make-up-atelier-fluid-concealer")</f>
        <v/>
      </c>
      <c r="B2321" s="2">
        <f>HYPERLINK("https://camerareadycosmetics.com/products/make-up-atelier-fluid-concealer", "https://camerareadycosmetics.com/products/make-up-atelier-fluid-concealer")</f>
        <v/>
      </c>
      <c r="C2321" t="inlineStr">
        <is>
          <t>Fluid Concealer</t>
        </is>
      </c>
      <c r="D2321" t="inlineStr">
        <is>
          <t>Rimmel Stay Matte Concealer, Fair, 0.23 Fluid Ounce</t>
        </is>
      </c>
      <c r="E2321" s="2">
        <f>HYPERLINK("https://www.amazon.com/Rimmel-Matte-Concealer-Fluid-Ounce/dp/B07JLMZLJY/ref=sr_1_7?keywords=Fluid+Concealer&amp;qid=1695565643&amp;sr=8-7", "https://www.amazon.com/Rimmel-Matte-Concealer-Fluid-Ounce/dp/B07JLMZLJY/ref=sr_1_7?keywords=Fluid+Concealer&amp;qid=1695565643&amp;sr=8-7")</f>
        <v/>
      </c>
      <c r="F2321" t="inlineStr">
        <is>
          <t>B07JLMZLJY</t>
        </is>
      </c>
      <c r="G2321">
        <f>_xlfn.IMAGE("https://camerareadycosmetics.com/cdn/shop/products/amber-fluid-concealer_50x.jpg?v=1622259538")</f>
        <v/>
      </c>
      <c r="H2321">
        <f>_xlfn.IMAGE("https://m.media-amazon.com/images/I/61dIBRfATvL._AC_UL320_.jpg")</f>
        <v/>
      </c>
      <c r="K2321" t="inlineStr">
        <is>
          <t>16.5</t>
        </is>
      </c>
      <c r="L2321" t="n">
        <v>5.99</v>
      </c>
      <c r="M2321" s="1" t="inlineStr">
        <is>
          <t>-63.70%</t>
        </is>
      </c>
      <c r="N2321" t="n">
        <v>4.4</v>
      </c>
      <c r="O2321" t="n">
        <v>1738</v>
      </c>
      <c r="Q2321" t="inlineStr">
        <is>
          <t>InStock</t>
        </is>
      </c>
      <c r="R2321" t="inlineStr">
        <is>
          <t>undefined</t>
        </is>
      </c>
      <c r="S2321" t="inlineStr">
        <is>
          <t>6737319493817</t>
        </is>
      </c>
    </row>
    <row r="2322" ht="75" customHeight="1">
      <c r="A2322" s="2">
        <f>HYPERLINK("https://camerareadycosmetics.com/products/make-up-atelier-fluid-concealer", "https://camerareadycosmetics.com/products/make-up-atelier-fluid-concealer")</f>
        <v/>
      </c>
      <c r="B2322" s="2">
        <f>HYPERLINK("https://camerareadycosmetics.com/products/make-up-atelier-fluid-concealer", "https://camerareadycosmetics.com/products/make-up-atelier-fluid-concealer")</f>
        <v/>
      </c>
      <c r="C2322" t="inlineStr">
        <is>
          <t>Fluid Concealer</t>
        </is>
      </c>
      <c r="D2322" t="inlineStr">
        <is>
          <t>Revlon PhotoReady Candid Concealer, with Anti-Pollution, Antioxidant, Anti-Blue Light Ingredients, without Parabens, Pthalates and Fragrances; Sand, 34 Fluid Oz</t>
        </is>
      </c>
      <c r="E2322" s="2">
        <f>HYPERLINK("https://www.amazon.com/Revlon-PhotoReady-Antioxidant-Concealer-Sand-34/dp/B07GDYCFG5/ref=sr_1_6?keywords=Fluid+Concealer&amp;qid=1695565643&amp;sr=8-6", "https://www.amazon.com/Revlon-PhotoReady-Antioxidant-Concealer-Sand-34/dp/B07GDYCFG5/ref=sr_1_6?keywords=Fluid+Concealer&amp;qid=1695565643&amp;sr=8-6")</f>
        <v/>
      </c>
      <c r="F2322" t="inlineStr">
        <is>
          <t>B07GDYCFG5</t>
        </is>
      </c>
      <c r="G2322">
        <f>_xlfn.IMAGE("https://camerareadycosmetics.com/cdn/shop/products/amber-fluid-concealer_50x.jpg?v=1622259538")</f>
        <v/>
      </c>
      <c r="H2322">
        <f>_xlfn.IMAGE("https://m.media-amazon.com/images/I/61EkeQuxGWL._AC_UL320_.jpg")</f>
        <v/>
      </c>
      <c r="K2322" t="inlineStr">
        <is>
          <t>16.5</t>
        </is>
      </c>
      <c r="L2322" t="n">
        <v>5.49</v>
      </c>
      <c r="M2322" s="1" t="inlineStr">
        <is>
          <t>-66.73%</t>
        </is>
      </c>
      <c r="N2322" t="n">
        <v>4.4</v>
      </c>
      <c r="O2322" t="n">
        <v>2064</v>
      </c>
      <c r="Q2322" t="inlineStr">
        <is>
          <t>InStock</t>
        </is>
      </c>
      <c r="R2322" t="inlineStr">
        <is>
          <t>undefined</t>
        </is>
      </c>
      <c r="S2322" t="inlineStr">
        <is>
          <t>6737319493817</t>
        </is>
      </c>
    </row>
    <row r="2323" ht="75" customHeight="1">
      <c r="A2323" s="2">
        <f>HYPERLINK("https://camerareadycosmetics.com/products/make-up-atelier-fluid-concealer", "https://camerareadycosmetics.com/products/make-up-atelier-fluid-concealer")</f>
        <v/>
      </c>
      <c r="B2323" s="2">
        <f>HYPERLINK("https://camerareadycosmetics.com/products/make-up-atelier-fluid-concealer", "https://camerareadycosmetics.com/products/make-up-atelier-fluid-concealer")</f>
        <v/>
      </c>
      <c r="C2323" t="inlineStr">
        <is>
          <t>Fluid Concealer</t>
        </is>
      </c>
      <c r="D2323" t="inlineStr">
        <is>
          <t>e.l.f. cosmetics Hydrating Satin Camo Concealer - Medium Beige, 0.203 Fluid_Ounces</t>
        </is>
      </c>
      <c r="E2323" s="2">
        <f>HYPERLINK("https://www.amazon.com/l-f-Cosmetics-Hydrating-Concealer-Full-coverage/dp/B07ZR15BY5/ref=sr_1_1?keywords=Fluid+Concealer&amp;qid=1695565643&amp;sr=8-1", "https://www.amazon.com/l-f-Cosmetics-Hydrating-Concealer-Full-coverage/dp/B07ZR15BY5/ref=sr_1_1?keywords=Fluid+Concealer&amp;qid=1695565643&amp;sr=8-1")</f>
        <v/>
      </c>
      <c r="F2323" t="inlineStr">
        <is>
          <t>B07ZR15BY5</t>
        </is>
      </c>
      <c r="G2323">
        <f>_xlfn.IMAGE("https://camerareadycosmetics.com/cdn/shop/products/amber-fluid-concealer_50x.jpg?v=1622259538")</f>
        <v/>
      </c>
      <c r="H2323">
        <f>_xlfn.IMAGE("https://m.media-amazon.com/images/I/61zmdUtnrcL._AC_UL320_.jpg")</f>
        <v/>
      </c>
      <c r="K2323" t="inlineStr">
        <is>
          <t>16.5</t>
        </is>
      </c>
      <c r="L2323" t="n">
        <v>7</v>
      </c>
      <c r="M2323" s="1" t="inlineStr">
        <is>
          <t>-57.58%</t>
        </is>
      </c>
      <c r="N2323" t="n">
        <v>4.3</v>
      </c>
      <c r="O2323" t="n">
        <v>78405</v>
      </c>
      <c r="Q2323" t="inlineStr">
        <is>
          <t>InStock</t>
        </is>
      </c>
      <c r="R2323" t="inlineStr">
        <is>
          <t>undefined</t>
        </is>
      </c>
      <c r="S2323" t="inlineStr">
        <is>
          <t>6737319493817</t>
        </is>
      </c>
    </row>
    <row r="2324" ht="75" customHeight="1">
      <c r="A2324" s="2">
        <f>HYPERLINK("https://camerareadycosmetics.com/products/make-up-atelier-fluid-concealer", "https://camerareadycosmetics.com/products/make-up-atelier-fluid-concealer")</f>
        <v/>
      </c>
      <c r="B2324" s="2">
        <f>HYPERLINK("https://camerareadycosmetics.com/products/make-up-atelier-fluid-concealer", "https://camerareadycosmetics.com/products/make-up-atelier-fluid-concealer")</f>
        <v/>
      </c>
      <c r="C2324" t="inlineStr">
        <is>
          <t>Fluid Concealer</t>
        </is>
      </c>
      <c r="D2324" t="inlineStr">
        <is>
          <t>Revlon Youth Fx Fill + Blur Concealer, Light, 0.11 Fluid Ounce</t>
        </is>
      </c>
      <c r="E2324" s="2">
        <f>HYPERLINK("https://www.amazon.com/Revlon-Youth-Concealer-Light-Fluid/dp/B06ZZLJZ49/ref=sr_1_10?keywords=Fluid+Concealer&amp;qid=1695565643&amp;sr=8-10", "https://www.amazon.com/Revlon-Youth-Concealer-Light-Fluid/dp/B06ZZLJZ49/ref=sr_1_10?keywords=Fluid+Concealer&amp;qid=1695565643&amp;sr=8-10")</f>
        <v/>
      </c>
      <c r="F2324" t="inlineStr">
        <is>
          <t>B06ZZLJZ49</t>
        </is>
      </c>
      <c r="G2324">
        <f>_xlfn.IMAGE("https://camerareadycosmetics.com/cdn/shop/products/amber-fluid-concealer_50x.jpg?v=1622259538")</f>
        <v/>
      </c>
      <c r="H2324">
        <f>_xlfn.IMAGE("https://m.media-amazon.com/images/I/61AKuyGwG1L._AC_UL320_.jpg")</f>
        <v/>
      </c>
      <c r="K2324" t="inlineStr">
        <is>
          <t>16.5</t>
        </is>
      </c>
      <c r="L2324" t="n">
        <v>5.99</v>
      </c>
      <c r="M2324" s="1" t="inlineStr">
        <is>
          <t>-63.70%</t>
        </is>
      </c>
      <c r="N2324" t="n">
        <v>3.8</v>
      </c>
      <c r="O2324" t="n">
        <v>1332</v>
      </c>
      <c r="Q2324" t="inlineStr">
        <is>
          <t>InStock</t>
        </is>
      </c>
      <c r="R2324" t="inlineStr">
        <is>
          <t>undefined</t>
        </is>
      </c>
      <c r="S2324" t="inlineStr">
        <is>
          <t>6737319493817</t>
        </is>
      </c>
    </row>
    <row r="2325" ht="75" customHeight="1">
      <c r="A2325" s="2">
        <f>HYPERLINK("https://camerareadycosmetics.com/products/make-up-atelier-fluid-concealer", "https://camerareadycosmetics.com/products/make-up-atelier-fluid-concealer")</f>
        <v/>
      </c>
      <c r="B2325" s="2">
        <f>HYPERLINK("https://camerareadycosmetics.com/products/make-up-atelier-fluid-concealer", "https://camerareadycosmetics.com/products/make-up-atelier-fluid-concealer")</f>
        <v/>
      </c>
      <c r="C2325" t="inlineStr">
        <is>
          <t>Fluid Concealer</t>
        </is>
      </c>
      <c r="D2325" t="inlineStr">
        <is>
          <t>Rimmel Stay Matte Concealer, Fair, 0.23 Fluid Ounce</t>
        </is>
      </c>
      <c r="E2325" s="2">
        <f>HYPERLINK("https://www.amazon.com/Rimmel-Matte-Concealer-Fluid-Ounce/dp/B07JLMZLJY/ref=sr_1_7?keywords=Fluid+Concealer&amp;qid=1695565643&amp;sr=8-7", "https://www.amazon.com/Rimmel-Matte-Concealer-Fluid-Ounce/dp/B07JLMZLJY/ref=sr_1_7?keywords=Fluid+Concealer&amp;qid=1695565643&amp;sr=8-7")</f>
        <v/>
      </c>
      <c r="F2325" t="inlineStr">
        <is>
          <t>B07JLMZLJY</t>
        </is>
      </c>
      <c r="G2325">
        <f>_xlfn.IMAGE("https://camerareadycosmetics.com/cdn/shop/products/amber-fluid-concealer_50x.jpg?v=1622259538")</f>
        <v/>
      </c>
      <c r="H2325">
        <f>_xlfn.IMAGE("https://m.media-amazon.com/images/I/61dIBRfATvL._AC_UL320_.jpg")</f>
        <v/>
      </c>
      <c r="K2325" t="inlineStr">
        <is>
          <t>16.5</t>
        </is>
      </c>
      <c r="L2325" t="n">
        <v>5.99</v>
      </c>
      <c r="M2325" s="1" t="inlineStr">
        <is>
          <t>-63.70%</t>
        </is>
      </c>
      <c r="N2325" t="n">
        <v>4.4</v>
      </c>
      <c r="O2325" t="n">
        <v>1738</v>
      </c>
      <c r="Q2325" t="inlineStr">
        <is>
          <t>InStock</t>
        </is>
      </c>
      <c r="R2325" t="inlineStr">
        <is>
          <t>undefined</t>
        </is>
      </c>
      <c r="S2325" t="inlineStr">
        <is>
          <t>6737319493817</t>
        </is>
      </c>
    </row>
    <row r="2326" ht="75" customHeight="1">
      <c r="A2326" s="2">
        <f>HYPERLINK("https://camerareadycosmetics.com/products/make-up-atelier-fluid-concealer", "https://camerareadycosmetics.com/products/make-up-atelier-fluid-concealer")</f>
        <v/>
      </c>
      <c r="B2326" s="2">
        <f>HYPERLINK("https://camerareadycosmetics.com/products/make-up-atelier-fluid-concealer", "https://camerareadycosmetics.com/products/make-up-atelier-fluid-concealer")</f>
        <v/>
      </c>
      <c r="C2326" t="inlineStr">
        <is>
          <t>Fluid Concealer</t>
        </is>
      </c>
      <c r="D2326" t="inlineStr">
        <is>
          <t>Revlon PhotoReady Candid Concealer, with Anti-Pollution, Antioxidant, Anti-Blue Light Ingredients, without Parabens, Pthalates and Fragrances; Sand, 34 Fluid Oz</t>
        </is>
      </c>
      <c r="E2326" s="2">
        <f>HYPERLINK("https://www.amazon.com/Revlon-PhotoReady-Antioxidant-Concealer-Sand-34/dp/B07GDYCFG5/ref=sr_1_6?keywords=Fluid+Concealer&amp;qid=1695565643&amp;sr=8-6", "https://www.amazon.com/Revlon-PhotoReady-Antioxidant-Concealer-Sand-34/dp/B07GDYCFG5/ref=sr_1_6?keywords=Fluid+Concealer&amp;qid=1695565643&amp;sr=8-6")</f>
        <v/>
      </c>
      <c r="F2326" t="inlineStr">
        <is>
          <t>B07GDYCFG5</t>
        </is>
      </c>
      <c r="G2326">
        <f>_xlfn.IMAGE("https://camerareadycosmetics.com/cdn/shop/products/amber-fluid-concealer_50x.jpg?v=1622259538")</f>
        <v/>
      </c>
      <c r="H2326">
        <f>_xlfn.IMAGE("https://m.media-amazon.com/images/I/61EkeQuxGWL._AC_UL320_.jpg")</f>
        <v/>
      </c>
      <c r="K2326" t="inlineStr">
        <is>
          <t>16.5</t>
        </is>
      </c>
      <c r="L2326" t="n">
        <v>5.49</v>
      </c>
      <c r="M2326" s="1" t="inlineStr">
        <is>
          <t>-66.73%</t>
        </is>
      </c>
      <c r="N2326" t="n">
        <v>4.4</v>
      </c>
      <c r="O2326" t="n">
        <v>2064</v>
      </c>
      <c r="Q2326" t="inlineStr">
        <is>
          <t>InStock</t>
        </is>
      </c>
      <c r="R2326" t="inlineStr">
        <is>
          <t>undefined</t>
        </is>
      </c>
      <c r="S2326" t="inlineStr">
        <is>
          <t>6737319493817</t>
        </is>
      </c>
    </row>
    <row r="2327" ht="75" customHeight="1">
      <c r="A2327" s="2">
        <f>HYPERLINK("https://camerareadycosmetics.com/products/make-up-atelier-gel-eyeliner", "https://camerareadycosmetics.com/products/make-up-atelier-gel-eyeliner")</f>
        <v/>
      </c>
      <c r="B2327" s="2">
        <f>HYPERLINK("https://camerareadycosmetics.com/products/make-up-atelier-gel-eyeliner", "https://camerareadycosmetics.com/products/make-up-atelier-gel-eyeliner")</f>
        <v/>
      </c>
      <c r="C2327" t="inlineStr">
        <is>
          <t>Gel Eyeliner</t>
        </is>
      </c>
      <c r="D2327" t="inlineStr">
        <is>
          <t>Long-Wear Gel Eyeliner - 1 Black Ink by Bobbi Brown for Women - 0.1 oz</t>
        </is>
      </c>
      <c r="E2327" s="2">
        <f>HYPERLINK("https://www.amazon.com/Bobbi-Brown-Long-Wear-Eyeliner-Black/dp/B002Q67HRK/ref=sr_1_10?keywords=Gel+Eyeliner&amp;qid=1695565614&amp;sr=8-10", "https://www.amazon.com/Bobbi-Brown-Long-Wear-Eyeliner-Black/dp/B002Q67HRK/ref=sr_1_10?keywords=Gel+Eyeliner&amp;qid=1695565614&amp;sr=8-10")</f>
        <v/>
      </c>
      <c r="F2327" t="inlineStr">
        <is>
          <t>B002Q67HRK</t>
        </is>
      </c>
      <c r="G2327">
        <f>_xlfn.IMAGE("https://camerareadycosmetics.com/cdn/shop/products/nightblue-makeup-atelier-gel-eyeliner_50x.jpg?v=1544226651")</f>
        <v/>
      </c>
      <c r="H2327">
        <f>_xlfn.IMAGE("https://m.media-amazon.com/images/I/513cFeUVL9L._AC_UL320_.jpg")</f>
        <v/>
      </c>
      <c r="K2327" t="inlineStr">
        <is>
          <t>16.0</t>
        </is>
      </c>
      <c r="L2327" t="n">
        <v>24.46</v>
      </c>
      <c r="M2327" s="1" t="inlineStr">
        <is>
          <t>52.88%</t>
        </is>
      </c>
      <c r="N2327" t="n">
        <v>4.5</v>
      </c>
      <c r="O2327" t="n">
        <v>482</v>
      </c>
      <c r="Q2327" t="inlineStr">
        <is>
          <t>InStock</t>
        </is>
      </c>
      <c r="R2327" t="inlineStr">
        <is>
          <t>16.0</t>
        </is>
      </c>
      <c r="S2327" t="inlineStr">
        <is>
          <t>2015997067375</t>
        </is>
      </c>
    </row>
    <row r="2328" ht="75" customHeight="1">
      <c r="A2328" s="2">
        <f>HYPERLINK("https://camerareadycosmetics.com/products/make-up-atelier-gel-eyeliner", "https://camerareadycosmetics.com/products/make-up-atelier-gel-eyeliner")</f>
        <v/>
      </c>
      <c r="B2328" s="2">
        <f>HYPERLINK("https://camerareadycosmetics.com/products/make-up-atelier-gel-eyeliner", "https://camerareadycosmetics.com/products/make-up-atelier-gel-eyeliner")</f>
        <v/>
      </c>
      <c r="C2328" t="inlineStr">
        <is>
          <t>Gel Eyeliner</t>
        </is>
      </c>
      <c r="D2328" t="inlineStr">
        <is>
          <t>Inglot AMC Eyeliner Gel 77 | Gel Eyeliner Matte | Black Eyeliner | High Intensity Pigments | 5.5 g | 0.19 US OZ</t>
        </is>
      </c>
      <c r="E2328" s="2">
        <f>HYPERLINK("https://www.amazon.com/Inglot-Eyeliner-Matte-Intensity-Pigments/dp/B00UQQU10C/ref=sr_1_5?keywords=Gel+Eyeliner&amp;qid=1695565614&amp;sr=8-5", "https://www.amazon.com/Inglot-Eyeliner-Matte-Intensity-Pigments/dp/B00UQQU10C/ref=sr_1_5?keywords=Gel+Eyeliner&amp;qid=1695565614&amp;sr=8-5")</f>
        <v/>
      </c>
      <c r="F2328" t="inlineStr">
        <is>
          <t>B00UQQU10C</t>
        </is>
      </c>
      <c r="G2328">
        <f>_xlfn.IMAGE("https://camerareadycosmetics.com/cdn/shop/products/nightblue-makeup-atelier-gel-eyeliner_50x.jpg?v=1544226651")</f>
        <v/>
      </c>
      <c r="H2328">
        <f>_xlfn.IMAGE("https://m.media-amazon.com/images/I/61nO-e90NqS._AC_UL320_.jpg")</f>
        <v/>
      </c>
      <c r="K2328" t="inlineStr">
        <is>
          <t>16.0</t>
        </is>
      </c>
      <c r="L2328" t="n">
        <v>10.34</v>
      </c>
      <c r="M2328" s="1" t="inlineStr">
        <is>
          <t>-35.38%</t>
        </is>
      </c>
      <c r="N2328" t="n">
        <v>4.5</v>
      </c>
      <c r="O2328" t="n">
        <v>5267</v>
      </c>
      <c r="Q2328" t="inlineStr">
        <is>
          <t>InStock</t>
        </is>
      </c>
      <c r="R2328" t="inlineStr">
        <is>
          <t>16.0</t>
        </is>
      </c>
      <c r="S2328" t="inlineStr">
        <is>
          <t>2015997067375</t>
        </is>
      </c>
    </row>
    <row r="2329" ht="75" customHeight="1">
      <c r="A2329" s="2">
        <f>HYPERLINK("https://camerareadycosmetics.com/products/make-up-atelier-gel-eyeliner", "https://camerareadycosmetics.com/products/make-up-atelier-gel-eyeliner")</f>
        <v/>
      </c>
      <c r="B2329" s="2">
        <f>HYPERLINK("https://camerareadycosmetics.com/products/make-up-atelier-gel-eyeliner", "https://camerareadycosmetics.com/products/make-up-atelier-gel-eyeliner")</f>
        <v/>
      </c>
      <c r="C2329" t="inlineStr">
        <is>
          <t>Gel Eyeliner</t>
        </is>
      </c>
      <c r="D2329" t="inlineStr">
        <is>
          <t>Revlon Gel Eyeliner, ColorStay Micro Hyper Precision Eye Makeup with Built-in Smudger, Waterproof, Longwearing with Micro Precision Tip, 215 Brown, 0.01 Oz</t>
        </is>
      </c>
      <c r="E2329" s="2">
        <f>HYPERLINK("https://www.amazon.com/Colorstay-Precision-Eyeliner-Waterproof-wearing/dp/B07XTSY7BX/ref=sr_1_9?keywords=Gel+Eyeliner&amp;qid=1695565614&amp;rdc=1&amp;sr=8-9", "https://www.amazon.com/Colorstay-Precision-Eyeliner-Waterproof-wearing/dp/B07XTSY7BX/ref=sr_1_9?keywords=Gel+Eyeliner&amp;qid=1695565614&amp;rdc=1&amp;sr=8-9")</f>
        <v/>
      </c>
      <c r="F2329" t="inlineStr">
        <is>
          <t>B07XTSY7BX</t>
        </is>
      </c>
      <c r="G2329">
        <f>_xlfn.IMAGE("https://camerareadycosmetics.com/cdn/shop/products/nightblue-makeup-atelier-gel-eyeliner_50x.jpg?v=1544226651")</f>
        <v/>
      </c>
      <c r="H2329">
        <f>_xlfn.IMAGE("https://m.media-amazon.com/images/I/716KNbKiwxL._AC_UL320_.jpg")</f>
        <v/>
      </c>
      <c r="K2329" t="inlineStr">
        <is>
          <t>16.0</t>
        </is>
      </c>
      <c r="L2329" t="n">
        <v>7.59</v>
      </c>
      <c r="M2329" s="1" t="inlineStr">
        <is>
          <t>-52.56%</t>
        </is>
      </c>
      <c r="N2329" t="n">
        <v>4</v>
      </c>
      <c r="O2329" t="n">
        <v>1688</v>
      </c>
      <c r="Q2329" t="inlineStr">
        <is>
          <t>InStock</t>
        </is>
      </c>
      <c r="R2329" t="inlineStr">
        <is>
          <t>16.0</t>
        </is>
      </c>
      <c r="S2329" t="inlineStr">
        <is>
          <t>2015997067375</t>
        </is>
      </c>
    </row>
    <row r="2330" ht="75" customHeight="1">
      <c r="A2330" s="2">
        <f>HYPERLINK("https://camerareadycosmetics.com/products/make-up-atelier-gel-eyeliner", "https://camerareadycosmetics.com/products/make-up-atelier-gel-eyeliner")</f>
        <v/>
      </c>
      <c r="B2330" s="2">
        <f>HYPERLINK("https://camerareadycosmetics.com/products/make-up-atelier-gel-eyeliner", "https://camerareadycosmetics.com/products/make-up-atelier-gel-eyeliner")</f>
        <v/>
      </c>
      <c r="C2330" t="inlineStr">
        <is>
          <t>Gel Eyeliner</t>
        </is>
      </c>
      <c r="D2330" t="inlineStr">
        <is>
          <t>Neutrogena Intense Gel Eyeliner with Antioxidant Vitamin E, Smudge- &amp; Water-Resistant Eyeliner Makeup for Precision Application, Jet Black, 0.004 oz</t>
        </is>
      </c>
      <c r="E2330" s="2">
        <f>HYPERLINK("https://www.amazon.com/Neutrogena-Antioxidant-Water-resistant-Precision-Application/dp/B07JCLRTXK/ref=sr_1_7?keywords=Gel+Eyeliner&amp;qid=1695565614&amp;sr=8-7", "https://www.amazon.com/Neutrogena-Antioxidant-Water-resistant-Precision-Application/dp/B07JCLRTXK/ref=sr_1_7?keywords=Gel+Eyeliner&amp;qid=1695565614&amp;sr=8-7")</f>
        <v/>
      </c>
      <c r="F2330" t="inlineStr">
        <is>
          <t>B07JCLRTXK</t>
        </is>
      </c>
      <c r="G2330">
        <f>_xlfn.IMAGE("https://camerareadycosmetics.com/cdn/shop/products/nightblue-makeup-atelier-gel-eyeliner_50x.jpg?v=1544226651")</f>
        <v/>
      </c>
      <c r="H2330">
        <f>_xlfn.IMAGE("https://m.media-amazon.com/images/I/71frpwNr7IL._AC_UL320_.jpg")</f>
        <v/>
      </c>
      <c r="K2330" t="inlineStr">
        <is>
          <t>16.0</t>
        </is>
      </c>
      <c r="L2330" t="n">
        <v>7.45</v>
      </c>
      <c r="M2330" s="1" t="inlineStr">
        <is>
          <t>-53.44%</t>
        </is>
      </c>
      <c r="N2330" t="n">
        <v>4.3</v>
      </c>
      <c r="O2330" t="n">
        <v>2787</v>
      </c>
      <c r="Q2330" t="inlineStr">
        <is>
          <t>InStock</t>
        </is>
      </c>
      <c r="R2330" t="inlineStr">
        <is>
          <t>16.0</t>
        </is>
      </c>
      <c r="S2330" t="inlineStr">
        <is>
          <t>2015997067375</t>
        </is>
      </c>
    </row>
    <row r="2331" ht="75" customHeight="1">
      <c r="A2331" s="2">
        <f>HYPERLINK("https://camerareadycosmetics.com/products/make-up-atelier-gel-eyeliner", "https://camerareadycosmetics.com/products/make-up-atelier-gel-eyeliner")</f>
        <v/>
      </c>
      <c r="B2331" s="2">
        <f>HYPERLINK("https://camerareadycosmetics.com/products/make-up-atelier-gel-eyeliner", "https://camerareadycosmetics.com/products/make-up-atelier-gel-eyeliner")</f>
        <v/>
      </c>
      <c r="C2331" t="inlineStr">
        <is>
          <t>Gel Eyeliner</t>
        </is>
      </c>
      <c r="D2331" t="inlineStr">
        <is>
          <t>UCANBE 2 in 1 Black and Brown Gel Eyeliner Set, High Pigmented Waterproof Matte Smudge-proof Eye Liner, 24 Hours Work Great with Eyebrow, 2 Pcs Eye Makeup Brushes Included Makeup Gift Kit</t>
        </is>
      </c>
      <c r="E2331" s="2">
        <f>HYPERLINK("https://www.amazon.com/UCANBE-Eyeliner-Pigmented-Waterproof-Smudge-proof/dp/B00T3VL8BC/ref=sr_1_4?keywords=Gel+Eyeliner&amp;qid=1695565614&amp;sr=8-4", "https://www.amazon.com/UCANBE-Eyeliner-Pigmented-Waterproof-Smudge-proof/dp/B00T3VL8BC/ref=sr_1_4?keywords=Gel+Eyeliner&amp;qid=1695565614&amp;sr=8-4")</f>
        <v/>
      </c>
      <c r="F2331" t="inlineStr">
        <is>
          <t>B00T3VL8BC</t>
        </is>
      </c>
      <c r="G2331">
        <f>_xlfn.IMAGE("https://camerareadycosmetics.com/cdn/shop/products/nightblue-makeup-atelier-gel-eyeliner_50x.jpg?v=1544226651")</f>
        <v/>
      </c>
      <c r="H2331">
        <f>_xlfn.IMAGE("https://m.media-amazon.com/images/I/51jxs1HzWmL._AC_UL320_.jpg")</f>
        <v/>
      </c>
      <c r="K2331" t="inlineStr">
        <is>
          <t>16.0</t>
        </is>
      </c>
      <c r="L2331" t="n">
        <v>6.5</v>
      </c>
      <c r="M2331" s="1" t="inlineStr">
        <is>
          <t>-59.38%</t>
        </is>
      </c>
      <c r="N2331" t="n">
        <v>4.2</v>
      </c>
      <c r="O2331" t="n">
        <v>12402</v>
      </c>
      <c r="Q2331" t="inlineStr">
        <is>
          <t>InStock</t>
        </is>
      </c>
      <c r="R2331" t="inlineStr">
        <is>
          <t>16.0</t>
        </is>
      </c>
      <c r="S2331" t="inlineStr">
        <is>
          <t>2015997067375</t>
        </is>
      </c>
    </row>
    <row r="2332" ht="75" customHeight="1">
      <c r="A2332" s="2">
        <f>HYPERLINK("https://camerareadycosmetics.com/products/make-up-atelier-gel-eyeliner", "https://camerareadycosmetics.com/products/make-up-atelier-gel-eyeliner")</f>
        <v/>
      </c>
      <c r="B2332" s="2">
        <f>HYPERLINK("https://camerareadycosmetics.com/products/make-up-atelier-gel-eyeliner", "https://camerareadycosmetics.com/products/make-up-atelier-gel-eyeliner")</f>
        <v/>
      </c>
      <c r="C2332" t="inlineStr">
        <is>
          <t>Gel Eyeliner</t>
        </is>
      </c>
      <c r="D2332" t="inlineStr">
        <is>
          <t>Maybelline New York TattooStudio Long-Lasting Sharpenable Eyeliner Pencil, Glide on Smooth Gel Pigments with 36 Hour Wear, Waterproof, Deep Onyx, 1 Count</t>
        </is>
      </c>
      <c r="E2332" s="2">
        <f>HYPERLINK("https://www.amazon.com/Maybelline-New-York-Tattoostudio-Waterproof/dp/B07GX832KD/ref=sr_1_6?keywords=Gel+Eyeliner&amp;qid=1695565614&amp;sr=8-6", "https://www.amazon.com/Maybelline-New-York-Tattoostudio-Waterproof/dp/B07GX832KD/ref=sr_1_6?keywords=Gel+Eyeliner&amp;qid=1695565614&amp;sr=8-6")</f>
        <v/>
      </c>
      <c r="F2332" t="inlineStr">
        <is>
          <t>B07GX832KD</t>
        </is>
      </c>
      <c r="G2332">
        <f>_xlfn.IMAGE("https://camerareadycosmetics.com/cdn/shop/products/nightblue-makeup-atelier-gel-eyeliner_50x.jpg?v=1544226651")</f>
        <v/>
      </c>
      <c r="H2332">
        <f>_xlfn.IMAGE("https://m.media-amazon.com/images/I/61Kws0R-6gL._AC_UL320_.jpg")</f>
        <v/>
      </c>
      <c r="K2332" t="inlineStr">
        <is>
          <t>16.0</t>
        </is>
      </c>
      <c r="L2332" t="n">
        <v>6.3</v>
      </c>
      <c r="M2332" s="1" t="inlineStr">
        <is>
          <t>-60.62%</t>
        </is>
      </c>
      <c r="N2332" t="n">
        <v>4.3</v>
      </c>
      <c r="O2332" t="n">
        <v>28510</v>
      </c>
      <c r="Q2332" t="inlineStr">
        <is>
          <t>InStock</t>
        </is>
      </c>
      <c r="R2332" t="inlineStr">
        <is>
          <t>16.0</t>
        </is>
      </c>
      <c r="S2332" t="inlineStr">
        <is>
          <t>2015997067375</t>
        </is>
      </c>
    </row>
    <row r="2333" ht="75" customHeight="1">
      <c r="A2333" s="2">
        <f>HYPERLINK("https://camerareadycosmetics.com/products/make-up-atelier-gel-eyeliner", "https://camerareadycosmetics.com/products/make-up-atelier-gel-eyeliner")</f>
        <v/>
      </c>
      <c r="B2333" s="2">
        <f>HYPERLINK("https://camerareadycosmetics.com/products/make-up-atelier-gel-eyeliner", "https://camerareadycosmetics.com/products/make-up-atelier-gel-eyeliner")</f>
        <v/>
      </c>
      <c r="C2333" t="inlineStr">
        <is>
          <t>Gel Eyeliner</t>
        </is>
      </c>
      <c r="D2333" t="inlineStr">
        <is>
          <t>wet n wild Mega Last Breakup Proof Liquid Waterproof Eyeliner, Blackest Black, Quick Drying Retractable Gel Eyeliner, Smudge Resistant, Long Lasting 16 Hour Wear, Ultra Fine Brush Tip Pen</t>
        </is>
      </c>
      <c r="E2333" s="2">
        <f>HYPERLINK("https://www.amazon.com/wet-wild-Retractable-Waterproof-Resistant/dp/B082YPRCMM/ref=sr_1_8?keywords=Gel+Eyeliner&amp;qid=1695565614&amp;sr=8-8", "https://www.amazon.com/wet-wild-Retractable-Waterproof-Resistant/dp/B082YPRCMM/ref=sr_1_8?keywords=Gel+Eyeliner&amp;qid=1695565614&amp;sr=8-8")</f>
        <v/>
      </c>
      <c r="F2333" t="inlineStr">
        <is>
          <t>B082YPRCMM</t>
        </is>
      </c>
      <c r="G2333">
        <f>_xlfn.IMAGE("https://camerareadycosmetics.com/cdn/shop/products/nightblue-makeup-atelier-gel-eyeliner_50x.jpg?v=1544226651")</f>
        <v/>
      </c>
      <c r="H2333">
        <f>_xlfn.IMAGE("https://m.media-amazon.com/images/I/61P5KLFSR+L._AC_UL320_.jpg")</f>
        <v/>
      </c>
      <c r="K2333" t="inlineStr">
        <is>
          <t>16.0</t>
        </is>
      </c>
      <c r="L2333" t="n">
        <v>2.28</v>
      </c>
      <c r="M2333" s="1" t="inlineStr">
        <is>
          <t>-85.75%</t>
        </is>
      </c>
      <c r="N2333" t="n">
        <v>4.4</v>
      </c>
      <c r="O2333" t="n">
        <v>21882</v>
      </c>
      <c r="Q2333" t="inlineStr">
        <is>
          <t>InStock</t>
        </is>
      </c>
      <c r="R2333" t="inlineStr">
        <is>
          <t>16.0</t>
        </is>
      </c>
      <c r="S2333" t="inlineStr">
        <is>
          <t>2015997067375</t>
        </is>
      </c>
    </row>
    <row r="2334" ht="75" customHeight="1">
      <c r="A2334" s="2">
        <f>HYPERLINK("https://camerareadycosmetics.com/products/make-up-atelier-gel-eyeliner", "https://camerareadycosmetics.com/products/make-up-atelier-gel-eyeliner")</f>
        <v/>
      </c>
      <c r="B2334" s="2">
        <f>HYPERLINK("https://camerareadycosmetics.com/products/make-up-atelier-gel-eyeliner", "https://camerareadycosmetics.com/products/make-up-atelier-gel-eyeliner")</f>
        <v/>
      </c>
      <c r="C2334" t="inlineStr">
        <is>
          <t>Gel Eyeliner</t>
        </is>
      </c>
      <c r="D2334" t="inlineStr">
        <is>
          <t>Revlon Gel Eyeliner, ColorStay Micro Hyper Precision Eye Makeup with Built-in Smudger, Waterproof, Longwearing with Micro Precision Tip, 215 Brown, 0.01 Oz</t>
        </is>
      </c>
      <c r="E2334" s="2">
        <f>HYPERLINK("https://www.amazon.com/Colorstay-Precision-Eyeliner-Waterproof-wearing/dp/B07XTSY7BX/ref=sr_1_9?keywords=Gel+Eyeliner&amp;qid=1695565614&amp;rdc=1&amp;sr=8-9", "https://www.amazon.com/Colorstay-Precision-Eyeliner-Waterproof-wearing/dp/B07XTSY7BX/ref=sr_1_9?keywords=Gel+Eyeliner&amp;qid=1695565614&amp;rdc=1&amp;sr=8-9")</f>
        <v/>
      </c>
      <c r="F2334" t="inlineStr">
        <is>
          <t>B07XTSY7BX</t>
        </is>
      </c>
      <c r="G2334">
        <f>_xlfn.IMAGE("https://camerareadycosmetics.com/cdn/shop/products/nightblue-makeup-atelier-gel-eyeliner_50x.jpg?v=1544226651")</f>
        <v/>
      </c>
      <c r="H2334">
        <f>_xlfn.IMAGE("https://m.media-amazon.com/images/I/716KNbKiwxL._AC_UL320_.jpg")</f>
        <v/>
      </c>
      <c r="K2334" t="inlineStr">
        <is>
          <t>16.0</t>
        </is>
      </c>
      <c r="L2334" t="n">
        <v>7.59</v>
      </c>
      <c r="M2334" s="1" t="inlineStr">
        <is>
          <t>-52.56%</t>
        </is>
      </c>
      <c r="N2334" t="n">
        <v>4</v>
      </c>
      <c r="O2334" t="n">
        <v>1688</v>
      </c>
      <c r="Q2334" t="inlineStr">
        <is>
          <t>InStock</t>
        </is>
      </c>
      <c r="R2334" t="inlineStr">
        <is>
          <t>16.0</t>
        </is>
      </c>
      <c r="S2334" t="inlineStr">
        <is>
          <t>2015997067375</t>
        </is>
      </c>
    </row>
    <row r="2335" ht="75" customHeight="1">
      <c r="A2335" s="2">
        <f>HYPERLINK("https://camerareadycosmetics.com/products/make-up-atelier-gel-eyeliner", "https://camerareadycosmetics.com/products/make-up-atelier-gel-eyeliner")</f>
        <v/>
      </c>
      <c r="B2335" s="2">
        <f>HYPERLINK("https://camerareadycosmetics.com/products/make-up-atelier-gel-eyeliner", "https://camerareadycosmetics.com/products/make-up-atelier-gel-eyeliner")</f>
        <v/>
      </c>
      <c r="C2335" t="inlineStr">
        <is>
          <t>Gel Eyeliner</t>
        </is>
      </c>
      <c r="D2335" t="inlineStr">
        <is>
          <t>Neutrogena Intense Gel Eyeliner with Antioxidant Vitamin E, Smudge- &amp; Water-Resistant Eyeliner Makeup for Precision Application, Jet Black, 0.004 oz</t>
        </is>
      </c>
      <c r="E2335" s="2">
        <f>HYPERLINK("https://www.amazon.com/Neutrogena-Antioxidant-Water-resistant-Precision-Application/dp/B07JCLRTXK/ref=sr_1_7?keywords=Gel+Eyeliner&amp;qid=1695565614&amp;sr=8-7", "https://www.amazon.com/Neutrogena-Antioxidant-Water-resistant-Precision-Application/dp/B07JCLRTXK/ref=sr_1_7?keywords=Gel+Eyeliner&amp;qid=1695565614&amp;sr=8-7")</f>
        <v/>
      </c>
      <c r="F2335" t="inlineStr">
        <is>
          <t>B07JCLRTXK</t>
        </is>
      </c>
      <c r="G2335">
        <f>_xlfn.IMAGE("https://camerareadycosmetics.com/cdn/shop/products/nightblue-makeup-atelier-gel-eyeliner_50x.jpg?v=1544226651")</f>
        <v/>
      </c>
      <c r="H2335">
        <f>_xlfn.IMAGE("https://m.media-amazon.com/images/I/71frpwNr7IL._AC_UL320_.jpg")</f>
        <v/>
      </c>
      <c r="K2335" t="inlineStr">
        <is>
          <t>16.0</t>
        </is>
      </c>
      <c r="L2335" t="n">
        <v>7.45</v>
      </c>
      <c r="M2335" s="1" t="inlineStr">
        <is>
          <t>-53.44%</t>
        </is>
      </c>
      <c r="N2335" t="n">
        <v>4.3</v>
      </c>
      <c r="O2335" t="n">
        <v>2787</v>
      </c>
      <c r="Q2335" t="inlineStr">
        <is>
          <t>InStock</t>
        </is>
      </c>
      <c r="R2335" t="inlineStr">
        <is>
          <t>16.0</t>
        </is>
      </c>
      <c r="S2335" t="inlineStr">
        <is>
          <t>2015997067375</t>
        </is>
      </c>
    </row>
    <row r="2336" ht="75" customHeight="1">
      <c r="A2336" s="2">
        <f>HYPERLINK("https://camerareadycosmetics.com/products/make-up-atelier-gel-eyeliner", "https://camerareadycosmetics.com/products/make-up-atelier-gel-eyeliner")</f>
        <v/>
      </c>
      <c r="B2336" s="2">
        <f>HYPERLINK("https://camerareadycosmetics.com/products/make-up-atelier-gel-eyeliner", "https://camerareadycosmetics.com/products/make-up-atelier-gel-eyeliner")</f>
        <v/>
      </c>
      <c r="C2336" t="inlineStr">
        <is>
          <t>Gel Eyeliner</t>
        </is>
      </c>
      <c r="D2336" t="inlineStr">
        <is>
          <t>UCANBE 2 in 1 Black and Brown Gel Eyeliner Set, High Pigmented Waterproof Matte Smudge-proof Eye Liner, 24 Hours Work Great with Eyebrow, 2 Pcs Eye Makeup Brushes Included Makeup Gift Kit</t>
        </is>
      </c>
      <c r="E2336" s="2">
        <f>HYPERLINK("https://www.amazon.com/UCANBE-Eyeliner-Pigmented-Waterproof-Smudge-proof/dp/B00T3VL8BC/ref=sr_1_4?keywords=Gel+Eyeliner&amp;qid=1695565614&amp;sr=8-4", "https://www.amazon.com/UCANBE-Eyeliner-Pigmented-Waterproof-Smudge-proof/dp/B00T3VL8BC/ref=sr_1_4?keywords=Gel+Eyeliner&amp;qid=1695565614&amp;sr=8-4")</f>
        <v/>
      </c>
      <c r="F2336" t="inlineStr">
        <is>
          <t>B00T3VL8BC</t>
        </is>
      </c>
      <c r="G2336">
        <f>_xlfn.IMAGE("https://camerareadycosmetics.com/cdn/shop/products/nightblue-makeup-atelier-gel-eyeliner_50x.jpg?v=1544226651")</f>
        <v/>
      </c>
      <c r="H2336">
        <f>_xlfn.IMAGE("https://m.media-amazon.com/images/I/51jxs1HzWmL._AC_UL320_.jpg")</f>
        <v/>
      </c>
      <c r="K2336" t="inlineStr">
        <is>
          <t>16.0</t>
        </is>
      </c>
      <c r="L2336" t="n">
        <v>6.5</v>
      </c>
      <c r="M2336" s="1" t="inlineStr">
        <is>
          <t>-59.38%</t>
        </is>
      </c>
      <c r="N2336" t="n">
        <v>4.2</v>
      </c>
      <c r="O2336" t="n">
        <v>12402</v>
      </c>
      <c r="Q2336" t="inlineStr">
        <is>
          <t>InStock</t>
        </is>
      </c>
      <c r="R2336" t="inlineStr">
        <is>
          <t>16.0</t>
        </is>
      </c>
      <c r="S2336" t="inlineStr">
        <is>
          <t>2015997067375</t>
        </is>
      </c>
    </row>
    <row r="2337" ht="75" customHeight="1">
      <c r="A2337" s="2">
        <f>HYPERLINK("https://camerareadycosmetics.com/products/make-up-atelier-gel-eyeliner", "https://camerareadycosmetics.com/products/make-up-atelier-gel-eyeliner")</f>
        <v/>
      </c>
      <c r="B2337" s="2">
        <f>HYPERLINK("https://camerareadycosmetics.com/products/make-up-atelier-gel-eyeliner", "https://camerareadycosmetics.com/products/make-up-atelier-gel-eyeliner")</f>
        <v/>
      </c>
      <c r="C2337" t="inlineStr">
        <is>
          <t>Gel Eyeliner</t>
        </is>
      </c>
      <c r="D2337" t="inlineStr">
        <is>
          <t>Maybelline New York TattooStudio Long-Lasting Sharpenable Eyeliner Pencil, Glide on Smooth Gel Pigments with 36 Hour Wear, Waterproof, Deep Onyx, 1 Count</t>
        </is>
      </c>
      <c r="E2337" s="2">
        <f>HYPERLINK("https://www.amazon.com/Maybelline-New-York-Tattoostudio-Waterproof/dp/B07GX832KD/ref=sr_1_6?keywords=Gel+Eyeliner&amp;qid=1695565614&amp;sr=8-6", "https://www.amazon.com/Maybelline-New-York-Tattoostudio-Waterproof/dp/B07GX832KD/ref=sr_1_6?keywords=Gel+Eyeliner&amp;qid=1695565614&amp;sr=8-6")</f>
        <v/>
      </c>
      <c r="F2337" t="inlineStr">
        <is>
          <t>B07GX832KD</t>
        </is>
      </c>
      <c r="G2337">
        <f>_xlfn.IMAGE("https://camerareadycosmetics.com/cdn/shop/products/nightblue-makeup-atelier-gel-eyeliner_50x.jpg?v=1544226651")</f>
        <v/>
      </c>
      <c r="H2337">
        <f>_xlfn.IMAGE("https://m.media-amazon.com/images/I/61Kws0R-6gL._AC_UL320_.jpg")</f>
        <v/>
      </c>
      <c r="K2337" t="inlineStr">
        <is>
          <t>16.0</t>
        </is>
      </c>
      <c r="L2337" t="n">
        <v>6.3</v>
      </c>
      <c r="M2337" s="1" t="inlineStr">
        <is>
          <t>-60.62%</t>
        </is>
      </c>
      <c r="N2337" t="n">
        <v>4.3</v>
      </c>
      <c r="O2337" t="n">
        <v>28510</v>
      </c>
      <c r="Q2337" t="inlineStr">
        <is>
          <t>InStock</t>
        </is>
      </c>
      <c r="R2337" t="inlineStr">
        <is>
          <t>16.0</t>
        </is>
      </c>
      <c r="S2337" t="inlineStr">
        <is>
          <t>2015997067375</t>
        </is>
      </c>
    </row>
    <row r="2338" ht="75" customHeight="1">
      <c r="A2338" s="2">
        <f>HYPERLINK("https://camerareadycosmetics.com/products/make-up-atelier-gel-eyeliner", "https://camerareadycosmetics.com/products/make-up-atelier-gel-eyeliner")</f>
        <v/>
      </c>
      <c r="B2338" s="2">
        <f>HYPERLINK("https://camerareadycosmetics.com/products/make-up-atelier-gel-eyeliner", "https://camerareadycosmetics.com/products/make-up-atelier-gel-eyeliner")</f>
        <v/>
      </c>
      <c r="C2338" t="inlineStr">
        <is>
          <t>Gel Eyeliner</t>
        </is>
      </c>
      <c r="D2338" t="inlineStr">
        <is>
          <t>wet n wild Mega Last Breakup Proof Liquid Waterproof Eyeliner, Blackest Black, Quick Drying Retractable Gel Eyeliner, Smudge Resistant, Long Lasting 16 Hour Wear, Ultra Fine Brush Tip Pen</t>
        </is>
      </c>
      <c r="E2338" s="2">
        <f>HYPERLINK("https://www.amazon.com/wet-wild-Retractable-Waterproof-Resistant/dp/B082YPRCMM/ref=sr_1_8?keywords=Gel+Eyeliner&amp;qid=1695565614&amp;sr=8-8", "https://www.amazon.com/wet-wild-Retractable-Waterproof-Resistant/dp/B082YPRCMM/ref=sr_1_8?keywords=Gel+Eyeliner&amp;qid=1695565614&amp;sr=8-8")</f>
        <v/>
      </c>
      <c r="F2338" t="inlineStr">
        <is>
          <t>B082YPRCMM</t>
        </is>
      </c>
      <c r="G2338">
        <f>_xlfn.IMAGE("https://camerareadycosmetics.com/cdn/shop/products/nightblue-makeup-atelier-gel-eyeliner_50x.jpg?v=1544226651")</f>
        <v/>
      </c>
      <c r="H2338">
        <f>_xlfn.IMAGE("https://m.media-amazon.com/images/I/61P5KLFSR+L._AC_UL320_.jpg")</f>
        <v/>
      </c>
      <c r="K2338" t="inlineStr">
        <is>
          <t>16.0</t>
        </is>
      </c>
      <c r="L2338" t="n">
        <v>2.28</v>
      </c>
      <c r="M2338" s="1" t="inlineStr">
        <is>
          <t>-85.75%</t>
        </is>
      </c>
      <c r="N2338" t="n">
        <v>4.4</v>
      </c>
      <c r="O2338" t="n">
        <v>21882</v>
      </c>
      <c r="Q2338" t="inlineStr">
        <is>
          <t>InStock</t>
        </is>
      </c>
      <c r="R2338" t="inlineStr">
        <is>
          <t>16.0</t>
        </is>
      </c>
      <c r="S2338" t="inlineStr">
        <is>
          <t>2015997067375</t>
        </is>
      </c>
    </row>
    <row r="2339" ht="75" customHeight="1">
      <c r="A2339" s="2">
        <f>HYPERLINK("https://camerareadycosmetics.com/products/make-up-atelier-hd-loose-powder", "https://camerareadycosmetics.com/products/make-up-atelier-hd-loose-powder")</f>
        <v/>
      </c>
      <c r="B2339" s="2">
        <f>HYPERLINK("https://camerareadycosmetics.com/products/make-up-atelier-hd-loose-powder", "https://camerareadycosmetics.com/products/make-up-atelier-hd-loose-powder")</f>
        <v/>
      </c>
      <c r="C2339" t="inlineStr">
        <is>
          <t>HD Loose Powder</t>
        </is>
      </c>
      <c r="D2339" t="inlineStr">
        <is>
          <t>Make Up For Ever Ultra HD Microfinishing Loose Powder Full Size Translucent 0.29 uncji</t>
        </is>
      </c>
      <c r="E2339" s="2">
        <f>HYPERLINK("https://www.amazon.com/Make-Up-Ever-Microfinishing-Translucent/dp/B0719RCNVQ/ref=sr_1_3?keywords=HD+Loose+Powder&amp;qid=1695565749&amp;sr=8-3", "https://www.amazon.com/Make-Up-Ever-Microfinishing-Translucent/dp/B0719RCNVQ/ref=sr_1_3?keywords=HD+Loose+Powder&amp;qid=1695565749&amp;sr=8-3")</f>
        <v/>
      </c>
      <c r="F2339" t="inlineStr">
        <is>
          <t>B0719RCNVQ</t>
        </is>
      </c>
      <c r="G2339">
        <f>_xlfn.IMAGE("https://camerareadycosmetics.com/cdn/shop/products/makeup-atelier-hd-powder-30gr_50x.jpg?v=1686351888")</f>
        <v/>
      </c>
      <c r="H2339">
        <f>_xlfn.IMAGE("https://m.media-amazon.com/images/I/41mRouLbOpL._AC_UL320_.jpg")</f>
        <v/>
      </c>
      <c r="K2339" t="inlineStr">
        <is>
          <t>20.0</t>
        </is>
      </c>
      <c r="L2339" t="n">
        <v>31</v>
      </c>
      <c r="M2339" s="1" t="inlineStr">
        <is>
          <t>55.00%</t>
        </is>
      </c>
      <c r="N2339" t="n">
        <v>4.4</v>
      </c>
      <c r="O2339" t="n">
        <v>270</v>
      </c>
      <c r="Q2339" t="inlineStr">
        <is>
          <t>InStock</t>
        </is>
      </c>
      <c r="R2339" t="inlineStr">
        <is>
          <t>undefined</t>
        </is>
      </c>
      <c r="S2339" t="inlineStr">
        <is>
          <t>2014159011951</t>
        </is>
      </c>
    </row>
    <row r="2340" ht="75" customHeight="1">
      <c r="A2340" s="2">
        <f>HYPERLINK("https://camerareadycosmetics.com/products/make-up-atelier-hd-loose-powder", "https://camerareadycosmetics.com/products/make-up-atelier-hd-loose-powder")</f>
        <v/>
      </c>
      <c r="B2340" s="2">
        <f>HYPERLINK("https://camerareadycosmetics.com/products/make-up-atelier-hd-loose-powder", "https://camerareadycosmetics.com/products/make-up-atelier-hd-loose-powder")</f>
        <v/>
      </c>
      <c r="C2340" t="inlineStr">
        <is>
          <t>HD Loose Powder</t>
        </is>
      </c>
      <c r="D2340" t="inlineStr">
        <is>
          <t>Youngblood Clean Luxury Cosmetics Hi-Def Hydrating Loose Powder, Translucent | Shine Control Matte Finishing Translucent Blurring Powder HD Baking Setting Primer | Vegan, Cruelty Free</t>
        </is>
      </c>
      <c r="E2340" s="2">
        <f>HYPERLINK("https://www.amazon.com/Youngblood-Cosmetics-Hydrating-Translucent-Finishing/dp/B0030HJDZI/ref=sr_1_9?keywords=HD+Loose+Powder&amp;qid=1695565749&amp;sr=8-9", "https://www.amazon.com/Youngblood-Cosmetics-Hydrating-Translucent-Finishing/dp/B0030HJDZI/ref=sr_1_9?keywords=HD+Loose+Powder&amp;qid=1695565749&amp;sr=8-9")</f>
        <v/>
      </c>
      <c r="F2340" t="inlineStr">
        <is>
          <t>B0030HJDZI</t>
        </is>
      </c>
      <c r="G2340">
        <f>_xlfn.IMAGE("https://camerareadycosmetics.com/cdn/shop/products/makeup-atelier-hd-powder-30gr_50x.jpg?v=1686351888")</f>
        <v/>
      </c>
      <c r="H2340">
        <f>_xlfn.IMAGE("https://m.media-amazon.com/images/I/81Hjw1HYeTL._AC_UL320_.jpg")</f>
        <v/>
      </c>
      <c r="K2340" t="inlineStr">
        <is>
          <t>20.0</t>
        </is>
      </c>
      <c r="L2340" t="n">
        <v>17.95</v>
      </c>
      <c r="M2340" s="1" t="inlineStr">
        <is>
          <t>-10.25%</t>
        </is>
      </c>
      <c r="N2340" t="n">
        <v>4.3</v>
      </c>
      <c r="O2340" t="n">
        <v>87</v>
      </c>
      <c r="Q2340" t="inlineStr">
        <is>
          <t>InStock</t>
        </is>
      </c>
      <c r="R2340" t="inlineStr">
        <is>
          <t>undefined</t>
        </is>
      </c>
      <c r="S2340" t="inlineStr">
        <is>
          <t>2014159011951</t>
        </is>
      </c>
    </row>
    <row r="2341" ht="75" customHeight="1">
      <c r="A2341" s="2">
        <f>HYPERLINK("https://camerareadycosmetics.com/products/make-up-atelier-hd-loose-powder", "https://camerareadycosmetics.com/products/make-up-atelier-hd-loose-powder")</f>
        <v/>
      </c>
      <c r="B2341" s="2">
        <f>HYPERLINK("https://camerareadycosmetics.com/products/make-up-atelier-hd-loose-powder", "https://camerareadycosmetics.com/products/make-up-atelier-hd-loose-powder")</f>
        <v/>
      </c>
      <c r="C2341" t="inlineStr">
        <is>
          <t>HD Loose Powder</t>
        </is>
      </c>
      <c r="D2341" t="inlineStr">
        <is>
          <t>Absolute New York HD Flawless Loose Setting Powder (Translucent)</t>
        </is>
      </c>
      <c r="E2341" s="2">
        <f>HYPERLINK("https://www.amazon.com/Flawless-Loose-Setting-Powder-Translucent/dp/B01MRFZ6PC/ref=sr_1_2?keywords=HD+Loose+Powder&amp;qid=1695565749&amp;sr=8-2", "https://www.amazon.com/Flawless-Loose-Setting-Powder-Translucent/dp/B01MRFZ6PC/ref=sr_1_2?keywords=HD+Loose+Powder&amp;qid=1695565749&amp;sr=8-2")</f>
        <v/>
      </c>
      <c r="F2341" t="inlineStr">
        <is>
          <t>B01MRFZ6PC</t>
        </is>
      </c>
      <c r="G2341">
        <f>_xlfn.IMAGE("https://camerareadycosmetics.com/cdn/shop/products/makeup-atelier-hd-powder-30gr_50x.jpg?v=1686351888")</f>
        <v/>
      </c>
      <c r="H2341">
        <f>_xlfn.IMAGE("https://m.media-amazon.com/images/I/51l+BcUvBHL._AC_UL320_.jpg")</f>
        <v/>
      </c>
      <c r="K2341" t="inlineStr">
        <is>
          <t>20.0</t>
        </is>
      </c>
      <c r="L2341" t="n">
        <v>9.98</v>
      </c>
      <c r="M2341" s="1" t="inlineStr">
        <is>
          <t>-50.10%</t>
        </is>
      </c>
      <c r="N2341" t="n">
        <v>4.6</v>
      </c>
      <c r="O2341" t="n">
        <v>161</v>
      </c>
      <c r="Q2341" t="inlineStr">
        <is>
          <t>InStock</t>
        </is>
      </c>
      <c r="R2341" t="inlineStr">
        <is>
          <t>undefined</t>
        </is>
      </c>
      <c r="S2341" t="inlineStr">
        <is>
          <t>2014159011951</t>
        </is>
      </c>
    </row>
    <row r="2342" ht="75" customHeight="1">
      <c r="A2342" s="2">
        <f>HYPERLINK("https://camerareadycosmetics.com/products/make-up-atelier-hd-loose-powder", "https://camerareadycosmetics.com/products/make-up-atelier-hd-loose-powder")</f>
        <v/>
      </c>
      <c r="B2342" s="2">
        <f>HYPERLINK("https://camerareadycosmetics.com/products/make-up-atelier-hd-loose-powder", "https://camerareadycosmetics.com/products/make-up-atelier-hd-loose-powder")</f>
        <v/>
      </c>
      <c r="C2342" t="inlineStr">
        <is>
          <t>HD Loose Powder</t>
        </is>
      </c>
      <c r="D2342" t="inlineStr">
        <is>
          <t>NYX PROFESSIONAL MAKEUP HD Studio Finishing Powder, Loose Setting Powder - Translucent Finish</t>
        </is>
      </c>
      <c r="E2342" s="2">
        <f>HYPERLINK("https://www.amazon.com/NYX-Professional-Makeup-Finishing-Translucent/dp/B009GLQG6Q/ref=sr_1_1?keywords=HD+Loose+Powder&amp;qid=1695565749&amp;sr=8-1", "https://www.amazon.com/NYX-Professional-Makeup-Finishing-Translucent/dp/B009GLQG6Q/ref=sr_1_1?keywords=HD+Loose+Powder&amp;qid=1695565749&amp;sr=8-1")</f>
        <v/>
      </c>
      <c r="F2342" t="inlineStr">
        <is>
          <t>B009GLQG6Q</t>
        </is>
      </c>
      <c r="G2342">
        <f>_xlfn.IMAGE("https://camerareadycosmetics.com/cdn/shop/products/makeup-atelier-hd-powder-30gr_50x.jpg?v=1686351888")</f>
        <v/>
      </c>
      <c r="H2342">
        <f>_xlfn.IMAGE("https://m.media-amazon.com/images/I/5196xGH0ZvL._AC_UL320_.jpg")</f>
        <v/>
      </c>
      <c r="K2342" t="inlineStr">
        <is>
          <t>20.0</t>
        </is>
      </c>
      <c r="L2342" t="n">
        <v>9.16</v>
      </c>
      <c r="M2342" s="1" t="inlineStr">
        <is>
          <t>-54.20%</t>
        </is>
      </c>
      <c r="N2342" t="n">
        <v>4.3</v>
      </c>
      <c r="O2342" t="n">
        <v>14881</v>
      </c>
      <c r="Q2342" t="inlineStr">
        <is>
          <t>InStock</t>
        </is>
      </c>
      <c r="R2342" t="inlineStr">
        <is>
          <t>undefined</t>
        </is>
      </c>
      <c r="S2342" t="inlineStr">
        <is>
          <t>2014159011951</t>
        </is>
      </c>
    </row>
    <row r="2343" ht="75" customHeight="1">
      <c r="A2343" s="2">
        <f>HYPERLINK("https://camerareadycosmetics.com/products/make-up-atelier-hd-loose-powder", "https://camerareadycosmetics.com/products/make-up-atelier-hd-loose-powder")</f>
        <v/>
      </c>
      <c r="B2343" s="2">
        <f>HYPERLINK("https://camerareadycosmetics.com/products/make-up-atelier-hd-loose-powder", "https://camerareadycosmetics.com/products/make-up-atelier-hd-loose-powder")</f>
        <v/>
      </c>
      <c r="C2343" t="inlineStr">
        <is>
          <t>HD Loose Powder</t>
        </is>
      </c>
      <c r="D2343" t="inlineStr">
        <is>
          <t>Absolute New York HD Flawless Loose Setting Powder (Translucent)</t>
        </is>
      </c>
      <c r="E2343" s="2">
        <f>HYPERLINK("https://www.amazon.com/Flawless-Loose-Setting-Powder-Translucent/dp/B01MRFZ6PC/ref=sr_1_2?keywords=HD+Loose+Powder&amp;qid=1695565749&amp;sr=8-2", "https://www.amazon.com/Flawless-Loose-Setting-Powder-Translucent/dp/B01MRFZ6PC/ref=sr_1_2?keywords=HD+Loose+Powder&amp;qid=1695565749&amp;sr=8-2")</f>
        <v/>
      </c>
      <c r="F2343" t="inlineStr">
        <is>
          <t>B01MRFZ6PC</t>
        </is>
      </c>
      <c r="G2343">
        <f>_xlfn.IMAGE("https://camerareadycosmetics.com/cdn/shop/products/makeup-atelier-hd-powder-30gr_50x.jpg?v=1686351888")</f>
        <v/>
      </c>
      <c r="H2343">
        <f>_xlfn.IMAGE("https://m.media-amazon.com/images/I/51l+BcUvBHL._AC_UL320_.jpg")</f>
        <v/>
      </c>
      <c r="K2343" t="inlineStr">
        <is>
          <t>20.0</t>
        </is>
      </c>
      <c r="L2343" t="n">
        <v>9.98</v>
      </c>
      <c r="M2343" s="1" t="inlineStr">
        <is>
          <t>-50.10%</t>
        </is>
      </c>
      <c r="N2343" t="n">
        <v>4.6</v>
      </c>
      <c r="O2343" t="n">
        <v>161</v>
      </c>
      <c r="Q2343" t="inlineStr">
        <is>
          <t>InStock</t>
        </is>
      </c>
      <c r="R2343" t="inlineStr">
        <is>
          <t>undefined</t>
        </is>
      </c>
      <c r="S2343" t="inlineStr">
        <is>
          <t>2014159011951</t>
        </is>
      </c>
    </row>
    <row r="2344" ht="75" customHeight="1">
      <c r="A2344" s="2">
        <f>HYPERLINK("https://camerareadycosmetics.com/products/make-up-atelier-hd-loose-powder", "https://camerareadycosmetics.com/products/make-up-atelier-hd-loose-powder")</f>
        <v/>
      </c>
      <c r="B2344" s="2">
        <f>HYPERLINK("https://camerareadycosmetics.com/products/make-up-atelier-hd-loose-powder", "https://camerareadycosmetics.com/products/make-up-atelier-hd-loose-powder")</f>
        <v/>
      </c>
      <c r="C2344" t="inlineStr">
        <is>
          <t>HD Loose Powder</t>
        </is>
      </c>
      <c r="D2344" t="inlineStr">
        <is>
          <t>NYX PROFESSIONAL MAKEUP HD Studio Finishing Powder, Loose Setting Powder - Translucent Finish</t>
        </is>
      </c>
      <c r="E2344" s="2">
        <f>HYPERLINK("https://www.amazon.com/NYX-Professional-Makeup-Finishing-Translucent/dp/B009GLQG6Q/ref=sr_1_1?keywords=HD+Loose+Powder&amp;qid=1695565749&amp;sr=8-1", "https://www.amazon.com/NYX-Professional-Makeup-Finishing-Translucent/dp/B009GLQG6Q/ref=sr_1_1?keywords=HD+Loose+Powder&amp;qid=1695565749&amp;sr=8-1")</f>
        <v/>
      </c>
      <c r="F2344" t="inlineStr">
        <is>
          <t>B009GLQG6Q</t>
        </is>
      </c>
      <c r="G2344">
        <f>_xlfn.IMAGE("https://camerareadycosmetics.com/cdn/shop/products/makeup-atelier-hd-powder-30gr_50x.jpg?v=1686351888")</f>
        <v/>
      </c>
      <c r="H2344">
        <f>_xlfn.IMAGE("https://m.media-amazon.com/images/I/5196xGH0ZvL._AC_UL320_.jpg")</f>
        <v/>
      </c>
      <c r="K2344" t="inlineStr">
        <is>
          <t>20.0</t>
        </is>
      </c>
      <c r="L2344" t="n">
        <v>9.16</v>
      </c>
      <c r="M2344" s="1" t="inlineStr">
        <is>
          <t>-54.20%</t>
        </is>
      </c>
      <c r="N2344" t="n">
        <v>4.3</v>
      </c>
      <c r="O2344" t="n">
        <v>14881</v>
      </c>
      <c r="Q2344" t="inlineStr">
        <is>
          <t>InStock</t>
        </is>
      </c>
      <c r="R2344" t="inlineStr">
        <is>
          <t>undefined</t>
        </is>
      </c>
      <c r="S2344" t="inlineStr">
        <is>
          <t>2014159011951</t>
        </is>
      </c>
    </row>
    <row r="2345" ht="75" customHeight="1">
      <c r="A2345" s="2">
        <f>HYPERLINK("https://camerareadycosmetics.com/products/make-up-atelier-liquid-eyeliner", "https://camerareadycosmetics.com/products/make-up-atelier-liquid-eyeliner")</f>
        <v/>
      </c>
      <c r="B2345" s="2">
        <f>HYPERLINK("https://camerareadycosmetics.com/products/make-up-atelier-liquid-eyeliner", "https://camerareadycosmetics.com/products/make-up-atelier-liquid-eyeliner")</f>
        <v/>
      </c>
      <c r="C2345" t="inlineStr">
        <is>
          <t>Liquid Eyeliner</t>
        </is>
      </c>
      <c r="D2345" t="inlineStr">
        <is>
          <t>Revlon Liquid Eyeliner, ColorStay Eye Makeup, Waterproof, Smudgeproof, Longwearing with Ultra-Fine Tip, 251 Blackest Black, 0.08 Fl Oz (Pack of 2)</t>
        </is>
      </c>
      <c r="E2345" s="2">
        <f>HYPERLINK("https://www.amazon.com/ColorStay-Waterproof-Smudgeproof-Longwearing-Ultra-Fine/dp/B01J1A3ST4/ref=sr_1_9?keywords=Liquid+Eyeliner&amp;qid=1695565734&amp;sr=8-9", "https://www.amazon.com/ColorStay-Waterproof-Smudgeproof-Longwearing-Ultra-Fine/dp/B01J1A3ST4/ref=sr_1_9?keywords=Liquid+Eyeliner&amp;qid=1695565734&amp;sr=8-9")</f>
        <v/>
      </c>
      <c r="F2345" t="inlineStr">
        <is>
          <t>B01J1A3ST4</t>
        </is>
      </c>
      <c r="G2345">
        <f>_xlfn.IMAGE("https://camerareadycosmetics.com/cdn/shop/products/black-mat-liquid-eyeliner-319_50x.jpg?v=1544226653")</f>
        <v/>
      </c>
      <c r="H2345">
        <f>_xlfn.IMAGE("https://m.media-amazon.com/images/I/61mk3qiekpS._AC_UL320_.jpg")</f>
        <v/>
      </c>
      <c r="K2345" t="inlineStr">
        <is>
          <t>20.0</t>
        </is>
      </c>
      <c r="L2345" t="n">
        <v>12.49</v>
      </c>
      <c r="M2345" s="1" t="inlineStr">
        <is>
          <t>-37.55%</t>
        </is>
      </c>
      <c r="N2345" t="n">
        <v>4.4</v>
      </c>
      <c r="O2345" t="n">
        <v>20115</v>
      </c>
      <c r="Q2345" t="inlineStr">
        <is>
          <t>OutOfStock</t>
        </is>
      </c>
      <c r="R2345" t="inlineStr">
        <is>
          <t>undefined</t>
        </is>
      </c>
      <c r="S2345" t="inlineStr">
        <is>
          <t>2016052412527</t>
        </is>
      </c>
    </row>
    <row r="2346" ht="75" customHeight="1">
      <c r="A2346" s="2">
        <f>HYPERLINK("https://camerareadycosmetics.com/products/make-up-atelier-liquid-eyeliner", "https://camerareadycosmetics.com/products/make-up-atelier-liquid-eyeliner")</f>
        <v/>
      </c>
      <c r="B2346" s="2">
        <f>HYPERLINK("https://camerareadycosmetics.com/products/make-up-atelier-liquid-eyeliner", "https://camerareadycosmetics.com/products/make-up-atelier-liquid-eyeliner")</f>
        <v/>
      </c>
      <c r="C2346" t="inlineStr">
        <is>
          <t>Liquid Eyeliner</t>
        </is>
      </c>
      <c r="D2346" t="inlineStr">
        <is>
          <t>NYX PROFESSIONAL MAKEUP Epic Ink Liner, Waterproof Liquid Eyeliner - Black, Vegan Formula</t>
        </is>
      </c>
      <c r="E2346" s="2">
        <f>HYPERLINK("https://www.amazon.com/NYX-PROFESSIONAL-MAKEUP-Waterproof-Eyeliner/dp/B074Y8LM6T/ref=sr_1_2?keywords=Liquid+Eyeliner&amp;qid=1695565734&amp;sr=8-2", "https://www.amazon.com/NYX-PROFESSIONAL-MAKEUP-Waterproof-Eyeliner/dp/B074Y8LM6T/ref=sr_1_2?keywords=Liquid+Eyeliner&amp;qid=1695565734&amp;sr=8-2")</f>
        <v/>
      </c>
      <c r="F2346" t="inlineStr">
        <is>
          <t>B074Y8LM6T</t>
        </is>
      </c>
      <c r="G2346">
        <f>_xlfn.IMAGE("https://camerareadycosmetics.com/cdn/shop/products/black-mat-liquid-eyeliner-319_50x.jpg?v=1544226653")</f>
        <v/>
      </c>
      <c r="H2346">
        <f>_xlfn.IMAGE("https://m.media-amazon.com/images/I/41U9-GGNO0L._AC_UL320_.jpg")</f>
        <v/>
      </c>
      <c r="K2346" t="inlineStr">
        <is>
          <t>20.0</t>
        </is>
      </c>
      <c r="L2346" t="n">
        <v>8.44</v>
      </c>
      <c r="M2346" s="1" t="inlineStr">
        <is>
          <t>-57.80%</t>
        </is>
      </c>
      <c r="N2346" t="n">
        <v>4.5</v>
      </c>
      <c r="O2346" t="n">
        <v>83591</v>
      </c>
      <c r="Q2346" t="inlineStr">
        <is>
          <t>OutOfStock</t>
        </is>
      </c>
      <c r="R2346" t="inlineStr">
        <is>
          <t>undefined</t>
        </is>
      </c>
      <c r="S2346" t="inlineStr">
        <is>
          <t>2016052412527</t>
        </is>
      </c>
    </row>
    <row r="2347" ht="75" customHeight="1">
      <c r="A2347" s="2">
        <f>HYPERLINK("https://camerareadycosmetics.com/products/make-up-atelier-liquid-eyeliner", "https://camerareadycosmetics.com/products/make-up-atelier-liquid-eyeliner")</f>
        <v/>
      </c>
      <c r="B2347" s="2">
        <f>HYPERLINK("https://camerareadycosmetics.com/products/make-up-atelier-liquid-eyeliner", "https://camerareadycosmetics.com/products/make-up-atelier-liquid-eyeliner")</f>
        <v/>
      </c>
      <c r="C2347" t="inlineStr">
        <is>
          <t>Liquid Eyeliner</t>
        </is>
      </c>
      <c r="D2347" t="inlineStr">
        <is>
          <t>MAYBELLINE Hyper Easy Liquid Pen No-Skip Eyeliner, Satin Finish, Waterproof Formula, Eye Liner Makeup, Pitch Black, 0.018 Fl Oz</t>
        </is>
      </c>
      <c r="E2347" s="2">
        <f>HYPERLINK("https://www.amazon.com/Maybelline-New-York-Eyeliner-Waterproof/dp/B07W8JJ61X/ref=sr_1_5?keywords=Liquid+Eyeliner&amp;qid=1695565734&amp;sr=8-5", "https://www.amazon.com/Maybelline-New-York-Eyeliner-Waterproof/dp/B07W8JJ61X/ref=sr_1_5?keywords=Liquid+Eyeliner&amp;qid=1695565734&amp;sr=8-5")</f>
        <v/>
      </c>
      <c r="F2347" t="inlineStr">
        <is>
          <t>B07W8JJ61X</t>
        </is>
      </c>
      <c r="G2347">
        <f>_xlfn.IMAGE("https://camerareadycosmetics.com/cdn/shop/products/black-mat-liquid-eyeliner-319_50x.jpg?v=1544226653")</f>
        <v/>
      </c>
      <c r="H2347">
        <f>_xlfn.IMAGE("https://m.media-amazon.com/images/I/61UyrYQ2BrL._AC_UL320_.jpg")</f>
        <v/>
      </c>
      <c r="K2347" t="inlineStr">
        <is>
          <t>20.0</t>
        </is>
      </c>
      <c r="L2347" t="n">
        <v>7.87</v>
      </c>
      <c r="M2347" s="1" t="inlineStr">
        <is>
          <t>-60.65%</t>
        </is>
      </c>
      <c r="N2347" t="n">
        <v>4.4</v>
      </c>
      <c r="O2347" t="n">
        <v>60915</v>
      </c>
      <c r="Q2347" t="inlineStr">
        <is>
          <t>OutOfStock</t>
        </is>
      </c>
      <c r="R2347" t="inlineStr">
        <is>
          <t>undefined</t>
        </is>
      </c>
      <c r="S2347" t="inlineStr">
        <is>
          <t>2016052412527</t>
        </is>
      </c>
    </row>
    <row r="2348" ht="75" customHeight="1">
      <c r="A2348" s="2">
        <f>HYPERLINK("https://camerareadycosmetics.com/products/make-up-atelier-liquid-eyeliner", "https://camerareadycosmetics.com/products/make-up-atelier-liquid-eyeliner")</f>
        <v/>
      </c>
      <c r="B2348" s="2">
        <f>HYPERLINK("https://camerareadycosmetics.com/products/make-up-atelier-liquid-eyeliner", "https://camerareadycosmetics.com/products/make-up-atelier-liquid-eyeliner")</f>
        <v/>
      </c>
      <c r="C2348" t="inlineStr">
        <is>
          <t>Liquid Eyeliner</t>
        </is>
      </c>
      <c r="D2348" t="inlineStr">
        <is>
          <t>Covergirl Perfect Point Plus Liquid Eyeliner, Black Onyx, .08 Fl. Oz.</t>
        </is>
      </c>
      <c r="E2348" s="2">
        <f>HYPERLINK("https://www.amazon.com/Covergirl-Perfect-Liquid-Eyeliner-Onyx-08/dp/B08L95VZQF/ref=sr_1_7?keywords=Liquid+Eyeliner&amp;qid=1695565734&amp;sr=8-7", "https://www.amazon.com/Covergirl-Perfect-Liquid-Eyeliner-Onyx-08/dp/B08L95VZQF/ref=sr_1_7?keywords=Liquid+Eyeliner&amp;qid=1695565734&amp;sr=8-7")</f>
        <v/>
      </c>
      <c r="F2348" t="inlineStr">
        <is>
          <t>B08L95VZQF</t>
        </is>
      </c>
      <c r="G2348">
        <f>_xlfn.IMAGE("https://camerareadycosmetics.com/cdn/shop/products/black-mat-liquid-eyeliner-319_50x.jpg?v=1544226653")</f>
        <v/>
      </c>
      <c r="H2348">
        <f>_xlfn.IMAGE("https://m.media-amazon.com/images/I/615XgdOcq9L._AC_UL320_.jpg")</f>
        <v/>
      </c>
      <c r="K2348" t="inlineStr">
        <is>
          <t>20.0</t>
        </is>
      </c>
      <c r="L2348" t="n">
        <v>6.67</v>
      </c>
      <c r="M2348" s="1" t="inlineStr">
        <is>
          <t>-66.65%</t>
        </is>
      </c>
      <c r="N2348" t="n">
        <v>4.5</v>
      </c>
      <c r="O2348" t="n">
        <v>2979</v>
      </c>
      <c r="Q2348" t="inlineStr">
        <is>
          <t>OutOfStock</t>
        </is>
      </c>
      <c r="R2348" t="inlineStr">
        <is>
          <t>undefined</t>
        </is>
      </c>
      <c r="S2348" t="inlineStr">
        <is>
          <t>2016052412527</t>
        </is>
      </c>
    </row>
    <row r="2349" ht="75" customHeight="1">
      <c r="A2349" s="2">
        <f>HYPERLINK("https://camerareadycosmetics.com/products/make-up-atelier-liquid-eyeliner", "https://camerareadycosmetics.com/products/make-up-atelier-liquid-eyeliner")</f>
        <v/>
      </c>
      <c r="B2349" s="2">
        <f>HYPERLINK("https://camerareadycosmetics.com/products/make-up-atelier-liquid-eyeliner", "https://camerareadycosmetics.com/products/make-up-atelier-liquid-eyeliner")</f>
        <v/>
      </c>
      <c r="C2349" t="inlineStr">
        <is>
          <t>Liquid Eyeliner</t>
        </is>
      </c>
      <c r="D2349" t="inlineStr">
        <is>
          <t>Maybelline New York Eyestudio Master Precise All Day Waterproof Liquid Eyeliner Makeup, Black, 1 Count</t>
        </is>
      </c>
      <c r="E2349" s="2">
        <f>HYPERLINK("https://www.amazon.com/Maybelline-Eyestudio-Master-Precise-Eyeliner/dp/B07FYMBCS5/ref=sr_1_1?keywords=Liquid+Eyeliner&amp;qid=1695565734&amp;sr=8-1", "https://www.amazon.com/Maybelline-Eyestudio-Master-Precise-Eyeliner/dp/B07FYMBCS5/ref=sr_1_1?keywords=Liquid+Eyeliner&amp;qid=1695565734&amp;sr=8-1")</f>
        <v/>
      </c>
      <c r="F2349" t="inlineStr">
        <is>
          <t>B07FYMBCS5</t>
        </is>
      </c>
      <c r="G2349">
        <f>_xlfn.IMAGE("https://camerareadycosmetics.com/cdn/shop/products/black-mat-liquid-eyeliner-319_50x.jpg?v=1544226653")</f>
        <v/>
      </c>
      <c r="H2349">
        <f>_xlfn.IMAGE("https://m.media-amazon.com/images/I/61GNuUF92RL._AC_UL320_.jpg")</f>
        <v/>
      </c>
      <c r="K2349" t="inlineStr">
        <is>
          <t>20.0</t>
        </is>
      </c>
      <c r="L2349" t="n">
        <v>6.38</v>
      </c>
      <c r="M2349" s="1" t="inlineStr">
        <is>
          <t>-68.10%</t>
        </is>
      </c>
      <c r="N2349" t="n">
        <v>4.4</v>
      </c>
      <c r="O2349" t="n">
        <v>31992</v>
      </c>
      <c r="Q2349" t="inlineStr">
        <is>
          <t>OutOfStock</t>
        </is>
      </c>
      <c r="R2349" t="inlineStr">
        <is>
          <t>undefined</t>
        </is>
      </c>
      <c r="S2349" t="inlineStr">
        <is>
          <t>2016052412527</t>
        </is>
      </c>
    </row>
    <row r="2350" ht="75" customHeight="1">
      <c r="A2350" s="2">
        <f>HYPERLINK("https://camerareadycosmetics.com/products/make-up-atelier-liquid-eyeliner", "https://camerareadycosmetics.com/products/make-up-atelier-liquid-eyeliner")</f>
        <v/>
      </c>
      <c r="B2350" s="2">
        <f>HYPERLINK("https://camerareadycosmetics.com/products/make-up-atelier-liquid-eyeliner", "https://camerareadycosmetics.com/products/make-up-atelier-liquid-eyeliner")</f>
        <v/>
      </c>
      <c r="C2350" t="inlineStr">
        <is>
          <t>Liquid Eyeliner</t>
        </is>
      </c>
      <c r="D2350" t="inlineStr">
        <is>
          <t>e.l.f. Expert Liquid Liner 2-Pack, High-Pigmented, Extra-Fine Liquid Eyeliner For Precise Definition, Long-Lasting, Vegan &amp; Cruelty-Free, Jet Black</t>
        </is>
      </c>
      <c r="E2350" s="2">
        <f>HYPERLINK("https://www.amazon.com/l-f-High-Pigmented-Extra-Fine-Long-Lasting-Cruelty-Free/dp/B0BSR7D8RB/ref=sr_1_3?keywords=Liquid+Eyeliner&amp;qid=1695565734&amp;sr=8-3", "https://www.amazon.com/l-f-High-Pigmented-Extra-Fine-Long-Lasting-Cruelty-Free/dp/B0BSR7D8RB/ref=sr_1_3?keywords=Liquid+Eyeliner&amp;qid=1695565734&amp;sr=8-3")</f>
        <v/>
      </c>
      <c r="F2350" t="inlineStr">
        <is>
          <t>B0BSR7D8RB</t>
        </is>
      </c>
      <c r="G2350">
        <f>_xlfn.IMAGE("https://camerareadycosmetics.com/cdn/shop/products/black-mat-liquid-eyeliner-319_50x.jpg?v=1544226653")</f>
        <v/>
      </c>
      <c r="H2350">
        <f>_xlfn.IMAGE("https://m.media-amazon.com/images/I/61AiHBqDDML._AC_UL320_.jpg")</f>
        <v/>
      </c>
      <c r="K2350" t="inlineStr">
        <is>
          <t>20.0</t>
        </is>
      </c>
      <c r="L2350" t="n">
        <v>5</v>
      </c>
      <c r="M2350" s="1" t="inlineStr">
        <is>
          <t>-75.00%</t>
        </is>
      </c>
      <c r="N2350" t="n">
        <v>4.4</v>
      </c>
      <c r="O2350" t="n">
        <v>3374</v>
      </c>
      <c r="Q2350" t="inlineStr">
        <is>
          <t>OutOfStock</t>
        </is>
      </c>
      <c r="R2350" t="inlineStr">
        <is>
          <t>undefined</t>
        </is>
      </c>
      <c r="S2350" t="inlineStr">
        <is>
          <t>2016052412527</t>
        </is>
      </c>
    </row>
    <row r="2351" ht="75" customHeight="1">
      <c r="A2351" s="2">
        <f>HYPERLINK("https://camerareadycosmetics.com/products/make-up-atelier-liquid-eyeliner", "https://camerareadycosmetics.com/products/make-up-atelier-liquid-eyeliner")</f>
        <v/>
      </c>
      <c r="B2351" s="2">
        <f>HYPERLINK("https://camerareadycosmetics.com/products/make-up-atelier-liquid-eyeliner", "https://camerareadycosmetics.com/products/make-up-atelier-liquid-eyeliner")</f>
        <v/>
      </c>
      <c r="C2351" t="inlineStr">
        <is>
          <t>Liquid Eyeliner</t>
        </is>
      </c>
      <c r="D2351" t="inlineStr">
        <is>
          <t>Wet n Wild Mega Last Breakup Proof Liquid Waterproof Eyeliner Brush Tip Pen | Quick Drying | Smudge Resistant| Long Lasting 16 Hour Wear| Precise Ultra Fine | Black</t>
        </is>
      </c>
      <c r="E2351" s="2">
        <f>HYPERLINK("https://www.amazon.com/wild-Breakup-Proof-Liquid-Eyeliner-Black/dp/B082YQ8TXR/ref=sr_1_10?keywords=Liquid+Eyeliner&amp;qid=1695565734&amp;rdc=1&amp;sr=8-10", "https://www.amazon.com/wild-Breakup-Proof-Liquid-Eyeliner-Black/dp/B082YQ8TXR/ref=sr_1_10?keywords=Liquid+Eyeliner&amp;qid=1695565734&amp;rdc=1&amp;sr=8-10")</f>
        <v/>
      </c>
      <c r="F2351" t="inlineStr">
        <is>
          <t>B082YQ8TXR</t>
        </is>
      </c>
      <c r="G2351">
        <f>_xlfn.IMAGE("https://camerareadycosmetics.com/cdn/shop/products/black-mat-liquid-eyeliner-319_50x.jpg?v=1544226653")</f>
        <v/>
      </c>
      <c r="H2351">
        <f>_xlfn.IMAGE("https://m.media-amazon.com/images/I/61fqBvLANeL._AC_UL320_.jpg")</f>
        <v/>
      </c>
      <c r="K2351" t="inlineStr">
        <is>
          <t>20.0</t>
        </is>
      </c>
      <c r="L2351" t="n">
        <v>4.89</v>
      </c>
      <c r="M2351" s="1" t="inlineStr">
        <is>
          <t>-75.55%</t>
        </is>
      </c>
      <c r="N2351" t="n">
        <v>4.4</v>
      </c>
      <c r="O2351" t="n">
        <v>15345</v>
      </c>
      <c r="Q2351" t="inlineStr">
        <is>
          <t>OutOfStock</t>
        </is>
      </c>
      <c r="R2351" t="inlineStr">
        <is>
          <t>undefined</t>
        </is>
      </c>
      <c r="S2351" t="inlineStr">
        <is>
          <t>2016052412527</t>
        </is>
      </c>
    </row>
    <row r="2352" ht="75" customHeight="1">
      <c r="A2352" s="2">
        <f>HYPERLINK("https://camerareadycosmetics.com/products/make-up-atelier-liquid-eyeliner", "https://camerareadycosmetics.com/products/make-up-atelier-liquid-eyeliner")</f>
        <v/>
      </c>
      <c r="B2352" s="2">
        <f>HYPERLINK("https://camerareadycosmetics.com/products/make-up-atelier-liquid-eyeliner", "https://camerareadycosmetics.com/products/make-up-atelier-liquid-eyeliner")</f>
        <v/>
      </c>
      <c r="C2352" t="inlineStr">
        <is>
          <t>Liquid Eyeliner</t>
        </is>
      </c>
      <c r="D2352" t="inlineStr">
        <is>
          <t>wet n wild MegaLiner Liquid Eyeliner Black Black</t>
        </is>
      </c>
      <c r="E2352" s="2">
        <f>HYPERLINK("https://www.amazon.com/Wet-Wild-Megaliner-Liquid-Eyeliner/dp/B01D8BUHN2/ref=sr_1_4?keywords=Liquid+Eyeliner&amp;qid=1695565734&amp;sr=8-4", "https://www.amazon.com/Wet-Wild-Megaliner-Liquid-Eyeliner/dp/B01D8BUHN2/ref=sr_1_4?keywords=Liquid+Eyeliner&amp;qid=1695565734&amp;sr=8-4")</f>
        <v/>
      </c>
      <c r="F2352" t="inlineStr">
        <is>
          <t>B01D8BUHN2</t>
        </is>
      </c>
      <c r="G2352">
        <f>_xlfn.IMAGE("https://camerareadycosmetics.com/cdn/shop/products/black-mat-liquid-eyeliner-319_50x.jpg?v=1544226653")</f>
        <v/>
      </c>
      <c r="H2352">
        <f>_xlfn.IMAGE("https://m.media-amazon.com/images/I/61nv9Pj2sbL._AC_UL320_.jpg")</f>
        <v/>
      </c>
      <c r="K2352" t="inlineStr">
        <is>
          <t>20.0</t>
        </is>
      </c>
      <c r="L2352" t="n">
        <v>3.28</v>
      </c>
      <c r="M2352" s="1" t="inlineStr">
        <is>
          <t>-83.60%</t>
        </is>
      </c>
      <c r="N2352" t="n">
        <v>4.5</v>
      </c>
      <c r="O2352" t="n">
        <v>3418</v>
      </c>
      <c r="Q2352" t="inlineStr">
        <is>
          <t>OutOfStock</t>
        </is>
      </c>
      <c r="R2352" t="inlineStr">
        <is>
          <t>undefined</t>
        </is>
      </c>
      <c r="S2352" t="inlineStr">
        <is>
          <t>2016052412527</t>
        </is>
      </c>
    </row>
    <row r="2353" ht="75" customHeight="1">
      <c r="A2353" s="2">
        <f>HYPERLINK("https://camerareadycosmetics.com/products/make-up-atelier-liquid-eyeliner", "https://camerareadycosmetics.com/products/make-up-atelier-liquid-eyeliner")</f>
        <v/>
      </c>
      <c r="B2353" s="2">
        <f>HYPERLINK("https://camerareadycosmetics.com/products/make-up-atelier-liquid-eyeliner", "https://camerareadycosmetics.com/products/make-up-atelier-liquid-eyeliner")</f>
        <v/>
      </c>
      <c r="C2353" t="inlineStr">
        <is>
          <t>Liquid Eyeliner</t>
        </is>
      </c>
      <c r="D2353" t="inlineStr">
        <is>
          <t>NYX PROFESSIONAL MAKEUP Epic Ink Liner, Waterproof Liquid Eyeliner - Black, Vegan Formula</t>
        </is>
      </c>
      <c r="E2353" s="2">
        <f>HYPERLINK("https://www.amazon.com/NYX-PROFESSIONAL-MAKEUP-Waterproof-Eyeliner/dp/B074Y8LM6T/ref=sr_1_2?keywords=Liquid+Eyeliner&amp;qid=1695565734&amp;sr=8-2", "https://www.amazon.com/NYX-PROFESSIONAL-MAKEUP-Waterproof-Eyeliner/dp/B074Y8LM6T/ref=sr_1_2?keywords=Liquid+Eyeliner&amp;qid=1695565734&amp;sr=8-2")</f>
        <v/>
      </c>
      <c r="F2353" t="inlineStr">
        <is>
          <t>B074Y8LM6T</t>
        </is>
      </c>
      <c r="G2353">
        <f>_xlfn.IMAGE("https://camerareadycosmetics.com/cdn/shop/products/black-mat-liquid-eyeliner-319_50x.jpg?v=1544226653")</f>
        <v/>
      </c>
      <c r="H2353">
        <f>_xlfn.IMAGE("https://m.media-amazon.com/images/I/41U9-GGNO0L._AC_UL320_.jpg")</f>
        <v/>
      </c>
      <c r="K2353" t="inlineStr">
        <is>
          <t>20.0</t>
        </is>
      </c>
      <c r="L2353" t="n">
        <v>8.44</v>
      </c>
      <c r="M2353" s="1" t="inlineStr">
        <is>
          <t>-57.80%</t>
        </is>
      </c>
      <c r="N2353" t="n">
        <v>4.5</v>
      </c>
      <c r="O2353" t="n">
        <v>83591</v>
      </c>
      <c r="Q2353" t="inlineStr">
        <is>
          <t>OutOfStock</t>
        </is>
      </c>
      <c r="R2353" t="inlineStr">
        <is>
          <t>undefined</t>
        </is>
      </c>
      <c r="S2353" t="inlineStr">
        <is>
          <t>2016052412527</t>
        </is>
      </c>
    </row>
    <row r="2354" ht="75" customHeight="1">
      <c r="A2354" s="2">
        <f>HYPERLINK("https://camerareadycosmetics.com/products/make-up-atelier-liquid-eyeliner", "https://camerareadycosmetics.com/products/make-up-atelier-liquid-eyeliner")</f>
        <v/>
      </c>
      <c r="B2354" s="2">
        <f>HYPERLINK("https://camerareadycosmetics.com/products/make-up-atelier-liquid-eyeliner", "https://camerareadycosmetics.com/products/make-up-atelier-liquid-eyeliner")</f>
        <v/>
      </c>
      <c r="C2354" t="inlineStr">
        <is>
          <t>Liquid Eyeliner</t>
        </is>
      </c>
      <c r="D2354" t="inlineStr">
        <is>
          <t>MAYBELLINE Hyper Easy Liquid Pen No-Skip Eyeliner, Satin Finish, Waterproof Formula, Eye Liner Makeup, Pitch Black, 0.018 Fl Oz</t>
        </is>
      </c>
      <c r="E2354" s="2">
        <f>HYPERLINK("https://www.amazon.com/Maybelline-New-York-Eyeliner-Waterproof/dp/B07W8JJ61X/ref=sr_1_5?keywords=Liquid+Eyeliner&amp;qid=1695565734&amp;sr=8-5", "https://www.amazon.com/Maybelline-New-York-Eyeliner-Waterproof/dp/B07W8JJ61X/ref=sr_1_5?keywords=Liquid+Eyeliner&amp;qid=1695565734&amp;sr=8-5")</f>
        <v/>
      </c>
      <c r="F2354" t="inlineStr">
        <is>
          <t>B07W8JJ61X</t>
        </is>
      </c>
      <c r="G2354">
        <f>_xlfn.IMAGE("https://camerareadycosmetics.com/cdn/shop/products/black-mat-liquid-eyeliner-319_50x.jpg?v=1544226653")</f>
        <v/>
      </c>
      <c r="H2354">
        <f>_xlfn.IMAGE("https://m.media-amazon.com/images/I/61UyrYQ2BrL._AC_UL320_.jpg")</f>
        <v/>
      </c>
      <c r="K2354" t="inlineStr">
        <is>
          <t>20.0</t>
        </is>
      </c>
      <c r="L2354" t="n">
        <v>7.87</v>
      </c>
      <c r="M2354" s="1" t="inlineStr">
        <is>
          <t>-60.65%</t>
        </is>
      </c>
      <c r="N2354" t="n">
        <v>4.4</v>
      </c>
      <c r="O2354" t="n">
        <v>60915</v>
      </c>
      <c r="Q2354" t="inlineStr">
        <is>
          <t>OutOfStock</t>
        </is>
      </c>
      <c r="R2354" t="inlineStr">
        <is>
          <t>undefined</t>
        </is>
      </c>
      <c r="S2354" t="inlineStr">
        <is>
          <t>2016052412527</t>
        </is>
      </c>
    </row>
    <row r="2355" ht="75" customHeight="1">
      <c r="A2355" s="2">
        <f>HYPERLINK("https://camerareadycosmetics.com/products/make-up-atelier-liquid-eyeliner", "https://camerareadycosmetics.com/products/make-up-atelier-liquid-eyeliner")</f>
        <v/>
      </c>
      <c r="B2355" s="2">
        <f>HYPERLINK("https://camerareadycosmetics.com/products/make-up-atelier-liquid-eyeliner", "https://camerareadycosmetics.com/products/make-up-atelier-liquid-eyeliner")</f>
        <v/>
      </c>
      <c r="C2355" t="inlineStr">
        <is>
          <t>Liquid Eyeliner</t>
        </is>
      </c>
      <c r="D2355" t="inlineStr">
        <is>
          <t>Covergirl Perfect Point Plus Liquid Eyeliner, Black Onyx, .08 Fl. Oz.</t>
        </is>
      </c>
      <c r="E2355" s="2">
        <f>HYPERLINK("https://www.amazon.com/Covergirl-Perfect-Liquid-Eyeliner-Onyx-08/dp/B08L95VZQF/ref=sr_1_7?keywords=Liquid+Eyeliner&amp;qid=1695565734&amp;sr=8-7", "https://www.amazon.com/Covergirl-Perfect-Liquid-Eyeliner-Onyx-08/dp/B08L95VZQF/ref=sr_1_7?keywords=Liquid+Eyeliner&amp;qid=1695565734&amp;sr=8-7")</f>
        <v/>
      </c>
      <c r="F2355" t="inlineStr">
        <is>
          <t>B08L95VZQF</t>
        </is>
      </c>
      <c r="G2355">
        <f>_xlfn.IMAGE("https://camerareadycosmetics.com/cdn/shop/products/black-mat-liquid-eyeliner-319_50x.jpg?v=1544226653")</f>
        <v/>
      </c>
      <c r="H2355">
        <f>_xlfn.IMAGE("https://m.media-amazon.com/images/I/615XgdOcq9L._AC_UL320_.jpg")</f>
        <v/>
      </c>
      <c r="K2355" t="inlineStr">
        <is>
          <t>20.0</t>
        </is>
      </c>
      <c r="L2355" t="n">
        <v>6.67</v>
      </c>
      <c r="M2355" s="1" t="inlineStr">
        <is>
          <t>-66.65%</t>
        </is>
      </c>
      <c r="N2355" t="n">
        <v>4.5</v>
      </c>
      <c r="O2355" t="n">
        <v>2979</v>
      </c>
      <c r="Q2355" t="inlineStr">
        <is>
          <t>OutOfStock</t>
        </is>
      </c>
      <c r="R2355" t="inlineStr">
        <is>
          <t>undefined</t>
        </is>
      </c>
      <c r="S2355" t="inlineStr">
        <is>
          <t>2016052412527</t>
        </is>
      </c>
    </row>
    <row r="2356" ht="75" customHeight="1">
      <c r="A2356" s="2">
        <f>HYPERLINK("https://camerareadycosmetics.com/products/make-up-atelier-liquid-eyeliner", "https://camerareadycosmetics.com/products/make-up-atelier-liquid-eyeliner")</f>
        <v/>
      </c>
      <c r="B2356" s="2">
        <f>HYPERLINK("https://camerareadycosmetics.com/products/make-up-atelier-liquid-eyeliner", "https://camerareadycosmetics.com/products/make-up-atelier-liquid-eyeliner")</f>
        <v/>
      </c>
      <c r="C2356" t="inlineStr">
        <is>
          <t>Liquid Eyeliner</t>
        </is>
      </c>
      <c r="D2356" t="inlineStr">
        <is>
          <t>Maybelline New York Eyestudio Master Precise All Day Waterproof Liquid Eyeliner Makeup, Black, 1 Count</t>
        </is>
      </c>
      <c r="E2356" s="2">
        <f>HYPERLINK("https://www.amazon.com/Maybelline-Eyestudio-Master-Precise-Eyeliner/dp/B07FYMBCS5/ref=sr_1_1?keywords=Liquid+Eyeliner&amp;qid=1695565734&amp;sr=8-1", "https://www.amazon.com/Maybelline-Eyestudio-Master-Precise-Eyeliner/dp/B07FYMBCS5/ref=sr_1_1?keywords=Liquid+Eyeliner&amp;qid=1695565734&amp;sr=8-1")</f>
        <v/>
      </c>
      <c r="F2356" t="inlineStr">
        <is>
          <t>B07FYMBCS5</t>
        </is>
      </c>
      <c r="G2356">
        <f>_xlfn.IMAGE("https://camerareadycosmetics.com/cdn/shop/products/black-mat-liquid-eyeliner-319_50x.jpg?v=1544226653")</f>
        <v/>
      </c>
      <c r="H2356">
        <f>_xlfn.IMAGE("https://m.media-amazon.com/images/I/61GNuUF92RL._AC_UL320_.jpg")</f>
        <v/>
      </c>
      <c r="K2356" t="inlineStr">
        <is>
          <t>20.0</t>
        </is>
      </c>
      <c r="L2356" t="n">
        <v>6.38</v>
      </c>
      <c r="M2356" s="1" t="inlineStr">
        <is>
          <t>-68.10%</t>
        </is>
      </c>
      <c r="N2356" t="n">
        <v>4.4</v>
      </c>
      <c r="O2356" t="n">
        <v>31992</v>
      </c>
      <c r="Q2356" t="inlineStr">
        <is>
          <t>OutOfStock</t>
        </is>
      </c>
      <c r="R2356" t="inlineStr">
        <is>
          <t>undefined</t>
        </is>
      </c>
      <c r="S2356" t="inlineStr">
        <is>
          <t>2016052412527</t>
        </is>
      </c>
    </row>
    <row r="2357" ht="75" customHeight="1">
      <c r="A2357" s="2">
        <f>HYPERLINK("https://camerareadycosmetics.com/products/make-up-atelier-liquid-eyeliner", "https://camerareadycosmetics.com/products/make-up-atelier-liquid-eyeliner")</f>
        <v/>
      </c>
      <c r="B2357" s="2">
        <f>HYPERLINK("https://camerareadycosmetics.com/products/make-up-atelier-liquid-eyeliner", "https://camerareadycosmetics.com/products/make-up-atelier-liquid-eyeliner")</f>
        <v/>
      </c>
      <c r="C2357" t="inlineStr">
        <is>
          <t>Liquid Eyeliner</t>
        </is>
      </c>
      <c r="D2357" t="inlineStr">
        <is>
          <t>e.l.f. Expert Liquid Liner 2-Pack, High-Pigmented, Extra-Fine Liquid Eyeliner For Precise Definition, Long-Lasting, Vegan &amp; Cruelty-Free, Jet Black</t>
        </is>
      </c>
      <c r="E2357" s="2">
        <f>HYPERLINK("https://www.amazon.com/l-f-High-Pigmented-Extra-Fine-Long-Lasting-Cruelty-Free/dp/B0BSR7D8RB/ref=sr_1_3?keywords=Liquid+Eyeliner&amp;qid=1695565734&amp;sr=8-3", "https://www.amazon.com/l-f-High-Pigmented-Extra-Fine-Long-Lasting-Cruelty-Free/dp/B0BSR7D8RB/ref=sr_1_3?keywords=Liquid+Eyeliner&amp;qid=1695565734&amp;sr=8-3")</f>
        <v/>
      </c>
      <c r="F2357" t="inlineStr">
        <is>
          <t>B0BSR7D8RB</t>
        </is>
      </c>
      <c r="G2357">
        <f>_xlfn.IMAGE("https://camerareadycosmetics.com/cdn/shop/products/black-mat-liquid-eyeliner-319_50x.jpg?v=1544226653")</f>
        <v/>
      </c>
      <c r="H2357">
        <f>_xlfn.IMAGE("https://m.media-amazon.com/images/I/61AiHBqDDML._AC_UL320_.jpg")</f>
        <v/>
      </c>
      <c r="K2357" t="inlineStr">
        <is>
          <t>20.0</t>
        </is>
      </c>
      <c r="L2357" t="n">
        <v>5</v>
      </c>
      <c r="M2357" s="1" t="inlineStr">
        <is>
          <t>-75.00%</t>
        </is>
      </c>
      <c r="N2357" t="n">
        <v>4.4</v>
      </c>
      <c r="O2357" t="n">
        <v>3374</v>
      </c>
      <c r="Q2357" t="inlineStr">
        <is>
          <t>OutOfStock</t>
        </is>
      </c>
      <c r="R2357" t="inlineStr">
        <is>
          <t>undefined</t>
        </is>
      </c>
      <c r="S2357" t="inlineStr">
        <is>
          <t>2016052412527</t>
        </is>
      </c>
    </row>
    <row r="2358" ht="75" customHeight="1">
      <c r="A2358" s="2">
        <f>HYPERLINK("https://camerareadycosmetics.com/products/make-up-atelier-liquid-eyeliner", "https://camerareadycosmetics.com/products/make-up-atelier-liquid-eyeliner")</f>
        <v/>
      </c>
      <c r="B2358" s="2">
        <f>HYPERLINK("https://camerareadycosmetics.com/products/make-up-atelier-liquid-eyeliner", "https://camerareadycosmetics.com/products/make-up-atelier-liquid-eyeliner")</f>
        <v/>
      </c>
      <c r="C2358" t="inlineStr">
        <is>
          <t>Liquid Eyeliner</t>
        </is>
      </c>
      <c r="D2358" t="inlineStr">
        <is>
          <t>Wet n Wild Mega Last Breakup Proof Liquid Waterproof Eyeliner Brush Tip Pen | Quick Drying | Smudge Resistant| Long Lasting 16 Hour Wear| Precise Ultra Fine | Black</t>
        </is>
      </c>
      <c r="E2358" s="2">
        <f>HYPERLINK("https://www.amazon.com/wild-Breakup-Proof-Liquid-Eyeliner-Black/dp/B082YQ8TXR/ref=sr_1_10?keywords=Liquid+Eyeliner&amp;qid=1695565734&amp;rdc=1&amp;sr=8-10", "https://www.amazon.com/wild-Breakup-Proof-Liquid-Eyeliner-Black/dp/B082YQ8TXR/ref=sr_1_10?keywords=Liquid+Eyeliner&amp;qid=1695565734&amp;rdc=1&amp;sr=8-10")</f>
        <v/>
      </c>
      <c r="F2358" t="inlineStr">
        <is>
          <t>B082YQ8TXR</t>
        </is>
      </c>
      <c r="G2358">
        <f>_xlfn.IMAGE("https://camerareadycosmetics.com/cdn/shop/products/black-mat-liquid-eyeliner-319_50x.jpg?v=1544226653")</f>
        <v/>
      </c>
      <c r="H2358">
        <f>_xlfn.IMAGE("https://m.media-amazon.com/images/I/61fqBvLANeL._AC_UL320_.jpg")</f>
        <v/>
      </c>
      <c r="K2358" t="inlineStr">
        <is>
          <t>20.0</t>
        </is>
      </c>
      <c r="L2358" t="n">
        <v>4.89</v>
      </c>
      <c r="M2358" s="1" t="inlineStr">
        <is>
          <t>-75.55%</t>
        </is>
      </c>
      <c r="N2358" t="n">
        <v>4.4</v>
      </c>
      <c r="O2358" t="n">
        <v>15345</v>
      </c>
      <c r="Q2358" t="inlineStr">
        <is>
          <t>OutOfStock</t>
        </is>
      </c>
      <c r="R2358" t="inlineStr">
        <is>
          <t>undefined</t>
        </is>
      </c>
      <c r="S2358" t="inlineStr">
        <is>
          <t>2016052412527</t>
        </is>
      </c>
    </row>
    <row r="2359" ht="75" customHeight="1">
      <c r="A2359" s="2">
        <f>HYPERLINK("https://camerareadycosmetics.com/products/make-up-atelier-liquid-eyeliner", "https://camerareadycosmetics.com/products/make-up-atelier-liquid-eyeliner")</f>
        <v/>
      </c>
      <c r="B2359" s="2">
        <f>HYPERLINK("https://camerareadycosmetics.com/products/make-up-atelier-liquid-eyeliner", "https://camerareadycosmetics.com/products/make-up-atelier-liquid-eyeliner")</f>
        <v/>
      </c>
      <c r="C2359" t="inlineStr">
        <is>
          <t>Liquid Eyeliner</t>
        </is>
      </c>
      <c r="D2359" t="inlineStr">
        <is>
          <t>wet n wild MegaLiner Liquid Eyeliner Black Black</t>
        </is>
      </c>
      <c r="E2359" s="2">
        <f>HYPERLINK("https://www.amazon.com/Wet-Wild-Megaliner-Liquid-Eyeliner/dp/B01D8BUHN2/ref=sr_1_4?keywords=Liquid+Eyeliner&amp;qid=1695565734&amp;sr=8-4", "https://www.amazon.com/Wet-Wild-Megaliner-Liquid-Eyeliner/dp/B01D8BUHN2/ref=sr_1_4?keywords=Liquid+Eyeliner&amp;qid=1695565734&amp;sr=8-4")</f>
        <v/>
      </c>
      <c r="F2359" t="inlineStr">
        <is>
          <t>B01D8BUHN2</t>
        </is>
      </c>
      <c r="G2359">
        <f>_xlfn.IMAGE("https://camerareadycosmetics.com/cdn/shop/products/black-mat-liquid-eyeliner-319_50x.jpg?v=1544226653")</f>
        <v/>
      </c>
      <c r="H2359">
        <f>_xlfn.IMAGE("https://m.media-amazon.com/images/I/61nv9Pj2sbL._AC_UL320_.jpg")</f>
        <v/>
      </c>
      <c r="K2359" t="inlineStr">
        <is>
          <t>20.0</t>
        </is>
      </c>
      <c r="L2359" t="n">
        <v>3.28</v>
      </c>
      <c r="M2359" s="1" t="inlineStr">
        <is>
          <t>-83.60%</t>
        </is>
      </c>
      <c r="N2359" t="n">
        <v>4.5</v>
      </c>
      <c r="O2359" t="n">
        <v>3418</v>
      </c>
      <c r="Q2359" t="inlineStr">
        <is>
          <t>OutOfStock</t>
        </is>
      </c>
      <c r="R2359" t="inlineStr">
        <is>
          <t>undefined</t>
        </is>
      </c>
      <c r="S2359" t="inlineStr">
        <is>
          <t>2016052412527</t>
        </is>
      </c>
    </row>
    <row r="2360" ht="75" customHeight="1">
      <c r="A2360" s="2">
        <f>HYPERLINK("https://camerareadycosmetics.com/products/make-up-atelier-ultra-glow", "https://camerareadycosmetics.com/products/make-up-atelier-ultra-glow")</f>
        <v/>
      </c>
      <c r="B2360" s="2">
        <f>HYPERLINK("https://camerareadycosmetics.com/products/make-up-atelier-ultra-glow", "https://camerareadycosmetics.com/products/make-up-atelier-ultra-glow")</f>
        <v/>
      </c>
      <c r="C2360" t="inlineStr">
        <is>
          <t>Ultra Glow</t>
        </is>
      </c>
      <c r="D2360" t="inlineStr">
        <is>
          <t>Ultra Glow Cleansing Bar 3.50 oz (Pack of 6)</t>
        </is>
      </c>
      <c r="E2360" s="2">
        <f>HYPERLINK("https://www.amazon.com/Ultra-Glow-Cleansing-3-50-Pack/dp/B01IAFE4NK/ref=sr_1_5?keywords=Ultra+Glow&amp;qid=1695565722&amp;sr=8-5", "https://www.amazon.com/Ultra-Glow-Cleansing-3-50-Pack/dp/B01IAFE4NK/ref=sr_1_5?keywords=Ultra+Glow&amp;qid=1695565722&amp;sr=8-5")</f>
        <v/>
      </c>
      <c r="F2360" t="inlineStr">
        <is>
          <t>B01IAFE4NK</t>
        </is>
      </c>
      <c r="G2360">
        <f>_xlfn.IMAGE("https://camerareadycosmetics.com/cdn/shop/products/makeup-atelier0ultra-glow_50x.jpg?v=1622259592")</f>
        <v/>
      </c>
      <c r="H2360">
        <f>_xlfn.IMAGE("https://m.media-amazon.com/images/I/81KskQMUirL._AC_UL320_.jpg")</f>
        <v/>
      </c>
      <c r="K2360" t="inlineStr">
        <is>
          <t>23.0</t>
        </is>
      </c>
      <c r="L2360" t="n">
        <v>32.96</v>
      </c>
      <c r="M2360" s="1" t="inlineStr">
        <is>
          <t>43.30%</t>
        </is>
      </c>
      <c r="N2360" t="n">
        <v>4.3</v>
      </c>
      <c r="O2360" t="n">
        <v>40</v>
      </c>
      <c r="Q2360" t="inlineStr">
        <is>
          <t>InStock</t>
        </is>
      </c>
      <c r="R2360" t="inlineStr">
        <is>
          <t>undefined</t>
        </is>
      </c>
      <c r="S2360" t="inlineStr">
        <is>
          <t>6743604953273</t>
        </is>
      </c>
    </row>
    <row r="2361" ht="75" customHeight="1">
      <c r="A2361" s="2">
        <f>HYPERLINK("https://camerareadycosmetics.com/products/make-up-atelier-ultra-glow", "https://camerareadycosmetics.com/products/make-up-atelier-ultra-glow")</f>
        <v/>
      </c>
      <c r="B2361" s="2">
        <f>HYPERLINK("https://camerareadycosmetics.com/products/make-up-atelier-ultra-glow", "https://camerareadycosmetics.com/products/make-up-atelier-ultra-glow")</f>
        <v/>
      </c>
      <c r="C2361" t="inlineStr">
        <is>
          <t>Ultra Glow</t>
        </is>
      </c>
      <c r="D2361" t="inlineStr">
        <is>
          <t>Ultra Glow Cocoa Butter, 7.25 Ounce</t>
        </is>
      </c>
      <c r="E2361" s="2">
        <f>HYPERLINK("https://www.amazon.com/Ultra-Glow-Cocoa-Butter-Ounce/dp/B000P3MNH0/ref=sr_1_1?keywords=Ultra+Glow&amp;qid=1695565722&amp;sr=8-1", "https://www.amazon.com/Ultra-Glow-Cocoa-Butter-Ounce/dp/B000P3MNH0/ref=sr_1_1?keywords=Ultra+Glow&amp;qid=1695565722&amp;sr=8-1")</f>
        <v/>
      </c>
      <c r="F2361" t="inlineStr">
        <is>
          <t>B000P3MNH0</t>
        </is>
      </c>
      <c r="G2361">
        <f>_xlfn.IMAGE("https://camerareadycosmetics.com/cdn/shop/products/makeup-atelier0ultra-glow_50x.jpg?v=1622259592")</f>
        <v/>
      </c>
      <c r="H2361">
        <f>_xlfn.IMAGE("https://m.media-amazon.com/images/I/71cVTPqvicL._AC_UL320_.jpg")</f>
        <v/>
      </c>
      <c r="K2361" t="inlineStr">
        <is>
          <t>23.0</t>
        </is>
      </c>
      <c r="L2361" t="n">
        <v>28.99</v>
      </c>
      <c r="M2361" s="1" t="inlineStr">
        <is>
          <t>26.04%</t>
        </is>
      </c>
      <c r="N2361" t="n">
        <v>4.3</v>
      </c>
      <c r="O2361" t="n">
        <v>44</v>
      </c>
      <c r="Q2361" t="inlineStr">
        <is>
          <t>InStock</t>
        </is>
      </c>
      <c r="R2361" t="inlineStr">
        <is>
          <t>undefined</t>
        </is>
      </c>
      <c r="S2361" t="inlineStr">
        <is>
          <t>6743604953273</t>
        </is>
      </c>
    </row>
    <row r="2362" ht="75" customHeight="1">
      <c r="A2362" s="2">
        <f>HYPERLINK("https://camerareadycosmetics.com/products/make-up-atelier-ultra-glow", "https://camerareadycosmetics.com/products/make-up-atelier-ultra-glow")</f>
        <v/>
      </c>
      <c r="B2362" s="2">
        <f>HYPERLINK("https://camerareadycosmetics.com/products/make-up-atelier-ultra-glow", "https://camerareadycosmetics.com/products/make-up-atelier-ultra-glow")</f>
        <v/>
      </c>
      <c r="C2362" t="inlineStr">
        <is>
          <t>Ultra Glow</t>
        </is>
      </c>
      <c r="D2362" t="inlineStr">
        <is>
          <t>[VALUE PACK OF 3] ULTRA GLOW SOAP CLEANSING BAR 3.5 OZ Removes dirt, oil and other impurities</t>
        </is>
      </c>
      <c r="E2362" s="2">
        <f>HYPERLINK("https://www.amazon.com/VALUE-ULTRA-CLEANSING-Removes-impurities/dp/B07HS2HYN3/ref=sr_1_3?keywords=Ultra+Glow&amp;qid=1695565722&amp;sr=8-3", "https://www.amazon.com/VALUE-ULTRA-CLEANSING-Removes-impurities/dp/B07HS2HYN3/ref=sr_1_3?keywords=Ultra+Glow&amp;qid=1695565722&amp;sr=8-3")</f>
        <v/>
      </c>
      <c r="F2362" t="inlineStr">
        <is>
          <t>B07HS2HYN3</t>
        </is>
      </c>
      <c r="G2362">
        <f>_xlfn.IMAGE("https://camerareadycosmetics.com/cdn/shop/products/makeup-atelier0ultra-glow_50x.jpg?v=1622259592")</f>
        <v/>
      </c>
      <c r="H2362">
        <f>_xlfn.IMAGE("https://m.media-amazon.com/images/I/41xG7fnclVL._AC_UL320_.jpg")</f>
        <v/>
      </c>
      <c r="K2362" t="inlineStr">
        <is>
          <t>23.0</t>
        </is>
      </c>
      <c r="L2362" t="n">
        <v>19.99</v>
      </c>
      <c r="M2362" s="1" t="inlineStr">
        <is>
          <t>-13.09%</t>
        </is>
      </c>
      <c r="N2362" t="n">
        <v>4.1</v>
      </c>
      <c r="O2362" t="n">
        <v>13</v>
      </c>
      <c r="Q2362" t="inlineStr">
        <is>
          <t>InStock</t>
        </is>
      </c>
      <c r="R2362" t="inlineStr">
        <is>
          <t>undefined</t>
        </is>
      </c>
      <c r="S2362" t="inlineStr">
        <is>
          <t>6743604953273</t>
        </is>
      </c>
    </row>
    <row r="2363" ht="75" customHeight="1">
      <c r="A2363" s="2">
        <f>HYPERLINK("https://camerareadycosmetics.com/products/make-up-atelier-ultra-glow", "https://camerareadycosmetics.com/products/make-up-atelier-ultra-glow")</f>
        <v/>
      </c>
      <c r="B2363" s="2">
        <f>HYPERLINK("https://camerareadycosmetics.com/products/make-up-atelier-ultra-glow", "https://camerareadycosmetics.com/products/make-up-atelier-ultra-glow")</f>
        <v/>
      </c>
      <c r="C2363" t="inlineStr">
        <is>
          <t>Ultra Glow</t>
        </is>
      </c>
      <c r="D2363" t="inlineStr">
        <is>
          <t>Ultra Glow Tea Tree Soap, 3.5 Ounce</t>
        </is>
      </c>
      <c r="E2363" s="2">
        <f>HYPERLINK("https://www.amazon.com/Ultra-Glow-Tree-Soap-Ounce/dp/B00D171W4W/ref=sr_1_9?keywords=Ultra+Glow&amp;qid=1695565722&amp;sr=8-9", "https://www.amazon.com/Ultra-Glow-Tree-Soap-Ounce/dp/B00D171W4W/ref=sr_1_9?keywords=Ultra+Glow&amp;qid=1695565722&amp;sr=8-9")</f>
        <v/>
      </c>
      <c r="F2363" t="inlineStr">
        <is>
          <t>B00D171W4W</t>
        </is>
      </c>
      <c r="G2363">
        <f>_xlfn.IMAGE("https://camerareadycosmetics.com/cdn/shop/products/makeup-atelier0ultra-glow_50x.jpg?v=1622259592")</f>
        <v/>
      </c>
      <c r="H2363">
        <f>_xlfn.IMAGE("https://m.media-amazon.com/images/I/91-SzglKoJL._AC_UL320_.jpg")</f>
        <v/>
      </c>
      <c r="K2363" t="inlineStr">
        <is>
          <t>23.0</t>
        </is>
      </c>
      <c r="L2363" t="n">
        <v>9.92</v>
      </c>
      <c r="M2363" s="1" t="inlineStr">
        <is>
          <t>-56.87%</t>
        </is>
      </c>
      <c r="N2363" t="n">
        <v>4.1</v>
      </c>
      <c r="O2363" t="n">
        <v>6</v>
      </c>
      <c r="Q2363" t="inlineStr">
        <is>
          <t>InStock</t>
        </is>
      </c>
      <c r="R2363" t="inlineStr">
        <is>
          <t>undefined</t>
        </is>
      </c>
      <c r="S2363" t="inlineStr">
        <is>
          <t>6743604953273</t>
        </is>
      </c>
    </row>
    <row r="2364" ht="75" customHeight="1">
      <c r="A2364" s="2">
        <f>HYPERLINK("https://camerareadycosmetics.com/products/make-up-atelier-ultra-glow", "https://camerareadycosmetics.com/products/make-up-atelier-ultra-glow")</f>
        <v/>
      </c>
      <c r="B2364" s="2">
        <f>HYPERLINK("https://camerareadycosmetics.com/products/make-up-atelier-ultra-glow", "https://camerareadycosmetics.com/products/make-up-atelier-ultra-glow")</f>
        <v/>
      </c>
      <c r="C2364" t="inlineStr">
        <is>
          <t>Ultra Glow</t>
        </is>
      </c>
      <c r="D2364" t="inlineStr">
        <is>
          <t>Ultra Glow Beauty Bar With Aloe Vera, 3.5 Ounce</t>
        </is>
      </c>
      <c r="E2364" s="2">
        <f>HYPERLINK("https://www.amazon.com/Ultra-Glow-Beauty-Aloe-Ounce/dp/B0046MM5G0/ref=sr_1_4?keywords=Ultra+Glow&amp;qid=1695565722&amp;sr=8-4", "https://www.amazon.com/Ultra-Glow-Beauty-Aloe-Ounce/dp/B0046MM5G0/ref=sr_1_4?keywords=Ultra+Glow&amp;qid=1695565722&amp;sr=8-4")</f>
        <v/>
      </c>
      <c r="F2364" t="inlineStr">
        <is>
          <t>B0046MM5G0</t>
        </is>
      </c>
      <c r="G2364">
        <f>_xlfn.IMAGE("https://camerareadycosmetics.com/cdn/shop/products/makeup-atelier0ultra-glow_50x.jpg?v=1622259592")</f>
        <v/>
      </c>
      <c r="H2364">
        <f>_xlfn.IMAGE("https://m.media-amazon.com/images/I/81YCTydMvqL._AC_UL320_.jpg")</f>
        <v/>
      </c>
      <c r="K2364" t="inlineStr">
        <is>
          <t>23.0</t>
        </is>
      </c>
      <c r="L2364" t="n">
        <v>7.28</v>
      </c>
      <c r="M2364" s="1" t="inlineStr">
        <is>
          <t>-68.35%</t>
        </is>
      </c>
      <c r="N2364" t="n">
        <v>4.6</v>
      </c>
      <c r="O2364" t="n">
        <v>49</v>
      </c>
      <c r="Q2364" t="inlineStr">
        <is>
          <t>InStock</t>
        </is>
      </c>
      <c r="R2364" t="inlineStr">
        <is>
          <t>undefined</t>
        </is>
      </c>
      <c r="S2364" t="inlineStr">
        <is>
          <t>6743604953273</t>
        </is>
      </c>
    </row>
    <row r="2365" ht="75" customHeight="1">
      <c r="A2365" s="2">
        <f>HYPERLINK("https://camerareadycosmetics.com/products/make-up-atelier-ultra-glow", "https://camerareadycosmetics.com/products/make-up-atelier-ultra-glow")</f>
        <v/>
      </c>
      <c r="B2365" s="2">
        <f>HYPERLINK("https://camerareadycosmetics.com/products/make-up-atelier-ultra-glow", "https://camerareadycosmetics.com/products/make-up-atelier-ultra-glow")</f>
        <v/>
      </c>
      <c r="C2365" t="inlineStr">
        <is>
          <t>Ultra Glow</t>
        </is>
      </c>
      <c r="D2365" t="inlineStr">
        <is>
          <t>Ultra Glow Cleansing Bar with Cocoa Butter, 3.5 Ounce</t>
        </is>
      </c>
      <c r="E2365" s="2">
        <f>HYPERLINK("https://www.amazon.com/Ultra-Glow-Cleansing-Cocoa-Butter/dp/B000RL91T8/ref=sr_1_6?keywords=Ultra+Glow&amp;qid=1695565722&amp;sr=8-6", "https://www.amazon.com/Ultra-Glow-Cleansing-Cocoa-Butter/dp/B000RL91T8/ref=sr_1_6?keywords=Ultra+Glow&amp;qid=1695565722&amp;sr=8-6")</f>
        <v/>
      </c>
      <c r="F2365" t="inlineStr">
        <is>
          <t>B000RL91T8</t>
        </is>
      </c>
      <c r="G2365">
        <f>_xlfn.IMAGE("https://camerareadycosmetics.com/cdn/shop/products/makeup-atelier0ultra-glow_50x.jpg?v=1622259592")</f>
        <v/>
      </c>
      <c r="H2365">
        <f>_xlfn.IMAGE("https://m.media-amazon.com/images/I/416Ztic1ZTL._AC_UL320_.jpg")</f>
        <v/>
      </c>
      <c r="K2365" t="inlineStr">
        <is>
          <t>23.0</t>
        </is>
      </c>
      <c r="L2365" t="n">
        <v>7.25</v>
      </c>
      <c r="M2365" s="1" t="inlineStr">
        <is>
          <t>-68.48%</t>
        </is>
      </c>
      <c r="N2365" t="n">
        <v>4.2</v>
      </c>
      <c r="O2365" t="n">
        <v>46</v>
      </c>
      <c r="Q2365" t="inlineStr">
        <is>
          <t>InStock</t>
        </is>
      </c>
      <c r="R2365" t="inlineStr">
        <is>
          <t>undefined</t>
        </is>
      </c>
      <c r="S2365" t="inlineStr">
        <is>
          <t>6743604953273</t>
        </is>
      </c>
    </row>
    <row r="2366" ht="75" customHeight="1">
      <c r="A2366" s="2">
        <f>HYPERLINK("https://camerareadycosmetics.com/products/make-up-atelier-ultra-glow", "https://camerareadycosmetics.com/products/make-up-atelier-ultra-glow")</f>
        <v/>
      </c>
      <c r="B2366" s="2">
        <f>HYPERLINK("https://camerareadycosmetics.com/products/make-up-atelier-ultra-glow", "https://camerareadycosmetics.com/products/make-up-atelier-ultra-glow")</f>
        <v/>
      </c>
      <c r="C2366" t="inlineStr">
        <is>
          <t>Ultra Glow</t>
        </is>
      </c>
      <c r="D2366" t="inlineStr">
        <is>
          <t>Ultra Glow Black Soap, 3.5 Oz</t>
        </is>
      </c>
      <c r="E2366" s="2">
        <f>HYPERLINK("https://www.amazon.com/Ultra-Glow-Black-Soap-99-2G/dp/B005T7TN9I/ref=sr_1_8?keywords=Ultra+Glow&amp;qid=1695565722&amp;sr=8-8", "https://www.amazon.com/Ultra-Glow-Black-Soap-99-2G/dp/B005T7TN9I/ref=sr_1_8?keywords=Ultra+Glow&amp;qid=1695565722&amp;sr=8-8")</f>
        <v/>
      </c>
      <c r="F2366" t="inlineStr">
        <is>
          <t>B005T7TN9I</t>
        </is>
      </c>
      <c r="G2366">
        <f>_xlfn.IMAGE("https://camerareadycosmetics.com/cdn/shop/products/makeup-atelier0ultra-glow_50x.jpg?v=1622259592")</f>
        <v/>
      </c>
      <c r="H2366">
        <f>_xlfn.IMAGE("https://m.media-amazon.com/images/I/91xiN73GwKL._AC_UL320_.jpg")</f>
        <v/>
      </c>
      <c r="K2366" t="inlineStr">
        <is>
          <t>23.0</t>
        </is>
      </c>
      <c r="L2366" t="n">
        <v>7.2</v>
      </c>
      <c r="M2366" s="1" t="inlineStr">
        <is>
          <t>-68.70%</t>
        </is>
      </c>
      <c r="N2366" t="n">
        <v>4.4</v>
      </c>
      <c r="O2366" t="n">
        <v>98</v>
      </c>
      <c r="Q2366" t="inlineStr">
        <is>
          <t>InStock</t>
        </is>
      </c>
      <c r="R2366" t="inlineStr">
        <is>
          <t>undefined</t>
        </is>
      </c>
      <c r="S2366" t="inlineStr">
        <is>
          <t>6743604953273</t>
        </is>
      </c>
    </row>
    <row r="2367" ht="75" customHeight="1">
      <c r="A2367" s="2">
        <f>HYPERLINK("https://camerareadycosmetics.com/products/make-up-atelier-ultra-glow", "https://camerareadycosmetics.com/products/make-up-atelier-ultra-glow")</f>
        <v/>
      </c>
      <c r="B2367" s="2">
        <f>HYPERLINK("https://camerareadycosmetics.com/products/make-up-atelier-ultra-glow", "https://camerareadycosmetics.com/products/make-up-atelier-ultra-glow")</f>
        <v/>
      </c>
      <c r="C2367" t="inlineStr">
        <is>
          <t>Ultra Glow</t>
        </is>
      </c>
      <c r="D2367" t="inlineStr">
        <is>
          <t>Ultra Glow Tea Tree Soap, 3.5 Ounce</t>
        </is>
      </c>
      <c r="E2367" s="2">
        <f>HYPERLINK("https://www.amazon.com/Ultra-Glow-Tree-Soap-Ounce/dp/B00D171W4W/ref=sr_1_9?keywords=Ultra+Glow&amp;qid=1695565722&amp;sr=8-9", "https://www.amazon.com/Ultra-Glow-Tree-Soap-Ounce/dp/B00D171W4W/ref=sr_1_9?keywords=Ultra+Glow&amp;qid=1695565722&amp;sr=8-9")</f>
        <v/>
      </c>
      <c r="F2367" t="inlineStr">
        <is>
          <t>B00D171W4W</t>
        </is>
      </c>
      <c r="G2367">
        <f>_xlfn.IMAGE("https://camerareadycosmetics.com/cdn/shop/products/makeup-atelier0ultra-glow_50x.jpg?v=1622259592")</f>
        <v/>
      </c>
      <c r="H2367">
        <f>_xlfn.IMAGE("https://m.media-amazon.com/images/I/91-SzglKoJL._AC_UL320_.jpg")</f>
        <v/>
      </c>
      <c r="K2367" t="inlineStr">
        <is>
          <t>23.0</t>
        </is>
      </c>
      <c r="L2367" t="n">
        <v>9.92</v>
      </c>
      <c r="M2367" s="1" t="inlineStr">
        <is>
          <t>-56.87%</t>
        </is>
      </c>
      <c r="N2367" t="n">
        <v>4.1</v>
      </c>
      <c r="O2367" t="n">
        <v>6</v>
      </c>
      <c r="Q2367" t="inlineStr">
        <is>
          <t>InStock</t>
        </is>
      </c>
      <c r="R2367" t="inlineStr">
        <is>
          <t>undefined</t>
        </is>
      </c>
      <c r="S2367" t="inlineStr">
        <is>
          <t>6743604953273</t>
        </is>
      </c>
    </row>
    <row r="2368" ht="75" customHeight="1">
      <c r="A2368" s="2">
        <f>HYPERLINK("https://camerareadycosmetics.com/products/make-up-atelier-ultra-glow", "https://camerareadycosmetics.com/products/make-up-atelier-ultra-glow")</f>
        <v/>
      </c>
      <c r="B2368" s="2">
        <f>HYPERLINK("https://camerareadycosmetics.com/products/make-up-atelier-ultra-glow", "https://camerareadycosmetics.com/products/make-up-atelier-ultra-glow")</f>
        <v/>
      </c>
      <c r="C2368" t="inlineStr">
        <is>
          <t>Ultra Glow</t>
        </is>
      </c>
      <c r="D2368" t="inlineStr">
        <is>
          <t>Ultra Glow Beauty Bar With Aloe Vera, 3.5 Ounce</t>
        </is>
      </c>
      <c r="E2368" s="2">
        <f>HYPERLINK("https://www.amazon.com/Ultra-Glow-Beauty-Aloe-Ounce/dp/B0046MM5G0/ref=sr_1_4?keywords=Ultra+Glow&amp;qid=1695565722&amp;sr=8-4", "https://www.amazon.com/Ultra-Glow-Beauty-Aloe-Ounce/dp/B0046MM5G0/ref=sr_1_4?keywords=Ultra+Glow&amp;qid=1695565722&amp;sr=8-4")</f>
        <v/>
      </c>
      <c r="F2368" t="inlineStr">
        <is>
          <t>B0046MM5G0</t>
        </is>
      </c>
      <c r="G2368">
        <f>_xlfn.IMAGE("https://camerareadycosmetics.com/cdn/shop/products/makeup-atelier0ultra-glow_50x.jpg?v=1622259592")</f>
        <v/>
      </c>
      <c r="H2368">
        <f>_xlfn.IMAGE("https://m.media-amazon.com/images/I/81YCTydMvqL._AC_UL320_.jpg")</f>
        <v/>
      </c>
      <c r="K2368" t="inlineStr">
        <is>
          <t>23.0</t>
        </is>
      </c>
      <c r="L2368" t="n">
        <v>7.28</v>
      </c>
      <c r="M2368" s="1" t="inlineStr">
        <is>
          <t>-68.35%</t>
        </is>
      </c>
      <c r="N2368" t="n">
        <v>4.6</v>
      </c>
      <c r="O2368" t="n">
        <v>49</v>
      </c>
      <c r="Q2368" t="inlineStr">
        <is>
          <t>InStock</t>
        </is>
      </c>
      <c r="R2368" t="inlineStr">
        <is>
          <t>undefined</t>
        </is>
      </c>
      <c r="S2368" t="inlineStr">
        <is>
          <t>6743604953273</t>
        </is>
      </c>
    </row>
    <row r="2369" ht="75" customHeight="1">
      <c r="A2369" s="2">
        <f>HYPERLINK("https://camerareadycosmetics.com/products/make-up-atelier-ultra-glow", "https://camerareadycosmetics.com/products/make-up-atelier-ultra-glow")</f>
        <v/>
      </c>
      <c r="B2369" s="2">
        <f>HYPERLINK("https://camerareadycosmetics.com/products/make-up-atelier-ultra-glow", "https://camerareadycosmetics.com/products/make-up-atelier-ultra-glow")</f>
        <v/>
      </c>
      <c r="C2369" t="inlineStr">
        <is>
          <t>Ultra Glow</t>
        </is>
      </c>
      <c r="D2369" t="inlineStr">
        <is>
          <t>Ultra Glow Cleansing Bar with Cocoa Butter, 3.5 Ounce</t>
        </is>
      </c>
      <c r="E2369" s="2">
        <f>HYPERLINK("https://www.amazon.com/Ultra-Glow-Cleansing-Cocoa-Butter/dp/B000RL91T8/ref=sr_1_6?keywords=Ultra+Glow&amp;qid=1695565722&amp;sr=8-6", "https://www.amazon.com/Ultra-Glow-Cleansing-Cocoa-Butter/dp/B000RL91T8/ref=sr_1_6?keywords=Ultra+Glow&amp;qid=1695565722&amp;sr=8-6")</f>
        <v/>
      </c>
      <c r="F2369" t="inlineStr">
        <is>
          <t>B000RL91T8</t>
        </is>
      </c>
      <c r="G2369">
        <f>_xlfn.IMAGE("https://camerareadycosmetics.com/cdn/shop/products/makeup-atelier0ultra-glow_50x.jpg?v=1622259592")</f>
        <v/>
      </c>
      <c r="H2369">
        <f>_xlfn.IMAGE("https://m.media-amazon.com/images/I/416Ztic1ZTL._AC_UL320_.jpg")</f>
        <v/>
      </c>
      <c r="K2369" t="inlineStr">
        <is>
          <t>23.0</t>
        </is>
      </c>
      <c r="L2369" t="n">
        <v>7.25</v>
      </c>
      <c r="M2369" s="1" t="inlineStr">
        <is>
          <t>-68.48%</t>
        </is>
      </c>
      <c r="N2369" t="n">
        <v>4.2</v>
      </c>
      <c r="O2369" t="n">
        <v>46</v>
      </c>
      <c r="Q2369" t="inlineStr">
        <is>
          <t>InStock</t>
        </is>
      </c>
      <c r="R2369" t="inlineStr">
        <is>
          <t>undefined</t>
        </is>
      </c>
      <c r="S2369" t="inlineStr">
        <is>
          <t>6743604953273</t>
        </is>
      </c>
    </row>
    <row r="2370" ht="75" customHeight="1">
      <c r="A2370" s="2">
        <f>HYPERLINK("https://camerareadycosmetics.com/products/make-up-atelier-ultra-glow", "https://camerareadycosmetics.com/products/make-up-atelier-ultra-glow")</f>
        <v/>
      </c>
      <c r="B2370" s="2">
        <f>HYPERLINK("https://camerareadycosmetics.com/products/make-up-atelier-ultra-glow", "https://camerareadycosmetics.com/products/make-up-atelier-ultra-glow")</f>
        <v/>
      </c>
      <c r="C2370" t="inlineStr">
        <is>
          <t>Ultra Glow</t>
        </is>
      </c>
      <c r="D2370" t="inlineStr">
        <is>
          <t>Ultra Glow Black Soap, 3.5 Oz</t>
        </is>
      </c>
      <c r="E2370" s="2">
        <f>HYPERLINK("https://www.amazon.com/Ultra-Glow-Black-Soap-99-2G/dp/B005T7TN9I/ref=sr_1_8?keywords=Ultra+Glow&amp;qid=1695565722&amp;sr=8-8", "https://www.amazon.com/Ultra-Glow-Black-Soap-99-2G/dp/B005T7TN9I/ref=sr_1_8?keywords=Ultra+Glow&amp;qid=1695565722&amp;sr=8-8")</f>
        <v/>
      </c>
      <c r="F2370" t="inlineStr">
        <is>
          <t>B005T7TN9I</t>
        </is>
      </c>
      <c r="G2370">
        <f>_xlfn.IMAGE("https://camerareadycosmetics.com/cdn/shop/products/makeup-atelier0ultra-glow_50x.jpg?v=1622259592")</f>
        <v/>
      </c>
      <c r="H2370">
        <f>_xlfn.IMAGE("https://m.media-amazon.com/images/I/91xiN73GwKL._AC_UL320_.jpg")</f>
        <v/>
      </c>
      <c r="K2370" t="inlineStr">
        <is>
          <t>23.0</t>
        </is>
      </c>
      <c r="L2370" t="n">
        <v>7.2</v>
      </c>
      <c r="M2370" s="1" t="inlineStr">
        <is>
          <t>-68.70%</t>
        </is>
      </c>
      <c r="N2370" t="n">
        <v>4.4</v>
      </c>
      <c r="O2370" t="n">
        <v>98</v>
      </c>
      <c r="Q2370" t="inlineStr">
        <is>
          <t>InStock</t>
        </is>
      </c>
      <c r="R2370" t="inlineStr">
        <is>
          <t>undefined</t>
        </is>
      </c>
      <c r="S2370" t="inlineStr">
        <is>
          <t>6743604953273</t>
        </is>
      </c>
    </row>
    <row r="2371" ht="75" customHeight="1">
      <c r="A2371" s="2">
        <f>HYPERLINK("https://camerareadycosmetics.com/products/make-up-atelier-waterproof-foundation-beige", "https://camerareadycosmetics.com/products/make-up-atelier-waterproof-foundation-beige")</f>
        <v/>
      </c>
      <c r="B2371" s="2">
        <f>HYPERLINK("https://camerareadycosmetics.com/products/make-up-atelier-waterproof-foundation-beige", "https://camerareadycosmetics.com/products/make-up-atelier-waterproof-foundation-beige")</f>
        <v/>
      </c>
      <c r="C2371" t="inlineStr">
        <is>
          <t>Long Wear Liquid Foundation Beige</t>
        </is>
      </c>
      <c r="D2371" t="inlineStr">
        <is>
          <t>Estee Lauder Double Wear Foundation 1.0 Oz Estee Lauder/Double Wear Stay-In-Place Makeup 2c1 Pure Beige 1.0 Oz Teint Longue Tenue Intransf.</t>
        </is>
      </c>
      <c r="E2371" s="2">
        <f>HYPERLINK("https://www.amazon.com/Estee-Lauder-Double-Foundation-Intransf/dp/B009L61H06/ref=sr_1_3?keywords=Long+Wear+Liquid+Foundation+Beige&amp;qid=1695565505&amp;sr=8-3", "https://www.amazon.com/Estee-Lauder-Double-Foundation-Intransf/dp/B009L61H06/ref=sr_1_3?keywords=Long+Wear+Liquid+Foundation+Beige&amp;qid=1695565505&amp;sr=8-3")</f>
        <v/>
      </c>
      <c r="F2371" t="inlineStr">
        <is>
          <t>B009L61H06</t>
        </is>
      </c>
      <c r="G2371">
        <f>_xlfn.IMAGE("https://camerareadycosmetics.com/cdn/shop/products/flw1b-fluid-foundation-30ml_50x.jpg?v=1654814411")</f>
        <v/>
      </c>
      <c r="H2371">
        <f>_xlfn.IMAGE("https://m.media-amazon.com/images/I/71w6GsCn++L._AC_UL320_.jpg")</f>
        <v/>
      </c>
      <c r="K2371" t="inlineStr">
        <is>
          <t>32.0</t>
        </is>
      </c>
      <c r="L2371" t="n">
        <v>28.4</v>
      </c>
      <c r="M2371" s="1" t="inlineStr">
        <is>
          <t>-11.25%</t>
        </is>
      </c>
      <c r="N2371" t="n">
        <v>4.4</v>
      </c>
      <c r="O2371" t="n">
        <v>34</v>
      </c>
      <c r="Q2371" t="inlineStr">
        <is>
          <t>InStock</t>
        </is>
      </c>
      <c r="R2371" t="inlineStr">
        <is>
          <t>undefined</t>
        </is>
      </c>
      <c r="S2371" t="inlineStr">
        <is>
          <t>2008389582959</t>
        </is>
      </c>
    </row>
    <row r="2372" ht="75" customHeight="1">
      <c r="A2372" s="2">
        <f>HYPERLINK("https://camerareadycosmetics.com/products/make-up-atelier-waterproof-foundation-beige", "https://camerareadycosmetics.com/products/make-up-atelier-waterproof-foundation-beige")</f>
        <v/>
      </c>
      <c r="B2372" s="2">
        <f>HYPERLINK("https://camerareadycosmetics.com/products/make-up-atelier-waterproof-foundation-beige", "https://camerareadycosmetics.com/products/make-up-atelier-waterproof-foundation-beige")</f>
        <v/>
      </c>
      <c r="C2372" t="inlineStr">
        <is>
          <t>Long Wear Liquid Foundation Beige</t>
        </is>
      </c>
      <c r="D2372" t="inlineStr">
        <is>
          <t>Bobbi Brown Skin Long-Wear Fluid Powder Foundation - Cool Beige</t>
        </is>
      </c>
      <c r="E2372" s="2">
        <f>HYPERLINK("https://www.amazon.com/Bobbi-Brown-Long-Wear-Powder-Foundation/dp/B08CK9BLX8/ref=sr_1_4?keywords=Long+Wear+Liquid+Foundation+Beige&amp;qid=1695565505&amp;sr=8-4", "https://www.amazon.com/Bobbi-Brown-Long-Wear-Powder-Foundation/dp/B08CK9BLX8/ref=sr_1_4?keywords=Long+Wear+Liquid+Foundation+Beige&amp;qid=1695565505&amp;sr=8-4")</f>
        <v/>
      </c>
      <c r="F2372" t="inlineStr">
        <is>
          <t>B08CK9BLX8</t>
        </is>
      </c>
      <c r="G2372">
        <f>_xlfn.IMAGE("https://camerareadycosmetics.com/cdn/shop/products/flw1b-fluid-foundation-30ml_50x.jpg?v=1654814411")</f>
        <v/>
      </c>
      <c r="H2372">
        <f>_xlfn.IMAGE("https://m.media-amazon.com/images/I/51GenZoSq4L._AC_UL320_.jpg")</f>
        <v/>
      </c>
      <c r="K2372" t="inlineStr">
        <is>
          <t>32.0</t>
        </is>
      </c>
      <c r="L2372" t="n">
        <v>24.89</v>
      </c>
      <c r="M2372" s="1" t="inlineStr">
        <is>
          <t>-22.22%</t>
        </is>
      </c>
      <c r="N2372" t="n">
        <v>5</v>
      </c>
      <c r="O2372" t="n">
        <v>2</v>
      </c>
      <c r="Q2372" t="inlineStr">
        <is>
          <t>InStock</t>
        </is>
      </c>
      <c r="R2372" t="inlineStr">
        <is>
          <t>undefined</t>
        </is>
      </c>
      <c r="S2372" t="inlineStr">
        <is>
          <t>2008389582959</t>
        </is>
      </c>
    </row>
    <row r="2373" ht="75" customHeight="1">
      <c r="A2373" s="2">
        <f>HYPERLINK("https://camerareadycosmetics.com/products/make-up-atelier-waterproof-foundation-beige", "https://camerareadycosmetics.com/products/make-up-atelier-waterproof-foundation-beige")</f>
        <v/>
      </c>
      <c r="B2373" s="2">
        <f>HYPERLINK("https://camerareadycosmetics.com/products/make-up-atelier-waterproof-foundation-beige", "https://camerareadycosmetics.com/products/make-up-atelier-waterproof-foundation-beige")</f>
        <v/>
      </c>
      <c r="C2373" t="inlineStr">
        <is>
          <t>Long Wear Liquid Foundation Beige</t>
        </is>
      </c>
      <c r="D2373" t="inlineStr">
        <is>
          <t>Maybelline New York Super Stay Full Coverage Liquid Foundation Active Wear Makeup, Up to 30Hr Wear, Transfer, Sweat &amp; Water Resistant, Matte Finish, Nude Beige, 1 Count</t>
        </is>
      </c>
      <c r="E2373" s="2">
        <f>HYPERLINK("https://www.amazon.com/Maybelline-New-York-Coverage-Foundation/dp/B07GXQ2S31/ref=sr_1_2?keywords=Long+Wear+Liquid+Foundation+Beige&amp;qid=1695565505&amp;sr=8-2", "https://www.amazon.com/Maybelline-New-York-Coverage-Foundation/dp/B07GXQ2S31/ref=sr_1_2?keywords=Long+Wear+Liquid+Foundation+Beige&amp;qid=1695565505&amp;sr=8-2")</f>
        <v/>
      </c>
      <c r="F2373" t="inlineStr">
        <is>
          <t>B07GXQ2S31</t>
        </is>
      </c>
      <c r="G2373">
        <f>_xlfn.IMAGE("https://camerareadycosmetics.com/cdn/shop/products/flw1b-fluid-foundation-30ml_50x.jpg?v=1654814411")</f>
        <v/>
      </c>
      <c r="H2373">
        <f>_xlfn.IMAGE("https://m.media-amazon.com/images/I/61eHu3VW1hL._AC_UL320_.jpg")</f>
        <v/>
      </c>
      <c r="K2373" t="inlineStr">
        <is>
          <t>32.0</t>
        </is>
      </c>
      <c r="L2373" t="n">
        <v>10.98</v>
      </c>
      <c r="M2373" s="1" t="inlineStr">
        <is>
          <t>-65.69%</t>
        </is>
      </c>
      <c r="N2373" t="n">
        <v>4.3</v>
      </c>
      <c r="O2373" t="n">
        <v>28580</v>
      </c>
      <c r="Q2373" t="inlineStr">
        <is>
          <t>InStock</t>
        </is>
      </c>
      <c r="R2373" t="inlineStr">
        <is>
          <t>undefined</t>
        </is>
      </c>
      <c r="S2373" t="inlineStr">
        <is>
          <t>2008389582959</t>
        </is>
      </c>
    </row>
    <row r="2374" ht="75" customHeight="1">
      <c r="A2374" s="2">
        <f>HYPERLINK("https://camerareadycosmetics.com/products/make-up-atelier-waterproof-foundation-beige", "https://camerareadycosmetics.com/products/make-up-atelier-waterproof-foundation-beige")</f>
        <v/>
      </c>
      <c r="B2374" s="2">
        <f>HYPERLINK("https://camerareadycosmetics.com/products/make-up-atelier-waterproof-foundation-beige", "https://camerareadycosmetics.com/products/make-up-atelier-waterproof-foundation-beige")</f>
        <v/>
      </c>
      <c r="C2374" t="inlineStr">
        <is>
          <t>Long Wear Liquid Foundation Beige</t>
        </is>
      </c>
      <c r="D2374" t="inlineStr">
        <is>
          <t>PHOERA Flawless Matte Liquid Foundation, Long Wear Oil Control Full Coverage Face Makeup Soft Liquid Foundation .(106#Warm Sun)</t>
        </is>
      </c>
      <c r="E2374" s="2">
        <f>HYPERLINK("https://www.amazon.com/PHOERA-Flawless-Foundation-Control-Coverage/dp/B0B1Q3361N/ref=sr_1_8?keywords=Long+Wear+Liquid+Foundation+Beige&amp;qid=1695565505&amp;sr=8-8", "https://www.amazon.com/PHOERA-Flawless-Foundation-Control-Coverage/dp/B0B1Q3361N/ref=sr_1_8?keywords=Long+Wear+Liquid+Foundation+Beige&amp;qid=1695565505&amp;sr=8-8")</f>
        <v/>
      </c>
      <c r="F2374" t="inlineStr">
        <is>
          <t>B0B1Q3361N</t>
        </is>
      </c>
      <c r="G2374">
        <f>_xlfn.IMAGE("https://camerareadycosmetics.com/cdn/shop/products/flw1b-fluid-foundation-30ml_50x.jpg?v=1654814411")</f>
        <v/>
      </c>
      <c r="H2374">
        <f>_xlfn.IMAGE("https://m.media-amazon.com/images/I/410E1dap-NL._AC_UL320_.jpg")</f>
        <v/>
      </c>
      <c r="K2374" t="inlineStr">
        <is>
          <t>32.0</t>
        </is>
      </c>
      <c r="L2374" t="n">
        <v>9.99</v>
      </c>
      <c r="M2374" s="1" t="inlineStr">
        <is>
          <t>-68.78%</t>
        </is>
      </c>
      <c r="N2374" t="n">
        <v>4.2</v>
      </c>
      <c r="O2374" t="n">
        <v>462</v>
      </c>
      <c r="Q2374" t="inlineStr">
        <is>
          <t>InStock</t>
        </is>
      </c>
      <c r="R2374" t="inlineStr">
        <is>
          <t>undefined</t>
        </is>
      </c>
      <c r="S2374" t="inlineStr">
        <is>
          <t>2008389582959</t>
        </is>
      </c>
    </row>
    <row r="2375" ht="75" customHeight="1">
      <c r="A2375" s="2">
        <f>HYPERLINK("https://camerareadycosmetics.com/products/make-up-atelier-waterproof-foundation-beige", "https://camerareadycosmetics.com/products/make-up-atelier-waterproof-foundation-beige")</f>
        <v/>
      </c>
      <c r="B2375" s="2">
        <f>HYPERLINK("https://camerareadycosmetics.com/products/make-up-atelier-waterproof-foundation-beige", "https://camerareadycosmetics.com/products/make-up-atelier-waterproof-foundation-beige")</f>
        <v/>
      </c>
      <c r="C2375" t="inlineStr">
        <is>
          <t>Long Wear Liquid Foundation Beige</t>
        </is>
      </c>
      <c r="D2375" t="inlineStr">
        <is>
          <t>Revlon Liquid Foundation, ColorStay Face Makeup for Combination &amp; Oily Skin, SPF 15, Longwear Medium-Full Coverage with Matte Finish, Sand Beige (180), 1.0 Oz</t>
        </is>
      </c>
      <c r="E2375" s="2">
        <f>HYPERLINK("https://www.amazon.com/Revlon-ColorStay-Liquid-Foundation-Combination/dp/B0039UTUYK/ref=sr_1_1?keywords=Long+Wear+Liquid+Foundation+Beige&amp;qid=1695565505&amp;sr=8-1", "https://www.amazon.com/Revlon-ColorStay-Liquid-Foundation-Combination/dp/B0039UTUYK/ref=sr_1_1?keywords=Long+Wear+Liquid+Foundation+Beige&amp;qid=1695565505&amp;sr=8-1")</f>
        <v/>
      </c>
      <c r="F2375" t="inlineStr">
        <is>
          <t>B0039UTUYK</t>
        </is>
      </c>
      <c r="G2375">
        <f>_xlfn.IMAGE("https://camerareadycosmetics.com/cdn/shop/products/flw1b-fluid-foundation-30ml_50x.jpg?v=1654814411")</f>
        <v/>
      </c>
      <c r="H2375">
        <f>_xlfn.IMAGE("https://m.media-amazon.com/images/I/71ttXZtu7zL._AC_UL320_.jpg")</f>
        <v/>
      </c>
      <c r="K2375" t="inlineStr">
        <is>
          <t>32.0</t>
        </is>
      </c>
      <c r="L2375" t="n">
        <v>9.9</v>
      </c>
      <c r="M2375" s="1" t="inlineStr">
        <is>
          <t>-69.06%</t>
        </is>
      </c>
      <c r="N2375" t="n">
        <v>4.5</v>
      </c>
      <c r="O2375" t="n">
        <v>23041</v>
      </c>
      <c r="Q2375" t="inlineStr">
        <is>
          <t>InStock</t>
        </is>
      </c>
      <c r="R2375" t="inlineStr">
        <is>
          <t>undefined</t>
        </is>
      </c>
      <c r="S2375" t="inlineStr">
        <is>
          <t>2008389582959</t>
        </is>
      </c>
    </row>
    <row r="2376" ht="75" customHeight="1">
      <c r="A2376" s="2">
        <f>HYPERLINK("https://camerareadycosmetics.com/products/make-up-atelier-waterproof-foundation-beige", "https://camerareadycosmetics.com/products/make-up-atelier-waterproof-foundation-beige")</f>
        <v/>
      </c>
      <c r="B2376" s="2">
        <f>HYPERLINK("https://camerareadycosmetics.com/products/make-up-atelier-waterproof-foundation-beige", "https://camerareadycosmetics.com/products/make-up-atelier-waterproof-foundation-beige")</f>
        <v/>
      </c>
      <c r="C2376" t="inlineStr">
        <is>
          <t>Long Wear Liquid Foundation Beige</t>
        </is>
      </c>
      <c r="D2376" t="inlineStr">
        <is>
          <t>Maybelline New York Super Stay Full Coverage Liquid Foundation Active Wear Makeup, Up to 30Hr Wear, Transfer, Sweat &amp; Water Resistant, Matte Finish, Nude Beige, 1 Count</t>
        </is>
      </c>
      <c r="E2376" s="2">
        <f>HYPERLINK("https://www.amazon.com/Maybelline-New-York-Coverage-Foundation/dp/B07GXQ2S31/ref=sr_1_2?keywords=Long+Wear+Liquid+Foundation+Beige&amp;qid=1695565505&amp;sr=8-2", "https://www.amazon.com/Maybelline-New-York-Coverage-Foundation/dp/B07GXQ2S31/ref=sr_1_2?keywords=Long+Wear+Liquid+Foundation+Beige&amp;qid=1695565505&amp;sr=8-2")</f>
        <v/>
      </c>
      <c r="F2376" t="inlineStr">
        <is>
          <t>B07GXQ2S31</t>
        </is>
      </c>
      <c r="G2376">
        <f>_xlfn.IMAGE("https://camerareadycosmetics.com/cdn/shop/products/flw1b-fluid-foundation-30ml_50x.jpg?v=1654814411")</f>
        <v/>
      </c>
      <c r="H2376">
        <f>_xlfn.IMAGE("https://m.media-amazon.com/images/I/61eHu3VW1hL._AC_UL320_.jpg")</f>
        <v/>
      </c>
      <c r="K2376" t="inlineStr">
        <is>
          <t>32.0</t>
        </is>
      </c>
      <c r="L2376" t="n">
        <v>10.98</v>
      </c>
      <c r="M2376" s="1" t="inlineStr">
        <is>
          <t>-65.69%</t>
        </is>
      </c>
      <c r="N2376" t="n">
        <v>4.3</v>
      </c>
      <c r="O2376" t="n">
        <v>28580</v>
      </c>
      <c r="Q2376" t="inlineStr">
        <is>
          <t>InStock</t>
        </is>
      </c>
      <c r="R2376" t="inlineStr">
        <is>
          <t>undefined</t>
        </is>
      </c>
      <c r="S2376" t="inlineStr">
        <is>
          <t>2008389582959</t>
        </is>
      </c>
    </row>
    <row r="2377" ht="75" customHeight="1">
      <c r="A2377" s="2">
        <f>HYPERLINK("https://camerareadycosmetics.com/products/make-up-atelier-waterproof-foundation-beige", "https://camerareadycosmetics.com/products/make-up-atelier-waterproof-foundation-beige")</f>
        <v/>
      </c>
      <c r="B2377" s="2">
        <f>HYPERLINK("https://camerareadycosmetics.com/products/make-up-atelier-waterproof-foundation-beige", "https://camerareadycosmetics.com/products/make-up-atelier-waterproof-foundation-beige")</f>
        <v/>
      </c>
      <c r="C2377" t="inlineStr">
        <is>
          <t>Long Wear Liquid Foundation Beige</t>
        </is>
      </c>
      <c r="D2377" t="inlineStr">
        <is>
          <t>PHOERA Flawless Matte Liquid Foundation, Long Wear Oil Control Full Coverage Face Makeup Soft Liquid Foundation .(106#Warm Sun)</t>
        </is>
      </c>
      <c r="E2377" s="2">
        <f>HYPERLINK("https://www.amazon.com/PHOERA-Flawless-Foundation-Control-Coverage/dp/B0B1Q3361N/ref=sr_1_8?keywords=Long+Wear+Liquid+Foundation+Beige&amp;qid=1695565505&amp;sr=8-8", "https://www.amazon.com/PHOERA-Flawless-Foundation-Control-Coverage/dp/B0B1Q3361N/ref=sr_1_8?keywords=Long+Wear+Liquid+Foundation+Beige&amp;qid=1695565505&amp;sr=8-8")</f>
        <v/>
      </c>
      <c r="F2377" t="inlineStr">
        <is>
          <t>B0B1Q3361N</t>
        </is>
      </c>
      <c r="G2377">
        <f>_xlfn.IMAGE("https://camerareadycosmetics.com/cdn/shop/products/flw1b-fluid-foundation-30ml_50x.jpg?v=1654814411")</f>
        <v/>
      </c>
      <c r="H2377">
        <f>_xlfn.IMAGE("https://m.media-amazon.com/images/I/410E1dap-NL._AC_UL320_.jpg")</f>
        <v/>
      </c>
      <c r="K2377" t="inlineStr">
        <is>
          <t>32.0</t>
        </is>
      </c>
      <c r="L2377" t="n">
        <v>9.99</v>
      </c>
      <c r="M2377" s="1" t="inlineStr">
        <is>
          <t>-68.78%</t>
        </is>
      </c>
      <c r="N2377" t="n">
        <v>4.2</v>
      </c>
      <c r="O2377" t="n">
        <v>462</v>
      </c>
      <c r="Q2377" t="inlineStr">
        <is>
          <t>InStock</t>
        </is>
      </c>
      <c r="R2377" t="inlineStr">
        <is>
          <t>undefined</t>
        </is>
      </c>
      <c r="S2377" t="inlineStr">
        <is>
          <t>2008389582959</t>
        </is>
      </c>
    </row>
    <row r="2378" ht="75" customHeight="1">
      <c r="A2378" s="2">
        <f>HYPERLINK("https://camerareadycosmetics.com/products/make-up-atelier-waterproof-foundation-beige", "https://camerareadycosmetics.com/products/make-up-atelier-waterproof-foundation-beige")</f>
        <v/>
      </c>
      <c r="B2378" s="2">
        <f>HYPERLINK("https://camerareadycosmetics.com/products/make-up-atelier-waterproof-foundation-beige", "https://camerareadycosmetics.com/products/make-up-atelier-waterproof-foundation-beige")</f>
        <v/>
      </c>
      <c r="C2378" t="inlineStr">
        <is>
          <t>Long Wear Liquid Foundation Beige</t>
        </is>
      </c>
      <c r="D2378" t="inlineStr">
        <is>
          <t>Revlon Liquid Foundation, ColorStay Face Makeup for Combination &amp; Oily Skin, SPF 15, Longwear Medium-Full Coverage with Matte Finish, Sand Beige (180), 1.0 Oz</t>
        </is>
      </c>
      <c r="E2378" s="2">
        <f>HYPERLINK("https://www.amazon.com/Revlon-ColorStay-Liquid-Foundation-Combination/dp/B0039UTUYK/ref=sr_1_1?keywords=Long+Wear+Liquid+Foundation+Beige&amp;qid=1695565505&amp;sr=8-1", "https://www.amazon.com/Revlon-ColorStay-Liquid-Foundation-Combination/dp/B0039UTUYK/ref=sr_1_1?keywords=Long+Wear+Liquid+Foundation+Beige&amp;qid=1695565505&amp;sr=8-1")</f>
        <v/>
      </c>
      <c r="F2378" t="inlineStr">
        <is>
          <t>B0039UTUYK</t>
        </is>
      </c>
      <c r="G2378">
        <f>_xlfn.IMAGE("https://camerareadycosmetics.com/cdn/shop/products/flw1b-fluid-foundation-30ml_50x.jpg?v=1654814411")</f>
        <v/>
      </c>
      <c r="H2378">
        <f>_xlfn.IMAGE("https://m.media-amazon.com/images/I/71ttXZtu7zL._AC_UL320_.jpg")</f>
        <v/>
      </c>
      <c r="K2378" t="inlineStr">
        <is>
          <t>32.0</t>
        </is>
      </c>
      <c r="L2378" t="n">
        <v>9.9</v>
      </c>
      <c r="M2378" s="1" t="inlineStr">
        <is>
          <t>-69.06%</t>
        </is>
      </c>
      <c r="N2378" t="n">
        <v>4.5</v>
      </c>
      <c r="O2378" t="n">
        <v>23041</v>
      </c>
      <c r="Q2378" t="inlineStr">
        <is>
          <t>InStock</t>
        </is>
      </c>
      <c r="R2378" t="inlineStr">
        <is>
          <t>undefined</t>
        </is>
      </c>
      <c r="S2378" t="inlineStr">
        <is>
          <t>2008389582959</t>
        </is>
      </c>
    </row>
    <row r="2379" ht="75" customHeight="1">
      <c r="A2379" s="2">
        <f>HYPERLINK("https://camerareadycosmetics.com/products/make-up-atelier-waterproof-foundation-gilded", "https://camerareadycosmetics.com/products/make-up-atelier-waterproof-foundation-gilded")</f>
        <v/>
      </c>
      <c r="B2379" s="2">
        <f>HYPERLINK("https://camerareadycosmetics.com/products/make-up-atelier-waterproof-foundation-gilded", "https://camerareadycosmetics.com/products/make-up-atelier-waterproof-foundation-gilded")</f>
        <v/>
      </c>
      <c r="C2379" t="inlineStr">
        <is>
          <t>Long Wear Liquid Foundation Gilded Y Series</t>
        </is>
      </c>
      <c r="D2379" t="inlineStr">
        <is>
          <t>Revlon Liquid Foundation, ColorStay Face Makeup for Normal and Dry Skin, Longwear Full Coverage with Matte Finish, Oil Free, 310 Warm Golden, 1.0 Oz</t>
        </is>
      </c>
      <c r="E2379" s="2">
        <f>HYPERLINK("https://www.amazon.com/Revlon-ColorStay-Cover-Foundation-Golden/dp/B07B4P4L6W/ref=sr_1_4?keywords=Long+Wear+Liquid+Foundation+Gilded+Y+Series&amp;qid=1695565532&amp;sr=8-4", "https://www.amazon.com/Revlon-ColorStay-Cover-Foundation-Golden/dp/B07B4P4L6W/ref=sr_1_4?keywords=Long+Wear+Liquid+Foundation+Gilded+Y+Series&amp;qid=1695565532&amp;sr=8-4")</f>
        <v/>
      </c>
      <c r="F2379" t="inlineStr">
        <is>
          <t>B07B4P4L6W</t>
        </is>
      </c>
      <c r="G2379">
        <f>_xlfn.IMAGE("https://camerareadycosmetics.com/cdn/shop/products/flw5y-fluid-foundation-30ml_50x.jpg?v=1663693727")</f>
        <v/>
      </c>
      <c r="H2379">
        <f>_xlfn.IMAGE("https://m.media-amazon.com/images/I/81vMYAryTZL._AC_UL320_.jpg")</f>
        <v/>
      </c>
      <c r="K2379" t="inlineStr">
        <is>
          <t>32.0</t>
        </is>
      </c>
      <c r="L2379" t="n">
        <v>12.44</v>
      </c>
      <c r="M2379" s="1" t="inlineStr">
        <is>
          <t>-61.13%</t>
        </is>
      </c>
      <c r="N2379" t="n">
        <v>4.5</v>
      </c>
      <c r="O2379" t="n">
        <v>10497</v>
      </c>
      <c r="Q2379" t="inlineStr">
        <is>
          <t>InStock</t>
        </is>
      </c>
      <c r="R2379" t="inlineStr">
        <is>
          <t>undefined</t>
        </is>
      </c>
      <c r="S2379" t="inlineStr">
        <is>
          <t>2008539955311</t>
        </is>
      </c>
    </row>
    <row r="2380" ht="75" customHeight="1">
      <c r="A2380" s="2">
        <f>HYPERLINK("https://camerareadycosmetics.com/products/make-up-atelier-waterproof-foundation-gilded", "https://camerareadycosmetics.com/products/make-up-atelier-waterproof-foundation-gilded")</f>
        <v/>
      </c>
      <c r="B2380" s="2">
        <f>HYPERLINK("https://camerareadycosmetics.com/products/make-up-atelier-waterproof-foundation-gilded", "https://camerareadycosmetics.com/products/make-up-atelier-waterproof-foundation-gilded")</f>
        <v/>
      </c>
      <c r="C2380" t="inlineStr">
        <is>
          <t>Long Wear Liquid Foundation Gilded Y Series</t>
        </is>
      </c>
      <c r="D2380" t="inlineStr">
        <is>
          <t>Revlon Liquid Foundation, ColorStay Face Makeup for Normal and Dry Skin, Longwear Full Coverage with Matte Finish, Oil Free, 310 Warm Golden, 1.0 Oz</t>
        </is>
      </c>
      <c r="E2380" s="2">
        <f>HYPERLINK("https://www.amazon.com/Revlon-ColorStay-Cover-Foundation-Golden/dp/B07B4P4L6W/ref=sr_1_4?keywords=Long+Wear+Liquid+Foundation+Gilded+Y+Series&amp;qid=1695565532&amp;sr=8-4", "https://www.amazon.com/Revlon-ColorStay-Cover-Foundation-Golden/dp/B07B4P4L6W/ref=sr_1_4?keywords=Long+Wear+Liquid+Foundation+Gilded+Y+Series&amp;qid=1695565532&amp;sr=8-4")</f>
        <v/>
      </c>
      <c r="F2380" t="inlineStr">
        <is>
          <t>B07B4P4L6W</t>
        </is>
      </c>
      <c r="G2380">
        <f>_xlfn.IMAGE("https://camerareadycosmetics.com/cdn/shop/products/flw5y-fluid-foundation-30ml_50x.jpg?v=1663693727")</f>
        <v/>
      </c>
      <c r="H2380">
        <f>_xlfn.IMAGE("https://m.media-amazon.com/images/I/81vMYAryTZL._AC_UL320_.jpg")</f>
        <v/>
      </c>
      <c r="K2380" t="inlineStr">
        <is>
          <t>32.0</t>
        </is>
      </c>
      <c r="L2380" t="n">
        <v>12.44</v>
      </c>
      <c r="M2380" s="1" t="inlineStr">
        <is>
          <t>-61.13%</t>
        </is>
      </c>
      <c r="N2380" t="n">
        <v>4.5</v>
      </c>
      <c r="O2380" t="n">
        <v>10497</v>
      </c>
      <c r="Q2380" t="inlineStr">
        <is>
          <t>InStock</t>
        </is>
      </c>
      <c r="R2380" t="inlineStr">
        <is>
          <t>undefined</t>
        </is>
      </c>
      <c r="S2380" t="inlineStr">
        <is>
          <t>2008539955311</t>
        </is>
      </c>
    </row>
    <row r="2381" ht="75" customHeight="1">
      <c r="A2381" s="2">
        <f>HYPERLINK("https://camerareadycosmetics.com/products/make-up-atelier-waterproof-foundation-porcelain", "https://camerareadycosmetics.com/products/make-up-atelier-waterproof-foundation-porcelain")</f>
        <v/>
      </c>
      <c r="B2381" s="2">
        <f>HYPERLINK("https://camerareadycosmetics.com/products/make-up-atelier-waterproof-foundation-porcelain", "https://camerareadycosmetics.com/products/make-up-atelier-waterproof-foundation-porcelain")</f>
        <v/>
      </c>
      <c r="C2381" t="inlineStr">
        <is>
          <t>Waterproof Foundation Porcelain FLWP</t>
        </is>
      </c>
      <c r="D2381" t="inlineStr">
        <is>
          <t>Wunder2 LAST &amp; FOUNDATION Makeup 24+ Hour Liquid Full Coverage Waterproof with Hyaluronic Acid, Porcelain Color, 1.01 Fl Oz</t>
        </is>
      </c>
      <c r="E2381" s="2">
        <f>HYPERLINK("https://www.amazon.com/FOUNDATION-Flawless-Coverage-Foundation-Porcelain/dp/B079X58DM2/ref=sr_1_1?keywords=Waterproof+Foundation+Porcelain+FLWP&amp;qid=1695565785&amp;sr=8-1", "https://www.amazon.com/FOUNDATION-Flawless-Coverage-Foundation-Porcelain/dp/B079X58DM2/ref=sr_1_1?keywords=Waterproof+Foundation+Porcelain+FLWP&amp;qid=1695565785&amp;sr=8-1")</f>
        <v/>
      </c>
      <c r="F2381" t="inlineStr">
        <is>
          <t>B079X58DM2</t>
        </is>
      </c>
      <c r="G2381">
        <f>_xlfn.IMAGE("https://camerareadycosmetics.com/cdn/shop/products/fluid-foundation-porcelain-30ml_50x.jpg?v=1544010870")</f>
        <v/>
      </c>
      <c r="H2381">
        <f>_xlfn.IMAGE("https://m.media-amazon.com/images/I/51mkBigUjlL._AC_UL320_.jpg")</f>
        <v/>
      </c>
      <c r="K2381" t="inlineStr">
        <is>
          <t>32.0</t>
        </is>
      </c>
      <c r="L2381" t="n">
        <v>29.95</v>
      </c>
      <c r="M2381" s="1" t="inlineStr">
        <is>
          <t>-6.41%</t>
        </is>
      </c>
      <c r="N2381" t="n">
        <v>4.1</v>
      </c>
      <c r="O2381" t="n">
        <v>3041</v>
      </c>
      <c r="Q2381" t="inlineStr">
        <is>
          <t>InStock</t>
        </is>
      </c>
      <c r="R2381" t="inlineStr">
        <is>
          <t>undefined</t>
        </is>
      </c>
      <c r="S2381" t="inlineStr">
        <is>
          <t>2008641175663</t>
        </is>
      </c>
    </row>
    <row r="2382" ht="75" customHeight="1">
      <c r="A2382" s="2">
        <f>HYPERLINK("https://camerareadycosmetics.com/products/make-up-atelier-waterproof-foundation-porcelain", "https://camerareadycosmetics.com/products/make-up-atelier-waterproof-foundation-porcelain")</f>
        <v/>
      </c>
      <c r="B2382" s="2">
        <f>HYPERLINK("https://camerareadycosmetics.com/products/make-up-atelier-waterproof-foundation-porcelain", "https://camerareadycosmetics.com/products/make-up-atelier-waterproof-foundation-porcelain")</f>
        <v/>
      </c>
      <c r="C2382" t="inlineStr">
        <is>
          <t>Waterproof Foundation Porcelain FLWP</t>
        </is>
      </c>
      <c r="D2382" t="inlineStr">
        <is>
          <t>HIDE PREMIUM Liquid Foundation, SEE SHADE FINDER Below For Perfect Match, Multi-Use Waterproof Foundation, Medium/Full Coverage Foundation, Oil Free – We Have a Shade For All Skin Types, 1 fl. Oz. (Porcelain)</t>
        </is>
      </c>
      <c r="E2382" s="2">
        <f>HYPERLINK("https://www.amazon.com/PREMIUM-Foundation-Multi-Use-Waterproof-Coverage/dp/B0BW11RF9M/ref=sr_1_4?keywords=Waterproof+Foundation+Porcelain+FLWP&amp;qid=1695565785&amp;sr=8-4", "https://www.amazon.com/PREMIUM-Foundation-Multi-Use-Waterproof-Coverage/dp/B0BW11RF9M/ref=sr_1_4?keywords=Waterproof+Foundation+Porcelain+FLWP&amp;qid=1695565785&amp;sr=8-4")</f>
        <v/>
      </c>
      <c r="F2382" t="inlineStr">
        <is>
          <t>B0BW11RF9M</t>
        </is>
      </c>
      <c r="G2382">
        <f>_xlfn.IMAGE("https://camerareadycosmetics.com/cdn/shop/products/fluid-foundation-porcelain-30ml_50x.jpg?v=1544010870")</f>
        <v/>
      </c>
      <c r="H2382">
        <f>_xlfn.IMAGE("https://m.media-amazon.com/images/I/41CnWqHOltL._AC_UL320_.jpg")</f>
        <v/>
      </c>
      <c r="K2382" t="inlineStr">
        <is>
          <t>32.0</t>
        </is>
      </c>
      <c r="L2382" t="n">
        <v>19.95</v>
      </c>
      <c r="M2382" s="1" t="inlineStr">
        <is>
          <t>-37.66%</t>
        </is>
      </c>
      <c r="N2382" t="n">
        <v>4.1</v>
      </c>
      <c r="O2382" t="n">
        <v>574</v>
      </c>
      <c r="Q2382" t="inlineStr">
        <is>
          <t>InStock</t>
        </is>
      </c>
      <c r="R2382" t="inlineStr">
        <is>
          <t>undefined</t>
        </is>
      </c>
      <c r="S2382" t="inlineStr">
        <is>
          <t>2008641175663</t>
        </is>
      </c>
    </row>
    <row r="2383" ht="75" customHeight="1">
      <c r="A2383" s="2">
        <f>HYPERLINK("https://camerareadycosmetics.com/products/make-up-atelier-waterproof-foundation-porcelain", "https://camerareadycosmetics.com/products/make-up-atelier-waterproof-foundation-porcelain")</f>
        <v/>
      </c>
      <c r="B2383" s="2">
        <f>HYPERLINK("https://camerareadycosmetics.com/products/make-up-atelier-waterproof-foundation-porcelain", "https://camerareadycosmetics.com/products/make-up-atelier-waterproof-foundation-porcelain")</f>
        <v/>
      </c>
      <c r="C2383" t="inlineStr">
        <is>
          <t>Waterproof Foundation Porcelain FLWP</t>
        </is>
      </c>
      <c r="D2383" t="inlineStr">
        <is>
          <t>2 Pack Matte Oil Control Concealer Foundation Cream,PHOERA New 30ml Long Lasting Waterproof Matte Liquid Foundation (101 Porcelain)</t>
        </is>
      </c>
      <c r="E2383" s="2">
        <f>HYPERLINK("https://www.amazon.com/Control-Concealer-Foundation-Waterproof-Porcelain/dp/B07VZ9933T/ref=sr_1_7?keywords=Waterproof+Foundation+Porcelain+FLWP&amp;qid=1695565785&amp;sr=8-7", "https://www.amazon.com/Control-Concealer-Foundation-Waterproof-Porcelain/dp/B07VZ9933T/ref=sr_1_7?keywords=Waterproof+Foundation+Porcelain+FLWP&amp;qid=1695565785&amp;sr=8-7")</f>
        <v/>
      </c>
      <c r="F2383" t="inlineStr">
        <is>
          <t>B07VZ9933T</t>
        </is>
      </c>
      <c r="G2383">
        <f>_xlfn.IMAGE("https://camerareadycosmetics.com/cdn/shop/products/fluid-foundation-porcelain-30ml_50x.jpg?v=1544010870")</f>
        <v/>
      </c>
      <c r="H2383">
        <f>_xlfn.IMAGE("https://m.media-amazon.com/images/I/51HsVBfMygS._AC_UL320_.jpg")</f>
        <v/>
      </c>
      <c r="K2383" t="inlineStr">
        <is>
          <t>32.0</t>
        </is>
      </c>
      <c r="L2383" t="n">
        <v>14.99</v>
      </c>
      <c r="M2383" s="1" t="inlineStr">
        <is>
          <t>-53.16%</t>
        </is>
      </c>
      <c r="N2383" t="n">
        <v>4.4</v>
      </c>
      <c r="O2383" t="n">
        <v>16875</v>
      </c>
      <c r="Q2383" t="inlineStr">
        <is>
          <t>InStock</t>
        </is>
      </c>
      <c r="R2383" t="inlineStr">
        <is>
          <t>undefined</t>
        </is>
      </c>
      <c r="S2383" t="inlineStr">
        <is>
          <t>2008641175663</t>
        </is>
      </c>
    </row>
    <row r="2384" ht="75" customHeight="1">
      <c r="A2384" s="2">
        <f>HYPERLINK("https://camerareadycosmetics.com/products/make-up-atelier-waterproof-foundation-porcelain", "https://camerareadycosmetics.com/products/make-up-atelier-waterproof-foundation-porcelain")</f>
        <v/>
      </c>
      <c r="B2384" s="2">
        <f>HYPERLINK("https://camerareadycosmetics.com/products/make-up-atelier-waterproof-foundation-porcelain", "https://camerareadycosmetics.com/products/make-up-atelier-waterproof-foundation-porcelain")</f>
        <v/>
      </c>
      <c r="C2384" t="inlineStr">
        <is>
          <t>Waterproof Foundation Porcelain FLWP</t>
        </is>
      </c>
      <c r="D2384" t="inlineStr">
        <is>
          <t>Valeera Full Coverage Soft Matte Oil Control Flawless 24HR Concealer Liquid Waterproof Foundation (101 - Porcelain)</t>
        </is>
      </c>
      <c r="E2384" s="2">
        <f>HYPERLINK("https://www.amazon.com/Valeera-Coverage-Concealer-Waterproof-Foundation/dp/B0B4JMSYKH/ref=sr_1_8?keywords=Waterproof+Foundation+Porcelain+FLWP&amp;qid=1695565785&amp;sr=8-8", "https://www.amazon.com/Valeera-Coverage-Concealer-Waterproof-Foundation/dp/B0B4JMSYKH/ref=sr_1_8?keywords=Waterproof+Foundation+Porcelain+FLWP&amp;qid=1695565785&amp;sr=8-8")</f>
        <v/>
      </c>
      <c r="F2384" t="inlineStr">
        <is>
          <t>B0B4JMSYKH</t>
        </is>
      </c>
      <c r="G2384">
        <f>_xlfn.IMAGE("https://camerareadycosmetics.com/cdn/shop/products/fluid-foundation-porcelain-30ml_50x.jpg?v=1544010870")</f>
        <v/>
      </c>
      <c r="H2384">
        <f>_xlfn.IMAGE("https://m.media-amazon.com/images/I/71Rk6u5k-6L._AC_UL320_.jpg")</f>
        <v/>
      </c>
      <c r="K2384" t="inlineStr">
        <is>
          <t>32.0</t>
        </is>
      </c>
      <c r="L2384" t="n">
        <v>5.98</v>
      </c>
      <c r="M2384" s="1" t="inlineStr">
        <is>
          <t>-81.31%</t>
        </is>
      </c>
      <c r="N2384" t="n">
        <v>4</v>
      </c>
      <c r="O2384" t="n">
        <v>181</v>
      </c>
      <c r="Q2384" t="inlineStr">
        <is>
          <t>InStock</t>
        </is>
      </c>
      <c r="R2384" t="inlineStr">
        <is>
          <t>undefined</t>
        </is>
      </c>
      <c r="S2384" t="inlineStr">
        <is>
          <t>2008641175663</t>
        </is>
      </c>
    </row>
    <row r="2385" ht="75" customHeight="1">
      <c r="A2385" s="2">
        <f>HYPERLINK("https://camerareadycosmetics.com/products/make-up-atelier-waterproof-foundation-porcelain", "https://camerareadycosmetics.com/products/make-up-atelier-waterproof-foundation-porcelain")</f>
        <v/>
      </c>
      <c r="B2385" s="2">
        <f>HYPERLINK("https://camerareadycosmetics.com/products/make-up-atelier-waterproof-foundation-porcelain", "https://camerareadycosmetics.com/products/make-up-atelier-waterproof-foundation-porcelain")</f>
        <v/>
      </c>
      <c r="C2385" t="inlineStr">
        <is>
          <t>Waterproof Foundation Porcelain FLWP</t>
        </is>
      </c>
      <c r="D2385" t="inlineStr">
        <is>
          <t>2 Pack Matte Oil Control Concealer Foundation Cream,PHOERA New 30ml Long Lasting Waterproof Matte Liquid Foundation (101 Porcelain)</t>
        </is>
      </c>
      <c r="E2385" s="2">
        <f>HYPERLINK("https://www.amazon.com/Control-Concealer-Foundation-Waterproof-Porcelain/dp/B07VZ9933T/ref=sr_1_7?keywords=Waterproof+Foundation+Porcelain+FLWP&amp;qid=1695565785&amp;sr=8-7", "https://www.amazon.com/Control-Concealer-Foundation-Waterproof-Porcelain/dp/B07VZ9933T/ref=sr_1_7?keywords=Waterproof+Foundation+Porcelain+FLWP&amp;qid=1695565785&amp;sr=8-7")</f>
        <v/>
      </c>
      <c r="F2385" t="inlineStr">
        <is>
          <t>B07VZ9933T</t>
        </is>
      </c>
      <c r="G2385">
        <f>_xlfn.IMAGE("https://camerareadycosmetics.com/cdn/shop/products/fluid-foundation-porcelain-30ml_50x.jpg?v=1544010870")</f>
        <v/>
      </c>
      <c r="H2385">
        <f>_xlfn.IMAGE("https://m.media-amazon.com/images/I/51HsVBfMygS._AC_UL320_.jpg")</f>
        <v/>
      </c>
      <c r="K2385" t="inlineStr">
        <is>
          <t>32.0</t>
        </is>
      </c>
      <c r="L2385" t="n">
        <v>14.99</v>
      </c>
      <c r="M2385" s="1" t="inlineStr">
        <is>
          <t>-53.16%</t>
        </is>
      </c>
      <c r="N2385" t="n">
        <v>4.4</v>
      </c>
      <c r="O2385" t="n">
        <v>16875</v>
      </c>
      <c r="Q2385" t="inlineStr">
        <is>
          <t>InStock</t>
        </is>
      </c>
      <c r="R2385" t="inlineStr">
        <is>
          <t>undefined</t>
        </is>
      </c>
      <c r="S2385" t="inlineStr">
        <is>
          <t>2008641175663</t>
        </is>
      </c>
    </row>
    <row r="2386" ht="75" customHeight="1">
      <c r="A2386" s="2">
        <f>HYPERLINK("https://camerareadycosmetics.com/products/make-up-atelier-waterproof-foundation-porcelain", "https://camerareadycosmetics.com/products/make-up-atelier-waterproof-foundation-porcelain")</f>
        <v/>
      </c>
      <c r="B2386" s="2">
        <f>HYPERLINK("https://camerareadycosmetics.com/products/make-up-atelier-waterproof-foundation-porcelain", "https://camerareadycosmetics.com/products/make-up-atelier-waterproof-foundation-porcelain")</f>
        <v/>
      </c>
      <c r="C2386" t="inlineStr">
        <is>
          <t>Waterproof Foundation Porcelain FLWP</t>
        </is>
      </c>
      <c r="D2386" t="inlineStr">
        <is>
          <t>Valeera Full Coverage Soft Matte Oil Control Flawless 24HR Concealer Liquid Waterproof Foundation (101 - Porcelain)</t>
        </is>
      </c>
      <c r="E2386" s="2">
        <f>HYPERLINK("https://www.amazon.com/Valeera-Coverage-Concealer-Waterproof-Foundation/dp/B0B4JMSYKH/ref=sr_1_8?keywords=Waterproof+Foundation+Porcelain+FLWP&amp;qid=1695565785&amp;sr=8-8", "https://www.amazon.com/Valeera-Coverage-Concealer-Waterproof-Foundation/dp/B0B4JMSYKH/ref=sr_1_8?keywords=Waterproof+Foundation+Porcelain+FLWP&amp;qid=1695565785&amp;sr=8-8")</f>
        <v/>
      </c>
      <c r="F2386" t="inlineStr">
        <is>
          <t>B0B4JMSYKH</t>
        </is>
      </c>
      <c r="G2386">
        <f>_xlfn.IMAGE("https://camerareadycosmetics.com/cdn/shop/products/fluid-foundation-porcelain-30ml_50x.jpg?v=1544010870")</f>
        <v/>
      </c>
      <c r="H2386">
        <f>_xlfn.IMAGE("https://m.media-amazon.com/images/I/71Rk6u5k-6L._AC_UL320_.jpg")</f>
        <v/>
      </c>
      <c r="K2386" t="inlineStr">
        <is>
          <t>32.0</t>
        </is>
      </c>
      <c r="L2386" t="n">
        <v>5.98</v>
      </c>
      <c r="M2386" s="1" t="inlineStr">
        <is>
          <t>-81.31%</t>
        </is>
      </c>
      <c r="N2386" t="n">
        <v>4</v>
      </c>
      <c r="O2386" t="n">
        <v>181</v>
      </c>
      <c r="Q2386" t="inlineStr">
        <is>
          <t>InStock</t>
        </is>
      </c>
      <c r="R2386" t="inlineStr">
        <is>
          <t>undefined</t>
        </is>
      </c>
      <c r="S2386" t="inlineStr">
        <is>
          <t>2008641175663</t>
        </is>
      </c>
    </row>
    <row r="2387" ht="75" customHeight="1">
      <c r="A2387" s="2">
        <f>HYPERLINK("https://camerareadycosmetics.com/products/make-up-for-ever-aqua-lip-lipliner", "https://camerareadycosmetics.com/products/make-up-for-ever-aqua-lip-lipliner")</f>
        <v/>
      </c>
      <c r="B2387" s="2">
        <f>HYPERLINK("https://camerareadycosmetics.com/products/make-up-for-ever-aqua-lip-lipliner", "https://camerareadycosmetics.com/products/make-up-for-ever-aqua-lip-lipliner")</f>
        <v/>
      </c>
      <c r="C2387" t="inlineStr">
        <is>
          <t>Aqua Lip Lipliner</t>
        </is>
      </c>
      <c r="D2387" t="inlineStr">
        <is>
          <t>Make Up For Ever Aqua Lip Waterproof Lipliner Pencil - #24C (Vintage Coral) - 1.2g/0.04oz</t>
        </is>
      </c>
      <c r="E2387" s="2">
        <f>HYPERLINK("https://www.amazon.com/Make-Up-Ever-Waterproof-Lipliner/dp/B00MU72YOQ/ref=sr_1_4?keywords=Aqua+Lip+Lipliner&amp;qid=1695565486&amp;sr=8-4", "https://www.amazon.com/Make-Up-Ever-Waterproof-Lipliner/dp/B00MU72YOQ/ref=sr_1_4?keywords=Aqua+Lip+Lipliner&amp;qid=1695565486&amp;sr=8-4")</f>
        <v/>
      </c>
      <c r="F2387" t="inlineStr">
        <is>
          <t>B00MU72YOQ</t>
        </is>
      </c>
      <c r="G2387">
        <f>_xlfn.IMAGE("https://camerareadycosmetics.com/cdn/shop/files/makeup-forever-16501_aqua_lip_1_50x.jpg?v=1687202344")</f>
        <v/>
      </c>
      <c r="H2387">
        <f>_xlfn.IMAGE("https://m.media-amazon.com/images/I/11lVXzBEjnL._AC_UL320_.jpg")</f>
        <v/>
      </c>
      <c r="K2387" t="inlineStr">
        <is>
          <t>22.0</t>
        </is>
      </c>
      <c r="L2387" t="n">
        <v>34.95</v>
      </c>
      <c r="M2387" s="1" t="inlineStr">
        <is>
          <t>58.86%</t>
        </is>
      </c>
      <c r="N2387" t="n">
        <v>5</v>
      </c>
      <c r="O2387" t="n">
        <v>2</v>
      </c>
      <c r="Q2387" t="inlineStr">
        <is>
          <t>InStock</t>
        </is>
      </c>
      <c r="R2387" t="inlineStr">
        <is>
          <t>undefined</t>
        </is>
      </c>
      <c r="S2387" t="inlineStr">
        <is>
          <t>279417552906</t>
        </is>
      </c>
    </row>
    <row r="2388" ht="75" customHeight="1">
      <c r="A2388" s="2">
        <f>HYPERLINK("https://camerareadycosmetics.com/products/make-up-for-ever-aqua-lip-lipliner", "https://camerareadycosmetics.com/products/make-up-for-ever-aqua-lip-lipliner")</f>
        <v/>
      </c>
      <c r="B2388" s="2">
        <f>HYPERLINK("https://camerareadycosmetics.com/products/make-up-for-ever-aqua-lip-lipliner", "https://camerareadycosmetics.com/products/make-up-for-ever-aqua-lip-lipliner")</f>
        <v/>
      </c>
      <c r="C2388" t="inlineStr">
        <is>
          <t>Aqua Lip Lipliner</t>
        </is>
      </c>
      <c r="D2388" t="inlineStr">
        <is>
          <t>MAKE UP FOR EVER Aqua Lip Waterproof Lipliner Pencil 10C Matte Raspberry</t>
        </is>
      </c>
      <c r="E2388" s="2">
        <f>HYPERLINK("https://www.amazon.com/MAKE-EVER-Waterproof-Lipliner-Pencil/dp/B0017M4MPO/ref=sr_1_3?keywords=Aqua+Lip+Lipliner&amp;qid=1695565486&amp;sr=8-3", "https://www.amazon.com/MAKE-EVER-Waterproof-Lipliner-Pencil/dp/B0017M4MPO/ref=sr_1_3?keywords=Aqua+Lip+Lipliner&amp;qid=1695565486&amp;sr=8-3")</f>
        <v/>
      </c>
      <c r="F2388" t="inlineStr">
        <is>
          <t>B0017M4MPO</t>
        </is>
      </c>
      <c r="G2388">
        <f>_xlfn.IMAGE("https://camerareadycosmetics.com/cdn/shop/files/makeup-forever-16501_aqua_lip_1_50x.jpg?v=1687202344")</f>
        <v/>
      </c>
      <c r="H2388">
        <f>_xlfn.IMAGE("https://m.media-amazon.com/images/I/21WofCN7dIL._AC_UL320_.jpg")</f>
        <v/>
      </c>
      <c r="K2388" t="inlineStr">
        <is>
          <t>22.0</t>
        </is>
      </c>
      <c r="L2388" t="n">
        <v>22</v>
      </c>
      <c r="M2388" s="1" t="inlineStr">
        <is>
          <t>0.00%</t>
        </is>
      </c>
      <c r="N2388" t="n">
        <v>5</v>
      </c>
      <c r="O2388" t="n">
        <v>2</v>
      </c>
      <c r="Q2388" t="inlineStr">
        <is>
          <t>InStock</t>
        </is>
      </c>
      <c r="R2388" t="inlineStr">
        <is>
          <t>undefined</t>
        </is>
      </c>
      <c r="S2388" t="inlineStr">
        <is>
          <t>279417552906</t>
        </is>
      </c>
    </row>
    <row r="2389" ht="75" customHeight="1">
      <c r="A2389" s="2">
        <f>HYPERLINK("https://camerareadycosmetics.com/products/make-up-for-ever-aqua-lip-lipliner", "https://camerareadycosmetics.com/products/make-up-for-ever-aqua-lip-lipliner")</f>
        <v/>
      </c>
      <c r="B2389" s="2">
        <f>HYPERLINK("https://camerareadycosmetics.com/products/make-up-for-ever-aqua-lip-lipliner", "https://camerareadycosmetics.com/products/make-up-for-ever-aqua-lip-lipliner")</f>
        <v/>
      </c>
      <c r="C2389" t="inlineStr">
        <is>
          <t>Aqua Lip Lipliner</t>
        </is>
      </c>
      <c r="D2389" t="inlineStr">
        <is>
          <t>MAKE UP FOR EVER Aqua Lip Waterproof Lipliner Pencil 14C Light Rosewood</t>
        </is>
      </c>
      <c r="E2389" s="2">
        <f>HYPERLINK("https://www.amazon.com/MAKE-EVER-Waterproof-Lipliner-Pencil/dp/B00278BDZY/ref=sr_1_1?keywords=Aqua+Lip+Lipliner&amp;qid=1695565486&amp;sr=8-1", "https://www.amazon.com/MAKE-EVER-Waterproof-Lipliner-Pencil/dp/B00278BDZY/ref=sr_1_1?keywords=Aqua+Lip+Lipliner&amp;qid=1695565486&amp;sr=8-1")</f>
        <v/>
      </c>
      <c r="F2389" t="inlineStr">
        <is>
          <t>B00278BDZY</t>
        </is>
      </c>
      <c r="G2389">
        <f>_xlfn.IMAGE("https://camerareadycosmetics.com/cdn/shop/files/makeup-forever-16501_aqua_lip_1_50x.jpg?v=1687202344")</f>
        <v/>
      </c>
      <c r="H2389">
        <f>_xlfn.IMAGE("https://m.media-amazon.com/images/I/11VTs1wqNPL._AC_UL320_.jpg")</f>
        <v/>
      </c>
      <c r="K2389" t="inlineStr">
        <is>
          <t>22.0</t>
        </is>
      </c>
      <c r="L2389" t="n">
        <v>17.39</v>
      </c>
      <c r="M2389" s="1" t="inlineStr">
        <is>
          <t>-20.95%</t>
        </is>
      </c>
      <c r="N2389" t="n">
        <v>4.4</v>
      </c>
      <c r="O2389" t="n">
        <v>72</v>
      </c>
      <c r="Q2389" t="inlineStr">
        <is>
          <t>InStock</t>
        </is>
      </c>
      <c r="R2389" t="inlineStr">
        <is>
          <t>undefined</t>
        </is>
      </c>
      <c r="S2389" t="inlineStr">
        <is>
          <t>279417552906</t>
        </is>
      </c>
    </row>
    <row r="2390" ht="75" customHeight="1">
      <c r="A2390" s="2">
        <f>HYPERLINK("https://camerareadycosmetics.com/products/make-up-for-ever-aqua-lip-lipliner", "https://camerareadycosmetics.com/products/make-up-for-ever-aqua-lip-lipliner")</f>
        <v/>
      </c>
      <c r="B2390" s="2">
        <f>HYPERLINK("https://camerareadycosmetics.com/products/make-up-for-ever-aqua-lip-lipliner", "https://camerareadycosmetics.com/products/make-up-for-ever-aqua-lip-lipliner")</f>
        <v/>
      </c>
      <c r="C2390" t="inlineStr">
        <is>
          <t>Aqua Lip Lipliner</t>
        </is>
      </c>
      <c r="D2390" t="inlineStr">
        <is>
          <t>Make Up For Ever Aqua Lip Waterproof Lipliner Pencil - #3C (Medium Neutral Beige) - 1.2g/0.04oz</t>
        </is>
      </c>
      <c r="E2390" s="2">
        <f>HYPERLINK("https://www.amazon.com/Make-Up-Ever-Waterproof-Lipliner/dp/B0055EAJG6/ref=sr_1_2?keywords=Aqua+Lip+Lipliner&amp;qid=1695565486&amp;sr=8-2", "https://www.amazon.com/Make-Up-Ever-Waterproof-Lipliner/dp/B0055EAJG6/ref=sr_1_2?keywords=Aqua+Lip+Lipliner&amp;qid=1695565486&amp;sr=8-2")</f>
        <v/>
      </c>
      <c r="F2390" t="inlineStr">
        <is>
          <t>B0055EAJG6</t>
        </is>
      </c>
      <c r="G2390">
        <f>_xlfn.IMAGE("https://camerareadycosmetics.com/cdn/shop/files/makeup-forever-16501_aqua_lip_1_50x.jpg?v=1687202344")</f>
        <v/>
      </c>
      <c r="H2390">
        <f>_xlfn.IMAGE("https://m.media-amazon.com/images/I/11OZRbvfHwL._AC_UL320_.jpg")</f>
        <v/>
      </c>
      <c r="K2390" t="inlineStr">
        <is>
          <t>22.0</t>
        </is>
      </c>
      <c r="L2390" t="n">
        <v>17.05</v>
      </c>
      <c r="M2390" s="1" t="inlineStr">
        <is>
          <t>-22.50%</t>
        </is>
      </c>
      <c r="N2390" t="n">
        <v>4</v>
      </c>
      <c r="O2390" t="n">
        <v>18</v>
      </c>
      <c r="Q2390" t="inlineStr">
        <is>
          <t>InStock</t>
        </is>
      </c>
      <c r="R2390" t="inlineStr">
        <is>
          <t>undefined</t>
        </is>
      </c>
      <c r="S2390" t="inlineStr">
        <is>
          <t>279417552906</t>
        </is>
      </c>
    </row>
    <row r="2391" ht="75" customHeight="1">
      <c r="A2391" s="2">
        <f>HYPERLINK("https://camerareadycosmetics.com/products/make-up-for-ever-aqua-resist-color-ink", "https://camerareadycosmetics.com/products/make-up-for-ever-aqua-resist-color-ink")</f>
        <v/>
      </c>
      <c r="B2391" s="2">
        <f>HYPERLINK("https://camerareadycosmetics.com/products/make-up-for-ever-aqua-resist-color-ink", "https://camerareadycosmetics.com/products/make-up-for-ever-aqua-resist-color-ink")</f>
        <v/>
      </c>
      <c r="C2391" t="inlineStr">
        <is>
          <t>Aqua Resist Color Ink</t>
        </is>
      </c>
      <c r="D2391" t="inlineStr">
        <is>
          <t>Liquitex Professional Acrylic Ink, 1-oz (30ml), Aqua Color Set, Set of 6</t>
        </is>
      </c>
      <c r="E2391" s="2">
        <f>HYPERLINK("https://www.amazon.com/Liquitex-Professional-Acrylic-Aqua-Colors/dp/B096B53CKK/ref=sr_1_6?keywords=Aqua+Resist+Color+Ink&amp;qid=1695565649&amp;sr=8-6", "https://www.amazon.com/Liquitex-Professional-Acrylic-Aqua-Colors/dp/B096B53CKK/ref=sr_1_6?keywords=Aqua+Resist+Color+Ink&amp;qid=1695565649&amp;sr=8-6")</f>
        <v/>
      </c>
      <c r="F2391" t="inlineStr">
        <is>
          <t>B096B53CKK</t>
        </is>
      </c>
      <c r="G2391">
        <f>_xlfn.IMAGE("https://camerareadycosmetics.com/cdn/shop/products/US-3548752187442_I000058212_AQUA-RESIST-COLOR-INK-22-2ML-12_Face_0_50x.jpg?v=1649771276")</f>
        <v/>
      </c>
      <c r="H2391">
        <f>_xlfn.IMAGE("https://m.media-amazon.com/images/I/7193EucMlbS._AC_UL320_.jpg")</f>
        <v/>
      </c>
      <c r="K2391" t="inlineStr">
        <is>
          <t>26.0</t>
        </is>
      </c>
      <c r="L2391" t="n">
        <v>36.98</v>
      </c>
      <c r="M2391" s="1" t="inlineStr">
        <is>
          <t>42.23%</t>
        </is>
      </c>
      <c r="N2391" t="n">
        <v>4.7</v>
      </c>
      <c r="O2391" t="n">
        <v>3575</v>
      </c>
      <c r="Q2391" t="inlineStr">
        <is>
          <t>InStock</t>
        </is>
      </c>
      <c r="R2391" t="inlineStr">
        <is>
          <t>undefined</t>
        </is>
      </c>
      <c r="S2391" t="inlineStr">
        <is>
          <t>7287511711929</t>
        </is>
      </c>
    </row>
    <row r="2392" ht="75" customHeight="1">
      <c r="A2392" s="2">
        <f>HYPERLINK("https://camerareadycosmetics.com/products/make-up-for-ever-aqua-resist-color-ink", "https://camerareadycosmetics.com/products/make-up-for-ever-aqua-resist-color-ink")</f>
        <v/>
      </c>
      <c r="B2392" s="2">
        <f>HYPERLINK("https://camerareadycosmetics.com/products/make-up-for-ever-aqua-resist-color-ink", "https://camerareadycosmetics.com/products/make-up-for-ever-aqua-resist-color-ink")</f>
        <v/>
      </c>
      <c r="C2392" t="inlineStr">
        <is>
          <t>Aqua Resist Color Ink</t>
        </is>
      </c>
      <c r="D2392" t="inlineStr">
        <is>
          <t>Marabu Graphix Aqua Ink Set - Highly Pigmented Watercolor Ink - for Painting, Lettering, Watercolor Techniques - 6 Pack 15ml Bottles</t>
        </is>
      </c>
      <c r="E2392" s="2">
        <f>HYPERLINK("https://www.amazon.com/Marabu-Graphix-Aqua-Ink-Set/dp/B07CW2SX95/ref=sr_1_5?keywords=Aqua+Resist+Color+Ink&amp;qid=1695565649&amp;sr=8-5", "https://www.amazon.com/Marabu-Graphix-Aqua-Ink-Set/dp/B07CW2SX95/ref=sr_1_5?keywords=Aqua+Resist+Color+Ink&amp;qid=1695565649&amp;sr=8-5")</f>
        <v/>
      </c>
      <c r="F2392" t="inlineStr">
        <is>
          <t>B07CW2SX95</t>
        </is>
      </c>
      <c r="G2392">
        <f>_xlfn.IMAGE("https://camerareadycosmetics.com/cdn/shop/products/US-3548752187442_I000058212_AQUA-RESIST-COLOR-INK-22-2ML-12_Face_0_50x.jpg?v=1649771276")</f>
        <v/>
      </c>
      <c r="H2392">
        <f>_xlfn.IMAGE("https://m.media-amazon.com/images/I/71CPxwdrxIL._AC_UL320_.jpg")</f>
        <v/>
      </c>
      <c r="K2392" t="inlineStr">
        <is>
          <t>26.0</t>
        </is>
      </c>
      <c r="L2392" t="n">
        <v>16.99</v>
      </c>
      <c r="M2392" s="1" t="inlineStr">
        <is>
          <t>-34.65%</t>
        </is>
      </c>
      <c r="N2392" t="n">
        <v>4.7</v>
      </c>
      <c r="O2392" t="n">
        <v>28</v>
      </c>
      <c r="Q2392" t="inlineStr">
        <is>
          <t>InStock</t>
        </is>
      </c>
      <c r="R2392" t="inlineStr">
        <is>
          <t>undefined</t>
        </is>
      </c>
      <c r="S2392" t="inlineStr">
        <is>
          <t>7287511711929</t>
        </is>
      </c>
    </row>
    <row r="2393" ht="75" customHeight="1">
      <c r="A2393" s="2">
        <f>HYPERLINK("https://camerareadycosmetics.com/products/make-up-for-ever-aqua-resist-color-ink", "https://camerareadycosmetics.com/products/make-up-for-ever-aqua-resist-color-ink")</f>
        <v/>
      </c>
      <c r="B2393" s="2">
        <f>HYPERLINK("https://camerareadycosmetics.com/products/make-up-for-ever-aqua-resist-color-ink", "https://camerareadycosmetics.com/products/make-up-for-ever-aqua-resist-color-ink")</f>
        <v/>
      </c>
      <c r="C2393" t="inlineStr">
        <is>
          <t>Aqua Resist Color Ink</t>
        </is>
      </c>
      <c r="D2393" t="inlineStr">
        <is>
          <t>Sharpie 30072 Fine Point Permanent Marker, Assorted Colors; Quick-drying Ink, Water and Fading Resist, AP Certified, 1 Pack of 12 Markers.</t>
        </is>
      </c>
      <c r="E2393" s="2">
        <f>HYPERLINK("https://www.amazon.com/Sharpie-30072-Permanent-Markers-Assorted/dp/B01KVYG1PM/ref=sr_1_10?keywords=Aqua+Resist+Color+Ink&amp;qid=1695565649&amp;sr=8-10", "https://www.amazon.com/Sharpie-30072-Permanent-Markers-Assorted/dp/B01KVYG1PM/ref=sr_1_10?keywords=Aqua+Resist+Color+Ink&amp;qid=1695565649&amp;sr=8-10")</f>
        <v/>
      </c>
      <c r="F2393" t="inlineStr">
        <is>
          <t>B01KVYG1PM</t>
        </is>
      </c>
      <c r="G2393">
        <f>_xlfn.IMAGE("https://camerareadycosmetics.com/cdn/shop/products/US-3548752187442_I000058212_AQUA-RESIST-COLOR-INK-22-2ML-12_Face_0_50x.jpg?v=1649771276")</f>
        <v/>
      </c>
      <c r="H2393">
        <f>_xlfn.IMAGE("https://m.media-amazon.com/images/I/8128vxerQLL._AC_UL320_.jpg")</f>
        <v/>
      </c>
      <c r="K2393" t="inlineStr">
        <is>
          <t>26.0</t>
        </is>
      </c>
      <c r="L2393" t="n">
        <v>14.32</v>
      </c>
      <c r="M2393" s="1" t="inlineStr">
        <is>
          <t>-44.92%</t>
        </is>
      </c>
      <c r="N2393" t="n">
        <v>4.9</v>
      </c>
      <c r="O2393" t="n">
        <v>18</v>
      </c>
      <c r="Q2393" t="inlineStr">
        <is>
          <t>InStock</t>
        </is>
      </c>
      <c r="R2393" t="inlineStr">
        <is>
          <t>undefined</t>
        </is>
      </c>
      <c r="S2393" t="inlineStr">
        <is>
          <t>7287511711929</t>
        </is>
      </c>
    </row>
    <row r="2394" ht="75" customHeight="1">
      <c r="A2394" s="2">
        <f>HYPERLINK("https://camerareadycosmetics.com/products/make-up-for-ever-aqua-resist-color-ink", "https://camerareadycosmetics.com/products/make-up-for-ever-aqua-resist-color-ink")</f>
        <v/>
      </c>
      <c r="B2394" s="2">
        <f>HYPERLINK("https://camerareadycosmetics.com/products/make-up-for-ever-aqua-resist-color-ink", "https://camerareadycosmetics.com/products/make-up-for-ever-aqua-resist-color-ink")</f>
        <v/>
      </c>
      <c r="C2394" t="inlineStr">
        <is>
          <t>Aqua Resist Color Ink</t>
        </is>
      </c>
      <c r="D2394" t="inlineStr">
        <is>
          <t>Jacquard Pinata Alcohol Ink - Aqua - Professional and Versatile Ink That Produces Color Saturated and Acid-Free Results - 4 Fluid Ounces - Made in The USA</t>
        </is>
      </c>
      <c r="E2394" s="2">
        <f>HYPERLINK("https://www.amazon.com/Jacquard-Pinata-Color-Alcohol-4oz-Aqua/dp/B09YVKCGN9/ref=sr_1_3?keywords=Aqua+Resist+Color+Ink&amp;qid=1695565649&amp;sr=8-3", "https://www.amazon.com/Jacquard-Pinata-Color-Alcohol-4oz-Aqua/dp/B09YVKCGN9/ref=sr_1_3?keywords=Aqua+Resist+Color+Ink&amp;qid=1695565649&amp;sr=8-3")</f>
        <v/>
      </c>
      <c r="F2394" t="inlineStr">
        <is>
          <t>B09YVKCGN9</t>
        </is>
      </c>
      <c r="G2394">
        <f>_xlfn.IMAGE("https://camerareadycosmetics.com/cdn/shop/products/US-3548752187442_I000058212_AQUA-RESIST-COLOR-INK-22-2ML-12_Face_0_50x.jpg?v=1649771276")</f>
        <v/>
      </c>
      <c r="H2394">
        <f>_xlfn.IMAGE("https://m.media-amazon.com/images/I/51f6dDonaNL._AC_UL320_.jpg")</f>
        <v/>
      </c>
      <c r="K2394" t="inlineStr">
        <is>
          <t>26.0</t>
        </is>
      </c>
      <c r="L2394" t="n">
        <v>13.21</v>
      </c>
      <c r="M2394" s="1" t="inlineStr">
        <is>
          <t>-49.19%</t>
        </is>
      </c>
      <c r="N2394" t="n">
        <v>3</v>
      </c>
      <c r="O2394" t="n">
        <v>1</v>
      </c>
      <c r="Q2394" t="inlineStr">
        <is>
          <t>InStock</t>
        </is>
      </c>
      <c r="R2394" t="inlineStr">
        <is>
          <t>undefined</t>
        </is>
      </c>
      <c r="S2394" t="inlineStr">
        <is>
          <t>7287511711929</t>
        </is>
      </c>
    </row>
    <row r="2395" ht="75" customHeight="1">
      <c r="A2395" s="2">
        <f>HYPERLINK("https://camerareadycosmetics.com/products/make-up-for-ever-aqua-resist-color-ink", "https://camerareadycosmetics.com/products/make-up-for-ever-aqua-resist-color-ink")</f>
        <v/>
      </c>
      <c r="B2395" s="2">
        <f>HYPERLINK("https://camerareadycosmetics.com/products/make-up-for-ever-aqua-resist-color-ink", "https://camerareadycosmetics.com/products/make-up-for-ever-aqua-resist-color-ink")</f>
        <v/>
      </c>
      <c r="C2395" t="inlineStr">
        <is>
          <t>Aqua Resist Color Ink</t>
        </is>
      </c>
      <c r="D2395" t="inlineStr">
        <is>
          <t>Daler-Rowney Aquafine Watercolor Ink Lamp Black 29.5ml - Versatile Liquid Watercolor Ink for Artists and Students - Use with Paint Brushes, Technical Pens, Airbrushes, and Paint Markers</t>
        </is>
      </c>
      <c r="E2395" s="2">
        <f>HYPERLINK("https://www.amazon.com/Daler-Rowney-Aquafine-29-5ml-Ink/dp/B07JNSW8YB/ref=sr_1_7?keywords=Aqua+Resist+Color+Ink&amp;qid=1695565649&amp;sr=8-7", "https://www.amazon.com/Daler-Rowney-Aquafine-29-5ml-Ink/dp/B07JNSW8YB/ref=sr_1_7?keywords=Aqua+Resist+Color+Ink&amp;qid=1695565649&amp;sr=8-7")</f>
        <v/>
      </c>
      <c r="F2395" t="inlineStr">
        <is>
          <t>B07JNSW8YB</t>
        </is>
      </c>
      <c r="G2395">
        <f>_xlfn.IMAGE("https://camerareadycosmetics.com/cdn/shop/products/US-3548752187442_I000058212_AQUA-RESIST-COLOR-INK-22-2ML-12_Face_0_50x.jpg?v=1649771276")</f>
        <v/>
      </c>
      <c r="H2395">
        <f>_xlfn.IMAGE("https://m.media-amazon.com/images/I/617W-K7Np5L._AC_UL320_.jpg")</f>
        <v/>
      </c>
      <c r="K2395" t="inlineStr">
        <is>
          <t>26.0</t>
        </is>
      </c>
      <c r="L2395" t="n">
        <v>9.99</v>
      </c>
      <c r="M2395" s="1" t="inlineStr">
        <is>
          <t>-61.58%</t>
        </is>
      </c>
      <c r="N2395" t="n">
        <v>4.6</v>
      </c>
      <c r="O2395" t="n">
        <v>3</v>
      </c>
      <c r="Q2395" t="inlineStr">
        <is>
          <t>InStock</t>
        </is>
      </c>
      <c r="R2395" t="inlineStr">
        <is>
          <t>undefined</t>
        </is>
      </c>
      <c r="S2395" t="inlineStr">
        <is>
          <t>7287511711929</t>
        </is>
      </c>
    </row>
    <row r="2396" ht="75" customHeight="1">
      <c r="A2396" s="2">
        <f>HYPERLINK("https://camerareadycosmetics.com/products/make-up-for-ever-aqua-resist-color-ink", "https://camerareadycosmetics.com/products/make-up-for-ever-aqua-resist-color-ink")</f>
        <v/>
      </c>
      <c r="B2396" s="2">
        <f>HYPERLINK("https://camerareadycosmetics.com/products/make-up-for-ever-aqua-resist-color-ink", "https://camerareadycosmetics.com/products/make-up-for-ever-aqua-resist-color-ink")</f>
        <v/>
      </c>
      <c r="C2396" t="inlineStr">
        <is>
          <t>Aqua Resist Color Ink</t>
        </is>
      </c>
      <c r="D2396" t="inlineStr">
        <is>
          <t>Jacquard Pinata Alcohol Ink - Aqua - Professional and Versatile Ink That Produces Color Saturated and Acid-Free Results - 4 Fluid Ounces - Made in The USA</t>
        </is>
      </c>
      <c r="E2396" s="2">
        <f>HYPERLINK("https://www.amazon.com/Jacquard-Pinata-Color-Alcohol-4oz-Aqua/dp/B09YVKCGN9/ref=sr_1_3?keywords=Aqua+Resist+Color+Ink&amp;qid=1695565649&amp;sr=8-3", "https://www.amazon.com/Jacquard-Pinata-Color-Alcohol-4oz-Aqua/dp/B09YVKCGN9/ref=sr_1_3?keywords=Aqua+Resist+Color+Ink&amp;qid=1695565649&amp;sr=8-3")</f>
        <v/>
      </c>
      <c r="F2396" t="inlineStr">
        <is>
          <t>B09YVKCGN9</t>
        </is>
      </c>
      <c r="G2396">
        <f>_xlfn.IMAGE("https://camerareadycosmetics.com/cdn/shop/products/US-3548752187442_I000058212_AQUA-RESIST-COLOR-INK-22-2ML-12_Face_0_50x.jpg?v=1649771276")</f>
        <v/>
      </c>
      <c r="H2396">
        <f>_xlfn.IMAGE("https://m.media-amazon.com/images/I/51f6dDonaNL._AC_UL320_.jpg")</f>
        <v/>
      </c>
      <c r="K2396" t="inlineStr">
        <is>
          <t>26.0</t>
        </is>
      </c>
      <c r="L2396" t="n">
        <v>13.21</v>
      </c>
      <c r="M2396" s="1" t="inlineStr">
        <is>
          <t>-49.19%</t>
        </is>
      </c>
      <c r="N2396" t="n">
        <v>3</v>
      </c>
      <c r="O2396" t="n">
        <v>1</v>
      </c>
      <c r="Q2396" t="inlineStr">
        <is>
          <t>InStock</t>
        </is>
      </c>
      <c r="R2396" t="inlineStr">
        <is>
          <t>undefined</t>
        </is>
      </c>
      <c r="S2396" t="inlineStr">
        <is>
          <t>7287511711929</t>
        </is>
      </c>
    </row>
    <row r="2397" ht="75" customHeight="1">
      <c r="A2397" s="2">
        <f>HYPERLINK("https://camerareadycosmetics.com/products/make-up-for-ever-aqua-resist-color-ink", "https://camerareadycosmetics.com/products/make-up-for-ever-aqua-resist-color-ink")</f>
        <v/>
      </c>
      <c r="B2397" s="2">
        <f>HYPERLINK("https://camerareadycosmetics.com/products/make-up-for-ever-aqua-resist-color-ink", "https://camerareadycosmetics.com/products/make-up-for-ever-aqua-resist-color-ink")</f>
        <v/>
      </c>
      <c r="C2397" t="inlineStr">
        <is>
          <t>Aqua Resist Color Ink</t>
        </is>
      </c>
      <c r="D2397" t="inlineStr">
        <is>
          <t>Daler-Rowney Aquafine Watercolor Ink Lamp Black 29.5ml - Versatile Liquid Watercolor Ink for Artists and Students - Use with Paint Brushes, Technical Pens, Airbrushes, and Paint Markers</t>
        </is>
      </c>
      <c r="E2397" s="2">
        <f>HYPERLINK("https://www.amazon.com/Daler-Rowney-Aquafine-29-5ml-Ink/dp/B07JNSW8YB/ref=sr_1_7?keywords=Aqua+Resist+Color+Ink&amp;qid=1695565649&amp;sr=8-7", "https://www.amazon.com/Daler-Rowney-Aquafine-29-5ml-Ink/dp/B07JNSW8YB/ref=sr_1_7?keywords=Aqua+Resist+Color+Ink&amp;qid=1695565649&amp;sr=8-7")</f>
        <v/>
      </c>
      <c r="F2397" t="inlineStr">
        <is>
          <t>B07JNSW8YB</t>
        </is>
      </c>
      <c r="G2397">
        <f>_xlfn.IMAGE("https://camerareadycosmetics.com/cdn/shop/products/US-3548752187442_I000058212_AQUA-RESIST-COLOR-INK-22-2ML-12_Face_0_50x.jpg?v=1649771276")</f>
        <v/>
      </c>
      <c r="H2397">
        <f>_xlfn.IMAGE("https://m.media-amazon.com/images/I/617W-K7Np5L._AC_UL320_.jpg")</f>
        <v/>
      </c>
      <c r="K2397" t="inlineStr">
        <is>
          <t>26.0</t>
        </is>
      </c>
      <c r="L2397" t="n">
        <v>9.99</v>
      </c>
      <c r="M2397" s="1" t="inlineStr">
        <is>
          <t>-61.58%</t>
        </is>
      </c>
      <c r="N2397" t="n">
        <v>4.6</v>
      </c>
      <c r="O2397" t="n">
        <v>3</v>
      </c>
      <c r="Q2397" t="inlineStr">
        <is>
          <t>InStock</t>
        </is>
      </c>
      <c r="R2397" t="inlineStr">
        <is>
          <t>undefined</t>
        </is>
      </c>
      <c r="S2397" t="inlineStr">
        <is>
          <t>7287511711929</t>
        </is>
      </c>
    </row>
    <row r="2398" ht="75" customHeight="1">
      <c r="A2398" s="2">
        <f>HYPERLINK("https://camerareadycosmetics.com/products/make-up-for-ever-aqua-resist-color-pencil", "https://camerareadycosmetics.com/products/make-up-for-ever-aqua-resist-color-pencil")</f>
        <v/>
      </c>
      <c r="B2398" s="2">
        <f>HYPERLINK("https://camerareadycosmetics.com/products/make-up-for-ever-aqua-resist-color-pencil", "https://camerareadycosmetics.com/products/make-up-for-ever-aqua-resist-color-pencil")</f>
        <v/>
      </c>
      <c r="C2398" t="inlineStr">
        <is>
          <t>Aqua Resist Color Pencil</t>
        </is>
      </c>
      <c r="D2398" t="inlineStr">
        <is>
          <t>MAKE UP FOR EVER Aqua Resist Color Pencil Eyeliner 01 Graphite</t>
        </is>
      </c>
      <c r="E2398" s="2">
        <f>HYPERLINK("https://www.amazon.com/MakeUp-Resist-Waterproof-Impact-Eyeliner/dp/B0925BHN6M/ref=sr_1_1?keywords=Aqua+Resist+Color+Pencil&amp;qid=1695565476&amp;sr=8-1", "https://www.amazon.com/MakeUp-Resist-Waterproof-Impact-Eyeliner/dp/B0925BHN6M/ref=sr_1_1?keywords=Aqua+Resist+Color+Pencil&amp;qid=1695565476&amp;sr=8-1")</f>
        <v/>
      </c>
      <c r="F2398" t="inlineStr">
        <is>
          <t>B0925BHN6M</t>
        </is>
      </c>
      <c r="G2398">
        <f>_xlfn.IMAGE("https://camerareadycosmetics.com/cdn/shop/products/s2365773-main-zoom_50x.jpg?v=1602180548")</f>
        <v/>
      </c>
      <c r="H2398">
        <f>_xlfn.IMAGE("https://m.media-amazon.com/images/I/41hmuZF+0GL._AC_UL320_.jpg")</f>
        <v/>
      </c>
      <c r="K2398" t="inlineStr">
        <is>
          <t>24.0</t>
        </is>
      </c>
      <c r="L2398" t="n">
        <v>31.69</v>
      </c>
      <c r="M2398" s="1" t="inlineStr">
        <is>
          <t>32.04%</t>
        </is>
      </c>
      <c r="N2398" t="n">
        <v>4</v>
      </c>
      <c r="O2398" t="n">
        <v>148</v>
      </c>
      <c r="Q2398" t="inlineStr">
        <is>
          <t>InStock</t>
        </is>
      </c>
      <c r="R2398" t="inlineStr">
        <is>
          <t>undefined</t>
        </is>
      </c>
      <c r="S2398" t="inlineStr">
        <is>
          <t>4573225287791</t>
        </is>
      </c>
    </row>
    <row r="2399" ht="75" customHeight="1">
      <c r="A2399" s="2">
        <f>HYPERLINK("https://camerareadycosmetics.com/products/make-up-for-ever-aqua-resist-color-pencil", "https://camerareadycosmetics.com/products/make-up-for-ever-aqua-resist-color-pencil")</f>
        <v/>
      </c>
      <c r="B2399" s="2">
        <f>HYPERLINK("https://camerareadycosmetics.com/products/make-up-for-ever-aqua-resist-color-pencil", "https://camerareadycosmetics.com/products/make-up-for-ever-aqua-resist-color-pencil")</f>
        <v/>
      </c>
      <c r="C2399" t="inlineStr">
        <is>
          <t>Aqua Resist Color Pencil</t>
        </is>
      </c>
      <c r="D2399" t="inlineStr">
        <is>
          <t>Aquarellable Coloring Pencil - STABILOaquacolor - Tin of 24 - Assorted Colors</t>
        </is>
      </c>
      <c r="E2399" s="2">
        <f>HYPERLINK("https://www.amazon.com/Stabilo-Aquacolor-Metal-Assorted-Colours/dp/B000OTFOSU/ref=sr_1_2?keywords=Aqua+Resist+Color+Pencil&amp;qid=1695565476&amp;sr=8-2", "https://www.amazon.com/Stabilo-Aquacolor-Metal-Assorted-Colours/dp/B000OTFOSU/ref=sr_1_2?keywords=Aqua+Resist+Color+Pencil&amp;qid=1695565476&amp;sr=8-2")</f>
        <v/>
      </c>
      <c r="F2399" t="inlineStr">
        <is>
          <t>B000OTFOSU</t>
        </is>
      </c>
      <c r="G2399">
        <f>_xlfn.IMAGE("https://camerareadycosmetics.com/cdn/shop/products/s2365773-main-zoom_50x.jpg?v=1602180548")</f>
        <v/>
      </c>
      <c r="H2399">
        <f>_xlfn.IMAGE("https://m.media-amazon.com/images/I/71Pok0kK71L._AC_UL320_.jpg")</f>
        <v/>
      </c>
      <c r="K2399" t="inlineStr">
        <is>
          <t>24.0</t>
        </is>
      </c>
      <c r="L2399" t="n">
        <v>20.99</v>
      </c>
      <c r="M2399" s="1" t="inlineStr">
        <is>
          <t>-12.54%</t>
        </is>
      </c>
      <c r="N2399" t="n">
        <v>4.6</v>
      </c>
      <c r="O2399" t="n">
        <v>2812</v>
      </c>
      <c r="Q2399" t="inlineStr">
        <is>
          <t>InStock</t>
        </is>
      </c>
      <c r="R2399" t="inlineStr">
        <is>
          <t>undefined</t>
        </is>
      </c>
      <c r="S2399" t="inlineStr">
        <is>
          <t>4573225287791</t>
        </is>
      </c>
    </row>
    <row r="2400" ht="75" customHeight="1">
      <c r="A2400" s="2">
        <f>HYPERLINK("https://camerareadycosmetics.com/products/make-up-for-ever-aqua-seal", "https://camerareadycosmetics.com/products/make-up-for-ever-aqua-seal")</f>
        <v/>
      </c>
      <c r="B2400" s="2">
        <f>HYPERLINK("https://camerareadycosmetics.com/products/make-up-for-ever-aqua-seal", "https://camerareadycosmetics.com/products/make-up-for-ever-aqua-seal")</f>
        <v/>
      </c>
      <c r="C2400" t="inlineStr">
        <is>
          <t>Aqua Seal</t>
        </is>
      </c>
      <c r="D2400" t="inlineStr">
        <is>
          <t>Aqua Mix Sealer's Choice Gold - Gallon</t>
        </is>
      </c>
      <c r="E2400" s="2">
        <f>HYPERLINK("https://www.amazon.com/Aqua-Mix-Sealers-Choice-Gold/dp/B000GFPNG0/ref=sr_1_8?keywords=Aqua+Seal&amp;qid=1695565465&amp;sr=8-8", "https://www.amazon.com/Aqua-Mix-Sealers-Choice-Gold/dp/B000GFPNG0/ref=sr_1_8?keywords=Aqua+Seal&amp;qid=1695565465&amp;sr=8-8")</f>
        <v/>
      </c>
      <c r="F2400" t="inlineStr">
        <is>
          <t>B000GFPNG0</t>
        </is>
      </c>
      <c r="G2400">
        <f>_xlfn.IMAGE("https://camerareadycosmetics.com/cdn/shop/files/aqua_seal_71068_0_50x.jpg?v=1687202705")</f>
        <v/>
      </c>
      <c r="H2400">
        <f>_xlfn.IMAGE("https://m.media-amazon.com/images/I/91R6nXzdKpL._AC_UY218_.jpg")</f>
        <v/>
      </c>
      <c r="K2400" t="inlineStr">
        <is>
          <t>21.0</t>
        </is>
      </c>
      <c r="L2400" t="n">
        <v>150</v>
      </c>
      <c r="M2400" s="1" t="inlineStr">
        <is>
          <t>614.29%</t>
        </is>
      </c>
      <c r="N2400" t="n">
        <v>4.5</v>
      </c>
      <c r="O2400" t="n">
        <v>203</v>
      </c>
      <c r="Q2400" t="inlineStr">
        <is>
          <t>InStock</t>
        </is>
      </c>
      <c r="R2400" t="inlineStr">
        <is>
          <t>undefined</t>
        </is>
      </c>
      <c r="S2400" t="inlineStr">
        <is>
          <t>279419781130</t>
        </is>
      </c>
    </row>
    <row r="2401" ht="75" customHeight="1">
      <c r="A2401" s="2">
        <f>HYPERLINK("https://camerareadycosmetics.com/products/make-up-for-ever-aqua-seal", "https://camerareadycosmetics.com/products/make-up-for-ever-aqua-seal")</f>
        <v/>
      </c>
      <c r="B2401" s="2">
        <f>HYPERLINK("https://camerareadycosmetics.com/products/make-up-for-ever-aqua-seal", "https://camerareadycosmetics.com/products/make-up-for-ever-aqua-seal")</f>
        <v/>
      </c>
      <c r="C2401" t="inlineStr">
        <is>
          <t>Aqua Seal</t>
        </is>
      </c>
      <c r="D2401" t="inlineStr">
        <is>
          <t>Aqua Mix Sealer's Choice Gold Quart, 32 Ounce</t>
        </is>
      </c>
      <c r="E2401" s="2">
        <f>HYPERLINK("https://www.amazon.com/Aqua-Mix-Sealers-Choice-Quart/dp/B000UOJGME/ref=sr_1_6?keywords=Aqua+Seal&amp;qid=1695565465&amp;sr=8-6", "https://www.amazon.com/Aqua-Mix-Sealers-Choice-Quart/dp/B000UOJGME/ref=sr_1_6?keywords=Aqua+Seal&amp;qid=1695565465&amp;sr=8-6")</f>
        <v/>
      </c>
      <c r="F2401" t="inlineStr">
        <is>
          <t>B000UOJGME</t>
        </is>
      </c>
      <c r="G2401">
        <f>_xlfn.IMAGE("https://camerareadycosmetics.com/cdn/shop/files/aqua_seal_71068_0_50x.jpg?v=1687202705")</f>
        <v/>
      </c>
      <c r="H2401">
        <f>_xlfn.IMAGE("https://m.media-amazon.com/images/I/61-fkYSaz4L._AC_UY218_.jpg")</f>
        <v/>
      </c>
      <c r="K2401" t="inlineStr">
        <is>
          <t>21.0</t>
        </is>
      </c>
      <c r="L2401" t="n">
        <v>60.2</v>
      </c>
      <c r="M2401" s="1" t="inlineStr">
        <is>
          <t>186.67%</t>
        </is>
      </c>
      <c r="N2401" t="n">
        <v>4.6</v>
      </c>
      <c r="O2401" t="n">
        <v>1244</v>
      </c>
      <c r="Q2401" t="inlineStr">
        <is>
          <t>InStock</t>
        </is>
      </c>
      <c r="R2401" t="inlineStr">
        <is>
          <t>undefined</t>
        </is>
      </c>
      <c r="S2401" t="inlineStr">
        <is>
          <t>279419781130</t>
        </is>
      </c>
    </row>
    <row r="2402" ht="75" customHeight="1">
      <c r="A2402" s="2">
        <f>HYPERLINK("https://camerareadycosmetics.com/products/make-up-for-ever-aqua-seal", "https://camerareadycosmetics.com/products/make-up-for-ever-aqua-seal")</f>
        <v/>
      </c>
      <c r="B2402" s="2">
        <f>HYPERLINK("https://camerareadycosmetics.com/products/make-up-for-ever-aqua-seal", "https://camerareadycosmetics.com/products/make-up-for-ever-aqua-seal")</f>
        <v/>
      </c>
      <c r="C2402" t="inlineStr">
        <is>
          <t>Aqua Seal</t>
        </is>
      </c>
      <c r="D2402" t="inlineStr">
        <is>
          <t>Aqua Mix Sealer's Choice Gold - Pint</t>
        </is>
      </c>
      <c r="E2402" s="2">
        <f>HYPERLINK("https://www.amazon.com/Aqua-Mix-Sealers-Choice-Gold/dp/B0039ZDMLC/ref=sr_1_5?keywords=Aqua+Seal&amp;qid=1695565465&amp;sr=8-5", "https://www.amazon.com/Aqua-Mix-Sealers-Choice-Gold/dp/B0039ZDMLC/ref=sr_1_5?keywords=Aqua+Seal&amp;qid=1695565465&amp;sr=8-5")</f>
        <v/>
      </c>
      <c r="F2402" t="inlineStr">
        <is>
          <t>B0039ZDMLC</t>
        </is>
      </c>
      <c r="G2402">
        <f>_xlfn.IMAGE("https://camerareadycosmetics.com/cdn/shop/files/aqua_seal_71068_0_50x.jpg?v=1687202705")</f>
        <v/>
      </c>
      <c r="H2402">
        <f>_xlfn.IMAGE("https://m.media-amazon.com/images/I/61Ew7v1RrvL._AC_UY218_.jpg")</f>
        <v/>
      </c>
      <c r="K2402" t="inlineStr">
        <is>
          <t>21.0</t>
        </is>
      </c>
      <c r="L2402" t="n">
        <v>43.15</v>
      </c>
      <c r="M2402" s="1" t="inlineStr">
        <is>
          <t>105.48%</t>
        </is>
      </c>
      <c r="N2402" t="n">
        <v>4.4</v>
      </c>
      <c r="O2402" t="n">
        <v>673</v>
      </c>
      <c r="Q2402" t="inlineStr">
        <is>
          <t>InStock</t>
        </is>
      </c>
      <c r="R2402" t="inlineStr">
        <is>
          <t>undefined</t>
        </is>
      </c>
      <c r="S2402" t="inlineStr">
        <is>
          <t>279419781130</t>
        </is>
      </c>
    </row>
    <row r="2403" ht="75" customHeight="1">
      <c r="A2403" s="2">
        <f>HYPERLINK("https://camerareadycosmetics.com/products/make-up-for-ever-aqua-seal", "https://camerareadycosmetics.com/products/make-up-for-ever-aqua-seal")</f>
        <v/>
      </c>
      <c r="B2403" s="2">
        <f>HYPERLINK("https://camerareadycosmetics.com/products/make-up-for-ever-aqua-seal", "https://camerareadycosmetics.com/products/make-up-for-ever-aqua-seal")</f>
        <v/>
      </c>
      <c r="C2403" t="inlineStr">
        <is>
          <t>Aqua Seal</t>
        </is>
      </c>
      <c r="D2403" t="inlineStr">
        <is>
          <t>AQUA-X 16 Oz. Grout Sealer, Clear Grout and Tile Sealer, Natural Finish, Professional Grade, Indoor &amp; Outdoor, Fast Dry and Long Lasting Protection</t>
        </is>
      </c>
      <c r="E2403" s="2">
        <f>HYPERLINK("https://www.amazon.com/AQUA-X-Sealer-Commercial-Mildew-Inhibitor/dp/B07M7L92LW/ref=sr_1_9?keywords=Aqua+Seal&amp;qid=1695565465&amp;sr=8-9", "https://www.amazon.com/AQUA-X-Sealer-Commercial-Mildew-Inhibitor/dp/B07M7L92LW/ref=sr_1_9?keywords=Aqua+Seal&amp;qid=1695565465&amp;sr=8-9")</f>
        <v/>
      </c>
      <c r="F2403" t="inlineStr">
        <is>
          <t>B07M7L92LW</t>
        </is>
      </c>
      <c r="G2403">
        <f>_xlfn.IMAGE("https://camerareadycosmetics.com/cdn/shop/files/aqua_seal_71068_0_50x.jpg?v=1687202705")</f>
        <v/>
      </c>
      <c r="H2403">
        <f>_xlfn.IMAGE("https://m.media-amazon.com/images/I/71x2xXjrv-L._AC_UY218_.jpg")</f>
        <v/>
      </c>
      <c r="K2403" t="inlineStr">
        <is>
          <t>21.0</t>
        </is>
      </c>
      <c r="L2403" t="n">
        <v>25.99</v>
      </c>
      <c r="M2403" s="1" t="inlineStr">
        <is>
          <t>23.76%</t>
        </is>
      </c>
      <c r="N2403" t="n">
        <v>4.3</v>
      </c>
      <c r="O2403" t="n">
        <v>1555</v>
      </c>
      <c r="Q2403" t="inlineStr">
        <is>
          <t>InStock</t>
        </is>
      </c>
      <c r="R2403" t="inlineStr">
        <is>
          <t>undefined</t>
        </is>
      </c>
      <c r="S2403" t="inlineStr">
        <is>
          <t>279419781130</t>
        </is>
      </c>
    </row>
    <row r="2404" ht="75" customHeight="1">
      <c r="A2404" s="2">
        <f>HYPERLINK("https://camerareadycosmetics.com/products/make-up-for-ever-aqua-seal", "https://camerareadycosmetics.com/products/make-up-for-ever-aqua-seal")</f>
        <v/>
      </c>
      <c r="B2404" s="2">
        <f>HYPERLINK("https://camerareadycosmetics.com/products/make-up-for-ever-aqua-seal", "https://camerareadycosmetics.com/products/make-up-for-ever-aqua-seal")</f>
        <v/>
      </c>
      <c r="C2404" t="inlineStr">
        <is>
          <t>Aqua Seal</t>
        </is>
      </c>
      <c r="D2404" t="inlineStr">
        <is>
          <t>Aqua Mix Grout Sealer Dual Protection - Penetrates and Coats Pint 16oz</t>
        </is>
      </c>
      <c r="E2404" s="2">
        <f>HYPERLINK("https://www.amazon.com/Aqua-Mix-Grout-Sealer-Protection/dp/B000GFT6IQ/ref=sr_1_10?keywords=Aqua+Seal&amp;qid=1695565465&amp;sr=8-10", "https://www.amazon.com/Aqua-Mix-Grout-Sealer-Protection/dp/B000GFT6IQ/ref=sr_1_10?keywords=Aqua+Seal&amp;qid=1695565465&amp;sr=8-10")</f>
        <v/>
      </c>
      <c r="F2404" t="inlineStr">
        <is>
          <t>B000GFT6IQ</t>
        </is>
      </c>
      <c r="G2404">
        <f>_xlfn.IMAGE("https://camerareadycosmetics.com/cdn/shop/files/aqua_seal_71068_0_50x.jpg?v=1687202705")</f>
        <v/>
      </c>
      <c r="H2404">
        <f>_xlfn.IMAGE("https://m.media-amazon.com/images/I/512YXHgJhaL._AC_UY218_.jpg")</f>
        <v/>
      </c>
      <c r="K2404" t="inlineStr">
        <is>
          <t>21.0</t>
        </is>
      </c>
      <c r="L2404" t="n">
        <v>23.99</v>
      </c>
      <c r="M2404" s="1" t="inlineStr">
        <is>
          <t>14.24%</t>
        </is>
      </c>
      <c r="N2404" t="n">
        <v>4.1</v>
      </c>
      <c r="O2404" t="n">
        <v>145</v>
      </c>
      <c r="Q2404" t="inlineStr">
        <is>
          <t>InStock</t>
        </is>
      </c>
      <c r="R2404" t="inlineStr">
        <is>
          <t>undefined</t>
        </is>
      </c>
      <c r="S2404" t="inlineStr">
        <is>
          <t>279419781130</t>
        </is>
      </c>
    </row>
    <row r="2405" ht="75" customHeight="1">
      <c r="A2405" s="2">
        <f>HYPERLINK("https://camerareadycosmetics.com/products/make-up-for-ever-aqua-seal", "https://camerareadycosmetics.com/products/make-up-for-ever-aqua-seal")</f>
        <v/>
      </c>
      <c r="B2405" s="2">
        <f>HYPERLINK("https://camerareadycosmetics.com/products/make-up-for-ever-aqua-seal", "https://camerareadycosmetics.com/products/make-up-for-ever-aqua-seal")</f>
        <v/>
      </c>
      <c r="C2405" t="inlineStr">
        <is>
          <t>Aqua Seal</t>
        </is>
      </c>
      <c r="D2405" t="inlineStr">
        <is>
          <t>AQUA SEAL Aquaseal for Leather-8oz Creme</t>
        </is>
      </c>
      <c r="E2405" s="2">
        <f>HYPERLINK("https://www.amazon.com/AQUA-SEAL-Aquaseal-Leather-8oz-Creme/dp/B06XKL9C9D/ref=sr_1_3?keywords=Aqua+Seal&amp;qid=1695565465&amp;sr=8-3", "https://www.amazon.com/AQUA-SEAL-Aquaseal-Leather-8oz-Creme/dp/B06XKL9C9D/ref=sr_1_3?keywords=Aqua+Seal&amp;qid=1695565465&amp;sr=8-3")</f>
        <v/>
      </c>
      <c r="F2405" t="inlineStr">
        <is>
          <t>B06XKL9C9D</t>
        </is>
      </c>
      <c r="G2405">
        <f>_xlfn.IMAGE("https://camerareadycosmetics.com/cdn/shop/files/aqua_seal_71068_0_50x.jpg?v=1687202705")</f>
        <v/>
      </c>
      <c r="H2405">
        <f>_xlfn.IMAGE("https://m.media-amazon.com/images/I/719OpUNUjwL._AC_UY218_.jpg")</f>
        <v/>
      </c>
      <c r="K2405" t="inlineStr">
        <is>
          <t>21.0</t>
        </is>
      </c>
      <c r="L2405" t="n">
        <v>21.89</v>
      </c>
      <c r="M2405" s="1" t="inlineStr">
        <is>
          <t>4.24%</t>
        </is>
      </c>
      <c r="N2405" t="n">
        <v>4.5</v>
      </c>
      <c r="O2405" t="n">
        <v>31</v>
      </c>
      <c r="Q2405" t="inlineStr">
        <is>
          <t>InStock</t>
        </is>
      </c>
      <c r="R2405" t="inlineStr">
        <is>
          <t>undefined</t>
        </is>
      </c>
      <c r="S2405" t="inlineStr">
        <is>
          <t>279419781130</t>
        </is>
      </c>
    </row>
    <row r="2406" ht="75" customHeight="1">
      <c r="A2406" s="2">
        <f>HYPERLINK("https://camerareadycosmetics.com/products/make-up-for-ever-aqua-seal", "https://camerareadycosmetics.com/products/make-up-for-ever-aqua-seal")</f>
        <v/>
      </c>
      <c r="B2406" s="2">
        <f>HYPERLINK("https://camerareadycosmetics.com/products/make-up-for-ever-aqua-seal", "https://camerareadycosmetics.com/products/make-up-for-ever-aqua-seal")</f>
        <v/>
      </c>
      <c r="C2406" t="inlineStr">
        <is>
          <t>Aqua Seal</t>
        </is>
      </c>
      <c r="D2406" t="inlineStr">
        <is>
          <t>AQUA SEAL Aquaseal Max Leather-8oz Daub</t>
        </is>
      </c>
      <c r="E2406" s="2">
        <f>HYPERLINK("https://www.amazon.com/AQUA-SEAL-Aquaseal-Leather-8oz-Daub/dp/B06XKCQ8TG/ref=sr_1_4?keywords=Aqua+Seal&amp;qid=1695565465&amp;sr=8-4", "https://www.amazon.com/AQUA-SEAL-Aquaseal-Leather-8oz-Daub/dp/B06XKCQ8TG/ref=sr_1_4?keywords=Aqua+Seal&amp;qid=1695565465&amp;sr=8-4")</f>
        <v/>
      </c>
      <c r="F2406" t="inlineStr">
        <is>
          <t>B06XKCQ8TG</t>
        </is>
      </c>
      <c r="G2406">
        <f>_xlfn.IMAGE("https://camerareadycosmetics.com/cdn/shop/files/aqua_seal_71068_0_50x.jpg?v=1687202705")</f>
        <v/>
      </c>
      <c r="H2406">
        <f>_xlfn.IMAGE("https://m.media-amazon.com/images/I/61lzL-RuScL._AC_UY218_.jpg")</f>
        <v/>
      </c>
      <c r="K2406" t="inlineStr">
        <is>
          <t>21.0</t>
        </is>
      </c>
      <c r="L2406" t="n">
        <v>18.95</v>
      </c>
      <c r="M2406" s="1" t="inlineStr">
        <is>
          <t>-9.76%</t>
        </is>
      </c>
      <c r="N2406" t="n">
        <v>4.4</v>
      </c>
      <c r="O2406" t="n">
        <v>3</v>
      </c>
      <c r="Q2406" t="inlineStr">
        <is>
          <t>InStock</t>
        </is>
      </c>
      <c r="R2406" t="inlineStr">
        <is>
          <t>undefined</t>
        </is>
      </c>
      <c r="S2406" t="inlineStr">
        <is>
          <t>279419781130</t>
        </is>
      </c>
    </row>
    <row r="2407" ht="75" customHeight="1">
      <c r="A2407" s="2">
        <f>HYPERLINK("https://camerareadycosmetics.com/products/make-up-for-ever-aqua-seal", "https://camerareadycosmetics.com/products/make-up-for-ever-aqua-seal")</f>
        <v/>
      </c>
      <c r="B2407" s="2">
        <f>HYPERLINK("https://camerareadycosmetics.com/products/make-up-for-ever-aqua-seal", "https://camerareadycosmetics.com/products/make-up-for-ever-aqua-seal")</f>
        <v/>
      </c>
      <c r="C2407" t="inlineStr">
        <is>
          <t>Aqua Seal</t>
        </is>
      </c>
      <c r="D2407" t="inlineStr">
        <is>
          <t>Nashua 3 in x 5 yd Aqua-Seal Tape in Black, Model Number: 1529844</t>
        </is>
      </c>
      <c r="E2407" s="2">
        <f>HYPERLINK("https://www.amazon.com/Nashua-1529844-Aqua-Seal-Tape-Black/dp/B07GNM1XGB/ref=sr_1_2?keywords=Aqua+Seal&amp;qid=1695565465&amp;sr=8-2", "https://www.amazon.com/Nashua-1529844-Aqua-Seal-Tape-Black/dp/B07GNM1XGB/ref=sr_1_2?keywords=Aqua+Seal&amp;qid=1695565465&amp;sr=8-2")</f>
        <v/>
      </c>
      <c r="F2407" t="inlineStr">
        <is>
          <t>B07GNM1XGB</t>
        </is>
      </c>
      <c r="G2407">
        <f>_xlfn.IMAGE("https://camerareadycosmetics.com/cdn/shop/files/aqua_seal_71068_0_50x.jpg?v=1687202705")</f>
        <v/>
      </c>
      <c r="H2407">
        <f>_xlfn.IMAGE("https://m.media-amazon.com/images/I/81lnqBuOtEL._AC_UY218_.jpg")</f>
        <v/>
      </c>
      <c r="K2407" t="inlineStr">
        <is>
          <t>21.0</t>
        </is>
      </c>
      <c r="L2407" t="n">
        <v>11.98</v>
      </c>
      <c r="M2407" s="1" t="inlineStr">
        <is>
          <t>-42.95%</t>
        </is>
      </c>
      <c r="N2407" t="n">
        <v>4.1</v>
      </c>
      <c r="O2407" t="n">
        <v>372</v>
      </c>
      <c r="Q2407" t="inlineStr">
        <is>
          <t>InStock</t>
        </is>
      </c>
      <c r="R2407" t="inlineStr">
        <is>
          <t>undefined</t>
        </is>
      </c>
      <c r="S2407" t="inlineStr">
        <is>
          <t>279419781130</t>
        </is>
      </c>
    </row>
    <row r="2408" ht="75" customHeight="1">
      <c r="A2408" s="2">
        <f>HYPERLINK("https://camerareadycosmetics.com/products/make-up-for-ever-aqua-seal", "https://camerareadycosmetics.com/products/make-up-for-ever-aqua-seal")</f>
        <v/>
      </c>
      <c r="B2408" s="2">
        <f>HYPERLINK("https://camerareadycosmetics.com/products/make-up-for-ever-aqua-seal", "https://camerareadycosmetics.com/products/make-up-for-ever-aqua-seal")</f>
        <v/>
      </c>
      <c r="C2408" t="inlineStr">
        <is>
          <t>Aqua Seal</t>
        </is>
      </c>
      <c r="D2408" t="inlineStr">
        <is>
          <t>AQUA SEAL Aquaseal Leather Waterproof Cream</t>
        </is>
      </c>
      <c r="E2408" s="2">
        <f>HYPERLINK("https://www.amazon.com/AQUA-SEAL-Aquaseal-Leather-Waterproof/dp/B001OPK3VG/ref=sr_1_7?keywords=Aqua+Seal&amp;qid=1695565465&amp;sr=8-7", "https://www.amazon.com/AQUA-SEAL-Aquaseal-Leather-Waterproof/dp/B001OPK3VG/ref=sr_1_7?keywords=Aqua+Seal&amp;qid=1695565465&amp;sr=8-7")</f>
        <v/>
      </c>
      <c r="F2408" t="inlineStr">
        <is>
          <t>B001OPK3VG</t>
        </is>
      </c>
      <c r="G2408">
        <f>_xlfn.IMAGE("https://camerareadycosmetics.com/cdn/shop/files/aqua_seal_71068_0_50x.jpg?v=1687202705")</f>
        <v/>
      </c>
      <c r="H2408">
        <f>_xlfn.IMAGE("https://m.media-amazon.com/images/I/81l-+TLqh7L._AC_UY218_.jpg")</f>
        <v/>
      </c>
      <c r="K2408" t="inlineStr">
        <is>
          <t>21.0</t>
        </is>
      </c>
      <c r="L2408" t="n">
        <v>11.5</v>
      </c>
      <c r="M2408" s="1" t="inlineStr">
        <is>
          <t>-45.24%</t>
        </is>
      </c>
      <c r="N2408" t="n">
        <v>4.4</v>
      </c>
      <c r="O2408" t="n">
        <v>112</v>
      </c>
      <c r="Q2408" t="inlineStr">
        <is>
          <t>InStock</t>
        </is>
      </c>
      <c r="R2408" t="inlineStr">
        <is>
          <t>undefined</t>
        </is>
      </c>
      <c r="S2408" t="inlineStr">
        <is>
          <t>279419781130</t>
        </is>
      </c>
    </row>
    <row r="2409" ht="75" customHeight="1">
      <c r="A2409" s="2">
        <f>HYPERLINK("https://camerareadycosmetics.com/products/make-up-for-ever-aqua-seal", "https://camerareadycosmetics.com/products/make-up-for-ever-aqua-seal")</f>
        <v/>
      </c>
      <c r="B2409" s="2">
        <f>HYPERLINK("https://camerareadycosmetics.com/products/make-up-for-ever-aqua-seal", "https://camerareadycosmetics.com/products/make-up-for-ever-aqua-seal")</f>
        <v/>
      </c>
      <c r="C2409" t="inlineStr">
        <is>
          <t>Aqua Seal</t>
        </is>
      </c>
      <c r="D2409" t="inlineStr">
        <is>
          <t>GEAR AID Aquaseal FD Flexible Repair Adhesive for Outdoor Gear and Vinyl, Clear Glue</t>
        </is>
      </c>
      <c r="E2409" s="2">
        <f>HYPERLINK("https://www.amazon.com/Gear-Aid-Aquaseal-Flexible-Adhesive/dp/B001XUMBIA/ref=sr_1_1?keywords=Aqua+Seal&amp;qid=1695565465&amp;sr=8-1", "https://www.amazon.com/Gear-Aid-Aquaseal-Flexible-Adhesive/dp/B001XUMBIA/ref=sr_1_1?keywords=Aqua+Seal&amp;qid=1695565465&amp;sr=8-1")</f>
        <v/>
      </c>
      <c r="F2409" t="inlineStr">
        <is>
          <t>B001XUMBIA</t>
        </is>
      </c>
      <c r="G2409">
        <f>_xlfn.IMAGE("https://camerareadycosmetics.com/cdn/shop/files/aqua_seal_71068_0_50x.jpg?v=1687202705")</f>
        <v/>
      </c>
      <c r="H2409">
        <f>_xlfn.IMAGE("https://m.media-amazon.com/images/I/81iQ08CTJLL._AC_UY218_.jpg")</f>
        <v/>
      </c>
      <c r="K2409" t="inlineStr">
        <is>
          <t>21.0</t>
        </is>
      </c>
      <c r="L2409" t="n">
        <v>8.99</v>
      </c>
      <c r="M2409" s="1" t="inlineStr">
        <is>
          <t>-57.19%</t>
        </is>
      </c>
      <c r="N2409" t="n">
        <v>4.6</v>
      </c>
      <c r="O2409" t="n">
        <v>4678</v>
      </c>
      <c r="Q2409" t="inlineStr">
        <is>
          <t>InStock</t>
        </is>
      </c>
      <c r="R2409" t="inlineStr">
        <is>
          <t>undefined</t>
        </is>
      </c>
      <c r="S2409" t="inlineStr">
        <is>
          <t>279419781130</t>
        </is>
      </c>
    </row>
    <row r="2410" ht="75" customHeight="1">
      <c r="A2410" s="2">
        <f>HYPERLINK("https://camerareadycosmetics.com/products/make-up-for-ever-aqua-seal", "https://camerareadycosmetics.com/products/make-up-for-ever-aqua-seal")</f>
        <v/>
      </c>
      <c r="B2410" s="2">
        <f>HYPERLINK("https://camerareadycosmetics.com/products/make-up-for-ever-aqua-seal", "https://camerareadycosmetics.com/products/make-up-for-ever-aqua-seal")</f>
        <v/>
      </c>
      <c r="C2410" t="inlineStr">
        <is>
          <t>Aqua Seal</t>
        </is>
      </c>
      <c r="D2410" t="inlineStr">
        <is>
          <t>GEAR AID Aquaseal FD Flexible Repair Adhesive for Outdoor Gear and Vinyl, Clear Glue</t>
        </is>
      </c>
      <c r="E2410" s="2">
        <f>HYPERLINK("https://www.amazon.com/Gear-Aid-Aquaseal-Flexible-Adhesive/dp/B001XUMBIA/ref=sr_1_1?keywords=Aqua+Seal&amp;qid=1695565465&amp;sr=8-1", "https://www.amazon.com/Gear-Aid-Aquaseal-Flexible-Adhesive/dp/B001XUMBIA/ref=sr_1_1?keywords=Aqua+Seal&amp;qid=1695565465&amp;sr=8-1")</f>
        <v/>
      </c>
      <c r="F2410" t="inlineStr">
        <is>
          <t>B001XUMBIA</t>
        </is>
      </c>
      <c r="G2410">
        <f>_xlfn.IMAGE("https://camerareadycosmetics.com/cdn/shop/files/aqua_seal_71068_0_50x.jpg?v=1687202705")</f>
        <v/>
      </c>
      <c r="H2410">
        <f>_xlfn.IMAGE("https://m.media-amazon.com/images/I/81iQ08CTJLL._AC_UY218_.jpg")</f>
        <v/>
      </c>
      <c r="K2410" t="inlineStr">
        <is>
          <t>21.0</t>
        </is>
      </c>
      <c r="L2410" t="n">
        <v>8.99</v>
      </c>
      <c r="M2410" s="1" t="inlineStr">
        <is>
          <t>-57.19%</t>
        </is>
      </c>
      <c r="N2410" t="n">
        <v>4.6</v>
      </c>
      <c r="O2410" t="n">
        <v>4678</v>
      </c>
      <c r="Q2410" t="inlineStr">
        <is>
          <t>InStock</t>
        </is>
      </c>
      <c r="R2410" t="inlineStr">
        <is>
          <t>undefined</t>
        </is>
      </c>
      <c r="S2410" t="inlineStr">
        <is>
          <t>279419781130</t>
        </is>
      </c>
    </row>
    <row r="2411" ht="75" customHeight="1">
      <c r="A2411" s="2">
        <f>HYPERLINK("https://camerareadycosmetics.com/products/make-up-for-ever-aqua-smoky-extravagant-mascara-black", "https://camerareadycosmetics.com/products/make-up-for-ever-aqua-smoky-extravagant-mascara-black")</f>
        <v/>
      </c>
      <c r="B2411" s="2">
        <f>HYPERLINK("https://camerareadycosmetics.com/products/make-up-for-ever-aqua-smoky-extravagant-mascara-black", "https://camerareadycosmetics.com/products/make-up-for-ever-aqua-smoky-extravagant-mascara-black")</f>
        <v/>
      </c>
      <c r="C2411" t="inlineStr">
        <is>
          <t>Aqua Smoky Extravagant Mascara Black</t>
        </is>
      </c>
      <c r="D2411" t="inlineStr">
        <is>
          <t>Make Up For Ever Smoky Extravagant Mascara, Black, 0.23 Ounce</t>
        </is>
      </c>
      <c r="E2411" s="2">
        <f>HYPERLINK("https://www.amazon.com/Make-Up-Ever-Extravagant-Mascara/dp/B00DF25VN6/ref=sr_1_2?keywords=Aqua+Smoky+Extravagant+Mascara+Black&amp;qid=1695565641&amp;sr=8-2", "https://www.amazon.com/Make-Up-Ever-Extravagant-Mascara/dp/B00DF25VN6/ref=sr_1_2?keywords=Aqua+Smoky+Extravagant+Mascara+Black&amp;qid=1695565641&amp;sr=8-2")</f>
        <v/>
      </c>
      <c r="F2411" t="inlineStr">
        <is>
          <t>B00DF25VN6</t>
        </is>
      </c>
      <c r="G2411">
        <f>_xlfn.IMAGE("https://camerareadycosmetics.com/cdn/shop/files/aqua_smoky_extravagant_23601_50x.jpg?v=1687202481")</f>
        <v/>
      </c>
      <c r="H2411">
        <f>_xlfn.IMAGE("https://m.media-amazon.com/images/I/61bhAj5F+WL._AC_UL320_.jpg")</f>
        <v/>
      </c>
      <c r="K2411" t="inlineStr">
        <is>
          <t>25.0</t>
        </is>
      </c>
      <c r="L2411" t="n">
        <v>38.49</v>
      </c>
      <c r="M2411" s="1" t="inlineStr">
        <is>
          <t>53.96%</t>
        </is>
      </c>
      <c r="N2411" t="n">
        <v>4.4</v>
      </c>
      <c r="O2411" t="n">
        <v>316</v>
      </c>
      <c r="Q2411" t="inlineStr">
        <is>
          <t>InStock</t>
        </is>
      </c>
      <c r="R2411" t="inlineStr">
        <is>
          <t>25.0</t>
        </is>
      </c>
      <c r="S2411" t="inlineStr">
        <is>
          <t>279417913354</t>
        </is>
      </c>
    </row>
    <row r="2412" ht="75" customHeight="1">
      <c r="A2412" s="2">
        <f>HYPERLINK("https://camerareadycosmetics.com/products/make-up-for-ever-aqua-smoky-extravagant-mascara-black", "https://camerareadycosmetics.com/products/make-up-for-ever-aqua-smoky-extravagant-mascara-black")</f>
        <v/>
      </c>
      <c r="B2412" s="2">
        <f>HYPERLINK("https://camerareadycosmetics.com/products/make-up-for-ever-aqua-smoky-extravagant-mascara-black", "https://camerareadycosmetics.com/products/make-up-for-ever-aqua-smoky-extravagant-mascara-black")</f>
        <v/>
      </c>
      <c r="C2412" t="inlineStr">
        <is>
          <t>Aqua Smoky Extravagant Mascara Black</t>
        </is>
      </c>
      <c r="D2412" t="inlineStr">
        <is>
          <t>Make Up For Ever Aqua Smoky Lash Waterproof Extra Mascara, No. Black, 0.23 Ounce</t>
        </is>
      </c>
      <c r="E2412" s="2">
        <f>HYPERLINK("https://www.amazon.com/Make-Up-Ever-Waterproof-Mascara/dp/B01C73QK7O/ref=sr_1_1?keywords=Aqua+Smoky+Extravagant+Mascara+Black&amp;qid=1695565641&amp;sr=8-1", "https://www.amazon.com/Make-Up-Ever-Waterproof-Mascara/dp/B01C73QK7O/ref=sr_1_1?keywords=Aqua+Smoky+Extravagant+Mascara+Black&amp;qid=1695565641&amp;sr=8-1")</f>
        <v/>
      </c>
      <c r="F2412" t="inlineStr">
        <is>
          <t>B01C73QK7O</t>
        </is>
      </c>
      <c r="G2412">
        <f>_xlfn.IMAGE("https://camerareadycosmetics.com/cdn/shop/files/aqua_smoky_extravagant_23601_50x.jpg?v=1687202481")</f>
        <v/>
      </c>
      <c r="H2412">
        <f>_xlfn.IMAGE("https://m.media-amazon.com/images/I/51Uq6hi8HcL._AC_UL320_.jpg")</f>
        <v/>
      </c>
      <c r="K2412" t="inlineStr">
        <is>
          <t>25.0</t>
        </is>
      </c>
      <c r="L2412" t="n">
        <v>26.34</v>
      </c>
      <c r="M2412" s="1" t="inlineStr">
        <is>
          <t>5.36%</t>
        </is>
      </c>
      <c r="N2412" t="n">
        <v>3.8</v>
      </c>
      <c r="O2412" t="n">
        <v>15</v>
      </c>
      <c r="Q2412" t="inlineStr">
        <is>
          <t>InStock</t>
        </is>
      </c>
      <c r="R2412" t="inlineStr">
        <is>
          <t>25.0</t>
        </is>
      </c>
      <c r="S2412" t="inlineStr">
        <is>
          <t>279417913354</t>
        </is>
      </c>
    </row>
    <row r="2413" ht="75" customHeight="1">
      <c r="A2413" s="2">
        <f>HYPERLINK("https://camerareadycosmetics.com/products/make-up-for-ever-artist-color-pencils", "https://camerareadycosmetics.com/products/make-up-for-ever-artist-color-pencils")</f>
        <v/>
      </c>
      <c r="B2413" s="2">
        <f>HYPERLINK("https://camerareadycosmetics.com/products/make-up-for-ever-artist-color-pencils", "https://camerareadycosmetics.com/products/make-up-for-ever-artist-color-pencils")</f>
        <v/>
      </c>
      <c r="C2413" t="inlineStr">
        <is>
          <t>Artist Color Pencils</t>
        </is>
      </c>
      <c r="D2413" t="inlineStr">
        <is>
          <t>iBayam 123-Pack Colored Pencils Set with Gift Case, 3-Color Sketch Pad, Coloring Book, Professional Artist Drawing Pencils Kit Art Supplies for Adults Kids Girls Teens Sketching Shading Blending</t>
        </is>
      </c>
      <c r="E2413" s="2">
        <f>HYPERLINK("https://www.amazon.com/iBayam-123-Pack-Coloring-Professional-Sketching/dp/B0C4KV3H83/ref=sr_1_8?keywords=Artist+Color+Pencils&amp;qid=1695565423&amp;sr=8-8", "https://www.amazon.com/iBayam-123-Pack-Coloring-Professional-Sketching/dp/B0C4KV3H83/ref=sr_1_8?keywords=Artist+Color+Pencils&amp;qid=1695565423&amp;sr=8-8")</f>
        <v/>
      </c>
      <c r="F2413" t="inlineStr">
        <is>
          <t>B0C4KV3H83</t>
        </is>
      </c>
      <c r="G2413">
        <f>_xlfn.IMAGE("https://camerareadycosmetics.com/cdn/shop/products/make-up-for-ever-ACP_100_50x.jpg?v=1524308961")</f>
        <v/>
      </c>
      <c r="H2413">
        <f>_xlfn.IMAGE("https://m.media-amazon.com/images/I/81ku-E5LWyL._AC_UL320_.jpg")</f>
        <v/>
      </c>
      <c r="K2413" t="inlineStr">
        <is>
          <t>22.0</t>
        </is>
      </c>
      <c r="L2413" t="n">
        <v>29.99</v>
      </c>
      <c r="M2413" s="1" t="inlineStr">
        <is>
          <t>36.32%</t>
        </is>
      </c>
      <c r="N2413" t="n">
        <v>4.9</v>
      </c>
      <c r="O2413" t="n">
        <v>16</v>
      </c>
      <c r="Q2413" t="inlineStr">
        <is>
          <t>InStock</t>
        </is>
      </c>
      <c r="R2413" t="inlineStr">
        <is>
          <t>undefined</t>
        </is>
      </c>
      <c r="S2413" t="inlineStr">
        <is>
          <t>553773367306</t>
        </is>
      </c>
    </row>
    <row r="2414" ht="75" customHeight="1">
      <c r="A2414" s="2">
        <f>HYPERLINK("https://camerareadycosmetics.com/products/make-up-for-ever-artist-color-pencils", "https://camerareadycosmetics.com/products/make-up-for-ever-artist-color-pencils")</f>
        <v/>
      </c>
      <c r="B2414" s="2">
        <f>HYPERLINK("https://camerareadycosmetics.com/products/make-up-for-ever-artist-color-pencils", "https://camerareadycosmetics.com/products/make-up-for-ever-artist-color-pencils")</f>
        <v/>
      </c>
      <c r="C2414" t="inlineStr">
        <is>
          <t>Artist Color Pencils</t>
        </is>
      </c>
      <c r="D2414" t="inlineStr">
        <is>
          <t>Art Supplies 120-Color Colored Pencils Set for Adults Coloring Books with Sketchbook, Professional Vibrant Artists Pencil for Drawing Sketching Blending Shading, Quality Soft Core Oil Based</t>
        </is>
      </c>
      <c r="E2414" s="2">
        <f>HYPERLINK("https://www.amazon.com/Supplies-120-Color-Sketchbook-Professional-Sketching/dp/B09FJN5R5C/ref=sr_1_1?keywords=Artist+Color+Pencils&amp;qid=1695565423&amp;sr=8-1", "https://www.amazon.com/Supplies-120-Color-Sketchbook-Professional-Sketching/dp/B09FJN5R5C/ref=sr_1_1?keywords=Artist+Color+Pencils&amp;qid=1695565423&amp;sr=8-1")</f>
        <v/>
      </c>
      <c r="F2414" t="inlineStr">
        <is>
          <t>B09FJN5R5C</t>
        </is>
      </c>
      <c r="G2414">
        <f>_xlfn.IMAGE("https://camerareadycosmetics.com/cdn/shop/products/make-up-for-ever-ACP_100_50x.jpg?v=1524308961")</f>
        <v/>
      </c>
      <c r="H2414">
        <f>_xlfn.IMAGE("https://m.media-amazon.com/images/I/81DzB4pgDIL._AC_UL320_.jpg")</f>
        <v/>
      </c>
      <c r="K2414" t="inlineStr">
        <is>
          <t>22.0</t>
        </is>
      </c>
      <c r="L2414" t="n">
        <v>18.99</v>
      </c>
      <c r="M2414" s="1" t="inlineStr">
        <is>
          <t>-13.68%</t>
        </is>
      </c>
      <c r="N2414" t="n">
        <v>4.7</v>
      </c>
      <c r="O2414" t="n">
        <v>1638</v>
      </c>
      <c r="Q2414" t="inlineStr">
        <is>
          <t>InStock</t>
        </is>
      </c>
      <c r="R2414" t="inlineStr">
        <is>
          <t>undefined</t>
        </is>
      </c>
      <c r="S2414" t="inlineStr">
        <is>
          <t>553773367306</t>
        </is>
      </c>
    </row>
    <row r="2415" ht="75" customHeight="1">
      <c r="A2415" s="2">
        <f>HYPERLINK("https://camerareadycosmetics.com/products/make-up-for-ever-artist-color-pencils", "https://camerareadycosmetics.com/products/make-up-for-ever-artist-color-pencils")</f>
        <v/>
      </c>
      <c r="B2415" s="2">
        <f>HYPERLINK("https://camerareadycosmetics.com/products/make-up-for-ever-artist-color-pencils", "https://camerareadycosmetics.com/products/make-up-for-ever-artist-color-pencils")</f>
        <v/>
      </c>
      <c r="C2415" t="inlineStr">
        <is>
          <t>Artist Color Pencils</t>
        </is>
      </c>
      <c r="D2415" t="inlineStr">
        <is>
          <t>Soucolor 72-Color Colored Pencils for Adult Coloring Books, Soft Core, Artist Sketching Drawing Pencils Art Craft Supplies, Coloring Pencils Set Gift for Adults Kids Beginners</t>
        </is>
      </c>
      <c r="E2415" s="2">
        <f>HYPERLINK("https://www.amazon.com/Soucolor-72-Color-Coloring-Crafting-72-Colors/dp/B01N09ZDEI/ref=sr_1_3?keywords=Artist+Color+Pencils&amp;qid=1695565423&amp;sr=8-3", "https://www.amazon.com/Soucolor-72-Color-Coloring-Crafting-72-Colors/dp/B01N09ZDEI/ref=sr_1_3?keywords=Artist+Color+Pencils&amp;qid=1695565423&amp;sr=8-3")</f>
        <v/>
      </c>
      <c r="F2415" t="inlineStr">
        <is>
          <t>B01N09ZDEI</t>
        </is>
      </c>
      <c r="G2415">
        <f>_xlfn.IMAGE("https://camerareadycosmetics.com/cdn/shop/products/make-up-for-ever-ACP_100_50x.jpg?v=1524308961")</f>
        <v/>
      </c>
      <c r="H2415">
        <f>_xlfn.IMAGE("https://m.media-amazon.com/images/I/71Cd1bbIuYL._AC_UL320_.jpg")</f>
        <v/>
      </c>
      <c r="K2415" t="inlineStr">
        <is>
          <t>22.0</t>
        </is>
      </c>
      <c r="L2415" t="n">
        <v>8.99</v>
      </c>
      <c r="M2415" s="1" t="inlineStr">
        <is>
          <t>-59.14%</t>
        </is>
      </c>
      <c r="N2415" t="n">
        <v>4.7</v>
      </c>
      <c r="O2415" t="n">
        <v>15472</v>
      </c>
      <c r="Q2415" t="inlineStr">
        <is>
          <t>InStock</t>
        </is>
      </c>
      <c r="R2415" t="inlineStr">
        <is>
          <t>undefined</t>
        </is>
      </c>
      <c r="S2415" t="inlineStr">
        <is>
          <t>553773367306</t>
        </is>
      </c>
    </row>
    <row r="2416" ht="75" customHeight="1">
      <c r="A2416" s="2">
        <f>HYPERLINK("https://camerareadycosmetics.com/products/make-up-for-ever-artist-color-pencils", "https://camerareadycosmetics.com/products/make-up-for-ever-artist-color-pencils")</f>
        <v/>
      </c>
      <c r="B2416" s="2">
        <f>HYPERLINK("https://camerareadycosmetics.com/products/make-up-for-ever-artist-color-pencils", "https://camerareadycosmetics.com/products/make-up-for-ever-artist-color-pencils")</f>
        <v/>
      </c>
      <c r="C2416" t="inlineStr">
        <is>
          <t>Artist Color Pencils</t>
        </is>
      </c>
      <c r="D2416" t="inlineStr">
        <is>
          <t>36-Color Watercolor Pencils, Water Color Pencils Set, Artist Drawing Pencils, Colored Pencils for Adult Coloring, Sketch Drawing Pencil Art Supplies, Coloring Pencil Set for Painting,Teens Child</t>
        </is>
      </c>
      <c r="E2416" s="2">
        <f>HYPERLINK("https://www.amazon.com/36-Color-Watercolor-Professional-Supplies-Coloring/dp/B09C7YWMHH/ref=sr_1_6?keywords=Artist+Color+Pencils&amp;qid=1695565423&amp;sr=8-6", "https://www.amazon.com/36-Color-Watercolor-Professional-Supplies-Coloring/dp/B09C7YWMHH/ref=sr_1_6?keywords=Artist+Color+Pencils&amp;qid=1695565423&amp;sr=8-6")</f>
        <v/>
      </c>
      <c r="F2416" t="inlineStr">
        <is>
          <t>B09C7YWMHH</t>
        </is>
      </c>
      <c r="G2416">
        <f>_xlfn.IMAGE("https://camerareadycosmetics.com/cdn/shop/products/make-up-for-ever-ACP_100_50x.jpg?v=1524308961")</f>
        <v/>
      </c>
      <c r="H2416">
        <f>_xlfn.IMAGE("https://m.media-amazon.com/images/I/71p4p1emNTL._AC_UL320_.jpg")</f>
        <v/>
      </c>
      <c r="K2416" t="inlineStr">
        <is>
          <t>22.0</t>
        </is>
      </c>
      <c r="L2416" t="n">
        <v>5.99</v>
      </c>
      <c r="M2416" s="1" t="inlineStr">
        <is>
          <t>-72.77%</t>
        </is>
      </c>
      <c r="N2416" t="n">
        <v>4.5</v>
      </c>
      <c r="O2416" t="n">
        <v>1466</v>
      </c>
      <c r="Q2416" t="inlineStr">
        <is>
          <t>InStock</t>
        </is>
      </c>
      <c r="R2416" t="inlineStr">
        <is>
          <t>undefined</t>
        </is>
      </c>
      <c r="S2416" t="inlineStr">
        <is>
          <t>553773367306</t>
        </is>
      </c>
    </row>
    <row r="2417" ht="75" customHeight="1">
      <c r="A2417" s="2">
        <f>HYPERLINK("https://camerareadycosmetics.com/products/make-up-for-ever-artist-color-pencils", "https://camerareadycosmetics.com/products/make-up-for-ever-artist-color-pencils")</f>
        <v/>
      </c>
      <c r="B2417" s="2">
        <f>HYPERLINK("https://camerareadycosmetics.com/products/make-up-for-ever-artist-color-pencils", "https://camerareadycosmetics.com/products/make-up-for-ever-artist-color-pencils")</f>
        <v/>
      </c>
      <c r="C2417" t="inlineStr">
        <is>
          <t>Artist Color Pencils</t>
        </is>
      </c>
      <c r="D2417" t="inlineStr">
        <is>
          <t>Soucolor 72-Color Colored Pencils for Adult Coloring Books, Soft Core, Artist Sketching Drawing Pencils Art Craft Supplies, Coloring Pencils Set Gift for Adults Kids Beginners</t>
        </is>
      </c>
      <c r="E2417" s="2">
        <f>HYPERLINK("https://www.amazon.com/Soucolor-72-Color-Coloring-Crafting-72-Colors/dp/B01N09ZDEI/ref=sr_1_3?keywords=Artist+Color+Pencils&amp;qid=1695565423&amp;sr=8-3", "https://www.amazon.com/Soucolor-72-Color-Coloring-Crafting-72-Colors/dp/B01N09ZDEI/ref=sr_1_3?keywords=Artist+Color+Pencils&amp;qid=1695565423&amp;sr=8-3")</f>
        <v/>
      </c>
      <c r="F2417" t="inlineStr">
        <is>
          <t>B01N09ZDEI</t>
        </is>
      </c>
      <c r="G2417">
        <f>_xlfn.IMAGE("https://camerareadycosmetics.com/cdn/shop/products/make-up-for-ever-ACP_100_50x.jpg?v=1524308961")</f>
        <v/>
      </c>
      <c r="H2417">
        <f>_xlfn.IMAGE("https://m.media-amazon.com/images/I/71Cd1bbIuYL._AC_UL320_.jpg")</f>
        <v/>
      </c>
      <c r="K2417" t="inlineStr">
        <is>
          <t>22.0</t>
        </is>
      </c>
      <c r="L2417" t="n">
        <v>8.99</v>
      </c>
      <c r="M2417" s="1" t="inlineStr">
        <is>
          <t>-59.14%</t>
        </is>
      </c>
      <c r="N2417" t="n">
        <v>4.7</v>
      </c>
      <c r="O2417" t="n">
        <v>15472</v>
      </c>
      <c r="Q2417" t="inlineStr">
        <is>
          <t>InStock</t>
        </is>
      </c>
      <c r="R2417" t="inlineStr">
        <is>
          <t>undefined</t>
        </is>
      </c>
      <c r="S2417" t="inlineStr">
        <is>
          <t>553773367306</t>
        </is>
      </c>
    </row>
    <row r="2418" ht="75" customHeight="1">
      <c r="A2418" s="2">
        <f>HYPERLINK("https://camerareadycosmetics.com/products/make-up-for-ever-artist-color-pencils", "https://camerareadycosmetics.com/products/make-up-for-ever-artist-color-pencils")</f>
        <v/>
      </c>
      <c r="B2418" s="2">
        <f>HYPERLINK("https://camerareadycosmetics.com/products/make-up-for-ever-artist-color-pencils", "https://camerareadycosmetics.com/products/make-up-for-ever-artist-color-pencils")</f>
        <v/>
      </c>
      <c r="C2418" t="inlineStr">
        <is>
          <t>Artist Color Pencils</t>
        </is>
      </c>
      <c r="D2418" t="inlineStr">
        <is>
          <t>36-Color Watercolor Pencils, Water Color Pencils Set, Artist Drawing Pencils, Colored Pencils for Adult Coloring, Sketch Drawing Pencil Art Supplies, Coloring Pencil Set for Painting,Teens Child</t>
        </is>
      </c>
      <c r="E2418" s="2">
        <f>HYPERLINK("https://www.amazon.com/36-Color-Watercolor-Professional-Supplies-Coloring/dp/B09C7YWMHH/ref=sr_1_6?keywords=Artist+Color+Pencils&amp;qid=1695565423&amp;sr=8-6", "https://www.amazon.com/36-Color-Watercolor-Professional-Supplies-Coloring/dp/B09C7YWMHH/ref=sr_1_6?keywords=Artist+Color+Pencils&amp;qid=1695565423&amp;sr=8-6")</f>
        <v/>
      </c>
      <c r="F2418" t="inlineStr">
        <is>
          <t>B09C7YWMHH</t>
        </is>
      </c>
      <c r="G2418">
        <f>_xlfn.IMAGE("https://camerareadycosmetics.com/cdn/shop/products/make-up-for-ever-ACP_100_50x.jpg?v=1524308961")</f>
        <v/>
      </c>
      <c r="H2418">
        <f>_xlfn.IMAGE("https://m.media-amazon.com/images/I/71p4p1emNTL._AC_UL320_.jpg")</f>
        <v/>
      </c>
      <c r="K2418" t="inlineStr">
        <is>
          <t>22.0</t>
        </is>
      </c>
      <c r="L2418" t="n">
        <v>5.99</v>
      </c>
      <c r="M2418" s="1" t="inlineStr">
        <is>
          <t>-72.77%</t>
        </is>
      </c>
      <c r="N2418" t="n">
        <v>4.5</v>
      </c>
      <c r="O2418" t="n">
        <v>1466</v>
      </c>
      <c r="Q2418" t="inlineStr">
        <is>
          <t>InStock</t>
        </is>
      </c>
      <c r="R2418" t="inlineStr">
        <is>
          <t>undefined</t>
        </is>
      </c>
      <c r="S2418" t="inlineStr">
        <is>
          <t>553773367306</t>
        </is>
      </c>
    </row>
    <row r="2419" ht="75" customHeight="1">
      <c r="A2419" s="2">
        <f>HYPERLINK("https://camerareadycosmetics.com/products/make-up-for-ever-full-cover-concealer", "https://camerareadycosmetics.com/products/make-up-for-ever-full-cover-concealer")</f>
        <v/>
      </c>
      <c r="B2419" s="2">
        <f>HYPERLINK("https://camerareadycosmetics.com/products/make-up-for-ever-full-cover-concealer", "https://camerareadycosmetics.com/products/make-up-for-ever-full-cover-concealer")</f>
        <v/>
      </c>
      <c r="C2419" t="inlineStr">
        <is>
          <t>Full Cover Concealer</t>
        </is>
      </c>
      <c r="D2419" t="inlineStr">
        <is>
          <t>MAKE UP FOR EVER Full Cover Concealer Flesh 4 0.5 oz</t>
        </is>
      </c>
      <c r="E2419" s="2">
        <f>HYPERLINK("https://www.amazon.com/MAKE-EVER-Cover-Concealer-Flesh/dp/B000N2JK6K/ref=sr_1_7?keywords=Full+Cover+Concealer&amp;qid=1695565471&amp;sr=8-7", "https://www.amazon.com/MAKE-EVER-Cover-Concealer-Flesh/dp/B000N2JK6K/ref=sr_1_7?keywords=Full+Cover+Concealer&amp;qid=1695565471&amp;sr=8-7")</f>
        <v/>
      </c>
      <c r="F2419" t="inlineStr">
        <is>
          <t>B000N2JK6K</t>
        </is>
      </c>
      <c r="G2419">
        <f>_xlfn.IMAGE("https://camerareadycosmetics.com/cdn/shop/files/makeup-forever-full_cover_12304_0_50x.jpg?v=1687202300")</f>
        <v/>
      </c>
      <c r="H2419">
        <f>_xlfn.IMAGE("https://m.media-amazon.com/images/I/51+rO9D4UAL._AC_UL320_.jpg")</f>
        <v/>
      </c>
      <c r="K2419" t="inlineStr">
        <is>
          <t>34.0</t>
        </is>
      </c>
      <c r="L2419" t="n">
        <v>40.95</v>
      </c>
      <c r="M2419" s="1" t="inlineStr">
        <is>
          <t>20.44%</t>
        </is>
      </c>
      <c r="N2419" t="n">
        <v>4.6</v>
      </c>
      <c r="O2419" t="n">
        <v>108</v>
      </c>
      <c r="Q2419" t="inlineStr">
        <is>
          <t>InStock</t>
        </is>
      </c>
      <c r="R2419" t="inlineStr">
        <is>
          <t>undefined</t>
        </is>
      </c>
      <c r="S2419" t="inlineStr">
        <is>
          <t>279417454602</t>
        </is>
      </c>
    </row>
    <row r="2420" ht="75" customHeight="1">
      <c r="A2420" s="2">
        <f>HYPERLINK("https://camerareadycosmetics.com/products/make-up-for-ever-full-cover-concealer", "https://camerareadycosmetics.com/products/make-up-for-ever-full-cover-concealer")</f>
        <v/>
      </c>
      <c r="B2420" s="2">
        <f>HYPERLINK("https://camerareadycosmetics.com/products/make-up-for-ever-full-cover-concealer", "https://camerareadycosmetics.com/products/make-up-for-ever-full-cover-concealer")</f>
        <v/>
      </c>
      <c r="C2420" t="inlineStr">
        <is>
          <t>Full Cover Concealer</t>
        </is>
      </c>
      <c r="D2420" t="inlineStr">
        <is>
          <t>3 Pack Pro Full Cover Liquid Concealer, Waterproof Smooth Matte Flawless Finish Creamy Concealer Foundation for Eye Dark Circles Spot Face Concealer Makeup, Warm Natural, 3×6ml/0.20Fl Oz</t>
        </is>
      </c>
      <c r="E2420" s="2">
        <f>HYPERLINK("https://www.amazon.com/Concealer-Waterproof-Flawless-Foundation-Circles/dp/B085Y49CFP/ref=sr_1_8?keywords=Full+Cover+Concealer&amp;qid=1695565471&amp;sr=8-8", "https://www.amazon.com/Concealer-Waterproof-Flawless-Foundation-Circles/dp/B085Y49CFP/ref=sr_1_8?keywords=Full+Cover+Concealer&amp;qid=1695565471&amp;sr=8-8")</f>
        <v/>
      </c>
      <c r="F2420" t="inlineStr">
        <is>
          <t>B085Y49CFP</t>
        </is>
      </c>
      <c r="G2420">
        <f>_xlfn.IMAGE("https://camerareadycosmetics.com/cdn/shop/files/makeup-forever-full_cover_12304_0_50x.jpg?v=1687202300")</f>
        <v/>
      </c>
      <c r="H2420">
        <f>_xlfn.IMAGE("https://m.media-amazon.com/images/I/71JTDw2NuZL._AC_UL320_.jpg")</f>
        <v/>
      </c>
      <c r="K2420" t="inlineStr">
        <is>
          <t>34.0</t>
        </is>
      </c>
      <c r="L2420" t="n">
        <v>13.99</v>
      </c>
      <c r="M2420" s="1" t="inlineStr">
        <is>
          <t>-58.85%</t>
        </is>
      </c>
      <c r="N2420" t="n">
        <v>4.1</v>
      </c>
      <c r="O2420" t="n">
        <v>936</v>
      </c>
      <c r="Q2420" t="inlineStr">
        <is>
          <t>InStock</t>
        </is>
      </c>
      <c r="R2420" t="inlineStr">
        <is>
          <t>undefined</t>
        </is>
      </c>
      <c r="S2420" t="inlineStr">
        <is>
          <t>279417454602</t>
        </is>
      </c>
    </row>
    <row r="2421" ht="75" customHeight="1">
      <c r="A2421" s="2">
        <f>HYPERLINK("https://camerareadycosmetics.com/products/make-up-for-ever-full-cover-concealer", "https://camerareadycosmetics.com/products/make-up-for-ever-full-cover-concealer")</f>
        <v/>
      </c>
      <c r="B2421" s="2">
        <f>HYPERLINK("https://camerareadycosmetics.com/products/make-up-for-ever-full-cover-concealer", "https://camerareadycosmetics.com/products/make-up-for-ever-full-cover-concealer")</f>
        <v/>
      </c>
      <c r="C2421" t="inlineStr">
        <is>
          <t>Full Cover Concealer</t>
        </is>
      </c>
      <c r="D2421" t="inlineStr">
        <is>
          <t>Waterproof Full Coverage Concealer with Primer Sponge Set, Smooth Matte Flawless Creamy Liquid Foundation Corrector Makeup Kit for Face Eye Dark Circle Spot Acne Scar Cover (0.2Fl, Warm Natural)</t>
        </is>
      </c>
      <c r="E2421" s="2">
        <f>HYPERLINK("https://www.amazon.com/Waterproof-Coverage-Concealer-Foundation-Corrector/dp/B089W5FN7D/ref=sr_1_10?keywords=Full+Cover+Concealer&amp;qid=1695565471&amp;sr=8-10", "https://www.amazon.com/Waterproof-Coverage-Concealer-Foundation-Corrector/dp/B089W5FN7D/ref=sr_1_10?keywords=Full+Cover+Concealer&amp;qid=1695565471&amp;sr=8-10")</f>
        <v/>
      </c>
      <c r="F2421" t="inlineStr">
        <is>
          <t>B089W5FN7D</t>
        </is>
      </c>
      <c r="G2421">
        <f>_xlfn.IMAGE("https://camerareadycosmetics.com/cdn/shop/files/makeup-forever-full_cover_12304_0_50x.jpg?v=1687202300")</f>
        <v/>
      </c>
      <c r="H2421">
        <f>_xlfn.IMAGE("https://m.media-amazon.com/images/I/71U69Ke+PJL._AC_UL320_.jpg")</f>
        <v/>
      </c>
      <c r="K2421" t="inlineStr">
        <is>
          <t>34.0</t>
        </is>
      </c>
      <c r="L2421" t="n">
        <v>9.99</v>
      </c>
      <c r="M2421" s="1" t="inlineStr">
        <is>
          <t>-70.62%</t>
        </is>
      </c>
      <c r="N2421" t="n">
        <v>3.9</v>
      </c>
      <c r="O2421" t="n">
        <v>4894</v>
      </c>
      <c r="Q2421" t="inlineStr">
        <is>
          <t>InStock</t>
        </is>
      </c>
      <c r="R2421" t="inlineStr">
        <is>
          <t>undefined</t>
        </is>
      </c>
      <c r="S2421" t="inlineStr">
        <is>
          <t>279417454602</t>
        </is>
      </c>
    </row>
    <row r="2422" ht="75" customHeight="1">
      <c r="A2422" s="2">
        <f>HYPERLINK("https://camerareadycosmetics.com/products/make-up-for-ever-full-cover-concealer", "https://camerareadycosmetics.com/products/make-up-for-ever-full-cover-concealer")</f>
        <v/>
      </c>
      <c r="B2422" s="2">
        <f>HYPERLINK("https://camerareadycosmetics.com/products/make-up-for-ever-full-cover-concealer", "https://camerareadycosmetics.com/products/make-up-for-ever-full-cover-concealer")</f>
        <v/>
      </c>
      <c r="C2422" t="inlineStr">
        <is>
          <t>Full Cover Concealer</t>
        </is>
      </c>
      <c r="D2422" t="inlineStr">
        <is>
          <t>Pro Full Cover Liquid Concealer, Waterproof Smooth Matte Flawless Finish Creamy Concealer Foundation Corrector for Eye Dark Circles Spots Face Concealer Makeup Base, 6ml/0.20Fl Oz</t>
        </is>
      </c>
      <c r="E2422" s="2">
        <f>HYPERLINK("https://www.amazon.com/Concealer-Waterproof-Flawless-Foundation-Circles/dp/B077VHKM85/ref=sr_1_9?keywords=Full+Cover+Concealer&amp;qid=1695565471&amp;sr=8-9", "https://www.amazon.com/Concealer-Waterproof-Flawless-Foundation-Circles/dp/B077VHKM85/ref=sr_1_9?keywords=Full+Cover+Concealer&amp;qid=1695565471&amp;sr=8-9")</f>
        <v/>
      </c>
      <c r="F2422" t="inlineStr">
        <is>
          <t>B077VHKM85</t>
        </is>
      </c>
      <c r="G2422">
        <f>_xlfn.IMAGE("https://camerareadycosmetics.com/cdn/shop/files/makeup-forever-full_cover_12304_0_50x.jpg?v=1687202300")</f>
        <v/>
      </c>
      <c r="H2422">
        <f>_xlfn.IMAGE("https://m.media-amazon.com/images/I/51ZRHFbCc7L._AC_UL320_.jpg")</f>
        <v/>
      </c>
      <c r="K2422" t="inlineStr">
        <is>
          <t>34.0</t>
        </is>
      </c>
      <c r="L2422" t="n">
        <v>8.99</v>
      </c>
      <c r="M2422" s="1" t="inlineStr">
        <is>
          <t>-73.56%</t>
        </is>
      </c>
      <c r="N2422" t="n">
        <v>3.9</v>
      </c>
      <c r="O2422" t="n">
        <v>1337</v>
      </c>
      <c r="Q2422" t="inlineStr">
        <is>
          <t>InStock</t>
        </is>
      </c>
      <c r="R2422" t="inlineStr">
        <is>
          <t>undefined</t>
        </is>
      </c>
      <c r="S2422" t="inlineStr">
        <is>
          <t>279417454602</t>
        </is>
      </c>
    </row>
    <row r="2423" ht="75" customHeight="1">
      <c r="A2423" s="2">
        <f>HYPERLINK("https://camerareadycosmetics.com/products/make-up-for-ever-full-cover-concealer", "https://camerareadycosmetics.com/products/make-up-for-ever-full-cover-concealer")</f>
        <v/>
      </c>
      <c r="B2423" s="2">
        <f>HYPERLINK("https://camerareadycosmetics.com/products/make-up-for-ever-full-cover-concealer", "https://camerareadycosmetics.com/products/make-up-for-ever-full-cover-concealer")</f>
        <v/>
      </c>
      <c r="C2423" t="inlineStr">
        <is>
          <t>Full Cover Concealer</t>
        </is>
      </c>
      <c r="D2423" t="inlineStr">
        <is>
          <t>NYX PROFESSIONAL MAKEUP Can't Stop Won't Stop Contour Concealer, 24h Full Coverage Matte Finish - Fair</t>
        </is>
      </c>
      <c r="E2423" s="2">
        <f>HYPERLINK("https://www.amazon.com/NYX-PROFESSIONAL-MAKEUP-Contour-Concealer/dp/B07KBD89TB/ref=sr_1_5?keywords=Full+Cover+Concealer&amp;qid=1695565471&amp;sr=8-5", "https://www.amazon.com/NYX-PROFESSIONAL-MAKEUP-Contour-Concealer/dp/B07KBD89TB/ref=sr_1_5?keywords=Full+Cover+Concealer&amp;qid=1695565471&amp;sr=8-5")</f>
        <v/>
      </c>
      <c r="F2423" t="inlineStr">
        <is>
          <t>B07KBD89TB</t>
        </is>
      </c>
      <c r="G2423">
        <f>_xlfn.IMAGE("https://camerareadycosmetics.com/cdn/shop/files/makeup-forever-full_cover_12304_0_50x.jpg?v=1687202300")</f>
        <v/>
      </c>
      <c r="H2423">
        <f>_xlfn.IMAGE("https://m.media-amazon.com/images/I/51cIJOizU5L._AC_UL320_.jpg")</f>
        <v/>
      </c>
      <c r="K2423" t="inlineStr">
        <is>
          <t>34.0</t>
        </is>
      </c>
      <c r="L2423" t="n">
        <v>8.49</v>
      </c>
      <c r="M2423" s="1" t="inlineStr">
        <is>
          <t>-75.03%</t>
        </is>
      </c>
      <c r="N2423" t="n">
        <v>4.4</v>
      </c>
      <c r="O2423" t="n">
        <v>31361</v>
      </c>
      <c r="Q2423" t="inlineStr">
        <is>
          <t>InStock</t>
        </is>
      </c>
      <c r="R2423" t="inlineStr">
        <is>
          <t>undefined</t>
        </is>
      </c>
      <c r="S2423" t="inlineStr">
        <is>
          <t>279417454602</t>
        </is>
      </c>
    </row>
    <row r="2424" ht="75" customHeight="1">
      <c r="A2424" s="2">
        <f>HYPERLINK("https://camerareadycosmetics.com/products/make-up-for-ever-full-cover-concealer", "https://camerareadycosmetics.com/products/make-up-for-ever-full-cover-concealer")</f>
        <v/>
      </c>
      <c r="B2424" s="2">
        <f>HYPERLINK("https://camerareadycosmetics.com/products/make-up-for-ever-full-cover-concealer", "https://camerareadycosmetics.com/products/make-up-for-ever-full-cover-concealer")</f>
        <v/>
      </c>
      <c r="C2424" t="inlineStr">
        <is>
          <t>Full Cover Concealer</t>
        </is>
      </c>
      <c r="D2424" t="inlineStr">
        <is>
          <t>e.l.f. 16HR Camo Concealer, Full Coverage, Highly Pigmented Concealer With Matte Finish, Crease-proof, Vegan &amp; Cruelty-Free, Deep Chestnut, 0.203 Fl Oz</t>
        </is>
      </c>
      <c r="E2424" s="2">
        <f>HYPERLINK("https://www.amazon.com/l-f-Concealer-Fullcoverage-Formula-Chestnut/dp/B07ZVXYB4C/ref=sr_1_6?keywords=Full+Cover+Concealer&amp;qid=1695565471&amp;sr=8-6", "https://www.amazon.com/l-f-Concealer-Fullcoverage-Formula-Chestnut/dp/B07ZVXYB4C/ref=sr_1_6?keywords=Full+Cover+Concealer&amp;qid=1695565471&amp;sr=8-6")</f>
        <v/>
      </c>
      <c r="F2424" t="inlineStr">
        <is>
          <t>B07ZVXYB4C</t>
        </is>
      </c>
      <c r="G2424">
        <f>_xlfn.IMAGE("https://camerareadycosmetics.com/cdn/shop/files/makeup-forever-full_cover_12304_0_50x.jpg?v=1687202300")</f>
        <v/>
      </c>
      <c r="H2424">
        <f>_xlfn.IMAGE("https://m.media-amazon.com/images/I/61yfZ-tGHKL._AC_UL320_.jpg")</f>
        <v/>
      </c>
      <c r="K2424" t="inlineStr">
        <is>
          <t>34.0</t>
        </is>
      </c>
      <c r="L2424" t="n">
        <v>6.49</v>
      </c>
      <c r="M2424" s="1" t="inlineStr">
        <is>
          <t>-80.91%</t>
        </is>
      </c>
      <c r="N2424" t="n">
        <v>4.3</v>
      </c>
      <c r="O2424" t="n">
        <v>78405</v>
      </c>
      <c r="Q2424" t="inlineStr">
        <is>
          <t>InStock</t>
        </is>
      </c>
      <c r="R2424" t="inlineStr">
        <is>
          <t>undefined</t>
        </is>
      </c>
      <c r="S2424" t="inlineStr">
        <is>
          <t>279417454602</t>
        </is>
      </c>
    </row>
    <row r="2425" ht="75" customHeight="1">
      <c r="A2425" s="2">
        <f>HYPERLINK("https://camerareadycosmetics.com/products/make-up-for-ever-full-cover-concealer", "https://camerareadycosmetics.com/products/make-up-for-ever-full-cover-concealer")</f>
        <v/>
      </c>
      <c r="B2425" s="2">
        <f>HYPERLINK("https://camerareadycosmetics.com/products/make-up-for-ever-full-cover-concealer", "https://camerareadycosmetics.com/products/make-up-for-ever-full-cover-concealer")</f>
        <v/>
      </c>
      <c r="C2425" t="inlineStr">
        <is>
          <t>Full Cover Concealer</t>
        </is>
      </c>
      <c r="D2425" t="inlineStr">
        <is>
          <t>Kiss New York Professional ProTouch Full Cover Concealer 12mL (0.40 US fl. oz.) - (Warm Honey)</t>
        </is>
      </c>
      <c r="E2425" s="2">
        <f>HYPERLINK("https://www.amazon.com/Kiss-Professional-ProTouch-Cover-Concealer/dp/B08GHH3849/ref=sr_1_4?keywords=Full+Cover+Concealer&amp;qid=1695565471&amp;sr=8-4", "https://www.amazon.com/Kiss-Professional-ProTouch-Cover-Concealer/dp/B08GHH3849/ref=sr_1_4?keywords=Full+Cover+Concealer&amp;qid=1695565471&amp;sr=8-4")</f>
        <v/>
      </c>
      <c r="F2425" t="inlineStr">
        <is>
          <t>B08GHH3849</t>
        </is>
      </c>
      <c r="G2425">
        <f>_xlfn.IMAGE("https://camerareadycosmetics.com/cdn/shop/files/makeup-forever-full_cover_12304_0_50x.jpg?v=1687202300")</f>
        <v/>
      </c>
      <c r="H2425">
        <f>_xlfn.IMAGE("https://m.media-amazon.com/images/I/61CdDyL3xOS._AC_UL320_.jpg")</f>
        <v/>
      </c>
      <c r="K2425" t="inlineStr">
        <is>
          <t>34.0</t>
        </is>
      </c>
      <c r="L2425" t="n">
        <v>5.99</v>
      </c>
      <c r="M2425" s="1" t="inlineStr">
        <is>
          <t>-82.38%</t>
        </is>
      </c>
      <c r="N2425" t="n">
        <v>4.5</v>
      </c>
      <c r="O2425" t="n">
        <v>295</v>
      </c>
      <c r="Q2425" t="inlineStr">
        <is>
          <t>InStock</t>
        </is>
      </c>
      <c r="R2425" t="inlineStr">
        <is>
          <t>undefined</t>
        </is>
      </c>
      <c r="S2425" t="inlineStr">
        <is>
          <t>279417454602</t>
        </is>
      </c>
    </row>
    <row r="2426" ht="75" customHeight="1">
      <c r="A2426" s="2">
        <f>HYPERLINK("https://camerareadycosmetics.com/products/make-up-for-ever-full-cover-concealer", "https://camerareadycosmetics.com/products/make-up-for-ever-full-cover-concealer")</f>
        <v/>
      </c>
      <c r="B2426" s="2">
        <f>HYPERLINK("https://camerareadycosmetics.com/products/make-up-for-ever-full-cover-concealer", "https://camerareadycosmetics.com/products/make-up-for-ever-full-cover-concealer")</f>
        <v/>
      </c>
      <c r="C2426" t="inlineStr">
        <is>
          <t>Full Cover Concealer</t>
        </is>
      </c>
      <c r="D2426" t="inlineStr">
        <is>
          <t>3 Pack Pro Full Cover Liquid Concealer, Waterproof Smooth Matte Flawless Finish Creamy Concealer Foundation for Eye Dark Circles Spot Face Concealer Makeup, Warm Natural, 3×6ml/0.20Fl Oz</t>
        </is>
      </c>
      <c r="E2426" s="2">
        <f>HYPERLINK("https://www.amazon.com/Concealer-Waterproof-Flawless-Foundation-Circles/dp/B085Y49CFP/ref=sr_1_8?keywords=Full+Cover+Concealer&amp;qid=1695565471&amp;sr=8-8", "https://www.amazon.com/Concealer-Waterproof-Flawless-Foundation-Circles/dp/B085Y49CFP/ref=sr_1_8?keywords=Full+Cover+Concealer&amp;qid=1695565471&amp;sr=8-8")</f>
        <v/>
      </c>
      <c r="F2426" t="inlineStr">
        <is>
          <t>B085Y49CFP</t>
        </is>
      </c>
      <c r="G2426">
        <f>_xlfn.IMAGE("https://camerareadycosmetics.com/cdn/shop/files/makeup-forever-full_cover_12304_0_50x.jpg?v=1687202300")</f>
        <v/>
      </c>
      <c r="H2426">
        <f>_xlfn.IMAGE("https://m.media-amazon.com/images/I/71JTDw2NuZL._AC_UL320_.jpg")</f>
        <v/>
      </c>
      <c r="K2426" t="inlineStr">
        <is>
          <t>34.0</t>
        </is>
      </c>
      <c r="L2426" t="n">
        <v>13.99</v>
      </c>
      <c r="M2426" s="1" t="inlineStr">
        <is>
          <t>-58.85%</t>
        </is>
      </c>
      <c r="N2426" t="n">
        <v>4.1</v>
      </c>
      <c r="O2426" t="n">
        <v>936</v>
      </c>
      <c r="Q2426" t="inlineStr">
        <is>
          <t>InStock</t>
        </is>
      </c>
      <c r="R2426" t="inlineStr">
        <is>
          <t>undefined</t>
        </is>
      </c>
      <c r="S2426" t="inlineStr">
        <is>
          <t>279417454602</t>
        </is>
      </c>
    </row>
    <row r="2427" ht="75" customHeight="1">
      <c r="A2427" s="2">
        <f>HYPERLINK("https://camerareadycosmetics.com/products/make-up-for-ever-full-cover-concealer", "https://camerareadycosmetics.com/products/make-up-for-ever-full-cover-concealer")</f>
        <v/>
      </c>
      <c r="B2427" s="2">
        <f>HYPERLINK("https://camerareadycosmetics.com/products/make-up-for-ever-full-cover-concealer", "https://camerareadycosmetics.com/products/make-up-for-ever-full-cover-concealer")</f>
        <v/>
      </c>
      <c r="C2427" t="inlineStr">
        <is>
          <t>Full Cover Concealer</t>
        </is>
      </c>
      <c r="D2427" t="inlineStr">
        <is>
          <t>Waterproof Full Coverage Concealer with Primer Sponge Set, Smooth Matte Flawless Creamy Liquid Foundation Corrector Makeup Kit for Face Eye Dark Circle Spot Acne Scar Cover (0.2Fl, Warm Natural)</t>
        </is>
      </c>
      <c r="E2427" s="2">
        <f>HYPERLINK("https://www.amazon.com/Waterproof-Coverage-Concealer-Foundation-Corrector/dp/B089W5FN7D/ref=sr_1_10?keywords=Full+Cover+Concealer&amp;qid=1695565471&amp;sr=8-10", "https://www.amazon.com/Waterproof-Coverage-Concealer-Foundation-Corrector/dp/B089W5FN7D/ref=sr_1_10?keywords=Full+Cover+Concealer&amp;qid=1695565471&amp;sr=8-10")</f>
        <v/>
      </c>
      <c r="F2427" t="inlineStr">
        <is>
          <t>B089W5FN7D</t>
        </is>
      </c>
      <c r="G2427">
        <f>_xlfn.IMAGE("https://camerareadycosmetics.com/cdn/shop/files/makeup-forever-full_cover_12304_0_50x.jpg?v=1687202300")</f>
        <v/>
      </c>
      <c r="H2427">
        <f>_xlfn.IMAGE("https://m.media-amazon.com/images/I/71U69Ke+PJL._AC_UL320_.jpg")</f>
        <v/>
      </c>
      <c r="K2427" t="inlineStr">
        <is>
          <t>34.0</t>
        </is>
      </c>
      <c r="L2427" t="n">
        <v>9.99</v>
      </c>
      <c r="M2427" s="1" t="inlineStr">
        <is>
          <t>-70.62%</t>
        </is>
      </c>
      <c r="N2427" t="n">
        <v>3.9</v>
      </c>
      <c r="O2427" t="n">
        <v>4894</v>
      </c>
      <c r="Q2427" t="inlineStr">
        <is>
          <t>InStock</t>
        </is>
      </c>
      <c r="R2427" t="inlineStr">
        <is>
          <t>undefined</t>
        </is>
      </c>
      <c r="S2427" t="inlineStr">
        <is>
          <t>279417454602</t>
        </is>
      </c>
    </row>
    <row r="2428" ht="75" customHeight="1">
      <c r="A2428" s="2">
        <f>HYPERLINK("https://camerareadycosmetics.com/products/make-up-for-ever-full-cover-concealer", "https://camerareadycosmetics.com/products/make-up-for-ever-full-cover-concealer")</f>
        <v/>
      </c>
      <c r="B2428" s="2">
        <f>HYPERLINK("https://camerareadycosmetics.com/products/make-up-for-ever-full-cover-concealer", "https://camerareadycosmetics.com/products/make-up-for-ever-full-cover-concealer")</f>
        <v/>
      </c>
      <c r="C2428" t="inlineStr">
        <is>
          <t>Full Cover Concealer</t>
        </is>
      </c>
      <c r="D2428" t="inlineStr">
        <is>
          <t>Pro Full Cover Liquid Concealer, Waterproof Smooth Matte Flawless Finish Creamy Concealer Foundation Corrector for Eye Dark Circles Spots Face Concealer Makeup Base, 6ml/0.20Fl Oz</t>
        </is>
      </c>
      <c r="E2428" s="2">
        <f>HYPERLINK("https://www.amazon.com/Concealer-Waterproof-Flawless-Foundation-Circles/dp/B077VHKM85/ref=sr_1_9?keywords=Full+Cover+Concealer&amp;qid=1695565471&amp;sr=8-9", "https://www.amazon.com/Concealer-Waterproof-Flawless-Foundation-Circles/dp/B077VHKM85/ref=sr_1_9?keywords=Full+Cover+Concealer&amp;qid=1695565471&amp;sr=8-9")</f>
        <v/>
      </c>
      <c r="F2428" t="inlineStr">
        <is>
          <t>B077VHKM85</t>
        </is>
      </c>
      <c r="G2428">
        <f>_xlfn.IMAGE("https://camerareadycosmetics.com/cdn/shop/files/makeup-forever-full_cover_12304_0_50x.jpg?v=1687202300")</f>
        <v/>
      </c>
      <c r="H2428">
        <f>_xlfn.IMAGE("https://m.media-amazon.com/images/I/51ZRHFbCc7L._AC_UL320_.jpg")</f>
        <v/>
      </c>
      <c r="K2428" t="inlineStr">
        <is>
          <t>34.0</t>
        </is>
      </c>
      <c r="L2428" t="n">
        <v>8.99</v>
      </c>
      <c r="M2428" s="1" t="inlineStr">
        <is>
          <t>-73.56%</t>
        </is>
      </c>
      <c r="N2428" t="n">
        <v>3.9</v>
      </c>
      <c r="O2428" t="n">
        <v>1337</v>
      </c>
      <c r="Q2428" t="inlineStr">
        <is>
          <t>InStock</t>
        </is>
      </c>
      <c r="R2428" t="inlineStr">
        <is>
          <t>undefined</t>
        </is>
      </c>
      <c r="S2428" t="inlineStr">
        <is>
          <t>279417454602</t>
        </is>
      </c>
    </row>
    <row r="2429" ht="75" customHeight="1">
      <c r="A2429" s="2">
        <f>HYPERLINK("https://camerareadycosmetics.com/products/make-up-for-ever-full-cover-concealer", "https://camerareadycosmetics.com/products/make-up-for-ever-full-cover-concealer")</f>
        <v/>
      </c>
      <c r="B2429" s="2">
        <f>HYPERLINK("https://camerareadycosmetics.com/products/make-up-for-ever-full-cover-concealer", "https://camerareadycosmetics.com/products/make-up-for-ever-full-cover-concealer")</f>
        <v/>
      </c>
      <c r="C2429" t="inlineStr">
        <is>
          <t>Full Cover Concealer</t>
        </is>
      </c>
      <c r="D2429" t="inlineStr">
        <is>
          <t>NYX PROFESSIONAL MAKEUP Can't Stop Won't Stop Contour Concealer, 24h Full Coverage Matte Finish - Fair</t>
        </is>
      </c>
      <c r="E2429" s="2">
        <f>HYPERLINK("https://www.amazon.com/NYX-PROFESSIONAL-MAKEUP-Contour-Concealer/dp/B07KBD89TB/ref=sr_1_5?keywords=Full+Cover+Concealer&amp;qid=1695565471&amp;sr=8-5", "https://www.amazon.com/NYX-PROFESSIONAL-MAKEUP-Contour-Concealer/dp/B07KBD89TB/ref=sr_1_5?keywords=Full+Cover+Concealer&amp;qid=1695565471&amp;sr=8-5")</f>
        <v/>
      </c>
      <c r="F2429" t="inlineStr">
        <is>
          <t>B07KBD89TB</t>
        </is>
      </c>
      <c r="G2429">
        <f>_xlfn.IMAGE("https://camerareadycosmetics.com/cdn/shop/files/makeup-forever-full_cover_12304_0_50x.jpg?v=1687202300")</f>
        <v/>
      </c>
      <c r="H2429">
        <f>_xlfn.IMAGE("https://m.media-amazon.com/images/I/51cIJOizU5L._AC_UL320_.jpg")</f>
        <v/>
      </c>
      <c r="K2429" t="inlineStr">
        <is>
          <t>34.0</t>
        </is>
      </c>
      <c r="L2429" t="n">
        <v>8.49</v>
      </c>
      <c r="M2429" s="1" t="inlineStr">
        <is>
          <t>-75.03%</t>
        </is>
      </c>
      <c r="N2429" t="n">
        <v>4.4</v>
      </c>
      <c r="O2429" t="n">
        <v>31361</v>
      </c>
      <c r="Q2429" t="inlineStr">
        <is>
          <t>InStock</t>
        </is>
      </c>
      <c r="R2429" t="inlineStr">
        <is>
          <t>undefined</t>
        </is>
      </c>
      <c r="S2429" t="inlineStr">
        <is>
          <t>279417454602</t>
        </is>
      </c>
    </row>
    <row r="2430" ht="75" customHeight="1">
      <c r="A2430" s="2">
        <f>HYPERLINK("https://camerareadycosmetics.com/products/make-up-for-ever-full-cover-concealer", "https://camerareadycosmetics.com/products/make-up-for-ever-full-cover-concealer")</f>
        <v/>
      </c>
      <c r="B2430" s="2">
        <f>HYPERLINK("https://camerareadycosmetics.com/products/make-up-for-ever-full-cover-concealer", "https://camerareadycosmetics.com/products/make-up-for-ever-full-cover-concealer")</f>
        <v/>
      </c>
      <c r="C2430" t="inlineStr">
        <is>
          <t>Full Cover Concealer</t>
        </is>
      </c>
      <c r="D2430" t="inlineStr">
        <is>
          <t>e.l.f. 16HR Camo Concealer, Full Coverage, Highly Pigmented Concealer With Matte Finish, Crease-proof, Vegan &amp; Cruelty-Free, Deep Chestnut, 0.203 Fl Oz</t>
        </is>
      </c>
      <c r="E2430" s="2">
        <f>HYPERLINK("https://www.amazon.com/l-f-Concealer-Fullcoverage-Formula-Chestnut/dp/B07ZVXYB4C/ref=sr_1_6?keywords=Full+Cover+Concealer&amp;qid=1695565471&amp;sr=8-6", "https://www.amazon.com/l-f-Concealer-Fullcoverage-Formula-Chestnut/dp/B07ZVXYB4C/ref=sr_1_6?keywords=Full+Cover+Concealer&amp;qid=1695565471&amp;sr=8-6")</f>
        <v/>
      </c>
      <c r="F2430" t="inlineStr">
        <is>
          <t>B07ZVXYB4C</t>
        </is>
      </c>
      <c r="G2430">
        <f>_xlfn.IMAGE("https://camerareadycosmetics.com/cdn/shop/files/makeup-forever-full_cover_12304_0_50x.jpg?v=1687202300")</f>
        <v/>
      </c>
      <c r="H2430">
        <f>_xlfn.IMAGE("https://m.media-amazon.com/images/I/61yfZ-tGHKL._AC_UL320_.jpg")</f>
        <v/>
      </c>
      <c r="K2430" t="inlineStr">
        <is>
          <t>34.0</t>
        </is>
      </c>
      <c r="L2430" t="n">
        <v>6.49</v>
      </c>
      <c r="M2430" s="1" t="inlineStr">
        <is>
          <t>-80.91%</t>
        </is>
      </c>
      <c r="N2430" t="n">
        <v>4.3</v>
      </c>
      <c r="O2430" t="n">
        <v>78405</v>
      </c>
      <c r="Q2430" t="inlineStr">
        <is>
          <t>InStock</t>
        </is>
      </c>
      <c r="R2430" t="inlineStr">
        <is>
          <t>undefined</t>
        </is>
      </c>
      <c r="S2430" t="inlineStr">
        <is>
          <t>279417454602</t>
        </is>
      </c>
    </row>
    <row r="2431" ht="75" customHeight="1">
      <c r="A2431" s="2">
        <f>HYPERLINK("https://camerareadycosmetics.com/products/make-up-for-ever-full-cover-concealer", "https://camerareadycosmetics.com/products/make-up-for-ever-full-cover-concealer")</f>
        <v/>
      </c>
      <c r="B2431" s="2">
        <f>HYPERLINK("https://camerareadycosmetics.com/products/make-up-for-ever-full-cover-concealer", "https://camerareadycosmetics.com/products/make-up-for-ever-full-cover-concealer")</f>
        <v/>
      </c>
      <c r="C2431" t="inlineStr">
        <is>
          <t>Full Cover Concealer</t>
        </is>
      </c>
      <c r="D2431" t="inlineStr">
        <is>
          <t>Kiss New York Professional ProTouch Full Cover Concealer 12mL (0.40 US fl. oz.) - (Warm Honey)</t>
        </is>
      </c>
      <c r="E2431" s="2">
        <f>HYPERLINK("https://www.amazon.com/Kiss-Professional-ProTouch-Cover-Concealer/dp/B08GHH3849/ref=sr_1_4?keywords=Full+Cover+Concealer&amp;qid=1695565471&amp;sr=8-4", "https://www.amazon.com/Kiss-Professional-ProTouch-Cover-Concealer/dp/B08GHH3849/ref=sr_1_4?keywords=Full+Cover+Concealer&amp;qid=1695565471&amp;sr=8-4")</f>
        <v/>
      </c>
      <c r="F2431" t="inlineStr">
        <is>
          <t>B08GHH3849</t>
        </is>
      </c>
      <c r="G2431">
        <f>_xlfn.IMAGE("https://camerareadycosmetics.com/cdn/shop/files/makeup-forever-full_cover_12304_0_50x.jpg?v=1687202300")</f>
        <v/>
      </c>
      <c r="H2431">
        <f>_xlfn.IMAGE("https://m.media-amazon.com/images/I/61CdDyL3xOS._AC_UL320_.jpg")</f>
        <v/>
      </c>
      <c r="K2431" t="inlineStr">
        <is>
          <t>34.0</t>
        </is>
      </c>
      <c r="L2431" t="n">
        <v>5.99</v>
      </c>
      <c r="M2431" s="1" t="inlineStr">
        <is>
          <t>-82.38%</t>
        </is>
      </c>
      <c r="N2431" t="n">
        <v>4.5</v>
      </c>
      <c r="O2431" t="n">
        <v>295</v>
      </c>
      <c r="Q2431" t="inlineStr">
        <is>
          <t>InStock</t>
        </is>
      </c>
      <c r="R2431" t="inlineStr">
        <is>
          <t>undefined</t>
        </is>
      </c>
      <c r="S2431" t="inlineStr">
        <is>
          <t>279417454602</t>
        </is>
      </c>
    </row>
    <row r="2432" ht="75" customHeight="1">
      <c r="A2432" s="2">
        <f>HYPERLINK("https://camerareadycosmetics.com/products/make-up-for-ever-hd-skin-concealer", "https://camerareadycosmetics.com/products/make-up-for-ever-hd-skin-concealer")</f>
        <v/>
      </c>
      <c r="B2432" s="2">
        <f>HYPERLINK("https://camerareadycosmetics.com/products/make-up-for-ever-hd-skin-concealer", "https://camerareadycosmetics.com/products/make-up-for-ever-hd-skin-concealer")</f>
        <v/>
      </c>
      <c r="C2432" t="inlineStr">
        <is>
          <t>HD Skin Concealer</t>
        </is>
      </c>
      <c r="D2432" t="inlineStr">
        <is>
          <t>Sistar it's U Skin Perfecting HD Concealer Full Coverage Lightweight Long Lasting Correcting Liquid Contour Cover Masker Makeup 5 ml / 0.17 fl. oz (Ivory)</t>
        </is>
      </c>
      <c r="E2432" s="2">
        <f>HYPERLINK("https://www.amazon.com/Sistar-Perfecting-Concealer-Coverage-Contour/dp/B07BB6JQLH/ref=sr_1_7?keywords=HD+Skin+Concealer&amp;qid=1695565658&amp;sr=8-7", "https://www.amazon.com/Sistar-Perfecting-Concealer-Coverage-Contour/dp/B07BB6JQLH/ref=sr_1_7?keywords=HD+Skin+Concealer&amp;qid=1695565658&amp;sr=8-7")</f>
        <v/>
      </c>
      <c r="F2432" t="inlineStr">
        <is>
          <t>B07BB6JQLH</t>
        </is>
      </c>
      <c r="G2432">
        <f>_xlfn.IMAGE("https://camerareadycosmetics.com/cdn/shop/products/PACKSHOT-HDSKINCONCEALER2023-1.6-RVB_1_50x.jpg?v=1689783458")</f>
        <v/>
      </c>
      <c r="H2432">
        <f>_xlfn.IMAGE("https://m.media-amazon.com/images/I/51yUPwtY4LL._AC_UL320_.jpg")</f>
        <v/>
      </c>
      <c r="K2432" t="inlineStr">
        <is>
          <t>29.0</t>
        </is>
      </c>
      <c r="L2432" t="n">
        <v>5.99</v>
      </c>
      <c r="M2432" s="1" t="inlineStr">
        <is>
          <t>-79.34%</t>
        </is>
      </c>
      <c r="N2432" t="n">
        <v>4.6</v>
      </c>
      <c r="O2432" t="n">
        <v>19</v>
      </c>
      <c r="Q2432" t="inlineStr">
        <is>
          <t>InStock</t>
        </is>
      </c>
      <c r="R2432" t="inlineStr">
        <is>
          <t>undefined</t>
        </is>
      </c>
      <c r="S2432" t="inlineStr">
        <is>
          <t>7599766208697</t>
        </is>
      </c>
    </row>
    <row r="2433" ht="75" customHeight="1">
      <c r="A2433" s="2">
        <f>HYPERLINK("https://camerareadycosmetics.com/products/make-up-for-ever-hd-skin-concealer", "https://camerareadycosmetics.com/products/make-up-for-ever-hd-skin-concealer")</f>
        <v/>
      </c>
      <c r="B2433" s="2">
        <f>HYPERLINK("https://camerareadycosmetics.com/products/make-up-for-ever-hd-skin-concealer", "https://camerareadycosmetics.com/products/make-up-for-ever-hd-skin-concealer")</f>
        <v/>
      </c>
      <c r="C2433" t="inlineStr">
        <is>
          <t>HD Skin Concealer</t>
        </is>
      </c>
      <c r="D2433" t="inlineStr">
        <is>
          <t>Sistar it's U Skin Perfecting HD Concealer Full Coverage Lightweight Long Lasting Correcting Liquid Contour Cover Masker Makeup 5 ml / 0.17 fl. oz (Ivory)</t>
        </is>
      </c>
      <c r="E2433" s="2">
        <f>HYPERLINK("https://www.amazon.com/Sistar-Perfecting-Concealer-Coverage-Contour/dp/B07BB6JQLH/ref=sr_1_7?keywords=HD+Skin+Concealer&amp;qid=1695565658&amp;sr=8-7", "https://www.amazon.com/Sistar-Perfecting-Concealer-Coverage-Contour/dp/B07BB6JQLH/ref=sr_1_7?keywords=HD+Skin+Concealer&amp;qid=1695565658&amp;sr=8-7")</f>
        <v/>
      </c>
      <c r="F2433" t="inlineStr">
        <is>
          <t>B07BB6JQLH</t>
        </is>
      </c>
      <c r="G2433">
        <f>_xlfn.IMAGE("https://camerareadycosmetics.com/cdn/shop/products/PACKSHOT-HDSKINCONCEALER2023-1.6-RVB_1_50x.jpg?v=1689783458")</f>
        <v/>
      </c>
      <c r="H2433">
        <f>_xlfn.IMAGE("https://m.media-amazon.com/images/I/51yUPwtY4LL._AC_UL320_.jpg")</f>
        <v/>
      </c>
      <c r="K2433" t="inlineStr">
        <is>
          <t>29.0</t>
        </is>
      </c>
      <c r="L2433" t="n">
        <v>5.99</v>
      </c>
      <c r="M2433" s="1" t="inlineStr">
        <is>
          <t>-79.34%</t>
        </is>
      </c>
      <c r="N2433" t="n">
        <v>4.6</v>
      </c>
      <c r="O2433" t="n">
        <v>19</v>
      </c>
      <c r="Q2433" t="inlineStr">
        <is>
          <t>InStock</t>
        </is>
      </c>
      <c r="R2433" t="inlineStr">
        <is>
          <t>undefined</t>
        </is>
      </c>
      <c r="S2433" t="inlineStr">
        <is>
          <t>7599766208697</t>
        </is>
      </c>
    </row>
    <row r="2434" ht="75" customHeight="1">
      <c r="A2434" s="2">
        <f>HYPERLINK("https://camerareadycosmetics.com/products/make-up-for-ever-hd-skin-foundation-30ml", "https://camerareadycosmetics.com/products/make-up-for-ever-hd-skin-foundation-30ml")</f>
        <v/>
      </c>
      <c r="B2434" s="2">
        <f>HYPERLINK("https://camerareadycosmetics.com/products/make-up-for-ever-hd-skin-foundation-30ml", "https://camerareadycosmetics.com/products/make-up-for-ever-hd-skin-foundation-30ml")</f>
        <v/>
      </c>
      <c r="C2434" t="inlineStr">
        <is>
          <t>HD Skin Foundation 30ml</t>
        </is>
      </c>
      <c r="D2434" t="inlineStr">
        <is>
          <t>MAKE UP FOR EVER Ultra HD Foundation - Invisible Cover Foundation 30ml R410 - Golden Beige</t>
        </is>
      </c>
      <c r="E2434" s="2">
        <f>HYPERLINK("https://www.amazon.com/MAKE-EVER-Ultra-Foundation-Invisible/dp/B0725QCXL6/ref=sr_1_5?keywords=HD+Skin+Foundation+30ml&amp;qid=1695565453&amp;sr=8-5", "https://www.amazon.com/MAKE-EVER-Ultra-Foundation-Invisible/dp/B0725QCXL6/ref=sr_1_5?keywords=HD+Skin+Foundation+30ml&amp;qid=1695565453&amp;sr=8-5")</f>
        <v/>
      </c>
      <c r="F2434" t="inlineStr">
        <is>
          <t>B0725QCXL6</t>
        </is>
      </c>
      <c r="G2434">
        <f>_xlfn.IMAGE("https://camerareadycosmetics.com/cdn/shop/products/US-3548752185158_I000075100_HD-SKIN-FOUNDATION-22-30ML-1N00_Face_9_50x.jpg?v=1649779208")</f>
        <v/>
      </c>
      <c r="H2434">
        <f>_xlfn.IMAGE("https://m.media-amazon.com/images/I/611sqJNp2vL._AC_UL320_.jpg")</f>
        <v/>
      </c>
      <c r="K2434" t="inlineStr">
        <is>
          <t>45.0</t>
        </is>
      </c>
      <c r="L2434" t="n">
        <v>99.95</v>
      </c>
      <c r="M2434" s="1" t="inlineStr">
        <is>
          <t>122.11%</t>
        </is>
      </c>
      <c r="N2434" t="n">
        <v>4.3</v>
      </c>
      <c r="O2434" t="n">
        <v>17</v>
      </c>
      <c r="Q2434" t="inlineStr">
        <is>
          <t>InStock</t>
        </is>
      </c>
      <c r="R2434" t="inlineStr">
        <is>
          <t>undefined</t>
        </is>
      </c>
      <c r="S2434" t="inlineStr">
        <is>
          <t>7160984764601</t>
        </is>
      </c>
    </row>
    <row r="2435" ht="75" customHeight="1">
      <c r="A2435" s="2">
        <f>HYPERLINK("https://camerareadycosmetics.com/products/make-up-for-ever-hd-skin-foundation-30ml", "https://camerareadycosmetics.com/products/make-up-for-ever-hd-skin-foundation-30ml")</f>
        <v/>
      </c>
      <c r="B2435" s="2">
        <f>HYPERLINK("https://camerareadycosmetics.com/products/make-up-for-ever-hd-skin-foundation-30ml", "https://camerareadycosmetics.com/products/make-up-for-ever-hd-skin-foundation-30ml")</f>
        <v/>
      </c>
      <c r="C2435" t="inlineStr">
        <is>
          <t>HD Skin Foundation 30ml</t>
        </is>
      </c>
      <c r="D2435" t="inlineStr">
        <is>
          <t>MAKE UP FOR EVER Ultra HD Foundation - Invisible Cover Foundation 30ml R210 - Pink Albaster</t>
        </is>
      </c>
      <c r="E2435" s="2">
        <f>HYPERLINK("https://www.amazon.com/MAKE-EVER-Ultra-Foundation-Invisible/dp/B0716YHFJH/ref=sr_1_6?keywords=HD+Skin+Foundation+30ml&amp;qid=1695565453&amp;sr=8-6", "https://www.amazon.com/MAKE-EVER-Ultra-Foundation-Invisible/dp/B0716YHFJH/ref=sr_1_6?keywords=HD+Skin+Foundation+30ml&amp;qid=1695565453&amp;sr=8-6")</f>
        <v/>
      </c>
      <c r="F2435" t="inlineStr">
        <is>
          <t>B0716YHFJH</t>
        </is>
      </c>
      <c r="G2435">
        <f>_xlfn.IMAGE("https://camerareadycosmetics.com/cdn/shop/products/US-3548752185158_I000075100_HD-SKIN-FOUNDATION-22-30ML-1N00_Face_9_50x.jpg?v=1649779208")</f>
        <v/>
      </c>
      <c r="H2435">
        <f>_xlfn.IMAGE("https://m.media-amazon.com/images/I/614UbHuZJFL._AC_UL320_.jpg")</f>
        <v/>
      </c>
      <c r="K2435" t="inlineStr">
        <is>
          <t>45.0</t>
        </is>
      </c>
      <c r="L2435" t="n">
        <v>78.66</v>
      </c>
      <c r="M2435" s="1" t="inlineStr">
        <is>
          <t>74.80%</t>
        </is>
      </c>
      <c r="N2435" t="n">
        <v>4.5</v>
      </c>
      <c r="O2435" t="n">
        <v>853</v>
      </c>
      <c r="Q2435" t="inlineStr">
        <is>
          <t>InStock</t>
        </is>
      </c>
      <c r="R2435" t="inlineStr">
        <is>
          <t>undefined</t>
        </is>
      </c>
      <c r="S2435" t="inlineStr">
        <is>
          <t>7160984764601</t>
        </is>
      </c>
    </row>
    <row r="2436" ht="75" customHeight="1">
      <c r="A2436" s="2">
        <f>HYPERLINK("https://camerareadycosmetics.com/products/make-up-for-ever-hd-skin-foundation-30ml", "https://camerareadycosmetics.com/products/make-up-for-ever-hd-skin-foundation-30ml")</f>
        <v/>
      </c>
      <c r="B2436" s="2">
        <f>HYPERLINK("https://camerareadycosmetics.com/products/make-up-for-ever-hd-skin-foundation-30ml", "https://camerareadycosmetics.com/products/make-up-for-ever-hd-skin-foundation-30ml")</f>
        <v/>
      </c>
      <c r="C2436" t="inlineStr">
        <is>
          <t>HD Skin Foundation 30ml</t>
        </is>
      </c>
      <c r="D2436" t="inlineStr">
        <is>
          <t>Make Up For Ever Ultra HD Invisible Cover Foundation - # Y385 (Olive Beige) 30ml/1.01oz</t>
        </is>
      </c>
      <c r="E2436" s="2">
        <f>HYPERLINK("https://www.amazon.com/Make-Up-Ever-Invisible-Foundation/dp/B071LLSKSW/ref=sr_1_4?keywords=HD+Skin+Foundation+30ml&amp;qid=1695565453&amp;sr=8-4", "https://www.amazon.com/Make-Up-Ever-Invisible-Foundation/dp/B071LLSKSW/ref=sr_1_4?keywords=HD+Skin+Foundation+30ml&amp;qid=1695565453&amp;sr=8-4")</f>
        <v/>
      </c>
      <c r="F2436" t="inlineStr">
        <is>
          <t>B071LLSKSW</t>
        </is>
      </c>
      <c r="G2436">
        <f>_xlfn.IMAGE("https://camerareadycosmetics.com/cdn/shop/products/US-3548752185158_I000075100_HD-SKIN-FOUNDATION-22-30ML-1N00_Face_9_50x.jpg?v=1649779208")</f>
        <v/>
      </c>
      <c r="H2436">
        <f>_xlfn.IMAGE("https://m.media-amazon.com/images/I/61jNqBaIkEL._AC_UL320_.jpg")</f>
        <v/>
      </c>
      <c r="K2436" t="inlineStr">
        <is>
          <t>45.0</t>
        </is>
      </c>
      <c r="L2436" t="n">
        <v>49.99</v>
      </c>
      <c r="M2436" s="1" t="inlineStr">
        <is>
          <t>11.09%</t>
        </is>
      </c>
      <c r="N2436" t="n">
        <v>4</v>
      </c>
      <c r="O2436" t="n">
        <v>6</v>
      </c>
      <c r="Q2436" t="inlineStr">
        <is>
          <t>InStock</t>
        </is>
      </c>
      <c r="R2436" t="inlineStr">
        <is>
          <t>undefined</t>
        </is>
      </c>
      <c r="S2436" t="inlineStr">
        <is>
          <t>7160984764601</t>
        </is>
      </c>
    </row>
    <row r="2437" ht="75" customHeight="1">
      <c r="A2437" s="2">
        <f>HYPERLINK("https://camerareadycosmetics.com/products/make-up-for-ever-hd-skin-foundation-30ml", "https://camerareadycosmetics.com/products/make-up-for-ever-hd-skin-foundation-30ml")</f>
        <v/>
      </c>
      <c r="B2437" s="2">
        <f>HYPERLINK("https://camerareadycosmetics.com/products/make-up-for-ever-hd-skin-foundation-30ml", "https://camerareadycosmetics.com/products/make-up-for-ever-hd-skin-foundation-30ml")</f>
        <v/>
      </c>
      <c r="C2437" t="inlineStr">
        <is>
          <t>HD Skin Foundation 30ml</t>
        </is>
      </c>
      <c r="D2437" t="inlineStr">
        <is>
          <t>MAKE UP FOR EVER Ultra HD Foundation - Invisible Cover Foundation 30ml R530 - Brown</t>
        </is>
      </c>
      <c r="E2437" s="2">
        <f>HYPERLINK("https://www.amazon.com/MAKE-EVER-Ultra-Foundation-Invisible/dp/B071S7MQ7Z/ref=sr_1_1?keywords=HD+Skin+Foundation+30ml&amp;qid=1695565453&amp;sr=8-1", "https://www.amazon.com/MAKE-EVER-Ultra-Foundation-Invisible/dp/B071S7MQ7Z/ref=sr_1_1?keywords=HD+Skin+Foundation+30ml&amp;qid=1695565453&amp;sr=8-1")</f>
        <v/>
      </c>
      <c r="F2437" t="inlineStr">
        <is>
          <t>B071S7MQ7Z</t>
        </is>
      </c>
      <c r="G2437">
        <f>_xlfn.IMAGE("https://camerareadycosmetics.com/cdn/shop/products/US-3548752185158_I000075100_HD-SKIN-FOUNDATION-22-30ML-1N00_Face_9_50x.jpg?v=1649779208")</f>
        <v/>
      </c>
      <c r="H2437">
        <f>_xlfn.IMAGE("https://m.media-amazon.com/images/I/61PJVpCQHPL._AC_UL320_.jpg")</f>
        <v/>
      </c>
      <c r="K2437" t="inlineStr">
        <is>
          <t>45.0</t>
        </is>
      </c>
      <c r="L2437" t="n">
        <v>40.93</v>
      </c>
      <c r="M2437" s="1" t="inlineStr">
        <is>
          <t>-9.04%</t>
        </is>
      </c>
      <c r="N2437" t="n">
        <v>4</v>
      </c>
      <c r="O2437" t="n">
        <v>6</v>
      </c>
      <c r="Q2437" t="inlineStr">
        <is>
          <t>InStock</t>
        </is>
      </c>
      <c r="R2437" t="inlineStr">
        <is>
          <t>undefined</t>
        </is>
      </c>
      <c r="S2437" t="inlineStr">
        <is>
          <t>7160984764601</t>
        </is>
      </c>
    </row>
    <row r="2438" ht="75" customHeight="1">
      <c r="A2438" s="2">
        <f>HYPERLINK("https://camerareadycosmetics.com/products/make-up-for-ever-hd-skin-foundation-30ml", "https://camerareadycosmetics.com/products/make-up-for-ever-hd-skin-foundation-30ml")</f>
        <v/>
      </c>
      <c r="B2438" s="2">
        <f>HYPERLINK("https://camerareadycosmetics.com/products/make-up-for-ever-hd-skin-foundation-30ml", "https://camerareadycosmetics.com/products/make-up-for-ever-hd-skin-foundation-30ml")</f>
        <v/>
      </c>
      <c r="C2438" t="inlineStr">
        <is>
          <t>HD Skin Foundation 30ml</t>
        </is>
      </c>
      <c r="D2438" t="inlineStr">
        <is>
          <t>MAKE UP FOR EVER Ultra HD Foundation - Invisible Cover Foundation 30ml Y373 Amber Honey</t>
        </is>
      </c>
      <c r="E2438" s="2">
        <f>HYPERLINK("https://www.amazon.com/MAKE-EVER-Ultra-Foundation-Invisible/dp/B0BV92NTD8/ref=sr_1_7?keywords=HD+Skin+Foundation+30ml&amp;qid=1695565453&amp;sr=8-7", "https://www.amazon.com/MAKE-EVER-Ultra-Foundation-Invisible/dp/B0BV92NTD8/ref=sr_1_7?keywords=HD+Skin+Foundation+30ml&amp;qid=1695565453&amp;sr=8-7")</f>
        <v/>
      </c>
      <c r="F2438" t="inlineStr">
        <is>
          <t>B0BV92NTD8</t>
        </is>
      </c>
      <c r="G2438">
        <f>_xlfn.IMAGE("https://camerareadycosmetics.com/cdn/shop/products/US-3548752185158_I000075100_HD-SKIN-FOUNDATION-22-30ML-1N00_Face_9_50x.jpg?v=1649779208")</f>
        <v/>
      </c>
      <c r="H2438">
        <f>_xlfn.IMAGE("https://m.media-amazon.com/images/I/414wQhqevHL._AC_UL320_.jpg")</f>
        <v/>
      </c>
      <c r="K2438" t="inlineStr">
        <is>
          <t>45.0</t>
        </is>
      </c>
      <c r="L2438" t="n">
        <v>39</v>
      </c>
      <c r="M2438" s="1" t="inlineStr">
        <is>
          <t>-13.33%</t>
        </is>
      </c>
      <c r="N2438" t="n">
        <v>4.6</v>
      </c>
      <c r="O2438" t="n">
        <v>603</v>
      </c>
      <c r="Q2438" t="inlineStr">
        <is>
          <t>InStock</t>
        </is>
      </c>
      <c r="R2438" t="inlineStr">
        <is>
          <t>undefined</t>
        </is>
      </c>
      <c r="S2438" t="inlineStr">
        <is>
          <t>7160984764601</t>
        </is>
      </c>
    </row>
    <row r="2439" ht="75" customHeight="1">
      <c r="A2439" s="2">
        <f>HYPERLINK("https://camerareadycosmetics.com/products/make-up-for-ever-hd-skin-matte-velvet-powder-foundation", "https://camerareadycosmetics.com/products/make-up-for-ever-hd-skin-matte-velvet-powder-foundation")</f>
        <v/>
      </c>
      <c r="B2439" s="2">
        <f>HYPERLINK("https://camerareadycosmetics.com/products/make-up-for-ever-hd-skin-matte-velvet-powder-foundation", "https://camerareadycosmetics.com/products/make-up-for-ever-hd-skin-matte-velvet-powder-foundation")</f>
        <v/>
      </c>
      <c r="C2439" t="inlineStr">
        <is>
          <t>HD Skin Matte Velvet Powder Foundation</t>
        </is>
      </c>
      <c r="D2439" t="inlineStr">
        <is>
          <t>Make Up For Ever Matte Velvet Skin Blurring Powder Foundation #R220 (Pink Porcelaine)</t>
        </is>
      </c>
      <c r="E2439" s="2">
        <f>HYPERLINK("https://www.amazon.com/Make-Up-Ever-Foundation-Porcelaine/dp/B07JNTR6CV/ref=sr_1_2?keywords=HD+Skin+Matte+Velvet+Powder+Foundation&amp;qid=1695565553&amp;sr=8-2", "https://www.amazon.com/Make-Up-Ever-Foundation-Porcelaine/dp/B07JNTR6CV/ref=sr_1_2?keywords=HD+Skin+Matte+Velvet+Powder+Foundation&amp;qid=1695565553&amp;sr=8-2")</f>
        <v/>
      </c>
      <c r="F2439" t="inlineStr">
        <is>
          <t>B07JNTR6CV</t>
        </is>
      </c>
      <c r="G2439">
        <f>_xlfn.IMAGE("https://camerareadycosmetics.com/cdn/shop/products/1n00-s2646552-main-zoom_50x.webp?v=1676309880")</f>
        <v/>
      </c>
      <c r="H2439">
        <f>_xlfn.IMAGE("https://m.media-amazon.com/images/I/51XgRUjpxwL._AC_UL320_.jpg")</f>
        <v/>
      </c>
      <c r="K2439" t="inlineStr">
        <is>
          <t>43.0</t>
        </is>
      </c>
      <c r="L2439" t="n">
        <v>79.69</v>
      </c>
      <c r="M2439" s="1" t="inlineStr">
        <is>
          <t>85.33%</t>
        </is>
      </c>
      <c r="N2439" t="n">
        <v>4.3</v>
      </c>
      <c r="O2439" t="n">
        <v>116</v>
      </c>
      <c r="Q2439" t="inlineStr">
        <is>
          <t>InStock</t>
        </is>
      </c>
      <c r="R2439" t="inlineStr">
        <is>
          <t>undefined</t>
        </is>
      </c>
      <c r="S2439" t="inlineStr">
        <is>
          <t>7568860643513</t>
        </is>
      </c>
    </row>
    <row r="2440" ht="75" customHeight="1">
      <c r="A2440" s="2">
        <f>HYPERLINK("https://camerareadycosmetics.com/products/make-up-for-ever-hd-skin-matte-velvet-powder-foundation", "https://camerareadycosmetics.com/products/make-up-for-ever-hd-skin-matte-velvet-powder-foundation")</f>
        <v/>
      </c>
      <c r="B2440" s="2">
        <f>HYPERLINK("https://camerareadycosmetics.com/products/make-up-for-ever-hd-skin-matte-velvet-powder-foundation", "https://camerareadycosmetics.com/products/make-up-for-ever-hd-skin-matte-velvet-powder-foundation")</f>
        <v/>
      </c>
      <c r="C2440" t="inlineStr">
        <is>
          <t>HD Skin Matte Velvet Powder Foundation</t>
        </is>
      </c>
      <c r="D2440" t="inlineStr">
        <is>
          <t>Make Up For Ever Matte Velvet Skin Blurring Powder Foundation - # Y445 - Amber</t>
        </is>
      </c>
      <c r="E2440" s="2">
        <f>HYPERLINK("https://www.amazon.com/Make-Up-Ever-Blurring-Foundation/dp/B07JNLLJVC/ref=sr_1_3?keywords=HD+Skin+Matte+Velvet+Powder+Foundation&amp;qid=1695565553&amp;sr=8-3", "https://www.amazon.com/Make-Up-Ever-Blurring-Foundation/dp/B07JNLLJVC/ref=sr_1_3?keywords=HD+Skin+Matte+Velvet+Powder+Foundation&amp;qid=1695565553&amp;sr=8-3")</f>
        <v/>
      </c>
      <c r="F2440" t="inlineStr">
        <is>
          <t>B07JNLLJVC</t>
        </is>
      </c>
      <c r="G2440">
        <f>_xlfn.IMAGE("https://camerareadycosmetics.com/cdn/shop/products/1n00-s2646552-main-zoom_50x.webp?v=1676309880")</f>
        <v/>
      </c>
      <c r="H2440">
        <f>_xlfn.IMAGE("https://m.media-amazon.com/images/I/9120c0QwSjL._AC_UL320_.jpg")</f>
        <v/>
      </c>
      <c r="K2440" t="inlineStr">
        <is>
          <t>43.0</t>
        </is>
      </c>
      <c r="L2440" t="n">
        <v>69.98999999999999</v>
      </c>
      <c r="M2440" s="1" t="inlineStr">
        <is>
          <t>62.77%</t>
        </is>
      </c>
      <c r="N2440" t="n">
        <v>5</v>
      </c>
      <c r="O2440" t="n">
        <v>1</v>
      </c>
      <c r="Q2440" t="inlineStr">
        <is>
          <t>InStock</t>
        </is>
      </c>
      <c r="R2440" t="inlineStr">
        <is>
          <t>undefined</t>
        </is>
      </c>
      <c r="S2440" t="inlineStr">
        <is>
          <t>7568860643513</t>
        </is>
      </c>
    </row>
    <row r="2441" ht="75" customHeight="1">
      <c r="A2441" s="2">
        <f>HYPERLINK("https://camerareadycosmetics.com/products/make-up-for-ever-hd-skin-matte-velvet-powder-foundation", "https://camerareadycosmetics.com/products/make-up-for-ever-hd-skin-matte-velvet-powder-foundation")</f>
        <v/>
      </c>
      <c r="B2441" s="2">
        <f>HYPERLINK("https://camerareadycosmetics.com/products/make-up-for-ever-hd-skin-matte-velvet-powder-foundation", "https://camerareadycosmetics.com/products/make-up-for-ever-hd-skin-matte-velvet-powder-foundation")</f>
        <v/>
      </c>
      <c r="C2441" t="inlineStr">
        <is>
          <t>HD Skin Matte Velvet Powder Foundation</t>
        </is>
      </c>
      <c r="D2441" t="inlineStr">
        <is>
          <t>Make Up For Ever Matte Velvet Skin Blurring Powder Foundation - # Y405 Golden Honey</t>
        </is>
      </c>
      <c r="E2441" s="2">
        <f>HYPERLINK("https://www.amazon.com/Make-Up-Ever-Blurring-Foundation/dp/B07JNB4XHZ/ref=sr_1_1?keywords=HD+Skin+Matte+Velvet+Powder+Foundation&amp;qid=1695565553&amp;sr=8-1", "https://www.amazon.com/Make-Up-Ever-Blurring-Foundation/dp/B07JNB4XHZ/ref=sr_1_1?keywords=HD+Skin+Matte+Velvet+Powder+Foundation&amp;qid=1695565553&amp;sr=8-1")</f>
        <v/>
      </c>
      <c r="F2441" t="inlineStr">
        <is>
          <t>B07JNB4XHZ</t>
        </is>
      </c>
      <c r="G2441">
        <f>_xlfn.IMAGE("https://camerareadycosmetics.com/cdn/shop/products/1n00-s2646552-main-zoom_50x.webp?v=1676309880")</f>
        <v/>
      </c>
      <c r="H2441">
        <f>_xlfn.IMAGE("https://m.media-amazon.com/images/I/71Vvw0tZydL._AC_UL320_.jpg")</f>
        <v/>
      </c>
      <c r="K2441" t="inlineStr">
        <is>
          <t>43.0</t>
        </is>
      </c>
      <c r="L2441" t="n">
        <v>69.98999999999999</v>
      </c>
      <c r="M2441" s="1" t="inlineStr">
        <is>
          <t>62.77%</t>
        </is>
      </c>
      <c r="N2441" t="n">
        <v>3</v>
      </c>
      <c r="O2441" t="n">
        <v>2</v>
      </c>
      <c r="Q2441" t="inlineStr">
        <is>
          <t>InStock</t>
        </is>
      </c>
      <c r="R2441" t="inlineStr">
        <is>
          <t>undefined</t>
        </is>
      </c>
      <c r="S2441" t="inlineStr">
        <is>
          <t>7568860643513</t>
        </is>
      </c>
    </row>
    <row r="2442" ht="75" customHeight="1">
      <c r="A2442" s="2">
        <f>HYPERLINK("https://camerareadycosmetics.com/products/make-up-for-ever-matte-velvet-skin-blurring-powder-foundation", "https://camerareadycosmetics.com/products/make-up-for-ever-matte-velvet-skin-blurring-powder-foundation")</f>
        <v/>
      </c>
      <c r="B2442" s="2">
        <f>HYPERLINK("https://camerareadycosmetics.com/products/make-up-for-ever-matte-velvet-skin-blurring-powder-foundation", "https://camerareadycosmetics.com/products/make-up-for-ever-matte-velvet-skin-blurring-powder-foundation")</f>
        <v/>
      </c>
      <c r="C2442" t="inlineStr">
        <is>
          <t>Matte Velvet Skin Blurring Powder Foundation</t>
        </is>
      </c>
      <c r="D2442" t="inlineStr">
        <is>
          <t>Matte Velvet Skin Blurring Powder Foundation Y425</t>
        </is>
      </c>
      <c r="E2442" s="2">
        <f>HYPERLINK("https://www.amazon.com/Matte-Velvet-Blurring-Powder-Foundation/dp/B07JNLWSQ4/ref=sr_1_5?keywords=Matte+Velvet+Skin+Blurring+Powder+Foundation&amp;qid=1695565459&amp;sr=8-5", "https://www.amazon.com/Matte-Velvet-Blurring-Powder-Foundation/dp/B07JNLWSQ4/ref=sr_1_5?keywords=Matte+Velvet+Skin+Blurring+Powder+Foundation&amp;qid=1695565459&amp;sr=8-5")</f>
        <v/>
      </c>
      <c r="F2442" t="inlineStr">
        <is>
          <t>B07JNLWSQ4</t>
        </is>
      </c>
      <c r="G2442">
        <f>_xlfn.IMAGE("https://camerareadycosmetics.com/cdn/shop/products/makeup-forever_packshot_mattevelvetskincompact_open_r510_50x.jpg?v=1559287462")</f>
        <v/>
      </c>
      <c r="H2442">
        <f>_xlfn.IMAGE("https://m.media-amazon.com/images/I/71Y1OTyFgNL._AC_UL320_.jpg")</f>
        <v/>
      </c>
      <c r="K2442" t="inlineStr">
        <is>
          <t>38.0</t>
        </is>
      </c>
      <c r="L2442" t="n">
        <v>79.95</v>
      </c>
      <c r="M2442" s="1" t="inlineStr">
        <is>
          <t>110.39%</t>
        </is>
      </c>
      <c r="N2442" t="n">
        <v>5</v>
      </c>
      <c r="O2442" t="n">
        <v>2</v>
      </c>
      <c r="Q2442" t="inlineStr">
        <is>
          <t>InStock</t>
        </is>
      </c>
      <c r="R2442" t="inlineStr">
        <is>
          <t>undefined</t>
        </is>
      </c>
      <c r="S2442" t="inlineStr">
        <is>
          <t>2237992239215</t>
        </is>
      </c>
    </row>
    <row r="2443" ht="75" customHeight="1">
      <c r="A2443" s="2">
        <f>HYPERLINK("https://camerareadycosmetics.com/products/make-up-for-ever-matte-velvet-skin-blurring-powder-foundation", "https://camerareadycosmetics.com/products/make-up-for-ever-matte-velvet-skin-blurring-powder-foundation")</f>
        <v/>
      </c>
      <c r="B2443" s="2">
        <f>HYPERLINK("https://camerareadycosmetics.com/products/make-up-for-ever-matte-velvet-skin-blurring-powder-foundation", "https://camerareadycosmetics.com/products/make-up-for-ever-matte-velvet-skin-blurring-powder-foundation")</f>
        <v/>
      </c>
      <c r="C2443" t="inlineStr">
        <is>
          <t>Matte Velvet Skin Blurring Powder Foundation</t>
        </is>
      </c>
      <c r="D2443" t="inlineStr">
        <is>
          <t>Make Up For Ever Matte Velvet Skin Blurring Powder Foundation #R220 (Pink Porcelaine)</t>
        </is>
      </c>
      <c r="E2443" s="2">
        <f>HYPERLINK("https://www.amazon.com/Make-Up-Ever-Foundation-Porcelaine/dp/B07JNTR6CV/ref=sr_1_2?keywords=Matte+Velvet+Skin+Blurring+Powder+Foundation&amp;qid=1695565459&amp;sr=8-2", "https://www.amazon.com/Make-Up-Ever-Foundation-Porcelaine/dp/B07JNTR6CV/ref=sr_1_2?keywords=Matte+Velvet+Skin+Blurring+Powder+Foundation&amp;qid=1695565459&amp;sr=8-2")</f>
        <v/>
      </c>
      <c r="F2443" t="inlineStr">
        <is>
          <t>B07JNTR6CV</t>
        </is>
      </c>
      <c r="G2443">
        <f>_xlfn.IMAGE("https://camerareadycosmetics.com/cdn/shop/products/makeup-forever_packshot_mattevelvetskincompact_open_r510_50x.jpg?v=1559287462")</f>
        <v/>
      </c>
      <c r="H2443">
        <f>_xlfn.IMAGE("https://m.media-amazon.com/images/I/51XgRUjpxwL._AC_UL320_.jpg")</f>
        <v/>
      </c>
      <c r="K2443" t="inlineStr">
        <is>
          <t>38.0</t>
        </is>
      </c>
      <c r="L2443" t="n">
        <v>79.69</v>
      </c>
      <c r="M2443" s="1" t="inlineStr">
        <is>
          <t>109.71%</t>
        </is>
      </c>
      <c r="N2443" t="n">
        <v>4.3</v>
      </c>
      <c r="O2443" t="n">
        <v>116</v>
      </c>
      <c r="Q2443" t="inlineStr">
        <is>
          <t>InStock</t>
        </is>
      </c>
      <c r="R2443" t="inlineStr">
        <is>
          <t>undefined</t>
        </is>
      </c>
      <c r="S2443" t="inlineStr">
        <is>
          <t>2237992239215</t>
        </is>
      </c>
    </row>
    <row r="2444" ht="75" customHeight="1">
      <c r="A2444" s="2">
        <f>HYPERLINK("https://camerareadycosmetics.com/products/make-up-for-ever-matte-velvet-skin-blurring-powder-foundation", "https://camerareadycosmetics.com/products/make-up-for-ever-matte-velvet-skin-blurring-powder-foundation")</f>
        <v/>
      </c>
      <c r="B2444" s="2">
        <f>HYPERLINK("https://camerareadycosmetics.com/products/make-up-for-ever-matte-velvet-skin-blurring-powder-foundation", "https://camerareadycosmetics.com/products/make-up-for-ever-matte-velvet-skin-blurring-powder-foundation")</f>
        <v/>
      </c>
      <c r="C2444" t="inlineStr">
        <is>
          <t>Matte Velvet Skin Blurring Powder Foundation</t>
        </is>
      </c>
      <c r="D2444" t="inlineStr">
        <is>
          <t>Make Up For Ever Matte Velvet Skin Blurring Powder Foundation - # Y405 Golden Honey</t>
        </is>
      </c>
      <c r="E2444" s="2">
        <f>HYPERLINK("https://www.amazon.com/Make-Up-Ever-Blurring-Foundation/dp/B07JNB4XHZ/ref=sr_1_4?keywords=Matte+Velvet+Skin+Blurring+Powder+Foundation&amp;qid=1695565459&amp;sr=8-4", "https://www.amazon.com/Make-Up-Ever-Blurring-Foundation/dp/B07JNB4XHZ/ref=sr_1_4?keywords=Matte+Velvet+Skin+Blurring+Powder+Foundation&amp;qid=1695565459&amp;sr=8-4")</f>
        <v/>
      </c>
      <c r="F2444" t="inlineStr">
        <is>
          <t>B07JNB4XHZ</t>
        </is>
      </c>
      <c r="G2444">
        <f>_xlfn.IMAGE("https://camerareadycosmetics.com/cdn/shop/products/makeup-forever_packshot_mattevelvetskincompact_open_r510_50x.jpg?v=1559287462")</f>
        <v/>
      </c>
      <c r="H2444">
        <f>_xlfn.IMAGE("https://m.media-amazon.com/images/I/71Vvw0tZydL._AC_UL320_.jpg")</f>
        <v/>
      </c>
      <c r="K2444" t="inlineStr">
        <is>
          <t>38.0</t>
        </is>
      </c>
      <c r="L2444" t="n">
        <v>69.98999999999999</v>
      </c>
      <c r="M2444" s="1" t="inlineStr">
        <is>
          <t>84.18%</t>
        </is>
      </c>
      <c r="N2444" t="n">
        <v>3</v>
      </c>
      <c r="O2444" t="n">
        <v>2</v>
      </c>
      <c r="Q2444" t="inlineStr">
        <is>
          <t>InStock</t>
        </is>
      </c>
      <c r="R2444" t="inlineStr">
        <is>
          <t>undefined</t>
        </is>
      </c>
      <c r="S2444" t="inlineStr">
        <is>
          <t>2237992239215</t>
        </is>
      </c>
    </row>
    <row r="2445" ht="75" customHeight="1">
      <c r="A2445" s="2">
        <f>HYPERLINK("https://camerareadycosmetics.com/products/make-up-for-ever-matte-velvet-skin-blurring-powder-foundation", "https://camerareadycosmetics.com/products/make-up-for-ever-matte-velvet-skin-blurring-powder-foundation")</f>
        <v/>
      </c>
      <c r="B2445" s="2">
        <f>HYPERLINK("https://camerareadycosmetics.com/products/make-up-for-ever-matte-velvet-skin-blurring-powder-foundation", "https://camerareadycosmetics.com/products/make-up-for-ever-matte-velvet-skin-blurring-powder-foundation")</f>
        <v/>
      </c>
      <c r="C2445" t="inlineStr">
        <is>
          <t>Matte Velvet Skin Blurring Powder Foundation</t>
        </is>
      </c>
      <c r="D2445" t="inlineStr">
        <is>
          <t>Make Up For Ever Matte Velvet Skin Blurring Powder Foundation - # Y445 - Amber</t>
        </is>
      </c>
      <c r="E2445" s="2">
        <f>HYPERLINK("https://www.amazon.com/Make-Up-Ever-Blurring-Foundation/dp/B07JNLLJVC/ref=sr_1_1?keywords=Matte+Velvet+Skin+Blurring+Powder+Foundation&amp;qid=1695565459&amp;sr=8-1", "https://www.amazon.com/Make-Up-Ever-Blurring-Foundation/dp/B07JNLLJVC/ref=sr_1_1?keywords=Matte+Velvet+Skin+Blurring+Powder+Foundation&amp;qid=1695565459&amp;sr=8-1")</f>
        <v/>
      </c>
      <c r="F2445" t="inlineStr">
        <is>
          <t>B07JNLLJVC</t>
        </is>
      </c>
      <c r="G2445">
        <f>_xlfn.IMAGE("https://camerareadycosmetics.com/cdn/shop/products/makeup-forever_packshot_mattevelvetskincompact_open_r510_50x.jpg?v=1559287462")</f>
        <v/>
      </c>
      <c r="H2445">
        <f>_xlfn.IMAGE("https://m.media-amazon.com/images/I/9120c0QwSjL._AC_UL320_.jpg")</f>
        <v/>
      </c>
      <c r="K2445" t="inlineStr">
        <is>
          <t>38.0</t>
        </is>
      </c>
      <c r="L2445" t="n">
        <v>69.98999999999999</v>
      </c>
      <c r="M2445" s="1" t="inlineStr">
        <is>
          <t>84.18%</t>
        </is>
      </c>
      <c r="N2445" t="n">
        <v>5</v>
      </c>
      <c r="O2445" t="n">
        <v>1</v>
      </c>
      <c r="Q2445" t="inlineStr">
        <is>
          <t>InStock</t>
        </is>
      </c>
      <c r="R2445" t="inlineStr">
        <is>
          <t>undefined</t>
        </is>
      </c>
      <c r="S2445" t="inlineStr">
        <is>
          <t>2237992239215</t>
        </is>
      </c>
    </row>
    <row r="2446" ht="75" customHeight="1">
      <c r="A2446" s="2">
        <f>HYPERLINK("https://camerareadycosmetics.com/products/make-up-for-ever-matte-velvet-skin-blurring-powder-foundation", "https://camerareadycosmetics.com/products/make-up-for-ever-matte-velvet-skin-blurring-powder-foundation")</f>
        <v/>
      </c>
      <c r="B2446" s="2">
        <f>HYPERLINK("https://camerareadycosmetics.com/products/make-up-for-ever-matte-velvet-skin-blurring-powder-foundation", "https://camerareadycosmetics.com/products/make-up-for-ever-matte-velvet-skin-blurring-powder-foundation")</f>
        <v/>
      </c>
      <c r="C2446" t="inlineStr">
        <is>
          <t>Matte Velvet Skin Blurring Powder Foundation</t>
        </is>
      </c>
      <c r="D2446" t="inlineStr">
        <is>
          <t>Make Up For Ever Matte Velvet Skin Blurring Powder Foundation - # Y535 - Chestnut</t>
        </is>
      </c>
      <c r="E2446" s="2">
        <f>HYPERLINK("https://www.amazon.com/Make-Up-Ever-Blurring-Foundation/dp/B07JXS4BKW/ref=sr_1_3?keywords=Matte+Velvet+Skin+Blurring+Powder+Foundation&amp;qid=1695565459&amp;sr=8-3", "https://www.amazon.com/Make-Up-Ever-Blurring-Foundation/dp/B07JXS4BKW/ref=sr_1_3?keywords=Matte+Velvet+Skin+Blurring+Powder+Foundation&amp;qid=1695565459&amp;sr=8-3")</f>
        <v/>
      </c>
      <c r="F2446" t="inlineStr">
        <is>
          <t>B07JXS4BKW</t>
        </is>
      </c>
      <c r="G2446">
        <f>_xlfn.IMAGE("https://camerareadycosmetics.com/cdn/shop/products/makeup-forever_packshot_mattevelvetskincompact_open_r510_50x.jpg?v=1559287462")</f>
        <v/>
      </c>
      <c r="H2446">
        <f>_xlfn.IMAGE("https://m.media-amazon.com/images/I/51ZPYpGBz4L._AC_UL320_.jpg")</f>
        <v/>
      </c>
      <c r="K2446" t="inlineStr">
        <is>
          <t>38.0</t>
        </is>
      </c>
      <c r="L2446" t="n">
        <v>28.8</v>
      </c>
      <c r="M2446" s="1" t="inlineStr">
        <is>
          <t>-24.21%</t>
        </is>
      </c>
      <c r="N2446" t="n">
        <v>1.8</v>
      </c>
      <c r="O2446" t="n">
        <v>3</v>
      </c>
      <c r="Q2446" t="inlineStr">
        <is>
          <t>InStock</t>
        </is>
      </c>
      <c r="R2446" t="inlineStr">
        <is>
          <t>undefined</t>
        </is>
      </c>
      <c r="S2446" t="inlineStr">
        <is>
          <t>2237992239215</t>
        </is>
      </c>
    </row>
    <row r="2447" ht="75" customHeight="1">
      <c r="A2447" s="2">
        <f>HYPERLINK("https://camerareadycosmetics.com/products/make-up-for-ever-matte-velvet-skin-concealer", "https://camerareadycosmetics.com/products/make-up-for-ever-matte-velvet-skin-concealer")</f>
        <v/>
      </c>
      <c r="B2447" s="2">
        <f>HYPERLINK("https://camerareadycosmetics.com/products/make-up-for-ever-matte-velvet-skin-concealer", "https://camerareadycosmetics.com/products/make-up-for-ever-matte-velvet-skin-concealer")</f>
        <v/>
      </c>
      <c r="C2447" t="inlineStr">
        <is>
          <t>Matte Velvet Skin Concealer</t>
        </is>
      </c>
      <c r="D2447" t="inlineStr">
        <is>
          <t>Make Up For Ever Matte Velvet Skin Blurring Powder Foundation - # Y405 Golden Honey</t>
        </is>
      </c>
      <c r="E2447" s="2">
        <f>HYPERLINK("https://www.amazon.com/Make-Up-Ever-Blurring-Foundation/dp/B07JNB4XHZ/ref=sr_1_7?keywords=Matte+Velvet+Skin+Concealer&amp;qid=1695565532&amp;sr=8-7", "https://www.amazon.com/Make-Up-Ever-Blurring-Foundation/dp/B07JNB4XHZ/ref=sr_1_7?keywords=Matte+Velvet+Skin+Concealer&amp;qid=1695565532&amp;sr=8-7")</f>
        <v/>
      </c>
      <c r="F2447" t="inlineStr">
        <is>
          <t>B07JNB4XHZ</t>
        </is>
      </c>
      <c r="G2447">
        <f>_xlfn.IMAGE("https://camerareadycosmetics.com/cdn/shop/products/3548752171168_I000074042_MATTE-VELVET-SKIN-CONCEALER_4-2_Face_0_50x.jpg?v=1602189332")</f>
        <v/>
      </c>
      <c r="H2447">
        <f>_xlfn.IMAGE("https://m.media-amazon.com/images/I/71Vvw0tZydL._AC_UL320_.jpg")</f>
        <v/>
      </c>
      <c r="K2447" t="inlineStr">
        <is>
          <t>30.0</t>
        </is>
      </c>
      <c r="L2447" t="n">
        <v>69.98999999999999</v>
      </c>
      <c r="M2447" s="1" t="inlineStr">
        <is>
          <t>133.30%</t>
        </is>
      </c>
      <c r="N2447" t="n">
        <v>3</v>
      </c>
      <c r="O2447" t="n">
        <v>2</v>
      </c>
      <c r="Q2447" t="inlineStr">
        <is>
          <t>InStock</t>
        </is>
      </c>
      <c r="R2447" t="inlineStr">
        <is>
          <t>undefined</t>
        </is>
      </c>
      <c r="S2447" t="inlineStr">
        <is>
          <t>4573258285167</t>
        </is>
      </c>
    </row>
    <row r="2448" ht="75" customHeight="1">
      <c r="A2448" s="2">
        <f>HYPERLINK("https://camerareadycosmetics.com/products/make-up-for-ever-matte-velvet-skin-concealer", "https://camerareadycosmetics.com/products/make-up-for-ever-matte-velvet-skin-concealer")</f>
        <v/>
      </c>
      <c r="B2448" s="2">
        <f>HYPERLINK("https://camerareadycosmetics.com/products/make-up-for-ever-matte-velvet-skin-concealer", "https://camerareadycosmetics.com/products/make-up-for-ever-matte-velvet-skin-concealer")</f>
        <v/>
      </c>
      <c r="C2448" t="inlineStr">
        <is>
          <t>Matte Velvet Skin Concealer</t>
        </is>
      </c>
      <c r="D2448" t="inlineStr">
        <is>
          <t>Velvet Matte Skin Tint Spf30 - #terre-neuve (light 0) - 50ml/1.7oz</t>
        </is>
      </c>
      <c r="E2448" s="2">
        <f>HYPERLINK("https://www.amazon.com/NARS-Velvet-Matte-SPF30-TERRE-NEUVE/dp/B01HBOI3LA/ref=sr_1_6?keywords=Matte+Velvet+Skin+Concealer&amp;qid=1695565532&amp;sr=8-6", "https://www.amazon.com/NARS-Velvet-Matte-SPF30-TERRE-NEUVE/dp/B01HBOI3LA/ref=sr_1_6?keywords=Matte+Velvet+Skin+Concealer&amp;qid=1695565532&amp;sr=8-6")</f>
        <v/>
      </c>
      <c r="F2448" t="inlineStr">
        <is>
          <t>B01HBOI3LA</t>
        </is>
      </c>
      <c r="G2448">
        <f>_xlfn.IMAGE("https://camerareadycosmetics.com/cdn/shop/products/3548752171168_I000074042_MATTE-VELVET-SKIN-CONCEALER_4-2_Face_0_50x.jpg?v=1602189332")</f>
        <v/>
      </c>
      <c r="H2448">
        <f>_xlfn.IMAGE("https://m.media-amazon.com/images/I/71R+Kvbfh7L._AC_UL320_.jpg")</f>
        <v/>
      </c>
      <c r="K2448" t="inlineStr">
        <is>
          <t>30.0</t>
        </is>
      </c>
      <c r="L2448" t="n">
        <v>34.2</v>
      </c>
      <c r="M2448" s="1" t="inlineStr">
        <is>
          <t>14.00%</t>
        </is>
      </c>
      <c r="N2448" t="n">
        <v>4.2</v>
      </c>
      <c r="O2448" t="n">
        <v>54</v>
      </c>
      <c r="Q2448" t="inlineStr">
        <is>
          <t>InStock</t>
        </is>
      </c>
      <c r="R2448" t="inlineStr">
        <is>
          <t>undefined</t>
        </is>
      </c>
      <c r="S2448" t="inlineStr">
        <is>
          <t>4573258285167</t>
        </is>
      </c>
    </row>
    <row r="2449" ht="75" customHeight="1">
      <c r="A2449" s="2">
        <f>HYPERLINK("https://camerareadycosmetics.com/products/make-up-for-ever-matte-velvet-skin-concealer", "https://camerareadycosmetics.com/products/make-up-for-ever-matte-velvet-skin-concealer")</f>
        <v/>
      </c>
      <c r="B2449" s="2">
        <f>HYPERLINK("https://camerareadycosmetics.com/products/make-up-for-ever-matte-velvet-skin-concealer", "https://camerareadycosmetics.com/products/make-up-for-ever-matte-velvet-skin-concealer")</f>
        <v/>
      </c>
      <c r="C2449" t="inlineStr">
        <is>
          <t>Matte Velvet Skin Concealer</t>
        </is>
      </c>
      <c r="D2449" t="inlineStr">
        <is>
          <t>AQUAPURITY PHOERA Full Coverage Foundation New Formula Waterproof Long Lasting Oil Free Velvet Matte Liquid Foundation for Oily Skin Flawless Makeup Base Cream Concealer (101 Porcelain)</t>
        </is>
      </c>
      <c r="E2449" s="2">
        <f>HYPERLINK("https://www.amazon.com/AQUAPURITY-Foundation-Waterproof-Concealer-Porcelain/dp/B07S9CCTRB/ref=sr_1_5?keywords=Matte+Velvet+Skin+Concealer&amp;qid=1695565532&amp;sr=8-5", "https://www.amazon.com/AQUAPURITY-Foundation-Waterproof-Concealer-Porcelain/dp/B07S9CCTRB/ref=sr_1_5?keywords=Matte+Velvet+Skin+Concealer&amp;qid=1695565532&amp;sr=8-5")</f>
        <v/>
      </c>
      <c r="F2449" t="inlineStr">
        <is>
          <t>B07S9CCTRB</t>
        </is>
      </c>
      <c r="G2449">
        <f>_xlfn.IMAGE("https://camerareadycosmetics.com/cdn/shop/products/3548752171168_I000074042_MATTE-VELVET-SKIN-CONCEALER_4-2_Face_0_50x.jpg?v=1602189332")</f>
        <v/>
      </c>
      <c r="H2449">
        <f>_xlfn.IMAGE("https://m.media-amazon.com/images/I/31sXrp6wmPL._AC_UL320_.jpg")</f>
        <v/>
      </c>
      <c r="K2449" t="inlineStr">
        <is>
          <t>30.0</t>
        </is>
      </c>
      <c r="L2449" t="n">
        <v>9.49</v>
      </c>
      <c r="M2449" s="1" t="inlineStr">
        <is>
          <t>-68.37%</t>
        </is>
      </c>
      <c r="N2449" t="n">
        <v>4.3</v>
      </c>
      <c r="O2449" t="n">
        <v>938</v>
      </c>
      <c r="Q2449" t="inlineStr">
        <is>
          <t>InStock</t>
        </is>
      </c>
      <c r="R2449" t="inlineStr">
        <is>
          <t>undefined</t>
        </is>
      </c>
      <c r="S2449" t="inlineStr">
        <is>
          <t>4573258285167</t>
        </is>
      </c>
    </row>
    <row r="2450" ht="75" customHeight="1">
      <c r="A2450" s="2">
        <f>HYPERLINK("https://camerareadycosmetics.com/products/make-up-for-ever-matte-velvet-skin-concealer", "https://camerareadycosmetics.com/products/make-up-for-ever-matte-velvet-skin-concealer")</f>
        <v/>
      </c>
      <c r="B2450" s="2">
        <f>HYPERLINK("https://camerareadycosmetics.com/products/make-up-for-ever-matte-velvet-skin-concealer", "https://camerareadycosmetics.com/products/make-up-for-ever-matte-velvet-skin-concealer")</f>
        <v/>
      </c>
      <c r="C2450" t="inlineStr">
        <is>
          <t>Matte Velvet Skin Concealer</t>
        </is>
      </c>
      <c r="D2450" t="inlineStr">
        <is>
          <t>AQUAPURITY PHOERA Full Coverage Foundation New Formula Waterproof Long Lasting Oil Free Velvet Matte Liquid Foundation for Oily Skin Flawless Makeup Base Cream Concealer (101 Porcelain)</t>
        </is>
      </c>
      <c r="E2450" s="2">
        <f>HYPERLINK("https://www.amazon.com/AQUAPURITY-Foundation-Waterproof-Concealer-Porcelain/dp/B07S9CCTRB/ref=sr_1_5?keywords=Matte+Velvet+Skin+Concealer&amp;qid=1695565532&amp;sr=8-5", "https://www.amazon.com/AQUAPURITY-Foundation-Waterproof-Concealer-Porcelain/dp/B07S9CCTRB/ref=sr_1_5?keywords=Matte+Velvet+Skin+Concealer&amp;qid=1695565532&amp;sr=8-5")</f>
        <v/>
      </c>
      <c r="F2450" t="inlineStr">
        <is>
          <t>B07S9CCTRB</t>
        </is>
      </c>
      <c r="G2450">
        <f>_xlfn.IMAGE("https://camerareadycosmetics.com/cdn/shop/products/3548752171168_I000074042_MATTE-VELVET-SKIN-CONCEALER_4-2_Face_0_50x.jpg?v=1602189332")</f>
        <v/>
      </c>
      <c r="H2450">
        <f>_xlfn.IMAGE("https://m.media-amazon.com/images/I/31sXrp6wmPL._AC_UL320_.jpg")</f>
        <v/>
      </c>
      <c r="K2450" t="inlineStr">
        <is>
          <t>30.0</t>
        </is>
      </c>
      <c r="L2450" t="n">
        <v>9.49</v>
      </c>
      <c r="M2450" s="1" t="inlineStr">
        <is>
          <t>-68.37%</t>
        </is>
      </c>
      <c r="N2450" t="n">
        <v>4.3</v>
      </c>
      <c r="O2450" t="n">
        <v>938</v>
      </c>
      <c r="Q2450" t="inlineStr">
        <is>
          <t>InStock</t>
        </is>
      </c>
      <c r="R2450" t="inlineStr">
        <is>
          <t>undefined</t>
        </is>
      </c>
      <c r="S2450" t="inlineStr">
        <is>
          <t>4573258285167</t>
        </is>
      </c>
    </row>
    <row r="2451" ht="75" customHeight="1">
      <c r="A2451" s="2">
        <f>HYPERLINK("https://camerareadycosmetics.com/products/make-up-for-ever-matte-velvet-skin-foundation", "https://camerareadycosmetics.com/products/make-up-for-ever-matte-velvet-skin-foundation")</f>
        <v/>
      </c>
      <c r="B2451" s="2">
        <f>HYPERLINK("https://camerareadycosmetics.com/products/make-up-for-ever-matte-velvet-skin-foundation", "https://camerareadycosmetics.com/products/make-up-for-ever-matte-velvet-skin-foundation")</f>
        <v/>
      </c>
      <c r="C2451" t="inlineStr">
        <is>
          <t>Matte Velvet Skin Foundation</t>
        </is>
      </c>
      <c r="D2451" t="inlineStr">
        <is>
          <t>NARS Velvet Matte Skin Tint SPF 30, shade=Finland</t>
        </is>
      </c>
      <c r="E2451" s="2">
        <f>HYPERLINK("https://www.amazon.com/NARS-Velvet-Matte-shade-Finland/dp/B01ERC8M38/ref=sr_1_7?keywords=Matte+Velvet+Skin+Foundation&amp;qid=1695565481&amp;sr=8-7", "https://www.amazon.com/NARS-Velvet-Matte-shade-Finland/dp/B01ERC8M38/ref=sr_1_7?keywords=Matte+Velvet+Skin+Foundation&amp;qid=1695565481&amp;sr=8-7")</f>
        <v/>
      </c>
      <c r="F2451" t="inlineStr">
        <is>
          <t>B01ERC8M38</t>
        </is>
      </c>
      <c r="G2451">
        <f>_xlfn.IMAGE("https://camerareadycosmetics.com/cdn/shop/products/Make-up-for-ever-mattevelvetskin_r260_closed_50x.jpg?v=1531939446")</f>
        <v/>
      </c>
      <c r="H2451">
        <f>_xlfn.IMAGE("https://m.media-amazon.com/images/I/71jGLnoCsHL._AC_UL320_.jpg")</f>
        <v/>
      </c>
      <c r="K2451" t="inlineStr">
        <is>
          <t>40.0</t>
        </is>
      </c>
      <c r="L2451" t="n">
        <v>44.95</v>
      </c>
      <c r="M2451" s="1" t="inlineStr">
        <is>
          <t>12.38%</t>
        </is>
      </c>
      <c r="N2451" t="n">
        <v>2.9</v>
      </c>
      <c r="O2451" t="n">
        <v>3</v>
      </c>
      <c r="Q2451" t="inlineStr">
        <is>
          <t>InStock</t>
        </is>
      </c>
      <c r="R2451" t="inlineStr">
        <is>
          <t>undefined</t>
        </is>
      </c>
      <c r="S2451" t="inlineStr">
        <is>
          <t>1336884133999</t>
        </is>
      </c>
    </row>
    <row r="2452" ht="75" customHeight="1">
      <c r="A2452" s="2">
        <f>HYPERLINK("https://camerareadycosmetics.com/products/make-up-for-ever-matte-velvet-skin-foundation", "https://camerareadycosmetics.com/products/make-up-for-ever-matte-velvet-skin-foundation")</f>
        <v/>
      </c>
      <c r="B2452" s="2">
        <f>HYPERLINK("https://camerareadycosmetics.com/products/make-up-for-ever-matte-velvet-skin-foundation", "https://camerareadycosmetics.com/products/make-up-for-ever-matte-velvet-skin-foundation")</f>
        <v/>
      </c>
      <c r="C2452" t="inlineStr">
        <is>
          <t>Matte Velvet Skin Foundation</t>
        </is>
      </c>
      <c r="D2452" t="inlineStr">
        <is>
          <t>MAKE UP FOR EVER Matte Velvet Skin Full Coverage Foundation Y235 Ivory Beige</t>
        </is>
      </c>
      <c r="E2452" s="2">
        <f>HYPERLINK("https://www.amazon.com/MAKE-Matte-Velvet-Coverage-Foundation/dp/B07JN9SHQF/ref=sr_1_1?keywords=Matte+Velvet+Skin+Foundation&amp;qid=1695565481&amp;sr=8-1", "https://www.amazon.com/MAKE-Matte-Velvet-Coverage-Foundation/dp/B07JN9SHQF/ref=sr_1_1?keywords=Matte+Velvet+Skin+Foundation&amp;qid=1695565481&amp;sr=8-1")</f>
        <v/>
      </c>
      <c r="F2452" t="inlineStr">
        <is>
          <t>B07JN9SHQF</t>
        </is>
      </c>
      <c r="G2452">
        <f>_xlfn.IMAGE("https://camerareadycosmetics.com/cdn/shop/products/Make-up-for-ever-mattevelvetskin_r260_closed_50x.jpg?v=1531939446")</f>
        <v/>
      </c>
      <c r="H2452">
        <f>_xlfn.IMAGE("https://m.media-amazon.com/images/I/61Wv2C+7SwL._AC_UL320_.jpg")</f>
        <v/>
      </c>
      <c r="K2452" t="inlineStr">
        <is>
          <t>40.0</t>
        </is>
      </c>
      <c r="L2452" t="n">
        <v>38</v>
      </c>
      <c r="M2452" s="1" t="inlineStr">
        <is>
          <t>-5.00%</t>
        </is>
      </c>
      <c r="N2452" t="n">
        <v>4.5</v>
      </c>
      <c r="O2452" t="n">
        <v>58</v>
      </c>
      <c r="Q2452" t="inlineStr">
        <is>
          <t>InStock</t>
        </is>
      </c>
      <c r="R2452" t="inlineStr">
        <is>
          <t>undefined</t>
        </is>
      </c>
      <c r="S2452" t="inlineStr">
        <is>
          <t>1336884133999</t>
        </is>
      </c>
    </row>
    <row r="2453" ht="75" customHeight="1">
      <c r="A2453" s="2">
        <f>HYPERLINK("https://camerareadycosmetics.com/products/make-up-for-ever-matte-velvet-skin-foundation", "https://camerareadycosmetics.com/products/make-up-for-ever-matte-velvet-skin-foundation")</f>
        <v/>
      </c>
      <c r="B2453" s="2">
        <f>HYPERLINK("https://camerareadycosmetics.com/products/make-up-for-ever-matte-velvet-skin-foundation", "https://camerareadycosmetics.com/products/make-up-for-ever-matte-velvet-skin-foundation")</f>
        <v/>
      </c>
      <c r="C2453" t="inlineStr">
        <is>
          <t>Matte Velvet Skin Foundation</t>
        </is>
      </c>
      <c r="D2453" t="inlineStr">
        <is>
          <t>MISTINE Magic Air Cushion Foundation Velvet Matte Finish Full Coverage Foundation Makeup for Oily Skin,24H Antioxidant Long-Lasting Waterproof SmudgeProof-Fair Ivory</t>
        </is>
      </c>
      <c r="E2453" s="2">
        <f>HYPERLINK("https://www.amazon.com/Foundation-Antioxidant-Long-Lasting-Waterproof-SmudgeProof-Fair/dp/B0C9ZPQ8T1/ref=sr_1_4?keywords=Matte+Velvet+Skin+Foundation&amp;qid=1695565481&amp;sr=8-4", "https://www.amazon.com/Foundation-Antioxidant-Long-Lasting-Waterproof-SmudgeProof-Fair/dp/B0C9ZPQ8T1/ref=sr_1_4?keywords=Matte+Velvet+Skin+Foundation&amp;qid=1695565481&amp;sr=8-4")</f>
        <v/>
      </c>
      <c r="F2453" t="inlineStr">
        <is>
          <t>B0C9ZPQ8T1</t>
        </is>
      </c>
      <c r="G2453">
        <f>_xlfn.IMAGE("https://camerareadycosmetics.com/cdn/shop/products/Make-up-for-ever-mattevelvetskin_r260_closed_50x.jpg?v=1531939446")</f>
        <v/>
      </c>
      <c r="H2453">
        <f>_xlfn.IMAGE("https://m.media-amazon.com/images/I/61QAYRDvCdL._AC_UL320_.jpg")</f>
        <v/>
      </c>
      <c r="K2453" t="inlineStr">
        <is>
          <t>40.0</t>
        </is>
      </c>
      <c r="L2453" t="n">
        <v>35.49</v>
      </c>
      <c r="M2453" s="1" t="inlineStr">
        <is>
          <t>-11.27%</t>
        </is>
      </c>
      <c r="N2453" t="n">
        <v>4.4</v>
      </c>
      <c r="O2453" t="n">
        <v>91</v>
      </c>
      <c r="Q2453" t="inlineStr">
        <is>
          <t>InStock</t>
        </is>
      </c>
      <c r="R2453" t="inlineStr">
        <is>
          <t>undefined</t>
        </is>
      </c>
      <c r="S2453" t="inlineStr">
        <is>
          <t>1336884133999</t>
        </is>
      </c>
    </row>
    <row r="2454" ht="75" customHeight="1">
      <c r="A2454" s="2">
        <f>HYPERLINK("https://camerareadycosmetics.com/products/make-up-for-ever-matte-velvet-skin-foundation", "https://camerareadycosmetics.com/products/make-up-for-ever-matte-velvet-skin-foundation")</f>
        <v/>
      </c>
      <c r="B2454" s="2">
        <f>HYPERLINK("https://camerareadycosmetics.com/products/make-up-for-ever-matte-velvet-skin-foundation", "https://camerareadycosmetics.com/products/make-up-for-ever-matte-velvet-skin-foundation")</f>
        <v/>
      </c>
      <c r="C2454" t="inlineStr">
        <is>
          <t>Matte Velvet Skin Foundation</t>
        </is>
      </c>
      <c r="D2454" t="inlineStr">
        <is>
          <t>ESPOIR Pro Tailor Be Velvet Cushion SPF34 PA++ #2 Ivory (13g+refill 13g) | Excellent long-lasting effect beyond the limitation of cushion | Lightweight Matte Skin Full Coverage Cushion Foundation | Korean Makeup</t>
        </is>
      </c>
      <c r="E2454" s="2">
        <f>HYPERLINK("https://www.amazon.com/Excellent-long-lasting-limitation-Lightweight-Foundation/dp/B09TNY3V1Y/ref=sr_1_6?keywords=Matte+Velvet+Skin+Foundation&amp;qid=1695565481&amp;sr=8-6", "https://www.amazon.com/Excellent-long-lasting-limitation-Lightweight-Foundation/dp/B09TNY3V1Y/ref=sr_1_6?keywords=Matte+Velvet+Skin+Foundation&amp;qid=1695565481&amp;sr=8-6")</f>
        <v/>
      </c>
      <c r="F2454" t="inlineStr">
        <is>
          <t>B09TNY3V1Y</t>
        </is>
      </c>
      <c r="G2454">
        <f>_xlfn.IMAGE("https://camerareadycosmetics.com/cdn/shop/products/Make-up-for-ever-mattevelvetskin_r260_closed_50x.jpg?v=1531939446")</f>
        <v/>
      </c>
      <c r="H2454">
        <f>_xlfn.IMAGE("https://m.media-amazon.com/images/I/619-5qar0jL._AC_UL320_.jpg")</f>
        <v/>
      </c>
      <c r="K2454" t="inlineStr">
        <is>
          <t>40.0</t>
        </is>
      </c>
      <c r="L2454" t="n">
        <v>29.26</v>
      </c>
      <c r="M2454" s="1" t="inlineStr">
        <is>
          <t>-26.85%</t>
        </is>
      </c>
      <c r="N2454" t="n">
        <v>4</v>
      </c>
      <c r="O2454" t="n">
        <v>237</v>
      </c>
      <c r="Q2454" t="inlineStr">
        <is>
          <t>InStock</t>
        </is>
      </c>
      <c r="R2454" t="inlineStr">
        <is>
          <t>undefined</t>
        </is>
      </c>
      <c r="S2454" t="inlineStr">
        <is>
          <t>1336884133999</t>
        </is>
      </c>
    </row>
    <row r="2455" ht="75" customHeight="1">
      <c r="A2455" s="2">
        <f>HYPERLINK("https://camerareadycosmetics.com/products/make-up-for-ever-matte-velvet-skin-foundation", "https://camerareadycosmetics.com/products/make-up-for-ever-matte-velvet-skin-foundation")</f>
        <v/>
      </c>
      <c r="B2455" s="2">
        <f>HYPERLINK("https://camerareadycosmetics.com/products/make-up-for-ever-matte-velvet-skin-foundation", "https://camerareadycosmetics.com/products/make-up-for-ever-matte-velvet-skin-foundation")</f>
        <v/>
      </c>
      <c r="C2455" t="inlineStr">
        <is>
          <t>Matte Velvet Skin Foundation</t>
        </is>
      </c>
      <c r="D2455" t="inlineStr">
        <is>
          <t>Radiant Professional Velvet Finish Cream Powder Makeup SPF 15 - Cream Foundation Makeup with Natural Looking Matte Finish - Water Resistant - Moisturizing - SPF 15 - Light Beige (02)</t>
        </is>
      </c>
      <c r="E2455" s="2">
        <f>HYPERLINK("https://www.amazon.com/Radiant-VELVET-FINISH-POWDER-MAKEUP/dp/B085RDJ6Q3/ref=sr_1_9?keywords=Matte+Velvet+Skin+Foundation&amp;qid=1695565481&amp;sr=8-9", "https://www.amazon.com/Radiant-VELVET-FINISH-POWDER-MAKEUP/dp/B085RDJ6Q3/ref=sr_1_9?keywords=Matte+Velvet+Skin+Foundation&amp;qid=1695565481&amp;sr=8-9")</f>
        <v/>
      </c>
      <c r="F2455" t="inlineStr">
        <is>
          <t>B085RDJ6Q3</t>
        </is>
      </c>
      <c r="G2455">
        <f>_xlfn.IMAGE("https://camerareadycosmetics.com/cdn/shop/products/Make-up-for-ever-mattevelvetskin_r260_closed_50x.jpg?v=1531939446")</f>
        <v/>
      </c>
      <c r="H2455">
        <f>_xlfn.IMAGE("https://m.media-amazon.com/images/I/61lzi7On-7L._AC_UL320_.jpg")</f>
        <v/>
      </c>
      <c r="K2455" t="inlineStr">
        <is>
          <t>40.0</t>
        </is>
      </c>
      <c r="L2455" t="n">
        <v>16.99</v>
      </c>
      <c r="M2455" s="1" t="inlineStr">
        <is>
          <t>-57.53%</t>
        </is>
      </c>
      <c r="N2455" t="n">
        <v>5</v>
      </c>
      <c r="O2455" t="n">
        <v>2</v>
      </c>
      <c r="Q2455" t="inlineStr">
        <is>
          <t>InStock</t>
        </is>
      </c>
      <c r="R2455" t="inlineStr">
        <is>
          <t>undefined</t>
        </is>
      </c>
      <c r="S2455" t="inlineStr">
        <is>
          <t>1336884133999</t>
        </is>
      </c>
    </row>
    <row r="2456" ht="75" customHeight="1">
      <c r="A2456" s="2">
        <f>HYPERLINK("https://camerareadycosmetics.com/products/make-up-for-ever-matte-velvet-skin-foundation", "https://camerareadycosmetics.com/products/make-up-for-ever-matte-velvet-skin-foundation")</f>
        <v/>
      </c>
      <c r="B2456" s="2">
        <f>HYPERLINK("https://camerareadycosmetics.com/products/make-up-for-ever-matte-velvet-skin-foundation", "https://camerareadycosmetics.com/products/make-up-for-ever-matte-velvet-skin-foundation")</f>
        <v/>
      </c>
      <c r="C2456" t="inlineStr">
        <is>
          <t>Matte Velvet Skin Foundation</t>
        </is>
      </c>
      <c r="D2456" t="inlineStr">
        <is>
          <t>AQUAPURITY PHOERA Full Coverage Foundation New Formula Waterproof Long Lasting Oil Free Velvet Matte Liquid Foundation for Oily Skin Flawless Makeup Base Cream Concealer (101 Porcelain)</t>
        </is>
      </c>
      <c r="E2456" s="2">
        <f>HYPERLINK("https://www.amazon.com/AQUAPURITY-Foundation-Waterproof-Concealer-Porcelain/dp/B07S9CCTRB/ref=sr_1_5?keywords=Matte+Velvet+Skin+Foundation&amp;qid=1695565481&amp;sr=8-5", "https://www.amazon.com/AQUAPURITY-Foundation-Waterproof-Concealer-Porcelain/dp/B07S9CCTRB/ref=sr_1_5?keywords=Matte+Velvet+Skin+Foundation&amp;qid=1695565481&amp;sr=8-5")</f>
        <v/>
      </c>
      <c r="F2456" t="inlineStr">
        <is>
          <t>B07S9CCTRB</t>
        </is>
      </c>
      <c r="G2456">
        <f>_xlfn.IMAGE("https://camerareadycosmetics.com/cdn/shop/products/Make-up-for-ever-mattevelvetskin_r260_closed_50x.jpg?v=1531939446")</f>
        <v/>
      </c>
      <c r="H2456">
        <f>_xlfn.IMAGE("https://m.media-amazon.com/images/I/31sXrp6wmPL._AC_UL320_.jpg")</f>
        <v/>
      </c>
      <c r="K2456" t="inlineStr">
        <is>
          <t>40.0</t>
        </is>
      </c>
      <c r="L2456" t="n">
        <v>9.49</v>
      </c>
      <c r="M2456" s="1" t="inlineStr">
        <is>
          <t>-76.27%</t>
        </is>
      </c>
      <c r="N2456" t="n">
        <v>4.3</v>
      </c>
      <c r="O2456" t="n">
        <v>938</v>
      </c>
      <c r="Q2456" t="inlineStr">
        <is>
          <t>InStock</t>
        </is>
      </c>
      <c r="R2456" t="inlineStr">
        <is>
          <t>undefined</t>
        </is>
      </c>
      <c r="S2456" t="inlineStr">
        <is>
          <t>1336884133999</t>
        </is>
      </c>
    </row>
    <row r="2457" ht="75" customHeight="1">
      <c r="A2457" s="2">
        <f>HYPERLINK("https://camerareadycosmetics.com/products/make-up-for-ever-matte-velvet-skin-foundation", "https://camerareadycosmetics.com/products/make-up-for-ever-matte-velvet-skin-foundation")</f>
        <v/>
      </c>
      <c r="B2457" s="2">
        <f>HYPERLINK("https://camerareadycosmetics.com/products/make-up-for-ever-matte-velvet-skin-foundation", "https://camerareadycosmetics.com/products/make-up-for-ever-matte-velvet-skin-foundation")</f>
        <v/>
      </c>
      <c r="C2457" t="inlineStr">
        <is>
          <t>Matte Velvet Skin Foundation</t>
        </is>
      </c>
      <c r="D2457" t="inlineStr">
        <is>
          <t>Maybelline New York Dream Velvet Soft-Matte Hydrating Foundation, Classic Ivory, 1 fl. oz.</t>
        </is>
      </c>
      <c r="E2457" s="2">
        <f>HYPERLINK("https://www.amazon.com/Maybelline-New-York-Foundation-Classic/dp/B0169YY4G6/ref=sr_1_3?keywords=Matte+Velvet+Skin+Foundation&amp;qid=1695565481&amp;sr=8-3", "https://www.amazon.com/Maybelline-New-York-Foundation-Classic/dp/B0169YY4G6/ref=sr_1_3?keywords=Matte+Velvet+Skin+Foundation&amp;qid=1695565481&amp;sr=8-3")</f>
        <v/>
      </c>
      <c r="F2457" t="inlineStr">
        <is>
          <t>B0169YY4G6</t>
        </is>
      </c>
      <c r="G2457">
        <f>_xlfn.IMAGE("https://camerareadycosmetics.com/cdn/shop/products/Make-up-for-ever-mattevelvetskin_r260_closed_50x.jpg?v=1531939446")</f>
        <v/>
      </c>
      <c r="H2457">
        <f>_xlfn.IMAGE("https://m.media-amazon.com/images/I/71dzavbbE1L._AC_UL320_.jpg")</f>
        <v/>
      </c>
      <c r="K2457" t="inlineStr">
        <is>
          <t>40.0</t>
        </is>
      </c>
      <c r="L2457" t="n">
        <v>7.96</v>
      </c>
      <c r="M2457" s="1" t="inlineStr">
        <is>
          <t>-80.10%</t>
        </is>
      </c>
      <c r="N2457" t="n">
        <v>4.5</v>
      </c>
      <c r="O2457" t="n">
        <v>2882</v>
      </c>
      <c r="Q2457" t="inlineStr">
        <is>
          <t>InStock</t>
        </is>
      </c>
      <c r="R2457" t="inlineStr">
        <is>
          <t>undefined</t>
        </is>
      </c>
      <c r="S2457" t="inlineStr">
        <is>
          <t>1336884133999</t>
        </is>
      </c>
    </row>
    <row r="2458" ht="75" customHeight="1">
      <c r="A2458" s="2">
        <f>HYPERLINK("https://camerareadycosmetics.com/products/make-up-for-ever-matte-velvet-skin-foundation", "https://camerareadycosmetics.com/products/make-up-for-ever-matte-velvet-skin-foundation")</f>
        <v/>
      </c>
      <c r="B2458" s="2">
        <f>HYPERLINK("https://camerareadycosmetics.com/products/make-up-for-ever-matte-velvet-skin-foundation", "https://camerareadycosmetics.com/products/make-up-for-ever-matte-velvet-skin-foundation")</f>
        <v/>
      </c>
      <c r="C2458" t="inlineStr">
        <is>
          <t>Matte Velvet Skin Foundation</t>
        </is>
      </c>
      <c r="D2458" t="inlineStr">
        <is>
          <t>Radiant Professional Velvet Finish Cream Powder Makeup SPF 15 - Cream Foundation Makeup with Natural Looking Matte Finish - Water Resistant - Moisturizing - SPF 15 - Light Beige (02)</t>
        </is>
      </c>
      <c r="E2458" s="2">
        <f>HYPERLINK("https://www.amazon.com/Radiant-VELVET-FINISH-POWDER-MAKEUP/dp/B085RDJ6Q3/ref=sr_1_9?keywords=Matte+Velvet+Skin+Foundation&amp;qid=1695565481&amp;sr=8-9", "https://www.amazon.com/Radiant-VELVET-FINISH-POWDER-MAKEUP/dp/B085RDJ6Q3/ref=sr_1_9?keywords=Matte+Velvet+Skin+Foundation&amp;qid=1695565481&amp;sr=8-9")</f>
        <v/>
      </c>
      <c r="F2458" t="inlineStr">
        <is>
          <t>B085RDJ6Q3</t>
        </is>
      </c>
      <c r="G2458">
        <f>_xlfn.IMAGE("https://camerareadycosmetics.com/cdn/shop/products/Make-up-for-ever-mattevelvetskin_r260_closed_50x.jpg?v=1531939446")</f>
        <v/>
      </c>
      <c r="H2458">
        <f>_xlfn.IMAGE("https://m.media-amazon.com/images/I/61lzi7On-7L._AC_UL320_.jpg")</f>
        <v/>
      </c>
      <c r="K2458" t="inlineStr">
        <is>
          <t>40.0</t>
        </is>
      </c>
      <c r="L2458" t="n">
        <v>16.99</v>
      </c>
      <c r="M2458" s="1" t="inlineStr">
        <is>
          <t>-57.53%</t>
        </is>
      </c>
      <c r="N2458" t="n">
        <v>5</v>
      </c>
      <c r="O2458" t="n">
        <v>2</v>
      </c>
      <c r="Q2458" t="inlineStr">
        <is>
          <t>InStock</t>
        </is>
      </c>
      <c r="R2458" t="inlineStr">
        <is>
          <t>undefined</t>
        </is>
      </c>
      <c r="S2458" t="inlineStr">
        <is>
          <t>1336884133999</t>
        </is>
      </c>
    </row>
    <row r="2459" ht="75" customHeight="1">
      <c r="A2459" s="2">
        <f>HYPERLINK("https://camerareadycosmetics.com/products/make-up-for-ever-matte-velvet-skin-foundation", "https://camerareadycosmetics.com/products/make-up-for-ever-matte-velvet-skin-foundation")</f>
        <v/>
      </c>
      <c r="B2459" s="2">
        <f>HYPERLINK("https://camerareadycosmetics.com/products/make-up-for-ever-matte-velvet-skin-foundation", "https://camerareadycosmetics.com/products/make-up-for-ever-matte-velvet-skin-foundation")</f>
        <v/>
      </c>
      <c r="C2459" t="inlineStr">
        <is>
          <t>Matte Velvet Skin Foundation</t>
        </is>
      </c>
      <c r="D2459" t="inlineStr">
        <is>
          <t>AQUAPURITY PHOERA Full Coverage Foundation New Formula Waterproof Long Lasting Oil Free Velvet Matte Liquid Foundation for Oily Skin Flawless Makeup Base Cream Concealer (101 Porcelain)</t>
        </is>
      </c>
      <c r="E2459" s="2">
        <f>HYPERLINK("https://www.amazon.com/AQUAPURITY-Foundation-Waterproof-Concealer-Porcelain/dp/B07S9CCTRB/ref=sr_1_5?keywords=Matte+Velvet+Skin+Foundation&amp;qid=1695565481&amp;sr=8-5", "https://www.amazon.com/AQUAPURITY-Foundation-Waterproof-Concealer-Porcelain/dp/B07S9CCTRB/ref=sr_1_5?keywords=Matte+Velvet+Skin+Foundation&amp;qid=1695565481&amp;sr=8-5")</f>
        <v/>
      </c>
      <c r="F2459" t="inlineStr">
        <is>
          <t>B07S9CCTRB</t>
        </is>
      </c>
      <c r="G2459">
        <f>_xlfn.IMAGE("https://camerareadycosmetics.com/cdn/shop/products/Make-up-for-ever-mattevelvetskin_r260_closed_50x.jpg?v=1531939446")</f>
        <v/>
      </c>
      <c r="H2459">
        <f>_xlfn.IMAGE("https://m.media-amazon.com/images/I/31sXrp6wmPL._AC_UL320_.jpg")</f>
        <v/>
      </c>
      <c r="K2459" t="inlineStr">
        <is>
          <t>40.0</t>
        </is>
      </c>
      <c r="L2459" t="n">
        <v>9.49</v>
      </c>
      <c r="M2459" s="1" t="inlineStr">
        <is>
          <t>-76.27%</t>
        </is>
      </c>
      <c r="N2459" t="n">
        <v>4.3</v>
      </c>
      <c r="O2459" t="n">
        <v>938</v>
      </c>
      <c r="Q2459" t="inlineStr">
        <is>
          <t>InStock</t>
        </is>
      </c>
      <c r="R2459" t="inlineStr">
        <is>
          <t>undefined</t>
        </is>
      </c>
      <c r="S2459" t="inlineStr">
        <is>
          <t>1336884133999</t>
        </is>
      </c>
    </row>
    <row r="2460" ht="75" customHeight="1">
      <c r="A2460" s="2">
        <f>HYPERLINK("https://camerareadycosmetics.com/products/make-up-for-ever-matte-velvet-skin-foundation", "https://camerareadycosmetics.com/products/make-up-for-ever-matte-velvet-skin-foundation")</f>
        <v/>
      </c>
      <c r="B2460" s="2">
        <f>HYPERLINK("https://camerareadycosmetics.com/products/make-up-for-ever-matte-velvet-skin-foundation", "https://camerareadycosmetics.com/products/make-up-for-ever-matte-velvet-skin-foundation")</f>
        <v/>
      </c>
      <c r="C2460" t="inlineStr">
        <is>
          <t>Matte Velvet Skin Foundation</t>
        </is>
      </c>
      <c r="D2460" t="inlineStr">
        <is>
          <t>Maybelline New York Dream Velvet Soft-Matte Hydrating Foundation, Classic Ivory, 1 fl. oz.</t>
        </is>
      </c>
      <c r="E2460" s="2">
        <f>HYPERLINK("https://www.amazon.com/Maybelline-New-York-Foundation-Classic/dp/B0169YY4G6/ref=sr_1_3?keywords=Matte+Velvet+Skin+Foundation&amp;qid=1695565481&amp;sr=8-3", "https://www.amazon.com/Maybelline-New-York-Foundation-Classic/dp/B0169YY4G6/ref=sr_1_3?keywords=Matte+Velvet+Skin+Foundation&amp;qid=1695565481&amp;sr=8-3")</f>
        <v/>
      </c>
      <c r="F2460" t="inlineStr">
        <is>
          <t>B0169YY4G6</t>
        </is>
      </c>
      <c r="G2460">
        <f>_xlfn.IMAGE("https://camerareadycosmetics.com/cdn/shop/products/Make-up-for-ever-mattevelvetskin_r260_closed_50x.jpg?v=1531939446")</f>
        <v/>
      </c>
      <c r="H2460">
        <f>_xlfn.IMAGE("https://m.media-amazon.com/images/I/71dzavbbE1L._AC_UL320_.jpg")</f>
        <v/>
      </c>
      <c r="K2460" t="inlineStr">
        <is>
          <t>40.0</t>
        </is>
      </c>
      <c r="L2460" t="n">
        <v>7.96</v>
      </c>
      <c r="M2460" s="1" t="inlineStr">
        <is>
          <t>-80.10%</t>
        </is>
      </c>
      <c r="N2460" t="n">
        <v>4.5</v>
      </c>
      <c r="O2460" t="n">
        <v>2882</v>
      </c>
      <c r="Q2460" t="inlineStr">
        <is>
          <t>InStock</t>
        </is>
      </c>
      <c r="R2460" t="inlineStr">
        <is>
          <t>undefined</t>
        </is>
      </c>
      <c r="S2460" t="inlineStr">
        <is>
          <t>1336884133999</t>
        </is>
      </c>
    </row>
    <row r="2461" ht="75" customHeight="1">
      <c r="A2461" s="2">
        <f>HYPERLINK("https://camerareadycosmetics.com/products/make-up-for-ever-mixing-balm", "https://camerareadycosmetics.com/products/make-up-for-ever-mixing-balm")</f>
        <v/>
      </c>
      <c r="B2461" s="2">
        <f>HYPERLINK("https://camerareadycosmetics.com/products/make-up-for-ever-mixing-balm", "https://camerareadycosmetics.com/products/make-up-for-ever-mixing-balm")</f>
        <v/>
      </c>
      <c r="C2461" t="inlineStr">
        <is>
          <t>Mixing Balm</t>
        </is>
      </c>
      <c r="D2461" t="inlineStr">
        <is>
          <t>I Dew Care Multi-functional Applicator - Get The Scoop | Gift, Stainless Steel Spatula, Beauty Tool for Cream, Lip Balm, Wash-Off Masks, Mixing, Depuffing</t>
        </is>
      </c>
      <c r="E2461" s="2">
        <f>HYPERLINK("https://www.amazon.com/DEW-CARE-Multi-functional-Stainless-Applicator/dp/B08R86VGY4/ref=sr_1_1?keywords=Mixing+Balm&amp;qid=1695565780&amp;sr=8-1", "https://www.amazon.com/DEW-CARE-Multi-functional-Stainless-Applicator/dp/B08R86VGY4/ref=sr_1_1?keywords=Mixing+Balm&amp;qid=1695565780&amp;sr=8-1")</f>
        <v/>
      </c>
      <c r="F2461" t="inlineStr">
        <is>
          <t>B08R86VGY4</t>
        </is>
      </c>
      <c r="G2461">
        <f>_xlfn.IMAGE("https://camerareadycosmetics.com/cdn/shop/products/makeup-forever-mixing-balm_50x.jpg?v=1538521449")</f>
        <v/>
      </c>
      <c r="H2461">
        <f>_xlfn.IMAGE("https://m.media-amazon.com/images/I/61tv9dpWnnL._AC_UL320_.jpg")</f>
        <v/>
      </c>
      <c r="K2461" t="inlineStr">
        <is>
          <t>26.0</t>
        </is>
      </c>
      <c r="L2461" t="n">
        <v>10</v>
      </c>
      <c r="M2461" s="1" t="inlineStr">
        <is>
          <t>-61.54%</t>
        </is>
      </c>
      <c r="N2461" t="n">
        <v>4.7</v>
      </c>
      <c r="O2461" t="n">
        <v>991</v>
      </c>
      <c r="Q2461" t="inlineStr">
        <is>
          <t>InStock</t>
        </is>
      </c>
      <c r="R2461" t="inlineStr">
        <is>
          <t>undefined</t>
        </is>
      </c>
      <c r="S2461" t="inlineStr">
        <is>
          <t>1648817012847</t>
        </is>
      </c>
    </row>
    <row r="2462" ht="75" customHeight="1">
      <c r="A2462" s="2">
        <f>HYPERLINK("https://camerareadycosmetics.com/products/make-up-for-ever-mixing-balm", "https://camerareadycosmetics.com/products/make-up-for-ever-mixing-balm")</f>
        <v/>
      </c>
      <c r="B2462" s="2">
        <f>HYPERLINK("https://camerareadycosmetics.com/products/make-up-for-ever-mixing-balm", "https://camerareadycosmetics.com/products/make-up-for-ever-mixing-balm")</f>
        <v/>
      </c>
      <c r="C2462" t="inlineStr">
        <is>
          <t>Mixing Balm</t>
        </is>
      </c>
      <c r="D2462" t="inlineStr">
        <is>
          <t>Beaupretty Lip Gloss Clear Lip Gloss Clear Cosmetic Applicators Spatulas 30pcs Lip Spoons Cosmetic Makeup Lip Lip Gloss Applicators Spoons Bee Balm Spoon Makeup Lip Gloss Mixing Spoons</t>
        </is>
      </c>
      <c r="E2462" s="2">
        <f>HYPERLINK("https://www.amazon.com/Beaupretty-Spoons-Cosmetic-Makeup-Applicators/dp/B09MHJ5Z75/ref=sr_1_4?keywords=Mixing+Balm&amp;qid=1695565780&amp;sr=8-4", "https://www.amazon.com/Beaupretty-Spoons-Cosmetic-Makeup-Applicators/dp/B09MHJ5Z75/ref=sr_1_4?keywords=Mixing+Balm&amp;qid=1695565780&amp;sr=8-4")</f>
        <v/>
      </c>
      <c r="F2462" t="inlineStr">
        <is>
          <t>B09MHJ5Z75</t>
        </is>
      </c>
      <c r="G2462">
        <f>_xlfn.IMAGE("https://camerareadycosmetics.com/cdn/shop/products/makeup-forever-mixing-balm_50x.jpg?v=1538521449")</f>
        <v/>
      </c>
      <c r="H2462">
        <f>_xlfn.IMAGE("https://m.media-amazon.com/images/I/71Ftg1JCTfL._AC_UL320_.jpg")</f>
        <v/>
      </c>
      <c r="K2462" t="inlineStr">
        <is>
          <t>26.0</t>
        </is>
      </c>
      <c r="L2462" t="n">
        <v>6.99</v>
      </c>
      <c r="M2462" s="1" t="inlineStr">
        <is>
          <t>-73.12%</t>
        </is>
      </c>
      <c r="N2462" t="n">
        <v>4</v>
      </c>
      <c r="O2462" t="n">
        <v>2</v>
      </c>
      <c r="Q2462" t="inlineStr">
        <is>
          <t>InStock</t>
        </is>
      </c>
      <c r="R2462" t="inlineStr">
        <is>
          <t>undefined</t>
        </is>
      </c>
      <c r="S2462" t="inlineStr">
        <is>
          <t>1648817012847</t>
        </is>
      </c>
    </row>
    <row r="2463" ht="75" customHeight="1">
      <c r="A2463" s="2">
        <f>HYPERLINK("https://camerareadycosmetics.com/products/make-up-for-ever-mixing-balm", "https://camerareadycosmetics.com/products/make-up-for-ever-mixing-balm")</f>
        <v/>
      </c>
      <c r="B2463" s="2">
        <f>HYPERLINK("https://camerareadycosmetics.com/products/make-up-for-ever-mixing-balm", "https://camerareadycosmetics.com/products/make-up-for-ever-mixing-balm")</f>
        <v/>
      </c>
      <c r="C2463" t="inlineStr">
        <is>
          <t>Mixing Balm</t>
        </is>
      </c>
      <c r="D2463" t="inlineStr">
        <is>
          <t>I Dew Care Multi-functional Applicator - Get The Scoop | Gift, Stainless Steel Spatula, Beauty Tool for Cream, Lip Balm, Wash-Off Masks, Mixing, Depuffing</t>
        </is>
      </c>
      <c r="E2463" s="2">
        <f>HYPERLINK("https://www.amazon.com/DEW-CARE-Multi-functional-Stainless-Applicator/dp/B08R86VGY4/ref=sr_1_1?keywords=Mixing+Balm&amp;qid=1695565780&amp;sr=8-1", "https://www.amazon.com/DEW-CARE-Multi-functional-Stainless-Applicator/dp/B08R86VGY4/ref=sr_1_1?keywords=Mixing+Balm&amp;qid=1695565780&amp;sr=8-1")</f>
        <v/>
      </c>
      <c r="F2463" t="inlineStr">
        <is>
          <t>B08R86VGY4</t>
        </is>
      </c>
      <c r="G2463">
        <f>_xlfn.IMAGE("https://camerareadycosmetics.com/cdn/shop/products/makeup-forever-mixing-balm_50x.jpg?v=1538521449")</f>
        <v/>
      </c>
      <c r="H2463">
        <f>_xlfn.IMAGE("https://m.media-amazon.com/images/I/61tv9dpWnnL._AC_UL320_.jpg")</f>
        <v/>
      </c>
      <c r="K2463" t="inlineStr">
        <is>
          <t>26.0</t>
        </is>
      </c>
      <c r="L2463" t="n">
        <v>10</v>
      </c>
      <c r="M2463" s="1" t="inlineStr">
        <is>
          <t>-61.54%</t>
        </is>
      </c>
      <c r="N2463" t="n">
        <v>4.7</v>
      </c>
      <c r="O2463" t="n">
        <v>991</v>
      </c>
      <c r="Q2463" t="inlineStr">
        <is>
          <t>InStock</t>
        </is>
      </c>
      <c r="R2463" t="inlineStr">
        <is>
          <t>undefined</t>
        </is>
      </c>
      <c r="S2463" t="inlineStr">
        <is>
          <t>1648817012847</t>
        </is>
      </c>
    </row>
    <row r="2464" ht="75" customHeight="1">
      <c r="A2464" s="2">
        <f>HYPERLINK("https://camerareadycosmetics.com/products/make-up-for-ever-mixing-balm", "https://camerareadycosmetics.com/products/make-up-for-ever-mixing-balm")</f>
        <v/>
      </c>
      <c r="B2464" s="2">
        <f>HYPERLINK("https://camerareadycosmetics.com/products/make-up-for-ever-mixing-balm", "https://camerareadycosmetics.com/products/make-up-for-ever-mixing-balm")</f>
        <v/>
      </c>
      <c r="C2464" t="inlineStr">
        <is>
          <t>Mixing Balm</t>
        </is>
      </c>
      <c r="D2464" t="inlineStr">
        <is>
          <t>Beaupretty Lip Gloss Clear Lip Gloss Clear Cosmetic Applicators Spatulas 30pcs Lip Spoons Cosmetic Makeup Lip Lip Gloss Applicators Spoons Bee Balm Spoon Makeup Lip Gloss Mixing Spoons</t>
        </is>
      </c>
      <c r="E2464" s="2">
        <f>HYPERLINK("https://www.amazon.com/Beaupretty-Spoons-Cosmetic-Makeup-Applicators/dp/B09MHJ5Z75/ref=sr_1_4?keywords=Mixing+Balm&amp;qid=1695565780&amp;sr=8-4", "https://www.amazon.com/Beaupretty-Spoons-Cosmetic-Makeup-Applicators/dp/B09MHJ5Z75/ref=sr_1_4?keywords=Mixing+Balm&amp;qid=1695565780&amp;sr=8-4")</f>
        <v/>
      </c>
      <c r="F2464" t="inlineStr">
        <is>
          <t>B09MHJ5Z75</t>
        </is>
      </c>
      <c r="G2464">
        <f>_xlfn.IMAGE("https://camerareadycosmetics.com/cdn/shop/products/makeup-forever-mixing-balm_50x.jpg?v=1538521449")</f>
        <v/>
      </c>
      <c r="H2464">
        <f>_xlfn.IMAGE("https://m.media-amazon.com/images/I/71Ftg1JCTfL._AC_UL320_.jpg")</f>
        <v/>
      </c>
      <c r="K2464" t="inlineStr">
        <is>
          <t>26.0</t>
        </is>
      </c>
      <c r="L2464" t="n">
        <v>6.99</v>
      </c>
      <c r="M2464" s="1" t="inlineStr">
        <is>
          <t>-73.12%</t>
        </is>
      </c>
      <c r="N2464" t="n">
        <v>4</v>
      </c>
      <c r="O2464" t="n">
        <v>2</v>
      </c>
      <c r="Q2464" t="inlineStr">
        <is>
          <t>InStock</t>
        </is>
      </c>
      <c r="R2464" t="inlineStr">
        <is>
          <t>undefined</t>
        </is>
      </c>
      <c r="S2464" t="inlineStr">
        <is>
          <t>1648817012847</t>
        </is>
      </c>
    </row>
    <row r="2465" ht="75" customHeight="1">
      <c r="A2465" s="2">
        <f>HYPERLINK("https://camerareadycosmetics.com/products/make-up-for-ever-pro-glow-highlighter", "https://camerareadycosmetics.com/products/make-up-for-ever-pro-glow-highlighter")</f>
        <v/>
      </c>
      <c r="B2465" s="2">
        <f>HYPERLINK("https://camerareadycosmetics.com/products/make-up-for-ever-pro-glow-highlighter", "https://camerareadycosmetics.com/products/make-up-for-ever-pro-glow-highlighter")</f>
        <v/>
      </c>
      <c r="C2465" t="inlineStr">
        <is>
          <t>Pro Glow Highlighter</t>
        </is>
      </c>
      <c r="D2465" t="inlineStr">
        <is>
          <t>tarteist PRO glow liquid highlighter-sparkler</t>
        </is>
      </c>
      <c r="E2465" s="2">
        <f>HYPERLINK("https://www.amazon.com/tarteist-PRO-glow-liquid-highlighter-sparkler/dp/B071692SBM/ref=sr_1_2?keywords=Pro+Glow+Highlighter&amp;qid=1695565763&amp;sr=8-2", "https://www.amazon.com/tarteist-PRO-glow-liquid-highlighter-sparkler/dp/B071692SBM/ref=sr_1_2?keywords=Pro+Glow+Highlighter&amp;qid=1695565763&amp;sr=8-2")</f>
        <v/>
      </c>
      <c r="F2465" t="inlineStr">
        <is>
          <t>B071692SBM</t>
        </is>
      </c>
      <c r="G2465">
        <f>_xlfn.IMAGE("https://camerareadycosmetics.com/cdn/shop/products/mufe-pearly-rose-highlighter_I000065001_PRO-GLOW-01_Face_0_50x.jpg?v=1635178181")</f>
        <v/>
      </c>
      <c r="H2465">
        <f>_xlfn.IMAGE("https://m.media-amazon.com/images/I/71bEBjaiPEL._AC_UL320_.jpg")</f>
        <v/>
      </c>
      <c r="K2465" t="inlineStr">
        <is>
          <t>38.0</t>
        </is>
      </c>
      <c r="L2465" t="n">
        <v>27.98</v>
      </c>
      <c r="M2465" s="1" t="inlineStr">
        <is>
          <t>-26.37%</t>
        </is>
      </c>
      <c r="N2465" t="n">
        <v>3.7</v>
      </c>
      <c r="O2465" t="n">
        <v>10</v>
      </c>
      <c r="Q2465" t="inlineStr">
        <is>
          <t>InStock</t>
        </is>
      </c>
      <c r="R2465" t="inlineStr">
        <is>
          <t>undefined</t>
        </is>
      </c>
      <c r="S2465" t="inlineStr">
        <is>
          <t>7058008015033</t>
        </is>
      </c>
    </row>
    <row r="2466" ht="75" customHeight="1">
      <c r="A2466" s="2">
        <f>HYPERLINK("https://camerareadycosmetics.com/products/make-up-for-ever-pro-glow-highlighter", "https://camerareadycosmetics.com/products/make-up-for-ever-pro-glow-highlighter")</f>
        <v/>
      </c>
      <c r="B2466" s="2">
        <f>HYPERLINK("https://camerareadycosmetics.com/products/make-up-for-ever-pro-glow-highlighter", "https://camerareadycosmetics.com/products/make-up-for-ever-pro-glow-highlighter")</f>
        <v/>
      </c>
      <c r="C2466" t="inlineStr">
        <is>
          <t>Pro Glow Highlighter</t>
        </is>
      </c>
      <c r="D2466" t="inlineStr">
        <is>
          <t>NYX PROFESSIONAL MAKEUP Born to Glow Highlighter Singles, Break The Rhythm</t>
        </is>
      </c>
      <c r="E2466" s="2">
        <f>HYPERLINK("https://www.amazon.com/NYX-PROFESSIONAL-MAKEUP-Highlighter-Singles/dp/B07BP4FRY6/ref=sr_1_5?keywords=Pro+Glow+Highlighter&amp;qid=1695565763&amp;sr=8-5", "https://www.amazon.com/NYX-PROFESSIONAL-MAKEUP-Highlighter-Singles/dp/B07BP4FRY6/ref=sr_1_5?keywords=Pro+Glow+Highlighter&amp;qid=1695565763&amp;sr=8-5")</f>
        <v/>
      </c>
      <c r="F2466" t="inlineStr">
        <is>
          <t>B07BP4FRY6</t>
        </is>
      </c>
      <c r="G2466">
        <f>_xlfn.IMAGE("https://camerareadycosmetics.com/cdn/shop/products/mufe-pearly-rose-highlighter_I000065001_PRO-GLOW-01_Face_0_50x.jpg?v=1635178181")</f>
        <v/>
      </c>
      <c r="H2466">
        <f>_xlfn.IMAGE("https://m.media-amazon.com/images/I/61DmsHiPdpL._AC_UL320_.jpg")</f>
        <v/>
      </c>
      <c r="K2466" t="inlineStr">
        <is>
          <t>38.0</t>
        </is>
      </c>
      <c r="L2466" t="n">
        <v>24.39</v>
      </c>
      <c r="M2466" s="1" t="inlineStr">
        <is>
          <t>-35.82%</t>
        </is>
      </c>
      <c r="N2466" t="n">
        <v>4.4</v>
      </c>
      <c r="O2466" t="n">
        <v>446</v>
      </c>
      <c r="Q2466" t="inlineStr">
        <is>
          <t>InStock</t>
        </is>
      </c>
      <c r="R2466" t="inlineStr">
        <is>
          <t>undefined</t>
        </is>
      </c>
      <c r="S2466" t="inlineStr">
        <is>
          <t>7058008015033</t>
        </is>
      </c>
    </row>
    <row r="2467" ht="75" customHeight="1">
      <c r="A2467" s="2">
        <f>HYPERLINK("https://camerareadycosmetics.com/products/make-up-for-ever-pro-glow-highlighter", "https://camerareadycosmetics.com/products/make-up-for-ever-pro-glow-highlighter")</f>
        <v/>
      </c>
      <c r="B2467" s="2">
        <f>HYPERLINK("https://camerareadycosmetics.com/products/make-up-for-ever-pro-glow-highlighter", "https://camerareadycosmetics.com/products/make-up-for-ever-pro-glow-highlighter")</f>
        <v/>
      </c>
      <c r="C2467" t="inlineStr">
        <is>
          <t>Pro Glow Highlighter</t>
        </is>
      </c>
      <c r="D2467" t="inlineStr">
        <is>
          <t>City Color Glow Pro Stellar Highlighter in Nebula 0.129 oz</t>
        </is>
      </c>
      <c r="E2467" s="2">
        <f>HYPERLINK("https://www.amazon.com/City-Color-Stellar-Highlighter-Nebula/dp/B07XB2XWKB/ref=sr_1_1?keywords=Pro+Glow+Highlighter&amp;qid=1695565763&amp;sr=8-1", "https://www.amazon.com/City-Color-Stellar-Highlighter-Nebula/dp/B07XB2XWKB/ref=sr_1_1?keywords=Pro+Glow+Highlighter&amp;qid=1695565763&amp;sr=8-1")</f>
        <v/>
      </c>
      <c r="F2467" t="inlineStr">
        <is>
          <t>B07XB2XWKB</t>
        </is>
      </c>
      <c r="G2467">
        <f>_xlfn.IMAGE("https://camerareadycosmetics.com/cdn/shop/products/mufe-pearly-rose-highlighter_I000065001_PRO-GLOW-01_Face_0_50x.jpg?v=1635178181")</f>
        <v/>
      </c>
      <c r="H2467">
        <f>_xlfn.IMAGE("https://m.media-amazon.com/images/I/812wQ6gAJfL._AC_UL320_.jpg")</f>
        <v/>
      </c>
      <c r="K2467" t="inlineStr">
        <is>
          <t>38.0</t>
        </is>
      </c>
      <c r="L2467" t="n">
        <v>11.99</v>
      </c>
      <c r="M2467" s="1" t="inlineStr">
        <is>
          <t>-68.45%</t>
        </is>
      </c>
      <c r="N2467" t="n">
        <v>5</v>
      </c>
      <c r="O2467" t="n">
        <v>6</v>
      </c>
      <c r="Q2467" t="inlineStr">
        <is>
          <t>InStock</t>
        </is>
      </c>
      <c r="R2467" t="inlineStr">
        <is>
          <t>undefined</t>
        </is>
      </c>
      <c r="S2467" t="inlineStr">
        <is>
          <t>7058008015033</t>
        </is>
      </c>
    </row>
    <row r="2468" ht="75" customHeight="1">
      <c r="A2468" s="2">
        <f>HYPERLINK("https://camerareadycosmetics.com/products/make-up-for-ever-pro-glow-highlighter", "https://camerareadycosmetics.com/products/make-up-for-ever-pro-glow-highlighter")</f>
        <v/>
      </c>
      <c r="B2468" s="2">
        <f>HYPERLINK("https://camerareadycosmetics.com/products/make-up-for-ever-pro-glow-highlighter", "https://camerareadycosmetics.com/products/make-up-for-ever-pro-glow-highlighter")</f>
        <v/>
      </c>
      <c r="C2468" t="inlineStr">
        <is>
          <t>Pro Glow Highlighter</t>
        </is>
      </c>
      <c r="D2468" t="inlineStr">
        <is>
          <t>City Color Glow Pro Stellar Highlighter in Nebula 0.129 oz</t>
        </is>
      </c>
      <c r="E2468" s="2">
        <f>HYPERLINK("https://www.amazon.com/City-Color-Stellar-Highlighter-Nebula/dp/B07XB2XWKB/ref=sr_1_1?keywords=Pro+Glow+Highlighter&amp;qid=1695565763&amp;sr=8-1", "https://www.amazon.com/City-Color-Stellar-Highlighter-Nebula/dp/B07XB2XWKB/ref=sr_1_1?keywords=Pro+Glow+Highlighter&amp;qid=1695565763&amp;sr=8-1")</f>
        <v/>
      </c>
      <c r="F2468" t="inlineStr">
        <is>
          <t>B07XB2XWKB</t>
        </is>
      </c>
      <c r="G2468">
        <f>_xlfn.IMAGE("https://camerareadycosmetics.com/cdn/shop/products/mufe-pearly-rose-highlighter_I000065001_PRO-GLOW-01_Face_0_50x.jpg?v=1635178181")</f>
        <v/>
      </c>
      <c r="H2468">
        <f>_xlfn.IMAGE("https://m.media-amazon.com/images/I/812wQ6gAJfL._AC_UL320_.jpg")</f>
        <v/>
      </c>
      <c r="K2468" t="inlineStr">
        <is>
          <t>38.0</t>
        </is>
      </c>
      <c r="L2468" t="n">
        <v>11.99</v>
      </c>
      <c r="M2468" s="1" t="inlineStr">
        <is>
          <t>-68.45%</t>
        </is>
      </c>
      <c r="N2468" t="n">
        <v>5</v>
      </c>
      <c r="O2468" t="n">
        <v>6</v>
      </c>
      <c r="Q2468" t="inlineStr">
        <is>
          <t>InStock</t>
        </is>
      </c>
      <c r="R2468" t="inlineStr">
        <is>
          <t>undefined</t>
        </is>
      </c>
      <c r="S2468" t="inlineStr">
        <is>
          <t>7058008015033</t>
        </is>
      </c>
    </row>
    <row r="2469" ht="75" customHeight="1">
      <c r="A2469" s="2">
        <f>HYPERLINK("https://camerareadycosmetics.com/products/make-up-for-ever-rouge-artist-velvet-nude-lipstick", "https://camerareadycosmetics.com/products/make-up-for-ever-rouge-artist-velvet-nude-lipstick")</f>
        <v/>
      </c>
      <c r="B2469" s="2">
        <f>HYPERLINK("https://camerareadycosmetics.com/products/make-up-for-ever-rouge-artist-velvet-nude-lipstick", "https://camerareadycosmetics.com/products/make-up-for-ever-rouge-artist-velvet-nude-lipstick")</f>
        <v/>
      </c>
      <c r="C2469" t="inlineStr">
        <is>
          <t>Rouge Artist Velvet Nude Lipstick</t>
        </is>
      </c>
      <c r="D2469" t="inlineStr">
        <is>
          <t>Rouge Dior Velvet Lipstick - 300 Nude Style by Christian Dior for Women - 0.12 oz Lipstick</t>
        </is>
      </c>
      <c r="E2469" s="2">
        <f>HYPERLINK("https://www.amazon.com/Dior-Rouge-Lipstick-Style-Velvet/dp/B0B1DBD58Y/ref=sr_1_7?keywords=Rouge+Artist+Velvet+Nude+Lipstick&amp;qid=1695565683&amp;sr=8-7", "https://www.amazon.com/Dior-Rouge-Lipstick-Style-Velvet/dp/B0B1DBD58Y/ref=sr_1_7?keywords=Rouge+Artist+Velvet+Nude+Lipstick&amp;qid=1695565683&amp;sr=8-7")</f>
        <v/>
      </c>
      <c r="F2469" t="inlineStr">
        <is>
          <t>B0B1DBD58Y</t>
        </is>
      </c>
      <c r="G2469">
        <f>_xlfn.IMAGE("https://camerareadycosmetics.com/cdn/shop/products/PACKSHOT-ROUGEARTISTVELVETNUDE-FULLOPEN-101-RGB-2000x2000_50x.jpg?v=1671485655")</f>
        <v/>
      </c>
      <c r="H2469">
        <f>_xlfn.IMAGE("https://m.media-amazon.com/images/I/71mczS9qemL._AC_UL320_.jpg")</f>
        <v/>
      </c>
      <c r="K2469" t="inlineStr">
        <is>
          <t>25.0</t>
        </is>
      </c>
      <c r="L2469" t="n">
        <v>31</v>
      </c>
      <c r="M2469" s="1" t="inlineStr">
        <is>
          <t>24.00%</t>
        </is>
      </c>
      <c r="N2469" t="n">
        <v>5</v>
      </c>
      <c r="O2469" t="n">
        <v>1</v>
      </c>
      <c r="Q2469" t="inlineStr">
        <is>
          <t>InStock</t>
        </is>
      </c>
      <c r="R2469" t="inlineStr">
        <is>
          <t>undefined</t>
        </is>
      </c>
      <c r="S2469" t="inlineStr">
        <is>
          <t>7556493443257</t>
        </is>
      </c>
    </row>
    <row r="2470" ht="75" customHeight="1">
      <c r="A2470" s="2">
        <f>HYPERLINK("https://camerareadycosmetics.com/products/make-up-for-ever-step-1-primer-color-corrector", "https://camerareadycosmetics.com/products/make-up-for-ever-step-1-primer-color-corrector")</f>
        <v/>
      </c>
      <c r="B2470" s="2">
        <f>HYPERLINK("https://camerareadycosmetics.com/products/make-up-for-ever-step-1-primer-color-corrector", "https://camerareadycosmetics.com/products/make-up-for-ever-step-1-primer-color-corrector")</f>
        <v/>
      </c>
      <c r="C2470" t="inlineStr">
        <is>
          <t>Step 1 Primer Color Corrector 30ml</t>
        </is>
      </c>
      <c r="D2470" t="inlineStr">
        <is>
          <t>One Step Tri-Color contour Isolation Cream, One Step Color Corrector, Makeup Primer Skin Tone Correcting and Brightening Primer, Neutralizing Dark Circles and Veins, Correcting Redeness Senana Marina (1 pack)</t>
        </is>
      </c>
      <c r="E2470" s="2">
        <f>HYPERLINK("https://www.amazon.com/Tri-Color-Isolation-Correcting-Brightening-Neutralizing/dp/B0BF412RNF/ref=sr_1_2?keywords=Step+1+Primer+Color+Corrector+30ml&amp;qid=1695565593&amp;sr=8-2", "https://www.amazon.com/Tri-Color-Isolation-Correcting-Brightening-Neutralizing/dp/B0BF412RNF/ref=sr_1_2?keywords=Step+1+Primer+Color+Corrector+30ml&amp;qid=1695565593&amp;sr=8-2")</f>
        <v/>
      </c>
      <c r="F2470" t="inlineStr">
        <is>
          <t>B0BF412RNF</t>
        </is>
      </c>
      <c r="G2470">
        <f>_xlfn.IMAGE("https://camerareadycosmetics.com/cdn/shop/products/makeup-forever-Flatlays_primers2021_3_1_50x.jpg?v=1611238653")</f>
        <v/>
      </c>
      <c r="H2470">
        <f>_xlfn.IMAGE("https://m.media-amazon.com/images/I/41u2riXYuzL._AC_UL320_.jpg")</f>
        <v/>
      </c>
      <c r="K2470" t="inlineStr">
        <is>
          <t>39.0</t>
        </is>
      </c>
      <c r="L2470" t="n">
        <v>9.949999999999999</v>
      </c>
      <c r="M2470" s="1" t="inlineStr">
        <is>
          <t>-74.49%</t>
        </is>
      </c>
      <c r="N2470" t="n">
        <v>3.9</v>
      </c>
      <c r="O2470" t="n">
        <v>85</v>
      </c>
      <c r="Q2470" t="inlineStr">
        <is>
          <t>InStock</t>
        </is>
      </c>
      <c r="R2470" t="inlineStr">
        <is>
          <t>undefined</t>
        </is>
      </c>
      <c r="S2470" t="inlineStr">
        <is>
          <t>6250913005753</t>
        </is>
      </c>
    </row>
    <row r="2471" ht="75" customHeight="1">
      <c r="A2471" s="2">
        <f>HYPERLINK("https://camerareadycosmetics.com/products/make-up-for-ever-step-1-primer-color-corrector", "https://camerareadycosmetics.com/products/make-up-for-ever-step-1-primer-color-corrector")</f>
        <v/>
      </c>
      <c r="B2471" s="2">
        <f>HYPERLINK("https://camerareadycosmetics.com/products/make-up-for-ever-step-1-primer-color-corrector", "https://camerareadycosmetics.com/products/make-up-for-ever-step-1-primer-color-corrector")</f>
        <v/>
      </c>
      <c r="C2471" t="inlineStr">
        <is>
          <t>Step 1 Primer Color Corrector 30ml</t>
        </is>
      </c>
      <c r="D2471" t="inlineStr">
        <is>
          <t>One Step Tri-Color contour Isolation Cream, One Step Color Corrector, Makeup Primer Skin Tone Correcting and Brightening Primer, Neutralizing Dark Circles and Veins, Correcting Redeness Senana Marina (1 pack)</t>
        </is>
      </c>
      <c r="E2471" s="2">
        <f>HYPERLINK("https://www.amazon.com/Tri-Color-Isolation-Correcting-Brightening-Neutralizing/dp/B0BF412RNF/ref=sr_1_2?keywords=Step+1+Primer+Color+Corrector+30ml&amp;qid=1695565593&amp;sr=8-2", "https://www.amazon.com/Tri-Color-Isolation-Correcting-Brightening-Neutralizing/dp/B0BF412RNF/ref=sr_1_2?keywords=Step+1+Primer+Color+Corrector+30ml&amp;qid=1695565593&amp;sr=8-2")</f>
        <v/>
      </c>
      <c r="F2471" t="inlineStr">
        <is>
          <t>B0BF412RNF</t>
        </is>
      </c>
      <c r="G2471">
        <f>_xlfn.IMAGE("https://camerareadycosmetics.com/cdn/shop/products/makeup-forever-Flatlays_primers2021_3_1_50x.jpg?v=1611238653")</f>
        <v/>
      </c>
      <c r="H2471">
        <f>_xlfn.IMAGE("https://m.media-amazon.com/images/I/41u2riXYuzL._AC_UL320_.jpg")</f>
        <v/>
      </c>
      <c r="K2471" t="inlineStr">
        <is>
          <t>39.0</t>
        </is>
      </c>
      <c r="L2471" t="n">
        <v>9.949999999999999</v>
      </c>
      <c r="M2471" s="1" t="inlineStr">
        <is>
          <t>-74.49%</t>
        </is>
      </c>
      <c r="N2471" t="n">
        <v>3.9</v>
      </c>
      <c r="O2471" t="n">
        <v>85</v>
      </c>
      <c r="Q2471" t="inlineStr">
        <is>
          <t>InStock</t>
        </is>
      </c>
      <c r="R2471" t="inlineStr">
        <is>
          <t>undefined</t>
        </is>
      </c>
      <c r="S2471" t="inlineStr">
        <is>
          <t>6250913005753</t>
        </is>
      </c>
    </row>
    <row r="2472" ht="75" customHeight="1">
      <c r="A2472" s="2">
        <f>HYPERLINK("https://camerareadycosmetics.com/products/make-up-for-ever-step-1-primer-hydra-booster", "https://camerareadycosmetics.com/products/make-up-for-ever-step-1-primer-hydra-booster")</f>
        <v/>
      </c>
      <c r="B2472" s="2">
        <f>HYPERLINK("https://camerareadycosmetics.com/products/make-up-for-ever-step-1-primer-hydra-booster", "https://camerareadycosmetics.com/products/make-up-for-ever-step-1-primer-hydra-booster")</f>
        <v/>
      </c>
      <c r="C2472" t="inlineStr">
        <is>
          <t>Step 1 Primer Hydra Booster</t>
        </is>
      </c>
      <c r="D2472" t="inlineStr">
        <is>
          <t>Neutrogena Hydro Boost Glow Booster Primer &amp; Serum, Hydrating &amp; Moisturizing Face Serum-to-Primer Hybrid, Infused with Purified Hyaluronic Acid &amp; Designed to Instantly Hydrate, 1.0 fl. oz</t>
        </is>
      </c>
      <c r="E2472" s="2">
        <f>HYPERLINK("https://www.amazon.com/Neutrogena-Hydrating-Moisturizing-Hyaluronic-Instantly/dp/B0814SFKG9/ref=sr_1_4?keywords=Step+1+Primer+Hydra+Booster&amp;qid=1695565643&amp;sr=8-4", "https://www.amazon.com/Neutrogena-Hydrating-Moisturizing-Hyaluronic-Instantly/dp/B0814SFKG9/ref=sr_1_4?keywords=Step+1+Primer+Hydra+Booster&amp;qid=1695565643&amp;sr=8-4")</f>
        <v/>
      </c>
      <c r="F2472" t="inlineStr">
        <is>
          <t>B0814SFKG9</t>
        </is>
      </c>
      <c r="G2472">
        <f>_xlfn.IMAGE("https://camerareadycosmetics.com/cdn/shop/products/3548752174336_I000022802_STEP_1_PRIMER_HYDRA_BOOSTER_30ML_Face_0_50x.jpg?v=1611238654")</f>
        <v/>
      </c>
      <c r="H2472">
        <f>_xlfn.IMAGE("https://m.media-amazon.com/images/I/61nW0U3ed0L._AC_UL320_.jpg")</f>
        <v/>
      </c>
      <c r="K2472" t="inlineStr">
        <is>
          <t>39.0</t>
        </is>
      </c>
      <c r="L2472" t="n">
        <v>15.39</v>
      </c>
      <c r="M2472" s="1" t="inlineStr">
        <is>
          <t>-60.54%</t>
        </is>
      </c>
      <c r="N2472" t="n">
        <v>4.5</v>
      </c>
      <c r="O2472" t="n">
        <v>2161</v>
      </c>
      <c r="Q2472" t="inlineStr">
        <is>
          <t>InStock</t>
        </is>
      </c>
      <c r="R2472" t="inlineStr">
        <is>
          <t>39.0</t>
        </is>
      </c>
      <c r="S2472" t="inlineStr">
        <is>
          <t>6251233968313</t>
        </is>
      </c>
    </row>
    <row r="2473" ht="75" customHeight="1">
      <c r="A2473" s="2">
        <f>HYPERLINK("https://camerareadycosmetics.com/products/make-up-for-ever-step-1-primer-hydra-booster", "https://camerareadycosmetics.com/products/make-up-for-ever-step-1-primer-hydra-booster")</f>
        <v/>
      </c>
      <c r="B2473" s="2">
        <f>HYPERLINK("https://camerareadycosmetics.com/products/make-up-for-ever-step-1-primer-hydra-booster", "https://camerareadycosmetics.com/products/make-up-for-ever-step-1-primer-hydra-booster")</f>
        <v/>
      </c>
      <c r="C2473" t="inlineStr">
        <is>
          <t>Step 1 Primer Hydra Booster</t>
        </is>
      </c>
      <c r="D2473" t="inlineStr">
        <is>
          <t>Neutrogena Hydro Boost Glow Booster Primer &amp; Serum, Hydrating &amp; Moisturizing Face Serum-to-Primer Hybrid, Infused with Purified Hyaluronic Acid &amp; Designed to Instantly Hydrate, 1.0 fl. oz</t>
        </is>
      </c>
      <c r="E2473" s="2">
        <f>HYPERLINK("https://www.amazon.com/Neutrogena-Hydrating-Moisturizing-Hyaluronic-Instantly/dp/B0814SFKG9/ref=sr_1_4?keywords=Step+1+Primer+Hydra+Booster&amp;qid=1695565643&amp;sr=8-4", "https://www.amazon.com/Neutrogena-Hydrating-Moisturizing-Hyaluronic-Instantly/dp/B0814SFKG9/ref=sr_1_4?keywords=Step+1+Primer+Hydra+Booster&amp;qid=1695565643&amp;sr=8-4")</f>
        <v/>
      </c>
      <c r="F2473" t="inlineStr">
        <is>
          <t>B0814SFKG9</t>
        </is>
      </c>
      <c r="G2473">
        <f>_xlfn.IMAGE("https://camerareadycosmetics.com/cdn/shop/products/3548752174336_I000022802_STEP_1_PRIMER_HYDRA_BOOSTER_30ML_Face_0_50x.jpg?v=1611238654")</f>
        <v/>
      </c>
      <c r="H2473">
        <f>_xlfn.IMAGE("https://m.media-amazon.com/images/I/61nW0U3ed0L._AC_UL320_.jpg")</f>
        <v/>
      </c>
      <c r="K2473" t="inlineStr">
        <is>
          <t>39.0</t>
        </is>
      </c>
      <c r="L2473" t="n">
        <v>15.39</v>
      </c>
      <c r="M2473" s="1" t="inlineStr">
        <is>
          <t>-60.54%</t>
        </is>
      </c>
      <c r="N2473" t="n">
        <v>4.5</v>
      </c>
      <c r="O2473" t="n">
        <v>2161</v>
      </c>
      <c r="Q2473" t="inlineStr">
        <is>
          <t>InStock</t>
        </is>
      </c>
      <c r="R2473" t="inlineStr">
        <is>
          <t>39.0</t>
        </is>
      </c>
      <c r="S2473" t="inlineStr">
        <is>
          <t>6251233968313</t>
        </is>
      </c>
    </row>
    <row r="2474" ht="75" customHeight="1">
      <c r="A2474" s="2">
        <f>HYPERLINK("https://camerareadycosmetics.com/products/make-up-for-ever-step-1-primer-pore-minimizer", "https://camerareadycosmetics.com/products/make-up-for-ever-step-1-primer-pore-minimizer")</f>
        <v/>
      </c>
      <c r="B2474" s="2">
        <f>HYPERLINK("https://camerareadycosmetics.com/products/make-up-for-ever-step-1-primer-pore-minimizer", "https://camerareadycosmetics.com/products/make-up-for-ever-step-1-primer-pore-minimizer")</f>
        <v/>
      </c>
      <c r="C2474" t="inlineStr">
        <is>
          <t>Step 1 Primer Pore Minimizer</t>
        </is>
      </c>
      <c r="D2474" t="inlineStr">
        <is>
          <t>L’Oréal Paris Prime Lab Up to 24H Pore Minimizer Face Primer Infused with AHA, LHA, BHA Complex to Smooth and Extend Makeup Wear, 1.01 Fl Oz</t>
        </is>
      </c>
      <c r="E2474" s="2">
        <f>HYPERLINK("https://www.amazon.com/LOreal-Paris-Minimizer-Infused-Complex/dp/B0BFYMT89C/ref=sr_1_9?keywords=Step+1+Primer+Pore+Minimizer&amp;qid=1695565591&amp;sr=8-9", "https://www.amazon.com/LOreal-Paris-Minimizer-Infused-Complex/dp/B0BFYMT89C/ref=sr_1_9?keywords=Step+1+Primer+Pore+Minimizer&amp;qid=1695565591&amp;sr=8-9")</f>
        <v/>
      </c>
      <c r="F2474" t="inlineStr">
        <is>
          <t>B0BFYMT89C</t>
        </is>
      </c>
      <c r="G2474">
        <f>_xlfn.IMAGE("https://camerareadycosmetics.com/cdn/shop/products/3548752174329_I000022801_STEP_1_PRIMER_PORE_MINIMIZER_30ML_Face_0_50x.jpg?v=1611238656")</f>
        <v/>
      </c>
      <c r="H2474">
        <f>_xlfn.IMAGE("https://m.media-amazon.com/images/I/71xtdPdEhPL._AC_UL320_.jpg")</f>
        <v/>
      </c>
      <c r="K2474" t="inlineStr">
        <is>
          <t>39.0</t>
        </is>
      </c>
      <c r="L2474" t="n">
        <v>12.97</v>
      </c>
      <c r="M2474" s="1" t="inlineStr">
        <is>
          <t>-66.74%</t>
        </is>
      </c>
      <c r="N2474" t="n">
        <v>4.1</v>
      </c>
      <c r="O2474" t="n">
        <v>339</v>
      </c>
      <c r="Q2474" t="inlineStr">
        <is>
          <t>InStock</t>
        </is>
      </c>
      <c r="R2474" t="inlineStr">
        <is>
          <t>undefined</t>
        </is>
      </c>
      <c r="S2474" t="inlineStr">
        <is>
          <t>6251266277561</t>
        </is>
      </c>
    </row>
    <row r="2475" ht="75" customHeight="1">
      <c r="A2475" s="2">
        <f>HYPERLINK("https://camerareadycosmetics.com/products/make-up-for-ever-step-1-primer-pore-minimizer", "https://camerareadycosmetics.com/products/make-up-for-ever-step-1-primer-pore-minimizer")</f>
        <v/>
      </c>
      <c r="B2475" s="2">
        <f>HYPERLINK("https://camerareadycosmetics.com/products/make-up-for-ever-step-1-primer-pore-minimizer", "https://camerareadycosmetics.com/products/make-up-for-ever-step-1-primer-pore-minimizer")</f>
        <v/>
      </c>
      <c r="C2475" t="inlineStr">
        <is>
          <t>Step 1 Primer Pore Minimizer</t>
        </is>
      </c>
      <c r="D2475" t="inlineStr">
        <is>
          <t>L’Oréal Paris Prime Lab Up to 24H Pore Minimizer Face Primer Infused with AHA, LHA, BHA Complex to Smooth and Extend Makeup Wear, 1.01 Fl Oz</t>
        </is>
      </c>
      <c r="E2475" s="2">
        <f>HYPERLINK("https://www.amazon.com/LOreal-Paris-Minimizer-Infused-Complex/dp/B0BFYMT89C/ref=sr_1_9?keywords=Step+1+Primer+Pore+Minimizer&amp;qid=1695565591&amp;sr=8-9", "https://www.amazon.com/LOreal-Paris-Minimizer-Infused-Complex/dp/B0BFYMT89C/ref=sr_1_9?keywords=Step+1+Primer+Pore+Minimizer&amp;qid=1695565591&amp;sr=8-9")</f>
        <v/>
      </c>
      <c r="F2475" t="inlineStr">
        <is>
          <t>B0BFYMT89C</t>
        </is>
      </c>
      <c r="G2475">
        <f>_xlfn.IMAGE("https://camerareadycosmetics.com/cdn/shop/products/3548752174329_I000022801_STEP_1_PRIMER_PORE_MINIMIZER_30ML_Face_0_50x.jpg?v=1611238656")</f>
        <v/>
      </c>
      <c r="H2475">
        <f>_xlfn.IMAGE("https://m.media-amazon.com/images/I/71xtdPdEhPL._AC_UL320_.jpg")</f>
        <v/>
      </c>
      <c r="K2475" t="inlineStr">
        <is>
          <t>39.0</t>
        </is>
      </c>
      <c r="L2475" t="n">
        <v>12.97</v>
      </c>
      <c r="M2475" s="1" t="inlineStr">
        <is>
          <t>-66.74%</t>
        </is>
      </c>
      <c r="N2475" t="n">
        <v>4.1</v>
      </c>
      <c r="O2475" t="n">
        <v>339</v>
      </c>
      <c r="Q2475" t="inlineStr">
        <is>
          <t>InStock</t>
        </is>
      </c>
      <c r="R2475" t="inlineStr">
        <is>
          <t>undefined</t>
        </is>
      </c>
      <c r="S2475" t="inlineStr">
        <is>
          <t>6251266277561</t>
        </is>
      </c>
    </row>
    <row r="2476" ht="75" customHeight="1">
      <c r="A2476" s="2">
        <f>HYPERLINK("https://camerareadycosmetics.com/products/make-up-for-ever-step-1-primer-shine-control", "https://camerareadycosmetics.com/products/make-up-for-ever-step-1-primer-shine-control")</f>
        <v/>
      </c>
      <c r="B2476" s="2">
        <f>HYPERLINK("https://camerareadycosmetics.com/products/make-up-for-ever-step-1-primer-shine-control", "https://camerareadycosmetics.com/products/make-up-for-ever-step-1-primer-shine-control")</f>
        <v/>
      </c>
      <c r="C2476" t="inlineStr">
        <is>
          <t>Step 1 Primer Shine Control</t>
        </is>
      </c>
      <c r="D2476" t="inlineStr">
        <is>
          <t>Neutrogena Shine Control Mattifying Liquid Face Primer for Oily Skin, Lightweight, Non-Comedogenic and Non-Greasy Pore and Makeup Primer with Oil-Absorbing Rice Protein, 1 fl. oz (Pack of 2)</t>
        </is>
      </c>
      <c r="E2476" s="2">
        <f>HYPERLINK("https://www.amazon.com/Neutrogena-Mattifying-Lightweight-Non-Comedogenic-Oil-Absorbing/dp/B00JZ03FIK/ref=sr_1_5?keywords=Step+1+Primer+Shine+Control&amp;qid=1695565562&amp;sr=8-5", "https://www.amazon.com/Neutrogena-Mattifying-Lightweight-Non-Comedogenic-Oil-Absorbing/dp/B00JZ03FIK/ref=sr_1_5?keywords=Step+1+Primer+Shine+Control&amp;qid=1695565562&amp;sr=8-5")</f>
        <v/>
      </c>
      <c r="F2476" t="inlineStr">
        <is>
          <t>B00JZ03FIK</t>
        </is>
      </c>
      <c r="G2476">
        <f>_xlfn.IMAGE("https://camerareadycosmetics.com/cdn/shop/products/3548752174312_I000022800_STEP_1_PRIMER_SHINE_CONTROL_30ML_Face_0_50x.jpg?v=1611238658")</f>
        <v/>
      </c>
      <c r="H2476">
        <f>_xlfn.IMAGE("https://m.media-amazon.com/images/I/71yrLwSopvL._AC_UL320_.jpg")</f>
        <v/>
      </c>
      <c r="K2476" t="inlineStr">
        <is>
          <t>39.0</t>
        </is>
      </c>
      <c r="L2476" t="n">
        <v>29.72</v>
      </c>
      <c r="M2476" s="1" t="inlineStr">
        <is>
          <t>-23.79%</t>
        </is>
      </c>
      <c r="N2476" t="n">
        <v>4.1</v>
      </c>
      <c r="O2476" t="n">
        <v>1779</v>
      </c>
      <c r="Q2476" t="inlineStr">
        <is>
          <t>InStock</t>
        </is>
      </c>
      <c r="R2476" t="inlineStr">
        <is>
          <t>undefined</t>
        </is>
      </c>
      <c r="S2476" t="inlineStr">
        <is>
          <t>6251285872825</t>
        </is>
      </c>
    </row>
    <row r="2477" ht="75" customHeight="1">
      <c r="A2477" s="2">
        <f>HYPERLINK("https://camerareadycosmetics.com/products/make-up-for-ever-step-1-primer-shine-control", "https://camerareadycosmetics.com/products/make-up-for-ever-step-1-primer-shine-control")</f>
        <v/>
      </c>
      <c r="B2477" s="2">
        <f>HYPERLINK("https://camerareadycosmetics.com/products/make-up-for-ever-step-1-primer-shine-control", "https://camerareadycosmetics.com/products/make-up-for-ever-step-1-primer-shine-control")</f>
        <v/>
      </c>
      <c r="C2477" t="inlineStr">
        <is>
          <t>Step 1 Primer Shine Control</t>
        </is>
      </c>
      <c r="D2477" t="inlineStr">
        <is>
          <t>Paula's Choice SHINE STOPPER Instant Matte Finish Oil Control Primer, Pore Minimizer for Oily Skin, 1 Ounce</t>
        </is>
      </c>
      <c r="E2477" s="2">
        <f>HYPERLINK("https://www.amazon.com/Paulas-Choice-STOPPER-Instant-Minimizer/dp/B00EB919SI/ref=sr_1_10?keywords=Step+1+Primer+Shine+Control&amp;qid=1695565562&amp;sr=8-10", "https://www.amazon.com/Paulas-Choice-STOPPER-Instant-Minimizer/dp/B00EB919SI/ref=sr_1_10?keywords=Step+1+Primer+Shine+Control&amp;qid=1695565562&amp;sr=8-10")</f>
        <v/>
      </c>
      <c r="F2477" t="inlineStr">
        <is>
          <t>B00EB919SI</t>
        </is>
      </c>
      <c r="G2477">
        <f>_xlfn.IMAGE("https://camerareadycosmetics.com/cdn/shop/products/3548752174312_I000022800_STEP_1_PRIMER_SHINE_CONTROL_30ML_Face_0_50x.jpg?v=1611238658")</f>
        <v/>
      </c>
      <c r="H2477">
        <f>_xlfn.IMAGE("https://m.media-amazon.com/images/I/61EAK0MNOcL._AC_UL320_.jpg")</f>
        <v/>
      </c>
      <c r="K2477" t="inlineStr">
        <is>
          <t>39.0</t>
        </is>
      </c>
      <c r="L2477" t="n">
        <v>28</v>
      </c>
      <c r="M2477" s="1" t="inlineStr">
        <is>
          <t>-28.21%</t>
        </is>
      </c>
      <c r="N2477" t="n">
        <v>4.2</v>
      </c>
      <c r="O2477" t="n">
        <v>517</v>
      </c>
      <c r="Q2477" t="inlineStr">
        <is>
          <t>InStock</t>
        </is>
      </c>
      <c r="R2477" t="inlineStr">
        <is>
          <t>undefined</t>
        </is>
      </c>
      <c r="S2477" t="inlineStr">
        <is>
          <t>6251285872825</t>
        </is>
      </c>
    </row>
    <row r="2478" ht="75" customHeight="1">
      <c r="A2478" s="2">
        <f>HYPERLINK("https://camerareadycosmetics.com/products/make-up-for-ever-super-matte-loose-powder", "https://camerareadycosmetics.com/products/make-up-for-ever-super-matte-loose-powder")</f>
        <v/>
      </c>
      <c r="B2478" s="2">
        <f>HYPERLINK("https://camerareadycosmetics.com/products/make-up-for-ever-super-matte-loose-powder", "https://camerareadycosmetics.com/products/make-up-for-ever-super-matte-loose-powder")</f>
        <v/>
      </c>
      <c r="C2478" t="inlineStr">
        <is>
          <t>Super Matte Loose Powder</t>
        </is>
      </c>
      <c r="D2478" t="inlineStr">
        <is>
          <t>Aesthetica Translucent Setting Powder – Matte Finishing Makeup Loose Setting Powder – Flash Friendly Translucent Powder Foundation - Loose Face Powder Includes Velour Puff</t>
        </is>
      </c>
      <c r="E2478" s="2">
        <f>HYPERLINK("https://www.amazon.com/Aesthetica-Translucent-Loose-Setting-Powder/dp/B01IE2KT8S/ref=sr_1_4?keywords=Super+Matte+Loose+Powder&amp;qid=1695565650&amp;sr=8-4", "https://www.amazon.com/Aesthetica-Translucent-Loose-Setting-Powder/dp/B01IE2KT8S/ref=sr_1_4?keywords=Super+Matte+Loose+Powder&amp;qid=1695565650&amp;sr=8-4")</f>
        <v/>
      </c>
      <c r="F2478" t="inlineStr">
        <is>
          <t>B01IE2KT8S</t>
        </is>
      </c>
      <c r="G2478">
        <f>_xlfn.IMAGE("https://camerareadycosmetics.com/cdn/shop/files/makeup-forever-super_matte_loose_powder_70600_0_50x.jpg?v=1687202672")</f>
        <v/>
      </c>
      <c r="H2478">
        <f>_xlfn.IMAGE("https://m.media-amazon.com/images/I/61pH3Su7A7L._AC_UL320_.jpg")</f>
        <v/>
      </c>
      <c r="K2478" t="inlineStr">
        <is>
          <t>31.0</t>
        </is>
      </c>
      <c r="L2478" t="n">
        <v>21.97</v>
      </c>
      <c r="M2478" s="1" t="inlineStr">
        <is>
          <t>-29.13%</t>
        </is>
      </c>
      <c r="N2478" t="n">
        <v>4.2</v>
      </c>
      <c r="O2478" t="n">
        <v>7335</v>
      </c>
      <c r="Q2478" t="inlineStr">
        <is>
          <t>OutOfStock</t>
        </is>
      </c>
      <c r="R2478" t="inlineStr">
        <is>
          <t>undefined</t>
        </is>
      </c>
      <c r="S2478" t="inlineStr">
        <is>
          <t>279419682826</t>
        </is>
      </c>
    </row>
    <row r="2479" ht="75" customHeight="1">
      <c r="A2479" s="2">
        <f>HYPERLINK("https://camerareadycosmetics.com/products/make-up-for-ever-super-matte-loose-powder", "https://camerareadycosmetics.com/products/make-up-for-ever-super-matte-loose-powder")</f>
        <v/>
      </c>
      <c r="B2479" s="2">
        <f>HYPERLINK("https://camerareadycosmetics.com/products/make-up-for-ever-super-matte-loose-powder", "https://camerareadycosmetics.com/products/make-up-for-ever-super-matte-loose-powder")</f>
        <v/>
      </c>
      <c r="C2479" t="inlineStr">
        <is>
          <t>Super Matte Loose Powder</t>
        </is>
      </c>
      <c r="D2479" t="inlineStr">
        <is>
          <t>L'Oreal Paris Infallible Tinted Loose Setting Powders, Matte Finish, Lightweight, No White Cast, 2 Shades From Light To Deep, Translucent Medium-deep, 0.28 Oz</t>
        </is>
      </c>
      <c r="E2479" s="2">
        <f>HYPERLINK("https://www.amazon.com/LOreal-Paris-Lightweight-Translucent-Medium-deep/dp/B07X5KMTHT/ref=sr_1_2?keywords=Super+Matte+Loose+Powder&amp;qid=1695565650&amp;sr=8-2", "https://www.amazon.com/LOreal-Paris-Lightweight-Translucent-Medium-deep/dp/B07X5KMTHT/ref=sr_1_2?keywords=Super+Matte+Loose+Powder&amp;qid=1695565650&amp;sr=8-2")</f>
        <v/>
      </c>
      <c r="F2479" t="inlineStr">
        <is>
          <t>B07X5KMTHT</t>
        </is>
      </c>
      <c r="G2479">
        <f>_xlfn.IMAGE("https://camerareadycosmetics.com/cdn/shop/files/makeup-forever-super_matte_loose_powder_70600_0_50x.jpg?v=1687202672")</f>
        <v/>
      </c>
      <c r="H2479">
        <f>_xlfn.IMAGE("https://m.media-amazon.com/images/I/71rwzLF0QJL._AC_UL320_.jpg")</f>
        <v/>
      </c>
      <c r="K2479" t="inlineStr">
        <is>
          <t>31.0</t>
        </is>
      </c>
      <c r="L2479" t="n">
        <v>14.99</v>
      </c>
      <c r="M2479" s="1" t="inlineStr">
        <is>
          <t>-51.65%</t>
        </is>
      </c>
      <c r="N2479" t="n">
        <v>4.3</v>
      </c>
      <c r="O2479" t="n">
        <v>1210</v>
      </c>
      <c r="Q2479" t="inlineStr">
        <is>
          <t>OutOfStock</t>
        </is>
      </c>
      <c r="R2479" t="inlineStr">
        <is>
          <t>undefined</t>
        </is>
      </c>
      <c r="S2479" t="inlineStr">
        <is>
          <t>279419682826</t>
        </is>
      </c>
    </row>
    <row r="2480" ht="75" customHeight="1">
      <c r="A2480" s="2">
        <f>HYPERLINK("https://camerareadycosmetics.com/products/make-up-for-ever-super-matte-loose-powder", "https://camerareadycosmetics.com/products/make-up-for-ever-super-matte-loose-powder")</f>
        <v/>
      </c>
      <c r="B2480" s="2">
        <f>HYPERLINK("https://camerareadycosmetics.com/products/make-up-for-ever-super-matte-loose-powder", "https://camerareadycosmetics.com/products/make-up-for-ever-super-matte-loose-powder")</f>
        <v/>
      </c>
      <c r="C2480" t="inlineStr">
        <is>
          <t>Super Matte Loose Powder</t>
        </is>
      </c>
      <c r="D2480" t="inlineStr">
        <is>
          <t>Rimmel Stay Matte Loose Powder, 001 Transparent, 0.13 Ounce (Pack of 1)</t>
        </is>
      </c>
      <c r="E2480" s="2">
        <f>HYPERLINK("https://www.amazon.com/Rimmel-Matte-Loose-Powder-Transparent/dp/B08CZXZRR6/ref=sr_1_5?keywords=Super+Matte+Loose+Powder&amp;qid=1695565650&amp;sr=8-5", "https://www.amazon.com/Rimmel-Matte-Loose-Powder-Transparent/dp/B08CZXZRR6/ref=sr_1_5?keywords=Super+Matte+Loose+Powder&amp;qid=1695565650&amp;sr=8-5")</f>
        <v/>
      </c>
      <c r="F2480" t="inlineStr">
        <is>
          <t>B08CZXZRR6</t>
        </is>
      </c>
      <c r="G2480">
        <f>_xlfn.IMAGE("https://camerareadycosmetics.com/cdn/shop/files/makeup-forever-super_matte_loose_powder_70600_0_50x.jpg?v=1687202672")</f>
        <v/>
      </c>
      <c r="H2480">
        <f>_xlfn.IMAGE("https://m.media-amazon.com/images/I/51Fap2SQ8NL._AC_UL320_.jpg")</f>
        <v/>
      </c>
      <c r="K2480" t="inlineStr">
        <is>
          <t>31.0</t>
        </is>
      </c>
      <c r="L2480" t="n">
        <v>4.97</v>
      </c>
      <c r="M2480" s="1" t="inlineStr">
        <is>
          <t>-83.97%</t>
        </is>
      </c>
      <c r="N2480" t="n">
        <v>4.4</v>
      </c>
      <c r="O2480" t="n">
        <v>574</v>
      </c>
      <c r="Q2480" t="inlineStr">
        <is>
          <t>OutOfStock</t>
        </is>
      </c>
      <c r="R2480" t="inlineStr">
        <is>
          <t>undefined</t>
        </is>
      </c>
      <c r="S2480" t="inlineStr">
        <is>
          <t>279419682826</t>
        </is>
      </c>
    </row>
    <row r="2481" ht="75" customHeight="1">
      <c r="A2481" s="2">
        <f>HYPERLINK("https://camerareadycosmetics.com/products/make-up-for-ever-super-matte-loose-powder", "https://camerareadycosmetics.com/products/make-up-for-ever-super-matte-loose-powder")</f>
        <v/>
      </c>
      <c r="B2481" s="2">
        <f>HYPERLINK("https://camerareadycosmetics.com/products/make-up-for-ever-super-matte-loose-powder", "https://camerareadycosmetics.com/products/make-up-for-ever-super-matte-loose-powder")</f>
        <v/>
      </c>
      <c r="C2481" t="inlineStr">
        <is>
          <t>Super Matte Loose Powder</t>
        </is>
      </c>
      <c r="D2481" t="inlineStr">
        <is>
          <t>L'Oreal Paris Infallible Tinted Loose Setting Powders, Matte Finish, Lightweight, No White Cast, 2 Shades From Light To Deep, Translucent Medium-deep, 0.28 Oz</t>
        </is>
      </c>
      <c r="E2481" s="2">
        <f>HYPERLINK("https://www.amazon.com/LOreal-Paris-Lightweight-Translucent-Medium-deep/dp/B07X5KMTHT/ref=sr_1_2?keywords=Super+Matte+Loose+Powder&amp;qid=1695565650&amp;sr=8-2", "https://www.amazon.com/LOreal-Paris-Lightweight-Translucent-Medium-deep/dp/B07X5KMTHT/ref=sr_1_2?keywords=Super+Matte+Loose+Powder&amp;qid=1695565650&amp;sr=8-2")</f>
        <v/>
      </c>
      <c r="F2481" t="inlineStr">
        <is>
          <t>B07X5KMTHT</t>
        </is>
      </c>
      <c r="G2481">
        <f>_xlfn.IMAGE("https://camerareadycosmetics.com/cdn/shop/files/makeup-forever-super_matte_loose_powder_70600_0_50x.jpg?v=1687202672")</f>
        <v/>
      </c>
      <c r="H2481">
        <f>_xlfn.IMAGE("https://m.media-amazon.com/images/I/71rwzLF0QJL._AC_UL320_.jpg")</f>
        <v/>
      </c>
      <c r="K2481" t="inlineStr">
        <is>
          <t>31.0</t>
        </is>
      </c>
      <c r="L2481" t="n">
        <v>14.99</v>
      </c>
      <c r="M2481" s="1" t="inlineStr">
        <is>
          <t>-51.65%</t>
        </is>
      </c>
      <c r="N2481" t="n">
        <v>4.3</v>
      </c>
      <c r="O2481" t="n">
        <v>1210</v>
      </c>
      <c r="Q2481" t="inlineStr">
        <is>
          <t>OutOfStock</t>
        </is>
      </c>
      <c r="R2481" t="inlineStr">
        <is>
          <t>undefined</t>
        </is>
      </c>
      <c r="S2481" t="inlineStr">
        <is>
          <t>279419682826</t>
        </is>
      </c>
    </row>
    <row r="2482" ht="75" customHeight="1">
      <c r="A2482" s="2">
        <f>HYPERLINK("https://camerareadycosmetics.com/products/make-up-for-ever-super-matte-loose-powder", "https://camerareadycosmetics.com/products/make-up-for-ever-super-matte-loose-powder")</f>
        <v/>
      </c>
      <c r="B2482" s="2">
        <f>HYPERLINK("https://camerareadycosmetics.com/products/make-up-for-ever-super-matte-loose-powder", "https://camerareadycosmetics.com/products/make-up-for-ever-super-matte-loose-powder")</f>
        <v/>
      </c>
      <c r="C2482" t="inlineStr">
        <is>
          <t>Super Matte Loose Powder</t>
        </is>
      </c>
      <c r="D2482" t="inlineStr">
        <is>
          <t>Rimmel Stay Matte Loose Powder, 001 Transparent, 0.13 Ounce (Pack of 1)</t>
        </is>
      </c>
      <c r="E2482" s="2">
        <f>HYPERLINK("https://www.amazon.com/Rimmel-Matte-Loose-Powder-Transparent/dp/B08CZXZRR6/ref=sr_1_5?keywords=Super+Matte+Loose+Powder&amp;qid=1695565650&amp;sr=8-5", "https://www.amazon.com/Rimmel-Matte-Loose-Powder-Transparent/dp/B08CZXZRR6/ref=sr_1_5?keywords=Super+Matte+Loose+Powder&amp;qid=1695565650&amp;sr=8-5")</f>
        <v/>
      </c>
      <c r="F2482" t="inlineStr">
        <is>
          <t>B08CZXZRR6</t>
        </is>
      </c>
      <c r="G2482">
        <f>_xlfn.IMAGE("https://camerareadycosmetics.com/cdn/shop/files/makeup-forever-super_matte_loose_powder_70600_0_50x.jpg?v=1687202672")</f>
        <v/>
      </c>
      <c r="H2482">
        <f>_xlfn.IMAGE("https://m.media-amazon.com/images/I/51Fap2SQ8NL._AC_UL320_.jpg")</f>
        <v/>
      </c>
      <c r="K2482" t="inlineStr">
        <is>
          <t>31.0</t>
        </is>
      </c>
      <c r="L2482" t="n">
        <v>4.97</v>
      </c>
      <c r="M2482" s="1" t="inlineStr">
        <is>
          <t>-83.97%</t>
        </is>
      </c>
      <c r="N2482" t="n">
        <v>4.4</v>
      </c>
      <c r="O2482" t="n">
        <v>574</v>
      </c>
      <c r="Q2482" t="inlineStr">
        <is>
          <t>OutOfStock</t>
        </is>
      </c>
      <c r="R2482" t="inlineStr">
        <is>
          <t>undefined</t>
        </is>
      </c>
      <c r="S2482" t="inlineStr">
        <is>
          <t>279419682826</t>
        </is>
      </c>
    </row>
    <row r="2483" ht="75" customHeight="1">
      <c r="A2483" s="2">
        <f>HYPERLINK("https://camerareadycosmetics.com/products/make-up-for-ever-ultra-hd-foundation-stick", "https://camerareadycosmetics.com/products/make-up-for-ever-ultra-hd-foundation-stick")</f>
        <v/>
      </c>
      <c r="B2483" s="2">
        <f>HYPERLINK("https://camerareadycosmetics.com/products/make-up-for-ever-ultra-hd-foundation-stick", "https://camerareadycosmetics.com/products/make-up-for-ever-ultra-hd-foundation-stick")</f>
        <v/>
      </c>
      <c r="C2483" t="inlineStr">
        <is>
          <t>Ultra HD Foundation Stick</t>
        </is>
      </c>
      <c r="D2483" t="inlineStr">
        <is>
          <t>Glo Skin Beauty HD Mineral Foundation Stick - Concealer Makeup Infused with Hyaluronic Acid - Buildable Coverage, Contour &amp; Highlighter</t>
        </is>
      </c>
      <c r="E2483" s="2">
        <f>HYPERLINK("https://www.amazon.com/Glo-Skin-Beauty-Mineral-Foundation/dp/B07YYZJ7F3/ref=sr_1_8?keywords=Ultra+HD+Foundation+Stick&amp;qid=1695565462&amp;sr=8-8", "https://www.amazon.com/Glo-Skin-Beauty-Mineral-Foundation/dp/B07YYZJ7F3/ref=sr_1_8?keywords=Ultra+HD+Foundation+Stick&amp;qid=1695565462&amp;sr=8-8")</f>
        <v/>
      </c>
      <c r="F2483" t="inlineStr">
        <is>
          <t>B07YYZJ7F3</t>
        </is>
      </c>
      <c r="G2483">
        <f>_xlfn.IMAGE("https://camerareadycosmetics.com/cdn/shop/files/makeup-forever-ultra-hd-foundation-stick-I000042245_0_50x.jpg?v=1687202001")</f>
        <v/>
      </c>
      <c r="H2483">
        <f>_xlfn.IMAGE("https://m.media-amazon.com/images/I/612YI3aC6wL._AC_UL320_.jpg")</f>
        <v/>
      </c>
      <c r="K2483" t="inlineStr">
        <is>
          <t>43.0</t>
        </is>
      </c>
      <c r="L2483" t="n">
        <v>50</v>
      </c>
      <c r="M2483" s="1" t="inlineStr">
        <is>
          <t>16.28%</t>
        </is>
      </c>
      <c r="N2483" t="n">
        <v>3.9</v>
      </c>
      <c r="O2483" t="n">
        <v>18</v>
      </c>
      <c r="Q2483" t="inlineStr">
        <is>
          <t>InStock</t>
        </is>
      </c>
      <c r="R2483" t="inlineStr">
        <is>
          <t>undefined</t>
        </is>
      </c>
      <c r="S2483" t="inlineStr">
        <is>
          <t>279416733706</t>
        </is>
      </c>
    </row>
    <row r="2484" ht="75" customHeight="1">
      <c r="A2484" s="2">
        <f>HYPERLINK("https://camerareadycosmetics.com/products/make-up-for-ever-ultra-hd-foundation-stick", "https://camerareadycosmetics.com/products/make-up-for-ever-ultra-hd-foundation-stick")</f>
        <v/>
      </c>
      <c r="B2484" s="2">
        <f>HYPERLINK("https://camerareadycosmetics.com/products/make-up-for-ever-ultra-hd-foundation-stick", "https://camerareadycosmetics.com/products/make-up-for-ever-ultra-hd-foundation-stick")</f>
        <v/>
      </c>
      <c r="C2484" t="inlineStr">
        <is>
          <t>Ultra HD Foundation Stick</t>
        </is>
      </c>
      <c r="D2484" t="inlineStr">
        <is>
          <t>Lancôme Teint Idôle Ultra Wear Foundation Stick for up to 24H Wear - Full Coverage - Oil-Free &amp; Natural Matte Finish</t>
        </is>
      </c>
      <c r="E2484" s="2">
        <f>HYPERLINK("https://www.amazon.com/Lanc%C3%B4me-Foundation-Coverage-Oil-Free-Natural/dp/B071X5Z11Z/ref=sr_1_7?keywords=Ultra+HD+Foundation+Stick&amp;qid=1695565462&amp;sr=8-7", "https://www.amazon.com/Lanc%C3%B4me-Foundation-Coverage-Oil-Free-Natural/dp/B071X5Z11Z/ref=sr_1_7?keywords=Ultra+HD+Foundation+Stick&amp;qid=1695565462&amp;sr=8-7")</f>
        <v/>
      </c>
      <c r="F2484" t="inlineStr">
        <is>
          <t>B071X5Z11Z</t>
        </is>
      </c>
      <c r="G2484">
        <f>_xlfn.IMAGE("https://camerareadycosmetics.com/cdn/shop/files/makeup-forever-ultra-hd-foundation-stick-I000042245_0_50x.jpg?v=1687202001")</f>
        <v/>
      </c>
      <c r="H2484">
        <f>_xlfn.IMAGE("https://m.media-amazon.com/images/I/51LRkhzWIUL._AC_UL320_.jpg")</f>
        <v/>
      </c>
      <c r="K2484" t="inlineStr">
        <is>
          <t>43.0</t>
        </is>
      </c>
      <c r="L2484" t="n">
        <v>49</v>
      </c>
      <c r="M2484" s="1" t="inlineStr">
        <is>
          <t>13.95%</t>
        </is>
      </c>
      <c r="N2484" t="n">
        <v>4.5</v>
      </c>
      <c r="O2484" t="n">
        <v>455</v>
      </c>
      <c r="Q2484" t="inlineStr">
        <is>
          <t>InStock</t>
        </is>
      </c>
      <c r="R2484" t="inlineStr">
        <is>
          <t>undefined</t>
        </is>
      </c>
      <c r="S2484" t="inlineStr">
        <is>
          <t>279416733706</t>
        </is>
      </c>
    </row>
    <row r="2485" ht="75" customHeight="1">
      <c r="A2485" s="2">
        <f>HYPERLINK("https://camerareadycosmetics.com/products/make-up-for-ever-ultra-hd-foundation-stick", "https://camerareadycosmetics.com/products/make-up-for-ever-ultra-hd-foundation-stick")</f>
        <v/>
      </c>
      <c r="B2485" s="2">
        <f>HYPERLINK("https://camerareadycosmetics.com/products/make-up-for-ever-ultra-hd-foundation-stick", "https://camerareadycosmetics.com/products/make-up-for-ever-ultra-hd-foundation-stick")</f>
        <v/>
      </c>
      <c r="C2485" t="inlineStr">
        <is>
          <t>Ultra HD Foundation Stick</t>
        </is>
      </c>
      <c r="D2485" t="inlineStr">
        <is>
          <t>MAKE UP FOR EVER Ultra HD Invisible Cover Stick Foundation Y405 - Golden Honey</t>
        </is>
      </c>
      <c r="E2485" s="2">
        <f>HYPERLINK("https://www.amazon.com/Ultra-Invisible-Cover-Foundation-Marble/dp/B0143EH3BM/ref=sr_1_4?keywords=Ultra+HD+Foundation+Stick&amp;qid=1695565462&amp;sr=8-4", "https://www.amazon.com/Ultra-Invisible-Cover-Foundation-Marble/dp/B0143EH3BM/ref=sr_1_4?keywords=Ultra+HD+Foundation+Stick&amp;qid=1695565462&amp;sr=8-4")</f>
        <v/>
      </c>
      <c r="F2485" t="inlineStr">
        <is>
          <t>B0143EH3BM</t>
        </is>
      </c>
      <c r="G2485">
        <f>_xlfn.IMAGE("https://camerareadycosmetics.com/cdn/shop/files/makeup-forever-ultra-hd-foundation-stick-I000042245_0_50x.jpg?v=1687202001")</f>
        <v/>
      </c>
      <c r="H2485">
        <f>_xlfn.IMAGE("https://m.media-amazon.com/images/I/71gyy6WYGnL._AC_UL320_.jpg")</f>
        <v/>
      </c>
      <c r="K2485" t="inlineStr">
        <is>
          <t>43.0</t>
        </is>
      </c>
      <c r="L2485" t="n">
        <v>49</v>
      </c>
      <c r="M2485" s="1" t="inlineStr">
        <is>
          <t>13.95%</t>
        </is>
      </c>
      <c r="N2485" t="n">
        <v>3.6</v>
      </c>
      <c r="O2485" t="n">
        <v>5</v>
      </c>
      <c r="Q2485" t="inlineStr">
        <is>
          <t>InStock</t>
        </is>
      </c>
      <c r="R2485" t="inlineStr">
        <is>
          <t>undefined</t>
        </is>
      </c>
      <c r="S2485" t="inlineStr">
        <is>
          <t>279416733706</t>
        </is>
      </c>
    </row>
    <row r="2486" ht="75" customHeight="1">
      <c r="A2486" s="2">
        <f>HYPERLINK("https://camerareadycosmetics.com/products/make-up-for-ever-ultra-hd-foundation-stick", "https://camerareadycosmetics.com/products/make-up-for-ever-ultra-hd-foundation-stick")</f>
        <v/>
      </c>
      <c r="B2486" s="2">
        <f>HYPERLINK("https://camerareadycosmetics.com/products/make-up-for-ever-ultra-hd-foundation-stick", "https://camerareadycosmetics.com/products/make-up-for-ever-ultra-hd-foundation-stick")</f>
        <v/>
      </c>
      <c r="C2486" t="inlineStr">
        <is>
          <t>Ultra HD Foundation Stick</t>
        </is>
      </c>
      <c r="D2486" t="inlineStr">
        <is>
          <t>MAKE UP FOR EVER Ultra HD Invisible Cover Stick Foundation Ultra HD Invisible Cover Stick Foundation (desert)</t>
        </is>
      </c>
      <c r="E2486" s="2">
        <f>HYPERLINK("https://www.amazon.com/Ultra-Invisible-Cover-Foundation-desert/dp/B0143EM7O0/ref=sr_1_6?keywords=Ultra+HD+Foundation+Stick&amp;qid=1695565462&amp;sr=8-6", "https://www.amazon.com/Ultra-Invisible-Cover-Foundation-desert/dp/B0143EM7O0/ref=sr_1_6?keywords=Ultra+HD+Foundation+Stick&amp;qid=1695565462&amp;sr=8-6")</f>
        <v/>
      </c>
      <c r="F2486" t="inlineStr">
        <is>
          <t>B0143EM7O0</t>
        </is>
      </c>
      <c r="G2486">
        <f>_xlfn.IMAGE("https://camerareadycosmetics.com/cdn/shop/files/makeup-forever-ultra-hd-foundation-stick-I000042245_0_50x.jpg?v=1687202001")</f>
        <v/>
      </c>
      <c r="H2486">
        <f>_xlfn.IMAGE("https://m.media-amazon.com/images/I/81tFUawYaPL._AC_UL320_.jpg")</f>
        <v/>
      </c>
      <c r="K2486" t="inlineStr">
        <is>
          <t>43.0</t>
        </is>
      </c>
      <c r="L2486" t="n">
        <v>40</v>
      </c>
      <c r="M2486" s="1" t="inlineStr">
        <is>
          <t>-6.98%</t>
        </is>
      </c>
      <c r="N2486" t="n">
        <v>4.3</v>
      </c>
      <c r="O2486" t="n">
        <v>7</v>
      </c>
      <c r="Q2486" t="inlineStr">
        <is>
          <t>InStock</t>
        </is>
      </c>
      <c r="R2486" t="inlineStr">
        <is>
          <t>undefined</t>
        </is>
      </c>
      <c r="S2486" t="inlineStr">
        <is>
          <t>279416733706</t>
        </is>
      </c>
    </row>
    <row r="2487" ht="75" customHeight="1">
      <c r="A2487" s="2">
        <f>HYPERLINK("https://camerareadycosmetics.com/products/make-up-for-ever-ultra-hd-foundation-stick", "https://camerareadycosmetics.com/products/make-up-for-ever-ultra-hd-foundation-stick")</f>
        <v/>
      </c>
      <c r="B2487" s="2">
        <f>HYPERLINK("https://camerareadycosmetics.com/products/make-up-for-ever-ultra-hd-foundation-stick", "https://camerareadycosmetics.com/products/make-up-for-ever-ultra-hd-foundation-stick")</f>
        <v/>
      </c>
      <c r="C2487" t="inlineStr">
        <is>
          <t>Ultra HD Foundation Stick</t>
        </is>
      </c>
      <c r="D2487" t="inlineStr">
        <is>
          <t>MAKE UP FOR EVER Ultra HD Invisible Cover Stick Foundation Y215 - Yellow Alabaster</t>
        </is>
      </c>
      <c r="E2487" s="2">
        <f>HYPERLINK("https://www.amazon.com/Ultra-Invisible-Cover-Stick-Foundation/dp/B07DF9H3TC/ref=sr_1_2?keywords=Ultra+HD+Foundation+Stick&amp;qid=1695565462&amp;sr=8-2", "https://www.amazon.com/Ultra-Invisible-Cover-Stick-Foundation/dp/B07DF9H3TC/ref=sr_1_2?keywords=Ultra+HD+Foundation+Stick&amp;qid=1695565462&amp;sr=8-2")</f>
        <v/>
      </c>
      <c r="F2487" t="inlineStr">
        <is>
          <t>B07DF9H3TC</t>
        </is>
      </c>
      <c r="G2487">
        <f>_xlfn.IMAGE("https://camerareadycosmetics.com/cdn/shop/files/makeup-forever-ultra-hd-foundation-stick-I000042245_0_50x.jpg?v=1687202001")</f>
        <v/>
      </c>
      <c r="H2487">
        <f>_xlfn.IMAGE("https://m.media-amazon.com/images/I/51H5SZsrrjL._AC_UL320_.jpg")</f>
        <v/>
      </c>
      <c r="K2487" t="inlineStr">
        <is>
          <t>43.0</t>
        </is>
      </c>
      <c r="L2487" t="n">
        <v>39.95</v>
      </c>
      <c r="M2487" s="1" t="inlineStr">
        <is>
          <t>-7.09%</t>
        </is>
      </c>
      <c r="N2487" t="n">
        <v>4.3</v>
      </c>
      <c r="O2487" t="n">
        <v>53</v>
      </c>
      <c r="Q2487" t="inlineStr">
        <is>
          <t>InStock</t>
        </is>
      </c>
      <c r="R2487" t="inlineStr">
        <is>
          <t>undefined</t>
        </is>
      </c>
      <c r="S2487" t="inlineStr">
        <is>
          <t>279416733706</t>
        </is>
      </c>
    </row>
    <row r="2488" ht="75" customHeight="1">
      <c r="A2488" s="2">
        <f>HYPERLINK("https://camerareadycosmetics.com/products/make-up-for-ever-ultra-hd-foundation-stick", "https://camerareadycosmetics.com/products/make-up-for-ever-ultra-hd-foundation-stick")</f>
        <v/>
      </c>
      <c r="B2488" s="2">
        <f>HYPERLINK("https://camerareadycosmetics.com/products/make-up-for-ever-ultra-hd-foundation-stick", "https://camerareadycosmetics.com/products/make-up-for-ever-ultra-hd-foundation-stick")</f>
        <v/>
      </c>
      <c r="C2488" t="inlineStr">
        <is>
          <t>Ultra HD Foundation Stick</t>
        </is>
      </c>
      <c r="D2488" t="inlineStr">
        <is>
          <t>MAKE UP FOR EVER Ultra HD Foundation - Invisible Cover Foundation 30ml Y373 Amber Honey</t>
        </is>
      </c>
      <c r="E2488" s="2">
        <f>HYPERLINK("https://www.amazon.com/MAKE-EVER-Ultra-Foundation-Invisible/dp/B0BV92NTD8/ref=sr_1_10?keywords=Ultra+HD+Foundation+Stick&amp;qid=1695565462&amp;sr=8-10", "https://www.amazon.com/MAKE-EVER-Ultra-Foundation-Invisible/dp/B0BV92NTD8/ref=sr_1_10?keywords=Ultra+HD+Foundation+Stick&amp;qid=1695565462&amp;sr=8-10")</f>
        <v/>
      </c>
      <c r="F2488" t="inlineStr">
        <is>
          <t>B0BV92NTD8</t>
        </is>
      </c>
      <c r="G2488">
        <f>_xlfn.IMAGE("https://camerareadycosmetics.com/cdn/shop/files/makeup-forever-ultra-hd-foundation-stick-I000042245_0_50x.jpg?v=1687202001")</f>
        <v/>
      </c>
      <c r="H2488">
        <f>_xlfn.IMAGE("https://m.media-amazon.com/images/I/414wQhqevHL._AC_UL320_.jpg")</f>
        <v/>
      </c>
      <c r="K2488" t="inlineStr">
        <is>
          <t>43.0</t>
        </is>
      </c>
      <c r="L2488" t="n">
        <v>39</v>
      </c>
      <c r="M2488" s="1" t="inlineStr">
        <is>
          <t>-9.30%</t>
        </is>
      </c>
      <c r="N2488" t="n">
        <v>4.6</v>
      </c>
      <c r="O2488" t="n">
        <v>603</v>
      </c>
      <c r="Q2488" t="inlineStr">
        <is>
          <t>InStock</t>
        </is>
      </c>
      <c r="R2488" t="inlineStr">
        <is>
          <t>undefined</t>
        </is>
      </c>
      <c r="S2488" t="inlineStr">
        <is>
          <t>279416733706</t>
        </is>
      </c>
    </row>
    <row r="2489" ht="75" customHeight="1">
      <c r="A2489" s="2">
        <f>HYPERLINK("https://camerareadycosmetics.com/products/make-up-for-ever-ultra-hd-lip-booster", "https://camerareadycosmetics.com/products/make-up-for-ever-ultra-hd-lip-booster")</f>
        <v/>
      </c>
      <c r="B2489" s="2">
        <f>HYPERLINK("https://camerareadycosmetics.com/products/make-up-for-ever-ultra-hd-lip-booster", "https://camerareadycosmetics.com/products/make-up-for-ever-ultra-hd-lip-booster")</f>
        <v/>
      </c>
      <c r="C2489" t="inlineStr">
        <is>
          <t>Ultra HD Lip Booster</t>
        </is>
      </c>
      <c r="D2489" t="inlineStr">
        <is>
          <t>MAKE UP FOR EVER Ultra HD Lip Booster 00</t>
        </is>
      </c>
      <c r="E2489" s="2">
        <f>HYPERLINK("https://www.amazon.com/Make-Up-Ever-Booster-Universelle/dp/B079QRVGDG/ref=sr_1_1?keywords=Ultra+HD+Lip+Booster&amp;qid=1695565632&amp;sr=8-1", "https://www.amazon.com/Make-Up-Ever-Booster-Universelle/dp/B079QRVGDG/ref=sr_1_1?keywords=Ultra+HD+Lip+Booster&amp;qid=1695565632&amp;sr=8-1")</f>
        <v/>
      </c>
      <c r="F2489" t="inlineStr">
        <is>
          <t>B079QRVGDG</t>
        </is>
      </c>
      <c r="G2489">
        <f>_xlfn.IMAGE("https://camerareadycosmetics.com/cdn/shop/products/3548752112970_I000035801_ULTRAHDLIPBOOSTER-6--01_Face_1_50x.jpg?v=1657563364")</f>
        <v/>
      </c>
      <c r="H2489">
        <f>_xlfn.IMAGE("https://m.media-amazon.com/images/I/71VDsYoTJ7L._AC_UL320_.jpg")</f>
        <v/>
      </c>
      <c r="K2489" t="inlineStr">
        <is>
          <t>23.0</t>
        </is>
      </c>
      <c r="L2489" t="n">
        <v>29.75</v>
      </c>
      <c r="M2489" s="1" t="inlineStr">
        <is>
          <t>29.35%</t>
        </is>
      </c>
      <c r="N2489" t="n">
        <v>4.5</v>
      </c>
      <c r="O2489" t="n">
        <v>2</v>
      </c>
      <c r="Q2489" t="inlineStr">
        <is>
          <t>InStock</t>
        </is>
      </c>
      <c r="R2489" t="inlineStr">
        <is>
          <t>undefined</t>
        </is>
      </c>
      <c r="S2489" t="inlineStr">
        <is>
          <t>279416569866</t>
        </is>
      </c>
    </row>
    <row r="2490" ht="75" customHeight="1">
      <c r="A2490" s="2">
        <f>HYPERLINK("https://camerareadycosmetics.com/products/make-up-for-ever-ultra-hd-loose-powder-universal-shade", "https://camerareadycosmetics.com/products/make-up-for-ever-ultra-hd-loose-powder-universal-shade")</f>
        <v/>
      </c>
      <c r="B2490" s="2">
        <f>HYPERLINK("https://camerareadycosmetics.com/products/make-up-for-ever-ultra-hd-loose-powder-universal-shade", "https://camerareadycosmetics.com/products/make-up-for-ever-ultra-hd-loose-powder-universal-shade")</f>
        <v/>
      </c>
      <c r="C2490" t="inlineStr">
        <is>
          <t>Ultra HD Loose Powder Translucent</t>
        </is>
      </c>
      <c r="D2490" t="inlineStr">
        <is>
          <t>Make Up For Ever Ultra HD Microfinishing Loose Powder Full Size Translucent 0.29 uncji</t>
        </is>
      </c>
      <c r="E2490" s="2">
        <f>HYPERLINK("https://www.amazon.com/Make-Up-Ever-Microfinishing-Translucent/dp/B0719RCNVQ/ref=sr_1_1?keywords=Ultra+HD+Loose+Powder+Translucent&amp;qid=1695565592&amp;sr=8-1", "https://www.amazon.com/Make-Up-Ever-Microfinishing-Translucent/dp/B0719RCNVQ/ref=sr_1_1?keywords=Ultra+HD+Loose+Powder+Translucent&amp;qid=1695565592&amp;sr=8-1")</f>
        <v/>
      </c>
      <c r="F2490" t="inlineStr">
        <is>
          <t>B0719RCNVQ</t>
        </is>
      </c>
      <c r="G2490">
        <f>_xlfn.IMAGE("https://camerareadycosmetics.com/cdn/shop/files/makeup-forever-I000070101_UHD_Loose_Powder_1_50x.jpg?v=1687202231")</f>
        <v/>
      </c>
      <c r="H2490">
        <f>_xlfn.IMAGE("https://m.media-amazon.com/images/I/41mRouLbOpL._AC_UL320_.jpg")</f>
        <v/>
      </c>
      <c r="K2490" t="inlineStr">
        <is>
          <t>39.0</t>
        </is>
      </c>
      <c r="L2490" t="n">
        <v>31</v>
      </c>
      <c r="M2490" s="1" t="inlineStr">
        <is>
          <t>-20.51%</t>
        </is>
      </c>
      <c r="N2490" t="n">
        <v>4.4</v>
      </c>
      <c r="O2490" t="n">
        <v>270</v>
      </c>
      <c r="Q2490" t="inlineStr">
        <is>
          <t>InStock</t>
        </is>
      </c>
      <c r="R2490" t="inlineStr">
        <is>
          <t>undefined</t>
        </is>
      </c>
      <c r="S2490" t="inlineStr">
        <is>
          <t>279417061386</t>
        </is>
      </c>
    </row>
    <row r="2491" ht="75" customHeight="1">
      <c r="A2491" s="2">
        <f>HYPERLINK("https://camerareadycosmetics.com/products/make-up-for-ever-ultra-hd-loose-powder-universal-shade", "https://camerareadycosmetics.com/products/make-up-for-ever-ultra-hd-loose-powder-universal-shade")</f>
        <v/>
      </c>
      <c r="B2491" s="2">
        <f>HYPERLINK("https://camerareadycosmetics.com/products/make-up-for-ever-ultra-hd-loose-powder-universal-shade", "https://camerareadycosmetics.com/products/make-up-for-ever-ultra-hd-loose-powder-universal-shade")</f>
        <v/>
      </c>
      <c r="C2491" t="inlineStr">
        <is>
          <t>Ultra HD Loose Powder Translucent</t>
        </is>
      </c>
      <c r="D2491" t="inlineStr">
        <is>
          <t>MAKE UP FOR EVER Ultra HD Microfinishing Pressed Powder Translucent</t>
        </is>
      </c>
      <c r="E2491" s="2">
        <f>HYPERLINK("https://www.amazon.com/MAKE-Ultra-Microfinishing-Pressed-Powder/dp/B0716F3DHR/ref=sr_1_5?keywords=Ultra+HD+Loose+Powder+Translucent&amp;qid=1695565592&amp;sr=8-5", "https://www.amazon.com/MAKE-Ultra-Microfinishing-Pressed-Powder/dp/B0716F3DHR/ref=sr_1_5?keywords=Ultra+HD+Loose+Powder+Translucent&amp;qid=1695565592&amp;sr=8-5")</f>
        <v/>
      </c>
      <c r="F2491" t="inlineStr">
        <is>
          <t>B0716F3DHR</t>
        </is>
      </c>
      <c r="G2491">
        <f>_xlfn.IMAGE("https://camerareadycosmetics.com/cdn/shop/files/makeup-forever-I000070101_UHD_Loose_Powder_1_50x.jpg?v=1687202231")</f>
        <v/>
      </c>
      <c r="H2491">
        <f>_xlfn.IMAGE("https://m.media-amazon.com/images/I/611llduh92L._AC_UL320_.jpg")</f>
        <v/>
      </c>
      <c r="K2491" t="inlineStr">
        <is>
          <t>39.0</t>
        </is>
      </c>
      <c r="L2491" t="n">
        <v>14.99</v>
      </c>
      <c r="M2491" s="1" t="inlineStr">
        <is>
          <t>-61.56%</t>
        </is>
      </c>
      <c r="N2491" t="n">
        <v>3.8</v>
      </c>
      <c r="O2491" t="n">
        <v>199</v>
      </c>
      <c r="Q2491" t="inlineStr">
        <is>
          <t>InStock</t>
        </is>
      </c>
      <c r="R2491" t="inlineStr">
        <is>
          <t>undefined</t>
        </is>
      </c>
      <c r="S2491" t="inlineStr">
        <is>
          <t>279417061386</t>
        </is>
      </c>
    </row>
    <row r="2492" ht="75" customHeight="1">
      <c r="A2492" s="2">
        <f>HYPERLINK("https://camerareadycosmetics.com/products/make-up-for-ever-ultra-hd-loose-powder-universal-shade", "https://camerareadycosmetics.com/products/make-up-for-ever-ultra-hd-loose-powder-universal-shade")</f>
        <v/>
      </c>
      <c r="B2492" s="2">
        <f>HYPERLINK("https://camerareadycosmetics.com/products/make-up-for-ever-ultra-hd-loose-powder-universal-shade", "https://camerareadycosmetics.com/products/make-up-for-ever-ultra-hd-loose-powder-universal-shade")</f>
        <v/>
      </c>
      <c r="C2492" t="inlineStr">
        <is>
          <t>Ultra HD Loose Powder Translucent</t>
        </is>
      </c>
      <c r="D2492" t="inlineStr">
        <is>
          <t>Absolute New York HD Flawless Loose Setting Powder (Translucent)</t>
        </is>
      </c>
      <c r="E2492" s="2">
        <f>HYPERLINK("https://www.amazon.com/Flawless-Loose-Setting-Powder-Translucent/dp/B01MRFZ6PC/ref=sr_1_4?keywords=Ultra+HD+Loose+Powder+Translucent&amp;qid=1695565592&amp;sr=8-4", "https://www.amazon.com/Flawless-Loose-Setting-Powder-Translucent/dp/B01MRFZ6PC/ref=sr_1_4?keywords=Ultra+HD+Loose+Powder+Translucent&amp;qid=1695565592&amp;sr=8-4")</f>
        <v/>
      </c>
      <c r="F2492" t="inlineStr">
        <is>
          <t>B01MRFZ6PC</t>
        </is>
      </c>
      <c r="G2492">
        <f>_xlfn.IMAGE("https://camerareadycosmetics.com/cdn/shop/files/makeup-forever-I000070101_UHD_Loose_Powder_1_50x.jpg?v=1687202231")</f>
        <v/>
      </c>
      <c r="H2492">
        <f>_xlfn.IMAGE("https://m.media-amazon.com/images/I/51l+BcUvBHL._AC_UL320_.jpg")</f>
        <v/>
      </c>
      <c r="K2492" t="inlineStr">
        <is>
          <t>39.0</t>
        </is>
      </c>
      <c r="L2492" t="n">
        <v>9.98</v>
      </c>
      <c r="M2492" s="1" t="inlineStr">
        <is>
          <t>-74.41%</t>
        </is>
      </c>
      <c r="N2492" t="n">
        <v>4.6</v>
      </c>
      <c r="O2492" t="n">
        <v>161</v>
      </c>
      <c r="Q2492" t="inlineStr">
        <is>
          <t>InStock</t>
        </is>
      </c>
      <c r="R2492" t="inlineStr">
        <is>
          <t>undefined</t>
        </is>
      </c>
      <c r="S2492" t="inlineStr">
        <is>
          <t>279417061386</t>
        </is>
      </c>
    </row>
    <row r="2493" ht="75" customHeight="1">
      <c r="A2493" s="2">
        <f>HYPERLINK("https://camerareadycosmetics.com/products/make-up-for-ever-ultra-hd-loose-powder-universal-shade", "https://camerareadycosmetics.com/products/make-up-for-ever-ultra-hd-loose-powder-universal-shade")</f>
        <v/>
      </c>
      <c r="B2493" s="2">
        <f>HYPERLINK("https://camerareadycosmetics.com/products/make-up-for-ever-ultra-hd-loose-powder-universal-shade", "https://camerareadycosmetics.com/products/make-up-for-ever-ultra-hd-loose-powder-universal-shade")</f>
        <v/>
      </c>
      <c r="C2493" t="inlineStr">
        <is>
          <t>Ultra HD Loose Powder Translucent</t>
        </is>
      </c>
      <c r="D2493" t="inlineStr">
        <is>
          <t>NYX PROFESSIONAL MAKEUP HD Studio Finishing Powder, Loose Setting Powder - Translucent Finish</t>
        </is>
      </c>
      <c r="E2493" s="2">
        <f>HYPERLINK("https://www.amazon.com/NYX-Professional-Makeup-Finishing-Translucent/dp/B009GLQG6Q/ref=sr_1_2?keywords=Ultra+HD+Loose+Powder+Translucent&amp;qid=1695565592&amp;sr=8-2", "https://www.amazon.com/NYX-Professional-Makeup-Finishing-Translucent/dp/B009GLQG6Q/ref=sr_1_2?keywords=Ultra+HD+Loose+Powder+Translucent&amp;qid=1695565592&amp;sr=8-2")</f>
        <v/>
      </c>
      <c r="F2493" t="inlineStr">
        <is>
          <t>B009GLQG6Q</t>
        </is>
      </c>
      <c r="G2493">
        <f>_xlfn.IMAGE("https://camerareadycosmetics.com/cdn/shop/files/makeup-forever-I000070101_UHD_Loose_Powder_1_50x.jpg?v=1687202231")</f>
        <v/>
      </c>
      <c r="H2493">
        <f>_xlfn.IMAGE("https://m.media-amazon.com/images/I/5196xGH0ZvL._AC_UL320_.jpg")</f>
        <v/>
      </c>
      <c r="K2493" t="inlineStr">
        <is>
          <t>39.0</t>
        </is>
      </c>
      <c r="L2493" t="n">
        <v>9.16</v>
      </c>
      <c r="M2493" s="1" t="inlineStr">
        <is>
          <t>-76.51%</t>
        </is>
      </c>
      <c r="N2493" t="n">
        <v>4.3</v>
      </c>
      <c r="O2493" t="n">
        <v>14881</v>
      </c>
      <c r="Q2493" t="inlineStr">
        <is>
          <t>InStock</t>
        </is>
      </c>
      <c r="R2493" t="inlineStr">
        <is>
          <t>undefined</t>
        </is>
      </c>
      <c r="S2493" t="inlineStr">
        <is>
          <t>279417061386</t>
        </is>
      </c>
    </row>
    <row r="2494" ht="75" customHeight="1">
      <c r="A2494" s="2">
        <f>HYPERLINK("https://camerareadycosmetics.com/products/make-up-for-ever-ultra-hd-loose-powder-universal-shade", "https://camerareadycosmetics.com/products/make-up-for-ever-ultra-hd-loose-powder-universal-shade")</f>
        <v/>
      </c>
      <c r="B2494" s="2">
        <f>HYPERLINK("https://camerareadycosmetics.com/products/make-up-for-ever-ultra-hd-loose-powder-universal-shade", "https://camerareadycosmetics.com/products/make-up-for-ever-ultra-hd-loose-powder-universal-shade")</f>
        <v/>
      </c>
      <c r="C2494" t="inlineStr">
        <is>
          <t>Ultra HD Loose Powder Translucent</t>
        </is>
      </c>
      <c r="D2494" t="inlineStr">
        <is>
          <t>MAKE UP FOR EVER Ultra HD Microfinishing Pressed Powder Translucent</t>
        </is>
      </c>
      <c r="E2494" s="2">
        <f>HYPERLINK("https://www.amazon.com/MAKE-Ultra-Microfinishing-Pressed-Powder/dp/B0716F3DHR/ref=sr_1_5?keywords=Ultra+HD+Loose+Powder+Translucent&amp;qid=1695565592&amp;sr=8-5", "https://www.amazon.com/MAKE-Ultra-Microfinishing-Pressed-Powder/dp/B0716F3DHR/ref=sr_1_5?keywords=Ultra+HD+Loose+Powder+Translucent&amp;qid=1695565592&amp;sr=8-5")</f>
        <v/>
      </c>
      <c r="F2494" t="inlineStr">
        <is>
          <t>B0716F3DHR</t>
        </is>
      </c>
      <c r="G2494">
        <f>_xlfn.IMAGE("https://camerareadycosmetics.com/cdn/shop/files/makeup-forever-I000070101_UHD_Loose_Powder_1_50x.jpg?v=1687202231")</f>
        <v/>
      </c>
      <c r="H2494">
        <f>_xlfn.IMAGE("https://m.media-amazon.com/images/I/611llduh92L._AC_UL320_.jpg")</f>
        <v/>
      </c>
      <c r="K2494" t="inlineStr">
        <is>
          <t>39.0</t>
        </is>
      </c>
      <c r="L2494" t="n">
        <v>14.99</v>
      </c>
      <c r="M2494" s="1" t="inlineStr">
        <is>
          <t>-61.56%</t>
        </is>
      </c>
      <c r="N2494" t="n">
        <v>3.8</v>
      </c>
      <c r="O2494" t="n">
        <v>199</v>
      </c>
      <c r="Q2494" t="inlineStr">
        <is>
          <t>InStock</t>
        </is>
      </c>
      <c r="R2494" t="inlineStr">
        <is>
          <t>undefined</t>
        </is>
      </c>
      <c r="S2494" t="inlineStr">
        <is>
          <t>279417061386</t>
        </is>
      </c>
    </row>
    <row r="2495" ht="75" customHeight="1">
      <c r="A2495" s="2">
        <f>HYPERLINK("https://camerareadycosmetics.com/products/make-up-for-ever-ultra-hd-loose-powder-universal-shade", "https://camerareadycosmetics.com/products/make-up-for-ever-ultra-hd-loose-powder-universal-shade")</f>
        <v/>
      </c>
      <c r="B2495" s="2">
        <f>HYPERLINK("https://camerareadycosmetics.com/products/make-up-for-ever-ultra-hd-loose-powder-universal-shade", "https://camerareadycosmetics.com/products/make-up-for-ever-ultra-hd-loose-powder-universal-shade")</f>
        <v/>
      </c>
      <c r="C2495" t="inlineStr">
        <is>
          <t>Ultra HD Loose Powder Translucent</t>
        </is>
      </c>
      <c r="D2495" t="inlineStr">
        <is>
          <t>Absolute New York HD Flawless Loose Setting Powder (Translucent)</t>
        </is>
      </c>
      <c r="E2495" s="2">
        <f>HYPERLINK("https://www.amazon.com/Flawless-Loose-Setting-Powder-Translucent/dp/B01MRFZ6PC/ref=sr_1_4?keywords=Ultra+HD+Loose+Powder+Translucent&amp;qid=1695565592&amp;sr=8-4", "https://www.amazon.com/Flawless-Loose-Setting-Powder-Translucent/dp/B01MRFZ6PC/ref=sr_1_4?keywords=Ultra+HD+Loose+Powder+Translucent&amp;qid=1695565592&amp;sr=8-4")</f>
        <v/>
      </c>
      <c r="F2495" t="inlineStr">
        <is>
          <t>B01MRFZ6PC</t>
        </is>
      </c>
      <c r="G2495">
        <f>_xlfn.IMAGE("https://camerareadycosmetics.com/cdn/shop/files/makeup-forever-I000070101_UHD_Loose_Powder_1_50x.jpg?v=1687202231")</f>
        <v/>
      </c>
      <c r="H2495">
        <f>_xlfn.IMAGE("https://m.media-amazon.com/images/I/51l+BcUvBHL._AC_UL320_.jpg")</f>
        <v/>
      </c>
      <c r="K2495" t="inlineStr">
        <is>
          <t>39.0</t>
        </is>
      </c>
      <c r="L2495" t="n">
        <v>9.98</v>
      </c>
      <c r="M2495" s="1" t="inlineStr">
        <is>
          <t>-74.41%</t>
        </is>
      </c>
      <c r="N2495" t="n">
        <v>4.6</v>
      </c>
      <c r="O2495" t="n">
        <v>161</v>
      </c>
      <c r="Q2495" t="inlineStr">
        <is>
          <t>InStock</t>
        </is>
      </c>
      <c r="R2495" t="inlineStr">
        <is>
          <t>undefined</t>
        </is>
      </c>
      <c r="S2495" t="inlineStr">
        <is>
          <t>279417061386</t>
        </is>
      </c>
    </row>
    <row r="2496" ht="75" customHeight="1">
      <c r="A2496" s="2">
        <f>HYPERLINK("https://camerareadycosmetics.com/products/make-up-for-ever-ultra-hd-loose-powder-universal-shade", "https://camerareadycosmetics.com/products/make-up-for-ever-ultra-hd-loose-powder-universal-shade")</f>
        <v/>
      </c>
      <c r="B2496" s="2">
        <f>HYPERLINK("https://camerareadycosmetics.com/products/make-up-for-ever-ultra-hd-loose-powder-universal-shade", "https://camerareadycosmetics.com/products/make-up-for-ever-ultra-hd-loose-powder-universal-shade")</f>
        <v/>
      </c>
      <c r="C2496" t="inlineStr">
        <is>
          <t>Ultra HD Loose Powder Translucent</t>
        </is>
      </c>
      <c r="D2496" t="inlineStr">
        <is>
          <t>NYX PROFESSIONAL MAKEUP HD Studio Finishing Powder, Loose Setting Powder - Translucent Finish</t>
        </is>
      </c>
      <c r="E2496" s="2">
        <f>HYPERLINK("https://www.amazon.com/NYX-Professional-Makeup-Finishing-Translucent/dp/B009GLQG6Q/ref=sr_1_2?keywords=Ultra+HD+Loose+Powder+Translucent&amp;qid=1695565592&amp;sr=8-2", "https://www.amazon.com/NYX-Professional-Makeup-Finishing-Translucent/dp/B009GLQG6Q/ref=sr_1_2?keywords=Ultra+HD+Loose+Powder+Translucent&amp;qid=1695565592&amp;sr=8-2")</f>
        <v/>
      </c>
      <c r="F2496" t="inlineStr">
        <is>
          <t>B009GLQG6Q</t>
        </is>
      </c>
      <c r="G2496">
        <f>_xlfn.IMAGE("https://camerareadycosmetics.com/cdn/shop/files/makeup-forever-I000070101_UHD_Loose_Powder_1_50x.jpg?v=1687202231")</f>
        <v/>
      </c>
      <c r="H2496">
        <f>_xlfn.IMAGE("https://m.media-amazon.com/images/I/5196xGH0ZvL._AC_UL320_.jpg")</f>
        <v/>
      </c>
      <c r="K2496" t="inlineStr">
        <is>
          <t>39.0</t>
        </is>
      </c>
      <c r="L2496" t="n">
        <v>9.16</v>
      </c>
      <c r="M2496" s="1" t="inlineStr">
        <is>
          <t>-76.51%</t>
        </is>
      </c>
      <c r="N2496" t="n">
        <v>4.3</v>
      </c>
      <c r="O2496" t="n">
        <v>14881</v>
      </c>
      <c r="Q2496" t="inlineStr">
        <is>
          <t>InStock</t>
        </is>
      </c>
      <c r="R2496" t="inlineStr">
        <is>
          <t>undefined</t>
        </is>
      </c>
      <c r="S2496" t="inlineStr">
        <is>
          <t>279417061386</t>
        </is>
      </c>
    </row>
    <row r="2497" ht="75" customHeight="1">
      <c r="A2497" s="2">
        <f>HYPERLINK("https://camerareadycosmetics.com/products/make-up-for-ever-ultra-hd-matte-setting-powder", "https://camerareadycosmetics.com/products/make-up-for-ever-ultra-hd-matte-setting-powder")</f>
        <v/>
      </c>
      <c r="B2497" s="2">
        <f>HYPERLINK("https://camerareadycosmetics.com/products/make-up-for-ever-ultra-hd-matte-setting-powder", "https://camerareadycosmetics.com/products/make-up-for-ever-ultra-hd-matte-setting-powder")</f>
        <v/>
      </c>
      <c r="C2497" t="inlineStr">
        <is>
          <t>Ultra HD Matte Setting Powder</t>
        </is>
      </c>
      <c r="D2497" t="inlineStr">
        <is>
          <t>bellapierre HD Finishing Powder | Translucent Setting Powder | Poreless Shine-Free Matte Finish | Lightweight Gentle Formula | Non-Toxic &amp; Paraben Free | Cruelty Free Mineral Makeup</t>
        </is>
      </c>
      <c r="E2497" s="2" t="n"/>
      <c r="F2497" t="inlineStr">
        <is>
          <t>B07RJX952Z</t>
        </is>
      </c>
      <c r="G2497">
        <f>_xlfn.IMAGE("https://camerareadycosmetics.com/cdn/shop/products/Shade1_Closed_WithPuff_50x.jpg?v=1628881390")</f>
        <v/>
      </c>
      <c r="H2497">
        <f>_xlfn.IMAGE("https://m.media-amazon.com/images/I/71qcTYTdbOL._AC_UL320_.jpg")</f>
        <v/>
      </c>
      <c r="K2497" t="inlineStr">
        <is>
          <t>39.0</t>
        </is>
      </c>
      <c r="L2497" t="n">
        <v>29.98</v>
      </c>
      <c r="M2497" s="1" t="inlineStr">
        <is>
          <t>-23.13%</t>
        </is>
      </c>
      <c r="N2497" t="n">
        <v>4.5</v>
      </c>
      <c r="O2497" t="n">
        <v>165</v>
      </c>
      <c r="Q2497" t="inlineStr">
        <is>
          <t>InStock</t>
        </is>
      </c>
      <c r="R2497" t="inlineStr">
        <is>
          <t>undefined</t>
        </is>
      </c>
      <c r="S2497" t="inlineStr">
        <is>
          <t>6900633600185</t>
        </is>
      </c>
    </row>
    <row r="2498" ht="75" customHeight="1">
      <c r="A2498" s="2">
        <f>HYPERLINK("https://camerareadycosmetics.com/products/make-up-for-ever-ultra-hd-pressed-powder", "https://camerareadycosmetics.com/products/make-up-for-ever-ultra-hd-pressed-powder")</f>
        <v/>
      </c>
      <c r="B2498" s="2">
        <f>HYPERLINK("https://camerareadycosmetics.com/products/make-up-for-ever-ultra-hd-pressed-powder", "https://camerareadycosmetics.com/products/make-up-for-ever-ultra-hd-pressed-powder")</f>
        <v/>
      </c>
      <c r="C2498" t="inlineStr">
        <is>
          <t>Ultra HD Pressed Powder</t>
        </is>
      </c>
      <c r="D2498" t="inlineStr">
        <is>
          <t>MAKE UP FOR EVER HD Microfinish Pressed Powder -6.2g/0.21oz by MAKEUP FOREVER</t>
        </is>
      </c>
      <c r="E2498" s="2">
        <f>HYPERLINK("https://www.amazon.com/Microfinish-Pressed-Powder-0-21oz-FOREVER/dp/B00HE4TBFU/ref=sr_1_2?keywords=Ultra+HD+Pressed+Powder&amp;qid=1695565562&amp;sr=8-2", "https://www.amazon.com/Microfinish-Pressed-Powder-0-21oz-FOREVER/dp/B00HE4TBFU/ref=sr_1_2?keywords=Ultra+HD+Pressed+Powder&amp;qid=1695565562&amp;sr=8-2")</f>
        <v/>
      </c>
      <c r="F2498" t="inlineStr">
        <is>
          <t>B00HE4TBFU</t>
        </is>
      </c>
      <c r="G2498">
        <f>_xlfn.IMAGE("https://camerareadycosmetics.com/cdn/shop/files/Make-Up-For-Ever-I000010922_UHD_pressed_powder_02_1_50x.jpg?v=1687201547")</f>
        <v/>
      </c>
      <c r="H2498">
        <f>_xlfn.IMAGE("https://m.media-amazon.com/images/I/51Nl6uV7m3L._AC_UL320_.jpg")</f>
        <v/>
      </c>
      <c r="K2498" t="inlineStr">
        <is>
          <t>39.0</t>
        </is>
      </c>
      <c r="L2498" t="n">
        <v>43.99</v>
      </c>
      <c r="M2498" s="1" t="inlineStr">
        <is>
          <t>12.79%</t>
        </is>
      </c>
      <c r="N2498" t="n">
        <v>4</v>
      </c>
      <c r="O2498" t="n">
        <v>147</v>
      </c>
      <c r="Q2498" t="inlineStr">
        <is>
          <t>InStock</t>
        </is>
      </c>
      <c r="R2498" t="inlineStr">
        <is>
          <t>undefined</t>
        </is>
      </c>
      <c r="S2498" t="inlineStr">
        <is>
          <t>277447475210</t>
        </is>
      </c>
    </row>
    <row r="2499" ht="75" customHeight="1">
      <c r="A2499" s="2">
        <f>HYPERLINK("https://camerareadycosmetics.com/products/make-up-for-ever-ultra-hd-pressed-powder", "https://camerareadycosmetics.com/products/make-up-for-ever-ultra-hd-pressed-powder")</f>
        <v/>
      </c>
      <c r="B2499" s="2">
        <f>HYPERLINK("https://camerareadycosmetics.com/products/make-up-for-ever-ultra-hd-pressed-powder", "https://camerareadycosmetics.com/products/make-up-for-ever-ultra-hd-pressed-powder")</f>
        <v/>
      </c>
      <c r="C2499" t="inlineStr">
        <is>
          <t>Ultra HD Pressed Powder</t>
        </is>
      </c>
      <c r="D2499" t="inlineStr">
        <is>
          <t>Make Up For Ever Ultra HD Microfinishing Loose Powder Full Size Translucent 0.29 uncji</t>
        </is>
      </c>
      <c r="E2499" s="2">
        <f>HYPERLINK("https://www.amazon.com/Make-Up-Ever-Microfinishing-Translucent/dp/B0719RCNVQ/ref=sr_1_4?keywords=Ultra+HD+Pressed+Powder&amp;qid=1695565562&amp;sr=8-4", "https://www.amazon.com/Make-Up-Ever-Microfinishing-Translucent/dp/B0719RCNVQ/ref=sr_1_4?keywords=Ultra+HD+Pressed+Powder&amp;qid=1695565562&amp;sr=8-4")</f>
        <v/>
      </c>
      <c r="F2499" t="inlineStr">
        <is>
          <t>B0719RCNVQ</t>
        </is>
      </c>
      <c r="G2499">
        <f>_xlfn.IMAGE("https://camerareadycosmetics.com/cdn/shop/files/Make-Up-For-Ever-I000010922_UHD_pressed_powder_02_1_50x.jpg?v=1687201547")</f>
        <v/>
      </c>
      <c r="H2499">
        <f>_xlfn.IMAGE("https://m.media-amazon.com/images/I/41mRouLbOpL._AC_UL320_.jpg")</f>
        <v/>
      </c>
      <c r="K2499" t="inlineStr">
        <is>
          <t>39.0</t>
        </is>
      </c>
      <c r="L2499" t="n">
        <v>30.99</v>
      </c>
      <c r="M2499" s="1" t="inlineStr">
        <is>
          <t>-20.54%</t>
        </is>
      </c>
      <c r="N2499" t="n">
        <v>4.4</v>
      </c>
      <c r="O2499" t="n">
        <v>270</v>
      </c>
      <c r="Q2499" t="inlineStr">
        <is>
          <t>InStock</t>
        </is>
      </c>
      <c r="R2499" t="inlineStr">
        <is>
          <t>undefined</t>
        </is>
      </c>
      <c r="S2499" t="inlineStr">
        <is>
          <t>277447475210</t>
        </is>
      </c>
    </row>
    <row r="2500" ht="75" customHeight="1">
      <c r="A2500" s="2">
        <f>HYPERLINK("https://camerareadycosmetics.com/products/make-up-for-ever-ultra-hd-pressed-powder", "https://camerareadycosmetics.com/products/make-up-for-ever-ultra-hd-pressed-powder")</f>
        <v/>
      </c>
      <c r="B2500" s="2">
        <f>HYPERLINK("https://camerareadycosmetics.com/products/make-up-for-ever-ultra-hd-pressed-powder", "https://camerareadycosmetics.com/products/make-up-for-ever-ultra-hd-pressed-powder")</f>
        <v/>
      </c>
      <c r="C2500" t="inlineStr">
        <is>
          <t>Ultra HD Pressed Powder</t>
        </is>
      </c>
      <c r="D2500" t="inlineStr">
        <is>
          <t>MAKE UP FOR EVER Ultra HD Microfinishing Pressed Powder Translucent</t>
        </is>
      </c>
      <c r="E2500" s="2">
        <f>HYPERLINK("https://www.amazon.com/MAKE-Ultra-Microfinishing-Pressed-Powder/dp/B0716F3DHR/ref=sr_1_1?keywords=Ultra+HD+Pressed+Powder&amp;qid=1695565562&amp;sr=8-1", "https://www.amazon.com/MAKE-Ultra-Microfinishing-Pressed-Powder/dp/B0716F3DHR/ref=sr_1_1?keywords=Ultra+HD+Pressed+Powder&amp;qid=1695565562&amp;sr=8-1")</f>
        <v/>
      </c>
      <c r="F2500" t="inlineStr">
        <is>
          <t>B0716F3DHR</t>
        </is>
      </c>
      <c r="G2500">
        <f>_xlfn.IMAGE("https://camerareadycosmetics.com/cdn/shop/files/Make-Up-For-Ever-I000010922_UHD_pressed_powder_02_1_50x.jpg?v=1687201547")</f>
        <v/>
      </c>
      <c r="H2500">
        <f>_xlfn.IMAGE("https://m.media-amazon.com/images/I/611llduh92L._AC_UL320_.jpg")</f>
        <v/>
      </c>
      <c r="K2500" t="inlineStr">
        <is>
          <t>39.0</t>
        </is>
      </c>
      <c r="L2500" t="n">
        <v>14.99</v>
      </c>
      <c r="M2500" s="1" t="inlineStr">
        <is>
          <t>-61.56%</t>
        </is>
      </c>
      <c r="N2500" t="n">
        <v>3.8</v>
      </c>
      <c r="O2500" t="n">
        <v>199</v>
      </c>
      <c r="Q2500" t="inlineStr">
        <is>
          <t>InStock</t>
        </is>
      </c>
      <c r="R2500" t="inlineStr">
        <is>
          <t>undefined</t>
        </is>
      </c>
      <c r="S2500" t="inlineStr">
        <is>
          <t>277447475210</t>
        </is>
      </c>
    </row>
    <row r="2501" ht="75" customHeight="1">
      <c r="A2501" s="2">
        <f>HYPERLINK("https://camerareadycosmetics.com/products/make-up-for-ever-ultra-hd-pressed-powder", "https://camerareadycosmetics.com/products/make-up-for-ever-ultra-hd-pressed-powder")</f>
        <v/>
      </c>
      <c r="B2501" s="2">
        <f>HYPERLINK("https://camerareadycosmetics.com/products/make-up-for-ever-ultra-hd-pressed-powder", "https://camerareadycosmetics.com/products/make-up-for-ever-ultra-hd-pressed-powder")</f>
        <v/>
      </c>
      <c r="C2501" t="inlineStr">
        <is>
          <t>Ultra HD Pressed Powder</t>
        </is>
      </c>
      <c r="D2501" t="inlineStr">
        <is>
          <t>MAKE UP FOR EVER Ultra HD Microfinishing Pressed Powder Translucent</t>
        </is>
      </c>
      <c r="E2501" s="2">
        <f>HYPERLINK("https://www.amazon.com/MAKE-Ultra-Microfinishing-Pressed-Powder/dp/B0716F3DHR/ref=sr_1_1?keywords=Ultra+HD+Pressed+Powder&amp;qid=1695565562&amp;sr=8-1", "https://www.amazon.com/MAKE-Ultra-Microfinishing-Pressed-Powder/dp/B0716F3DHR/ref=sr_1_1?keywords=Ultra+HD+Pressed+Powder&amp;qid=1695565562&amp;sr=8-1")</f>
        <v/>
      </c>
      <c r="F2501" t="inlineStr">
        <is>
          <t>B0716F3DHR</t>
        </is>
      </c>
      <c r="G2501">
        <f>_xlfn.IMAGE("https://camerareadycosmetics.com/cdn/shop/files/Make-Up-For-Ever-I000010922_UHD_pressed_powder_02_1_50x.jpg?v=1687201547")</f>
        <v/>
      </c>
      <c r="H2501">
        <f>_xlfn.IMAGE("https://m.media-amazon.com/images/I/611llduh92L._AC_UL320_.jpg")</f>
        <v/>
      </c>
      <c r="K2501" t="inlineStr">
        <is>
          <t>39.0</t>
        </is>
      </c>
      <c r="L2501" t="n">
        <v>14.99</v>
      </c>
      <c r="M2501" s="1" t="inlineStr">
        <is>
          <t>-61.56%</t>
        </is>
      </c>
      <c r="N2501" t="n">
        <v>3.8</v>
      </c>
      <c r="O2501" t="n">
        <v>199</v>
      </c>
      <c r="Q2501" t="inlineStr">
        <is>
          <t>InStock</t>
        </is>
      </c>
      <c r="R2501" t="inlineStr">
        <is>
          <t>undefined</t>
        </is>
      </c>
      <c r="S2501" t="inlineStr">
        <is>
          <t>277447475210</t>
        </is>
      </c>
    </row>
    <row r="2502" ht="75" customHeight="1">
      <c r="A2502" s="2">
        <f>HYPERLINK("https://camerareadycosmetics.com/products/make-up-for-ever-ultra-hd-self-setting-concealer", "https://camerareadycosmetics.com/products/make-up-for-ever-ultra-hd-self-setting-concealer")</f>
        <v/>
      </c>
      <c r="B2502" s="2">
        <f>HYPERLINK("https://camerareadycosmetics.com/products/make-up-for-ever-ultra-hd-self-setting-concealer", "https://camerareadycosmetics.com/products/make-up-for-ever-ultra-hd-self-setting-concealer")</f>
        <v/>
      </c>
      <c r="C2502" t="inlineStr">
        <is>
          <t>Ultra HD Concealer</t>
        </is>
      </c>
      <c r="D2502" t="inlineStr">
        <is>
          <t>MAKE UP FOR EVER Ultra HD Self-Setting Medium Coverage Concealer 10 - Alabaster</t>
        </is>
      </c>
      <c r="E2502" s="2">
        <f>HYPERLINK("https://www.amazon.com/Ultra-Light-Capturing-Setting-Concealer/dp/B07PC47TY4/ref=sr_1_9?keywords=Ultra+HD+Concealer&amp;qid=1695565455&amp;sr=8-9", "https://www.amazon.com/Ultra-Light-Capturing-Setting-Concealer/dp/B07PC47TY4/ref=sr_1_9?keywords=Ultra+HD+Concealer&amp;qid=1695565455&amp;sr=8-9")</f>
        <v/>
      </c>
      <c r="F2502" t="inlineStr">
        <is>
          <t>B07PC47TY4</t>
        </is>
      </c>
      <c r="G2502">
        <f>_xlfn.IMAGE("https://camerareadycosmetics.com/cdn/shop/products/Makeup-forever_packshot_uhdconcealer_12_closed_50x.jpg?v=1580430046")</f>
        <v/>
      </c>
      <c r="H2502">
        <f>_xlfn.IMAGE("https://m.media-amazon.com/images/I/71+OsgKgt1L._AC_UL320_.jpg")</f>
        <v/>
      </c>
      <c r="K2502" t="inlineStr">
        <is>
          <t>30.0</t>
        </is>
      </c>
      <c r="L2502" t="n">
        <v>29.98</v>
      </c>
      <c r="M2502" s="1" t="inlineStr">
        <is>
          <t>-0.07%</t>
        </is>
      </c>
      <c r="N2502" t="n">
        <v>3</v>
      </c>
      <c r="O2502" t="n">
        <v>1</v>
      </c>
      <c r="Q2502" t="inlineStr">
        <is>
          <t>InStock</t>
        </is>
      </c>
      <c r="R2502" t="inlineStr">
        <is>
          <t>undefined</t>
        </is>
      </c>
      <c r="S2502" t="inlineStr">
        <is>
          <t>2060327485551</t>
        </is>
      </c>
    </row>
    <row r="2503" ht="75" customHeight="1">
      <c r="A2503" s="2">
        <f>HYPERLINK("https://camerareadycosmetics.com/products/make-up-for-ever-ultra-hd-self-setting-concealer", "https://camerareadycosmetics.com/products/make-up-for-ever-ultra-hd-self-setting-concealer")</f>
        <v/>
      </c>
      <c r="B2503" s="2">
        <f>HYPERLINK("https://camerareadycosmetics.com/products/make-up-for-ever-ultra-hd-self-setting-concealer", "https://camerareadycosmetics.com/products/make-up-for-ever-ultra-hd-self-setting-concealer")</f>
        <v/>
      </c>
      <c r="C2503" t="inlineStr">
        <is>
          <t>Ultra HD Concealer</t>
        </is>
      </c>
      <c r="D2503" t="inlineStr">
        <is>
          <t>MAKE UP FOR EVER Ultra HD Self-Setting Medium Coverage Concealer 25 - Sand</t>
        </is>
      </c>
      <c r="E2503" s="2">
        <f>HYPERLINK("https://www.amazon.com/Make-Up-Ever-Self-Setting-Concealer/dp/B0828N1RDC/ref=sr_1_8?keywords=Ultra+HD+Concealer&amp;qid=1695565455&amp;sr=8-8", "https://www.amazon.com/Make-Up-Ever-Self-Setting-Concealer/dp/B0828N1RDC/ref=sr_1_8?keywords=Ultra+HD+Concealer&amp;qid=1695565455&amp;sr=8-8")</f>
        <v/>
      </c>
      <c r="F2503" t="inlineStr">
        <is>
          <t>B0828N1RDC</t>
        </is>
      </c>
      <c r="G2503">
        <f>_xlfn.IMAGE("https://camerareadycosmetics.com/cdn/shop/products/Makeup-forever_packshot_uhdconcealer_12_closed_50x.jpg?v=1580430046")</f>
        <v/>
      </c>
      <c r="H2503">
        <f>_xlfn.IMAGE("https://m.media-amazon.com/images/I/41AG1INBuQL._AC_UL320_.jpg")</f>
        <v/>
      </c>
      <c r="K2503" t="inlineStr">
        <is>
          <t>30.0</t>
        </is>
      </c>
      <c r="L2503" t="n">
        <v>26</v>
      </c>
      <c r="M2503" s="1" t="inlineStr">
        <is>
          <t>-13.33%</t>
        </is>
      </c>
      <c r="N2503" t="n">
        <v>5</v>
      </c>
      <c r="O2503" t="n">
        <v>3</v>
      </c>
      <c r="Q2503" t="inlineStr">
        <is>
          <t>InStock</t>
        </is>
      </c>
      <c r="R2503" t="inlineStr">
        <is>
          <t>undefined</t>
        </is>
      </c>
      <c r="S2503" t="inlineStr">
        <is>
          <t>2060327485551</t>
        </is>
      </c>
    </row>
    <row r="2504" ht="75" customHeight="1">
      <c r="A2504" s="2">
        <f>HYPERLINK("https://camerareadycosmetics.com/products/make-up-for-ever-ultra-hd-self-setting-concealer", "https://camerareadycosmetics.com/products/make-up-for-ever-ultra-hd-self-setting-concealer")</f>
        <v/>
      </c>
      <c r="B2504" s="2">
        <f>HYPERLINK("https://camerareadycosmetics.com/products/make-up-for-ever-ultra-hd-self-setting-concealer", "https://camerareadycosmetics.com/products/make-up-for-ever-ultra-hd-self-setting-concealer")</f>
        <v/>
      </c>
      <c r="C2504" t="inlineStr">
        <is>
          <t>Ultra HD Concealer</t>
        </is>
      </c>
      <c r="D2504" t="inlineStr">
        <is>
          <t>MAKE UP FOR EVER Ultra HD Self-Setting Medium Coverage Concealer 33 - Desert</t>
        </is>
      </c>
      <c r="E2504" s="2">
        <f>HYPERLINK("https://www.amazon.com/Ultra-Self-Setting-Medium-Coverage-Concealer/dp/B07P6YFPND/ref=sr_1_6?keywords=Ultra+HD+Concealer&amp;qid=1695565455&amp;sr=8-6", "https://www.amazon.com/Ultra-Self-Setting-Medium-Coverage-Concealer/dp/B07P6YFPND/ref=sr_1_6?keywords=Ultra+HD+Concealer&amp;qid=1695565455&amp;sr=8-6")</f>
        <v/>
      </c>
      <c r="F2504" t="inlineStr">
        <is>
          <t>B07P6YFPND</t>
        </is>
      </c>
      <c r="G2504">
        <f>_xlfn.IMAGE("https://camerareadycosmetics.com/cdn/shop/products/Makeup-forever_packshot_uhdconcealer_12_closed_50x.jpg?v=1580430046")</f>
        <v/>
      </c>
      <c r="H2504">
        <f>_xlfn.IMAGE("https://m.media-amazon.com/images/I/51ODX8ntHkL._AC_UL320_.jpg")</f>
        <v/>
      </c>
      <c r="K2504" t="inlineStr">
        <is>
          <t>30.0</t>
        </is>
      </c>
      <c r="L2504" t="n">
        <v>23.99</v>
      </c>
      <c r="M2504" s="1" t="inlineStr">
        <is>
          <t>-20.03%</t>
        </is>
      </c>
      <c r="N2504" t="n">
        <v>3.7</v>
      </c>
      <c r="O2504" t="n">
        <v>5</v>
      </c>
      <c r="Q2504" t="inlineStr">
        <is>
          <t>InStock</t>
        </is>
      </c>
      <c r="R2504" t="inlineStr">
        <is>
          <t>undefined</t>
        </is>
      </c>
      <c r="S2504" t="inlineStr">
        <is>
          <t>2060327485551</t>
        </is>
      </c>
    </row>
    <row r="2505" ht="75" customHeight="1">
      <c r="A2505" s="2">
        <f>HYPERLINK("https://camerareadycosmetics.com/products/make-up-for-ever-ultra-hd-self-setting-concealer", "https://camerareadycosmetics.com/products/make-up-for-ever-ultra-hd-self-setting-concealer")</f>
        <v/>
      </c>
      <c r="B2505" s="2">
        <f>HYPERLINK("https://camerareadycosmetics.com/products/make-up-for-ever-ultra-hd-self-setting-concealer", "https://camerareadycosmetics.com/products/make-up-for-ever-ultra-hd-self-setting-concealer")</f>
        <v/>
      </c>
      <c r="C2505" t="inlineStr">
        <is>
          <t>Ultra HD Concealer</t>
        </is>
      </c>
      <c r="D2505" t="inlineStr">
        <is>
          <t>MAKE UP FOR EVER Ultra HD Self-Setting Medium Coverage Concealer 12 - Nude Ivory</t>
        </is>
      </c>
      <c r="E2505" s="2">
        <f>HYPERLINK("https://www.amazon.com/Make-Up-Ever-Self-Setting-Concealer/dp/B07PBCS9W6/ref=sr_1_5?keywords=Ultra+HD+Concealer&amp;qid=1695565455&amp;sr=8-5", "https://www.amazon.com/Make-Up-Ever-Self-Setting-Concealer/dp/B07PBCS9W6/ref=sr_1_5?keywords=Ultra+HD+Concealer&amp;qid=1695565455&amp;sr=8-5")</f>
        <v/>
      </c>
      <c r="F2505" t="inlineStr">
        <is>
          <t>B07PBCS9W6</t>
        </is>
      </c>
      <c r="G2505">
        <f>_xlfn.IMAGE("https://camerareadycosmetics.com/cdn/shop/products/Makeup-forever_packshot_uhdconcealer_12_closed_50x.jpg?v=1580430046")</f>
        <v/>
      </c>
      <c r="H2505">
        <f>_xlfn.IMAGE("https://m.media-amazon.com/images/I/61PSzZkWkuS._AC_UL320_.jpg")</f>
        <v/>
      </c>
      <c r="K2505" t="inlineStr">
        <is>
          <t>30.0</t>
        </is>
      </c>
      <c r="L2505" t="n">
        <v>22</v>
      </c>
      <c r="M2505" s="1" t="inlineStr">
        <is>
          <t>-26.67%</t>
        </is>
      </c>
      <c r="N2505" t="n">
        <v>3.8</v>
      </c>
      <c r="O2505" t="n">
        <v>4</v>
      </c>
      <c r="Q2505" t="inlineStr">
        <is>
          <t>InStock</t>
        </is>
      </c>
      <c r="R2505" t="inlineStr">
        <is>
          <t>undefined</t>
        </is>
      </c>
      <c r="S2505" t="inlineStr">
        <is>
          <t>2060327485551</t>
        </is>
      </c>
    </row>
    <row r="2506" ht="75" customHeight="1">
      <c r="A2506" s="2">
        <f>HYPERLINK("https://camerareadycosmetics.com/products/make-up-for-ever-ultra-hd-self-setting-concealer", "https://camerareadycosmetics.com/products/make-up-for-ever-ultra-hd-self-setting-concealer")</f>
        <v/>
      </c>
      <c r="B2506" s="2">
        <f>HYPERLINK("https://camerareadycosmetics.com/products/make-up-for-ever-ultra-hd-self-setting-concealer", "https://camerareadycosmetics.com/products/make-up-for-ever-ultra-hd-self-setting-concealer")</f>
        <v/>
      </c>
      <c r="C2506" t="inlineStr">
        <is>
          <t>Ultra HD Concealer</t>
        </is>
      </c>
      <c r="D2506" t="inlineStr">
        <is>
          <t>MAKE UP FOR EVER Ultra HD Self-Setting Medium Coverage Concealer 30 - Dark Sand</t>
        </is>
      </c>
      <c r="E2506" s="2">
        <f>HYPERLINK("https://www.amazon.com/Make-Up-Ever-Self-Setting-Concealer/dp/B07P617TWJ/ref=sr_1_4?keywords=Ultra+HD+Concealer&amp;qid=1695565455&amp;sr=8-4", "https://www.amazon.com/Make-Up-Ever-Self-Setting-Concealer/dp/B07P617TWJ/ref=sr_1_4?keywords=Ultra+HD+Concealer&amp;qid=1695565455&amp;sr=8-4")</f>
        <v/>
      </c>
      <c r="F2506" t="inlineStr">
        <is>
          <t>B07P617TWJ</t>
        </is>
      </c>
      <c r="G2506">
        <f>_xlfn.IMAGE("https://camerareadycosmetics.com/cdn/shop/products/Makeup-forever_packshot_uhdconcealer_12_closed_50x.jpg?v=1580430046")</f>
        <v/>
      </c>
      <c r="H2506">
        <f>_xlfn.IMAGE("https://m.media-amazon.com/images/I/71NWpZvtspS._AC_UL320_.jpg")</f>
        <v/>
      </c>
      <c r="K2506" t="inlineStr">
        <is>
          <t>30.0</t>
        </is>
      </c>
      <c r="L2506" t="n">
        <v>17</v>
      </c>
      <c r="M2506" s="1" t="inlineStr">
        <is>
          <t>-43.33%</t>
        </is>
      </c>
      <c r="N2506" t="n">
        <v>4.5</v>
      </c>
      <c r="O2506" t="n">
        <v>54</v>
      </c>
      <c r="Q2506" t="inlineStr">
        <is>
          <t>InStock</t>
        </is>
      </c>
      <c r="R2506" t="inlineStr">
        <is>
          <t>undefined</t>
        </is>
      </c>
      <c r="S2506" t="inlineStr">
        <is>
          <t>2060327485551</t>
        </is>
      </c>
    </row>
    <row r="2507" ht="75" customHeight="1">
      <c r="A2507" s="2">
        <f>HYPERLINK("https://camerareadycosmetics.com/products/make-up-for-ever-ultra-hd-self-setting-concealer", "https://camerareadycosmetics.com/products/make-up-for-ever-ultra-hd-self-setting-concealer")</f>
        <v/>
      </c>
      <c r="B2507" s="2">
        <f>HYPERLINK("https://camerareadycosmetics.com/products/make-up-for-ever-ultra-hd-self-setting-concealer", "https://camerareadycosmetics.com/products/make-up-for-ever-ultra-hd-self-setting-concealer")</f>
        <v/>
      </c>
      <c r="C2507" t="inlineStr">
        <is>
          <t>Ultra HD Concealer</t>
        </is>
      </c>
      <c r="D2507" t="inlineStr">
        <is>
          <t>MAKE UP FOR EVER Ultra HD Self-Setting Medium Coverage Concealer 20 - Soft Sand</t>
        </is>
      </c>
      <c r="E2507" s="2">
        <f>HYPERLINK("https://www.amazon.com/Make-Up-Ever-Self-Setting-Concealer/dp/B07P616RS9/ref=sr_1_7?keywords=Ultra+HD+Concealer&amp;qid=1695565455&amp;sr=8-7", "https://www.amazon.com/Make-Up-Ever-Self-Setting-Concealer/dp/B07P616RS9/ref=sr_1_7?keywords=Ultra+HD+Concealer&amp;qid=1695565455&amp;sr=8-7")</f>
        <v/>
      </c>
      <c r="F2507" t="inlineStr">
        <is>
          <t>B07P616RS9</t>
        </is>
      </c>
      <c r="G2507">
        <f>_xlfn.IMAGE("https://camerareadycosmetics.com/cdn/shop/products/Makeup-forever_packshot_uhdconcealer_12_closed_50x.jpg?v=1580430046")</f>
        <v/>
      </c>
      <c r="H2507">
        <f>_xlfn.IMAGE("https://m.media-amazon.com/images/I/61uQvne97pL._AC_UL320_.jpg")</f>
        <v/>
      </c>
      <c r="K2507" t="inlineStr">
        <is>
          <t>30.0</t>
        </is>
      </c>
      <c r="L2507" t="n">
        <v>13.82</v>
      </c>
      <c r="M2507" s="1" t="inlineStr">
        <is>
          <t>-53.93%</t>
        </is>
      </c>
      <c r="N2507" t="n">
        <v>3.9</v>
      </c>
      <c r="O2507" t="n">
        <v>46</v>
      </c>
      <c r="Q2507" t="inlineStr">
        <is>
          <t>InStock</t>
        </is>
      </c>
      <c r="R2507" t="inlineStr">
        <is>
          <t>undefined</t>
        </is>
      </c>
      <c r="S2507" t="inlineStr">
        <is>
          <t>2060327485551</t>
        </is>
      </c>
    </row>
    <row r="2508" ht="75" customHeight="1">
      <c r="A2508" s="2">
        <f>HYPERLINK("https://camerareadycosmetics.com/products/make-up-for-ever-ultra-hd-self-setting-concealer", "https://camerareadycosmetics.com/products/make-up-for-ever-ultra-hd-self-setting-concealer")</f>
        <v/>
      </c>
      <c r="B2508" s="2">
        <f>HYPERLINK("https://camerareadycosmetics.com/products/make-up-for-ever-ultra-hd-self-setting-concealer", "https://camerareadycosmetics.com/products/make-up-for-ever-ultra-hd-self-setting-concealer")</f>
        <v/>
      </c>
      <c r="C2508" t="inlineStr">
        <is>
          <t>Ultra HD Concealer</t>
        </is>
      </c>
      <c r="D2508" t="inlineStr">
        <is>
          <t>HD Liquid High Coverage Concealer, Ultra Long Lasting, Vegan &amp; Cruelty Free, Lightweight, Oil &amp; Paraben Free, Crease Proof, Porcelain, 0.14 Fl Oz, 1 Count (Pack of 1), 182</t>
        </is>
      </c>
      <c r="E2508" s="2">
        <f>HYPERLINK("https://www.amazon.com/Claraline-Concealer-Paraben-Free-Light-Weight-Pigmented/dp/B0BBHB99F5/ref=sr_1_10?keywords=Ultra+HD+Concealer&amp;qid=1695565455&amp;sr=8-10", "https://www.amazon.com/Claraline-Concealer-Paraben-Free-Light-Weight-Pigmented/dp/B0BBHB99F5/ref=sr_1_10?keywords=Ultra+HD+Concealer&amp;qid=1695565455&amp;sr=8-10")</f>
        <v/>
      </c>
      <c r="F2508" t="inlineStr">
        <is>
          <t>B0BBHB99F5</t>
        </is>
      </c>
      <c r="G2508">
        <f>_xlfn.IMAGE("https://camerareadycosmetics.com/cdn/shop/products/Makeup-forever_packshot_uhdconcealer_12_closed_50x.jpg?v=1580430046")</f>
        <v/>
      </c>
      <c r="H2508">
        <f>_xlfn.IMAGE("https://m.media-amazon.com/images/I/617Ep+MOo5L._AC_UL320_.jpg")</f>
        <v/>
      </c>
      <c r="K2508" t="inlineStr">
        <is>
          <t>30.0</t>
        </is>
      </c>
      <c r="L2508" t="n">
        <v>10</v>
      </c>
      <c r="M2508" s="1" t="inlineStr">
        <is>
          <t>-66.67%</t>
        </is>
      </c>
      <c r="N2508" t="n">
        <v>5</v>
      </c>
      <c r="O2508" t="n">
        <v>1</v>
      </c>
      <c r="Q2508" t="inlineStr">
        <is>
          <t>InStock</t>
        </is>
      </c>
      <c r="R2508" t="inlineStr">
        <is>
          <t>undefined</t>
        </is>
      </c>
      <c r="S2508" t="inlineStr">
        <is>
          <t>2060327485551</t>
        </is>
      </c>
    </row>
    <row r="2509" ht="75" customHeight="1">
      <c r="A2509" s="2">
        <f>HYPERLINK("https://camerareadycosmetics.com/products/make-up-for-ever-ultra-hd-self-setting-concealer", "https://camerareadycosmetics.com/products/make-up-for-ever-ultra-hd-self-setting-concealer")</f>
        <v/>
      </c>
      <c r="B2509" s="2">
        <f>HYPERLINK("https://camerareadycosmetics.com/products/make-up-for-ever-ultra-hd-self-setting-concealer", "https://camerareadycosmetics.com/products/make-up-for-ever-ultra-hd-self-setting-concealer")</f>
        <v/>
      </c>
      <c r="C2509" t="inlineStr">
        <is>
          <t>Ultra HD Concealer</t>
        </is>
      </c>
      <c r="D2509" t="inlineStr">
        <is>
          <t>MAKE UP FOR EVER Ultra HD Self-Setting Medium Coverage Concealer 20 - Soft Sand</t>
        </is>
      </c>
      <c r="E2509" s="2">
        <f>HYPERLINK("https://www.amazon.com/Make-Up-Ever-Self-Setting-Concealer/dp/B07P616RS9/ref=sr_1_7?keywords=Ultra+HD+Concealer&amp;qid=1695565455&amp;sr=8-7", "https://www.amazon.com/Make-Up-Ever-Self-Setting-Concealer/dp/B07P616RS9/ref=sr_1_7?keywords=Ultra+HD+Concealer&amp;qid=1695565455&amp;sr=8-7")</f>
        <v/>
      </c>
      <c r="F2509" t="inlineStr">
        <is>
          <t>B07P616RS9</t>
        </is>
      </c>
      <c r="G2509">
        <f>_xlfn.IMAGE("https://camerareadycosmetics.com/cdn/shop/products/Makeup-forever_packshot_uhdconcealer_12_closed_50x.jpg?v=1580430046")</f>
        <v/>
      </c>
      <c r="H2509">
        <f>_xlfn.IMAGE("https://m.media-amazon.com/images/I/61uQvne97pL._AC_UL320_.jpg")</f>
        <v/>
      </c>
      <c r="K2509" t="inlineStr">
        <is>
          <t>30.0</t>
        </is>
      </c>
      <c r="L2509" t="n">
        <v>13.82</v>
      </c>
      <c r="M2509" s="1" t="inlineStr">
        <is>
          <t>-53.93%</t>
        </is>
      </c>
      <c r="N2509" t="n">
        <v>3.9</v>
      </c>
      <c r="O2509" t="n">
        <v>46</v>
      </c>
      <c r="Q2509" t="inlineStr">
        <is>
          <t>InStock</t>
        </is>
      </c>
      <c r="R2509" t="inlineStr">
        <is>
          <t>undefined</t>
        </is>
      </c>
      <c r="S2509" t="inlineStr">
        <is>
          <t>2060327485551</t>
        </is>
      </c>
    </row>
    <row r="2510" ht="75" customHeight="1">
      <c r="A2510" s="2">
        <f>HYPERLINK("https://camerareadycosmetics.com/products/make-up-for-ever-ultra-hd-self-setting-concealer", "https://camerareadycosmetics.com/products/make-up-for-ever-ultra-hd-self-setting-concealer")</f>
        <v/>
      </c>
      <c r="B2510" s="2">
        <f>HYPERLINK("https://camerareadycosmetics.com/products/make-up-for-ever-ultra-hd-self-setting-concealer", "https://camerareadycosmetics.com/products/make-up-for-ever-ultra-hd-self-setting-concealer")</f>
        <v/>
      </c>
      <c r="C2510" t="inlineStr">
        <is>
          <t>Ultra HD Concealer</t>
        </is>
      </c>
      <c r="D2510" t="inlineStr">
        <is>
          <t>HD Liquid High Coverage Concealer, Ultra Long Lasting, Vegan &amp; Cruelty Free, Lightweight, Oil &amp; Paraben Free, Crease Proof, Porcelain, 0.14 Fl Oz, 1 Count (Pack of 1), 182</t>
        </is>
      </c>
      <c r="E2510" s="2">
        <f>HYPERLINK("https://www.amazon.com/Claraline-Concealer-Paraben-Free-Light-Weight-Pigmented/dp/B0BBHB99F5/ref=sr_1_10?keywords=Ultra+HD+Concealer&amp;qid=1695565455&amp;sr=8-10", "https://www.amazon.com/Claraline-Concealer-Paraben-Free-Light-Weight-Pigmented/dp/B0BBHB99F5/ref=sr_1_10?keywords=Ultra+HD+Concealer&amp;qid=1695565455&amp;sr=8-10")</f>
        <v/>
      </c>
      <c r="F2510" t="inlineStr">
        <is>
          <t>B0BBHB99F5</t>
        </is>
      </c>
      <c r="G2510">
        <f>_xlfn.IMAGE("https://camerareadycosmetics.com/cdn/shop/products/Makeup-forever_packshot_uhdconcealer_12_closed_50x.jpg?v=1580430046")</f>
        <v/>
      </c>
      <c r="H2510">
        <f>_xlfn.IMAGE("https://m.media-amazon.com/images/I/617Ep+MOo5L._AC_UL320_.jpg")</f>
        <v/>
      </c>
      <c r="K2510" t="inlineStr">
        <is>
          <t>30.0</t>
        </is>
      </c>
      <c r="L2510" t="n">
        <v>10</v>
      </c>
      <c r="M2510" s="1" t="inlineStr">
        <is>
          <t>-66.67%</t>
        </is>
      </c>
      <c r="N2510" t="n">
        <v>5</v>
      </c>
      <c r="O2510" t="n">
        <v>1</v>
      </c>
      <c r="Q2510" t="inlineStr">
        <is>
          <t>InStock</t>
        </is>
      </c>
      <c r="R2510" t="inlineStr">
        <is>
          <t>undefined</t>
        </is>
      </c>
      <c r="S2510" t="inlineStr">
        <is>
          <t>2060327485551</t>
        </is>
      </c>
    </row>
    <row r="2511" ht="75" customHeight="1">
      <c r="A2511" s="2">
        <f>HYPERLINK("https://camerareadycosmetics.com/products/make-up-for-ever-ultra-hd-skin-booster", "https://camerareadycosmetics.com/products/make-up-for-ever-ultra-hd-skin-booster")</f>
        <v/>
      </c>
      <c r="B2511" s="2">
        <f>HYPERLINK("https://camerareadycosmetics.com/products/make-up-for-ever-ultra-hd-skin-booster", "https://camerareadycosmetics.com/products/make-up-for-ever-ultra-hd-skin-booster")</f>
        <v/>
      </c>
      <c r="C2511" t="inlineStr">
        <is>
          <t>Ultra HD Skin Booster</t>
        </is>
      </c>
      <c r="D2511" t="inlineStr">
        <is>
          <t>MAKE UP FOR EVER Ultra HD Lip Booster 00</t>
        </is>
      </c>
      <c r="E2511" s="2">
        <f>HYPERLINK("https://www.amazon.com/Make-Up-Ever-Booster-Universelle/dp/B079QRVGDG/ref=sr_1_1?keywords=Ultra+HD+Skin+Booster&amp;qid=1695565647&amp;sr=8-1", "https://www.amazon.com/Make-Up-Ever-Booster-Universelle/dp/B079QRVGDG/ref=sr_1_1?keywords=Ultra+HD+Skin+Booster&amp;qid=1695565647&amp;sr=8-1")</f>
        <v/>
      </c>
      <c r="F2511" t="inlineStr">
        <is>
          <t>B079QRVGDG</t>
        </is>
      </c>
      <c r="G2511">
        <f>_xlfn.IMAGE("https://camerareadycosmetics.com/cdn/shop/files/makeup-forever-I000027000_UHD_Skin_Booster-Open_1_50x.jpg?v=1687201730")</f>
        <v/>
      </c>
      <c r="H2511">
        <f>_xlfn.IMAGE("https://m.media-amazon.com/images/I/71VDsYoTJ7L._AC_UL320_.jpg")</f>
        <v/>
      </c>
      <c r="K2511" t="inlineStr">
        <is>
          <t>41.0</t>
        </is>
      </c>
      <c r="L2511" t="n">
        <v>29.9</v>
      </c>
      <c r="M2511" s="1" t="inlineStr">
        <is>
          <t>-27.07%</t>
        </is>
      </c>
      <c r="N2511" t="n">
        <v>4.5</v>
      </c>
      <c r="O2511" t="n">
        <v>2</v>
      </c>
      <c r="Q2511" t="inlineStr">
        <is>
          <t>OutOfStock</t>
        </is>
      </c>
      <c r="R2511" t="inlineStr">
        <is>
          <t>undefined</t>
        </is>
      </c>
      <c r="S2511" t="inlineStr">
        <is>
          <t>279416242186</t>
        </is>
      </c>
    </row>
    <row r="2512" ht="75" customHeight="1">
      <c r="A2512" s="2">
        <f>HYPERLINK("https://camerareadycosmetics.com/products/mehron-celebre-pro-hd-12-color-palette-small-palette-limited-quantity", "https://camerareadycosmetics.com/products/mehron-celebre-pro-hd-12-color-palette-small-palette-limited-quantity")</f>
        <v/>
      </c>
      <c r="B2512" s="2">
        <f>HYPERLINK("https://camerareadycosmetics.com/products/mehron-celebre-pro-hd-12-color-palette-small-palette-limited-quantity", "https://camerareadycosmetics.com/products/mehron-celebre-pro-hd-12-color-palette-small-palette-limited-quantity")</f>
        <v/>
      </c>
      <c r="C2512" t="inlineStr">
        <is>
          <t>Celebre Pro-HD 12-Color Cream Highlight/Contour Palette</t>
        </is>
      </c>
      <c r="D2512" t="inlineStr">
        <is>
          <t>Mehron Makeup Foundation - Celebre Pro-HD Pressed Powder, Contour &amp; Highlight Palette - 12 Shades</t>
        </is>
      </c>
      <c r="E2512" s="2">
        <f>HYPERLINK("https://www.amazon.com/Mehron-Foundation-Celebre-Pressed-Highlight/dp/B01KYA62FW/ref=sr_1_3?keywords=Celebre+Pro-HD+12-Color+Cream+Highlight%2FContour+Palette&amp;qid=1695565520&amp;sr=8-3", "https://www.amazon.com/Mehron-Foundation-Celebre-Pressed-Highlight/dp/B01KYA62FW/ref=sr_1_3?keywords=Celebre+Pro-HD+12-Color+Cream+Highlight%2FContour+Palette&amp;qid=1695565520&amp;sr=8-3")</f>
        <v/>
      </c>
      <c r="F2512" t="inlineStr">
        <is>
          <t>B01KYA62FW</t>
        </is>
      </c>
      <c r="G2512">
        <f>_xlfn.IMAGE("https://camerareadycosmetics.com/cdn/shop/products/138027000__17322.1435788078.600.600_50x.jpeg?v=1689634069")</f>
        <v/>
      </c>
      <c r="H2512">
        <f>_xlfn.IMAGE("https://m.media-amazon.com/images/I/61DE0U+dMDL._AC_UL320_.jpg")</f>
        <v/>
      </c>
      <c r="K2512" t="inlineStr">
        <is>
          <t>59.95</t>
        </is>
      </c>
      <c r="L2512" t="n">
        <v>58.95</v>
      </c>
      <c r="M2512" s="1" t="inlineStr">
        <is>
          <t>-1.67%</t>
        </is>
      </c>
      <c r="N2512" t="n">
        <v>4.2</v>
      </c>
      <c r="O2512" t="n">
        <v>29</v>
      </c>
      <c r="Q2512" t="inlineStr">
        <is>
          <t>InStock</t>
        </is>
      </c>
      <c r="R2512" t="inlineStr">
        <is>
          <t>undefined</t>
        </is>
      </c>
      <c r="S2512" t="inlineStr">
        <is>
          <t>7036774983</t>
        </is>
      </c>
    </row>
    <row r="2513" ht="75" customHeight="1">
      <c r="A2513" s="2">
        <f>HYPERLINK("https://camerareadycosmetics.com/products/mehron-celebre-pro-hd-12-color-palette-small-palette-limited-quantity", "https://camerareadycosmetics.com/products/mehron-celebre-pro-hd-12-color-palette-small-palette-limited-quantity")</f>
        <v/>
      </c>
      <c r="B2513" s="2">
        <f>HYPERLINK("https://camerareadycosmetics.com/products/mehron-celebre-pro-hd-12-color-palette-small-palette-limited-quantity", "https://camerareadycosmetics.com/products/mehron-celebre-pro-hd-12-color-palette-small-palette-limited-quantity")</f>
        <v/>
      </c>
      <c r="C2513" t="inlineStr">
        <is>
          <t>Celebre Pro-HD 12-Color Cream Highlight/Contour Palette</t>
        </is>
      </c>
      <c r="D2513" t="inlineStr">
        <is>
          <t>Mehron Makeup Celebre Pro-HD Cream Contour &amp; Highlight Palette (12 Colors)</t>
        </is>
      </c>
      <c r="E2513" s="2">
        <f>HYPERLINK("https://www.amazon.com/Mehron-Celebre-Contour-Highlight-Palette/dp/B00TEH2CHE/ref=sr_1_2?keywords=Celebre+Pro-HD+12-Color+Cream+Highlight%2FContour+Palette&amp;qid=1695565520&amp;sr=8-2", "https://www.amazon.com/Mehron-Celebre-Contour-Highlight-Palette/dp/B00TEH2CHE/ref=sr_1_2?keywords=Celebre+Pro-HD+12-Color+Cream+Highlight%2FContour+Palette&amp;qid=1695565520&amp;sr=8-2")</f>
        <v/>
      </c>
      <c r="F2513" t="inlineStr">
        <is>
          <t>B00TEH2CHE</t>
        </is>
      </c>
      <c r="G2513">
        <f>_xlfn.IMAGE("https://camerareadycosmetics.com/cdn/shop/products/138027000__17322.1435788078.600.600_50x.jpeg?v=1689634069")</f>
        <v/>
      </c>
      <c r="H2513">
        <f>_xlfn.IMAGE("https://m.media-amazon.com/images/I/51ZMsQK2hGL._AC_UL320_.jpg")</f>
        <v/>
      </c>
      <c r="K2513" t="inlineStr">
        <is>
          <t>59.95</t>
        </is>
      </c>
      <c r="L2513" t="n">
        <v>58.95</v>
      </c>
      <c r="M2513" s="1" t="inlineStr">
        <is>
          <t>-1.67%</t>
        </is>
      </c>
      <c r="N2513" t="n">
        <v>3.8</v>
      </c>
      <c r="O2513" t="n">
        <v>38</v>
      </c>
      <c r="Q2513" t="inlineStr">
        <is>
          <t>InStock</t>
        </is>
      </c>
      <c r="R2513" t="inlineStr">
        <is>
          <t>undefined</t>
        </is>
      </c>
      <c r="S2513" t="inlineStr">
        <is>
          <t>7036774983</t>
        </is>
      </c>
    </row>
    <row r="2514" ht="75" customHeight="1">
      <c r="A2514" s="2">
        <f>HYPERLINK("https://camerareadycosmetics.com/products/mehron-celebre-pro-hd-cream-foundation", "https://camerareadycosmetics.com/products/mehron-celebre-pro-hd-cream-foundation")</f>
        <v/>
      </c>
      <c r="B2514" s="2">
        <f>HYPERLINK("https://camerareadycosmetics.com/products/mehron-celebre-pro-hd-cream-foundation", "https://camerareadycosmetics.com/products/mehron-celebre-pro-hd-cream-foundation")</f>
        <v/>
      </c>
      <c r="C2514" t="inlineStr">
        <is>
          <t>Celebre Pro HD Cream Foundation</t>
        </is>
      </c>
      <c r="D2514" t="inlineStr">
        <is>
          <t>Mehron Makeup Celebre Pro-HD Cream Contour &amp; Highlight Palette (12 Colors)</t>
        </is>
      </c>
      <c r="E2514" s="2">
        <f>HYPERLINK("https://www.amazon.com/Mehron-Celebre-Contour-Highlight-Palette/dp/B00TEH2CHE/ref=sr_1_2?keywords=Celebre+Pro+HD+Cream+Foundation&amp;qid=1695565412&amp;sr=8-2", "https://www.amazon.com/Mehron-Celebre-Contour-Highlight-Palette/dp/B00TEH2CHE/ref=sr_1_2?keywords=Celebre+Pro+HD+Cream+Foundation&amp;qid=1695565412&amp;sr=8-2")</f>
        <v/>
      </c>
      <c r="F2514" t="inlineStr">
        <is>
          <t>B00TEH2CHE</t>
        </is>
      </c>
      <c r="G2514">
        <f>_xlfn.IMAGE("https://camerareadycosmetics.com/cdn/shop/products/celebre-color-l_50x.jpg?v=1689628325")</f>
        <v/>
      </c>
      <c r="H2514">
        <f>_xlfn.IMAGE("https://m.media-amazon.com/images/I/51ZMsQK2hGL._AC_UL320_.jpg")</f>
        <v/>
      </c>
      <c r="K2514" t="inlineStr">
        <is>
          <t>11.95</t>
        </is>
      </c>
      <c r="L2514" t="n">
        <v>58.95</v>
      </c>
      <c r="M2514" s="1" t="inlineStr">
        <is>
          <t>393.31%</t>
        </is>
      </c>
      <c r="N2514" t="n">
        <v>3.8</v>
      </c>
      <c r="O2514" t="n">
        <v>38</v>
      </c>
      <c r="Q2514" t="inlineStr">
        <is>
          <t>InStock</t>
        </is>
      </c>
      <c r="R2514" t="inlineStr">
        <is>
          <t>undefined</t>
        </is>
      </c>
      <c r="S2514" t="inlineStr">
        <is>
          <t>7035105735</t>
        </is>
      </c>
    </row>
    <row r="2515" ht="75" customHeight="1">
      <c r="A2515" s="2">
        <f>HYPERLINK("https://camerareadycosmetics.com/products/mehron-celebre-pro-hd-cream-foundation", "https://camerareadycosmetics.com/products/mehron-celebre-pro-hd-cream-foundation")</f>
        <v/>
      </c>
      <c r="B2515" s="2">
        <f>HYPERLINK("https://camerareadycosmetics.com/products/mehron-celebre-pro-hd-cream-foundation", "https://camerareadycosmetics.com/products/mehron-celebre-pro-hd-cream-foundation")</f>
        <v/>
      </c>
      <c r="C2515" t="inlineStr">
        <is>
          <t>Celebre Pro HD Cream Foundation</t>
        </is>
      </c>
      <c r="D2515" t="inlineStr">
        <is>
          <t>Mehron Makeup Celebre Pro-HD Cream Face &amp; Body Makeup (.9 oz) (LIGHT 1)</t>
        </is>
      </c>
      <c r="E2515" s="2">
        <f>HYPERLINK("https://www.amazon.com/Mehron-Makeup-Celebre-EURASIA-CHINOIS/dp/B0725JQYTH/ref=sr_1_3?keywords=Celebre+Pro+HD+Cream+Foundation&amp;qid=1695565412&amp;sr=8-3", "https://www.amazon.com/Mehron-Makeup-Celebre-EURASIA-CHINOIS/dp/B0725JQYTH/ref=sr_1_3?keywords=Celebre+Pro+HD+Cream+Foundation&amp;qid=1695565412&amp;sr=8-3")</f>
        <v/>
      </c>
      <c r="F2515" t="inlineStr">
        <is>
          <t>B0725JQYTH</t>
        </is>
      </c>
      <c r="G2515">
        <f>_xlfn.IMAGE("https://camerareadycosmetics.com/cdn/shop/products/celebre-color-l_50x.jpg?v=1689628325")</f>
        <v/>
      </c>
      <c r="H2515">
        <f>_xlfn.IMAGE("https://m.media-amazon.com/images/I/91DXSq-i2SL._AC_UL320_.jpg")</f>
        <v/>
      </c>
      <c r="K2515" t="inlineStr">
        <is>
          <t>11.95</t>
        </is>
      </c>
      <c r="L2515" t="n">
        <v>17.19</v>
      </c>
      <c r="M2515" s="1" t="inlineStr">
        <is>
          <t>43.85%</t>
        </is>
      </c>
      <c r="N2515" t="n">
        <v>2.5</v>
      </c>
      <c r="O2515" t="n">
        <v>3</v>
      </c>
      <c r="Q2515" t="inlineStr">
        <is>
          <t>InStock</t>
        </is>
      </c>
      <c r="R2515" t="inlineStr">
        <is>
          <t>undefined</t>
        </is>
      </c>
      <c r="S2515" t="inlineStr">
        <is>
          <t>7035105735</t>
        </is>
      </c>
    </row>
    <row r="2516" ht="75" customHeight="1">
      <c r="A2516" s="2">
        <f>HYPERLINK("https://camerareadycosmetics.com/products/mehron-celebre-pro-hd-cream-foundation", "https://camerareadycosmetics.com/products/mehron-celebre-pro-hd-cream-foundation")</f>
        <v/>
      </c>
      <c r="B2516" s="2">
        <f>HYPERLINK("https://camerareadycosmetics.com/products/mehron-celebre-pro-hd-cream-foundation", "https://camerareadycosmetics.com/products/mehron-celebre-pro-hd-cream-foundation")</f>
        <v/>
      </c>
      <c r="C2516" t="inlineStr">
        <is>
          <t>Celebre Pro HD Cream Foundation</t>
        </is>
      </c>
      <c r="D2516" t="inlineStr">
        <is>
          <t>Mehron Makeup Celebre Pro-HD Cream Face &amp; Body Makeup (.9 Ounce) (Light 4)</t>
        </is>
      </c>
      <c r="E2516" s="2">
        <f>HYPERLINK("https://www.amazon.com/Mehron-Makeup-Celebre-Pro-HD-Cream/dp/B00BQKQ1IS/ref=sr_1_1?keywords=Celebre+Pro+HD+Cream+Foundation&amp;qid=1695565412&amp;sr=8-1", "https://www.amazon.com/Mehron-Makeup-Celebre-Pro-HD-Cream/dp/B00BQKQ1IS/ref=sr_1_1?keywords=Celebre+Pro+HD+Cream+Foundation&amp;qid=1695565412&amp;sr=8-1")</f>
        <v/>
      </c>
      <c r="F2516" t="inlineStr">
        <is>
          <t>B00BQKQ1IS</t>
        </is>
      </c>
      <c r="G2516">
        <f>_xlfn.IMAGE("https://camerareadycosmetics.com/cdn/shop/products/celebre-color-l_50x.jpg?v=1689628325")</f>
        <v/>
      </c>
      <c r="H2516">
        <f>_xlfn.IMAGE("https://m.media-amazon.com/images/I/61Iut209fLL._AC_UL320_.jpg")</f>
        <v/>
      </c>
      <c r="K2516" t="inlineStr">
        <is>
          <t>11.95</t>
        </is>
      </c>
      <c r="L2516" t="n">
        <v>14.95</v>
      </c>
      <c r="M2516" s="1" t="inlineStr">
        <is>
          <t>25.10%</t>
        </is>
      </c>
      <c r="N2516" t="n">
        <v>4.2</v>
      </c>
      <c r="O2516" t="n">
        <v>1184</v>
      </c>
      <c r="Q2516" t="inlineStr">
        <is>
          <t>InStock</t>
        </is>
      </c>
      <c r="R2516" t="inlineStr">
        <is>
          <t>undefined</t>
        </is>
      </c>
      <c r="S2516" t="inlineStr">
        <is>
          <t>7035105735</t>
        </is>
      </c>
    </row>
    <row r="2517" ht="75" customHeight="1">
      <c r="A2517" s="2">
        <f>HYPERLINK("https://camerareadycosmetics.com/products/mehron-celebre-pro-hd-loose-mineral-finishing-powder", "https://camerareadycosmetics.com/products/mehron-celebre-pro-hd-loose-mineral-finishing-powder")</f>
        <v/>
      </c>
      <c r="B2517" s="2">
        <f>HYPERLINK("https://camerareadycosmetics.com/products/mehron-celebre-pro-hd-loose-mineral-finishing-powder", "https://camerareadycosmetics.com/products/mehron-celebre-pro-hd-loose-mineral-finishing-powder")</f>
        <v/>
      </c>
      <c r="C2517" t="inlineStr">
        <is>
          <t>Celebre Pro HD Loose Mineral Finishing Powder</t>
        </is>
      </c>
      <c r="D2517" t="inlineStr">
        <is>
          <t>NYX PROFESSIONAL MAKEUP HD Studio Finishing Powder, Loose Setting Powder - Translucent Finish</t>
        </is>
      </c>
      <c r="E2517" s="2">
        <f>HYPERLINK("https://www.amazon.com/NYX-Professional-Makeup-Finishing-Translucent/dp/B009GLQG6Q/ref=sr_1_2?keywords=Celebre+Pro+HD+Loose+Mineral+Finishing+Powder&amp;qid=1695565511&amp;sr=8-2", "https://www.amazon.com/NYX-Professional-Makeup-Finishing-Translucent/dp/B009GLQG6Q/ref=sr_1_2?keywords=Celebre+Pro+HD+Loose+Mineral+Finishing+Powder&amp;qid=1695565511&amp;sr=8-2")</f>
        <v/>
      </c>
      <c r="F2517" t="inlineStr">
        <is>
          <t>B009GLQG6Q</t>
        </is>
      </c>
      <c r="G2517">
        <f>_xlfn.IMAGE("https://camerareadycosmetics.com/cdn/shop/products/Mehron_Celebre_Pro_Loose_Mineral_Finishing_Powder__37262.1408040566.600.600_50x.jpeg?v=1689632018")</f>
        <v/>
      </c>
      <c r="H2517">
        <f>_xlfn.IMAGE("https://m.media-amazon.com/images/I/5196xGH0ZvL._AC_UL320_.jpg")</f>
        <v/>
      </c>
      <c r="K2517" t="inlineStr">
        <is>
          <t>11.95</t>
        </is>
      </c>
      <c r="L2517" t="n">
        <v>9.16</v>
      </c>
      <c r="M2517" s="1" t="inlineStr">
        <is>
          <t>-23.35%</t>
        </is>
      </c>
      <c r="N2517" t="n">
        <v>4.3</v>
      </c>
      <c r="O2517" t="n">
        <v>14881</v>
      </c>
      <c r="Q2517" t="inlineStr">
        <is>
          <t>InStock</t>
        </is>
      </c>
      <c r="R2517" t="inlineStr">
        <is>
          <t>undefined</t>
        </is>
      </c>
      <c r="S2517" t="inlineStr">
        <is>
          <t>7035876551</t>
        </is>
      </c>
    </row>
    <row r="2518" ht="75" customHeight="1">
      <c r="A2518" s="2">
        <f>HYPERLINK("https://camerareadycosmetics.com/products/mehron-celebre-pro-hd-pressed-powder", "https://camerareadycosmetics.com/products/mehron-celebre-pro-hd-pressed-powder")</f>
        <v/>
      </c>
      <c r="B2518" s="2">
        <f>HYPERLINK("https://camerareadycosmetics.com/products/mehron-celebre-pro-hd-pressed-powder", "https://camerareadycosmetics.com/products/mehron-celebre-pro-hd-pressed-powder")</f>
        <v/>
      </c>
      <c r="C2518" t="inlineStr">
        <is>
          <t>Celebre Pro-HD Pressed Powder</t>
        </is>
      </c>
      <c r="D2518" t="inlineStr">
        <is>
          <t>Mehron Makeup Foundation - Celebre Pro-HD Pressed Powder, Contour &amp; Highlight Palette - 12 Shades</t>
        </is>
      </c>
      <c r="E2518" s="2" t="n"/>
      <c r="F2518" t="inlineStr">
        <is>
          <t>B01KYA62FW</t>
        </is>
      </c>
      <c r="G2518">
        <f>_xlfn.IMAGE("https://camerareadycosmetics.com/cdn/shop/products/201_Beauty_Color_Chart__10609.1610566156_50x.jpg?v=1689633542")</f>
        <v/>
      </c>
      <c r="H2518">
        <f>_xlfn.IMAGE("https://m.media-amazon.com/images/I/61DE0U+dMDL._AC_UL320_.jpg")</f>
        <v/>
      </c>
      <c r="K2518" t="inlineStr">
        <is>
          <t>9.1</t>
        </is>
      </c>
      <c r="L2518" t="n">
        <v>59.95</v>
      </c>
      <c r="M2518" s="1" t="inlineStr">
        <is>
          <t>558.79%</t>
        </is>
      </c>
      <c r="N2518" t="n">
        <v>4.2</v>
      </c>
      <c r="O2518" t="n">
        <v>29</v>
      </c>
      <c r="Q2518" t="inlineStr">
        <is>
          <t>OutOfStock</t>
        </is>
      </c>
      <c r="R2518" t="inlineStr">
        <is>
          <t>12.95</t>
        </is>
      </c>
      <c r="S2518" t="inlineStr">
        <is>
          <t>7036404743</t>
        </is>
      </c>
    </row>
    <row r="2519" ht="75" customHeight="1">
      <c r="A2519" s="2">
        <f>HYPERLINK("https://camerareadycosmetics.com/products/mehron-celebre-pro-hd-pressed-powder", "https://camerareadycosmetics.com/products/mehron-celebre-pro-hd-pressed-powder")</f>
        <v/>
      </c>
      <c r="B2519" s="2">
        <f>HYPERLINK("https://camerareadycosmetics.com/products/mehron-celebre-pro-hd-pressed-powder", "https://camerareadycosmetics.com/products/mehron-celebre-pro-hd-pressed-powder")</f>
        <v/>
      </c>
      <c r="C2519" t="inlineStr">
        <is>
          <t>Celebre Pro-HD Pressed Powder</t>
        </is>
      </c>
      <c r="D2519" t="inlineStr">
        <is>
          <t>Mehron Makeup Foundation - Celebre Pro-HD Pressed Powder, Contour &amp; Highlight Palette - 12 Shades</t>
        </is>
      </c>
      <c r="E2519" s="2">
        <f>HYPERLINK("https://www.amazon.com/Mehron-Foundation-Celebre-Pressed-Highlight/dp/B01KYA62FW/ref=sr_1_2?keywords=Celebre+Pro-HD+Pressed+Powder&amp;qid=1695565525&amp;sr=8-2", "https://www.amazon.com/Mehron-Foundation-Celebre-Pressed-Highlight/dp/B01KYA62FW/ref=sr_1_2?keywords=Celebre+Pro-HD+Pressed+Powder&amp;qid=1695565525&amp;sr=8-2")</f>
        <v/>
      </c>
      <c r="F2519" t="inlineStr">
        <is>
          <t>B01KYA62FW</t>
        </is>
      </c>
      <c r="G2519">
        <f>_xlfn.IMAGE("https://camerareadycosmetics.com/cdn/shop/products/201_Beauty_Color_Chart__10609.1610566156_50x.jpg?v=1689633542")</f>
        <v/>
      </c>
      <c r="H2519">
        <f>_xlfn.IMAGE("https://m.media-amazon.com/images/I/61DE0U+dMDL._AC_UL320_.jpg")</f>
        <v/>
      </c>
      <c r="K2519" t="inlineStr">
        <is>
          <t>9.1</t>
        </is>
      </c>
      <c r="L2519" t="n">
        <v>59.95</v>
      </c>
      <c r="M2519" s="1" t="inlineStr">
        <is>
          <t>558.79%</t>
        </is>
      </c>
      <c r="N2519" t="n">
        <v>4.2</v>
      </c>
      <c r="O2519" t="n">
        <v>29</v>
      </c>
      <c r="Q2519" t="inlineStr">
        <is>
          <t>OutOfStock</t>
        </is>
      </c>
      <c r="R2519" t="inlineStr">
        <is>
          <t>12.95</t>
        </is>
      </c>
      <c r="S2519" t="inlineStr">
        <is>
          <t>7036404743</t>
        </is>
      </c>
    </row>
    <row r="2520" ht="75" customHeight="1">
      <c r="A2520" s="2">
        <f>HYPERLINK("https://camerareadycosmetics.com/products/mehron-celebre-pro-hd-pressed-powder", "https://camerareadycosmetics.com/products/mehron-celebre-pro-hd-pressed-powder")</f>
        <v/>
      </c>
      <c r="B2520" s="2">
        <f>HYPERLINK("https://camerareadycosmetics.com/products/mehron-celebre-pro-hd-pressed-powder", "https://camerareadycosmetics.com/products/mehron-celebre-pro-hd-pressed-powder")</f>
        <v/>
      </c>
      <c r="C2520" t="inlineStr">
        <is>
          <t>Celebre Pro-HD Pressed Powder</t>
        </is>
      </c>
      <c r="D2520" t="inlineStr">
        <is>
          <t>Mehron Makeup Celebre Pro-HD Pressed Powder Face &amp; Body Makeup (.35 oz) (MEDIUM DARK 2)</t>
        </is>
      </c>
      <c r="E2520" s="2">
        <f>HYPERLINK("https://www.amazon.com/Mehron-Makeup-Celebr%C3%A9-Pressed-Foundation/dp/B00A9XVNGI/ref=sr_1_3?keywords=Celebre+Pro-HD+Pressed+Powder&amp;qid=1695565525&amp;sr=8-3", "https://www.amazon.com/Mehron-Makeup-Celebr%C3%A9-Pressed-Foundation/dp/B00A9XVNGI/ref=sr_1_3?keywords=Celebre+Pro-HD+Pressed+Powder&amp;qid=1695565525&amp;sr=8-3")</f>
        <v/>
      </c>
      <c r="F2520" t="inlineStr">
        <is>
          <t>B00A9XVNGI</t>
        </is>
      </c>
      <c r="G2520">
        <f>_xlfn.IMAGE("https://camerareadycosmetics.com/cdn/shop/products/201_Beauty_Color_Chart__10609.1610566156_50x.jpg?v=1689633542")</f>
        <v/>
      </c>
      <c r="H2520">
        <f>_xlfn.IMAGE("https://m.media-amazon.com/images/I/71W--wKeGXL._AC_UL320_.jpg")</f>
        <v/>
      </c>
      <c r="K2520" t="inlineStr">
        <is>
          <t>9.1</t>
        </is>
      </c>
      <c r="L2520" t="n">
        <v>15.95</v>
      </c>
      <c r="M2520" s="1" t="inlineStr">
        <is>
          <t>75.27%</t>
        </is>
      </c>
      <c r="N2520" t="n">
        <v>4</v>
      </c>
      <c r="O2520" t="n">
        <v>71</v>
      </c>
      <c r="Q2520" t="inlineStr">
        <is>
          <t>OutOfStock</t>
        </is>
      </c>
      <c r="R2520" t="inlineStr">
        <is>
          <t>12.95</t>
        </is>
      </c>
      <c r="S2520" t="inlineStr">
        <is>
          <t>7036404743</t>
        </is>
      </c>
    </row>
    <row r="2521" ht="75" customHeight="1">
      <c r="A2521" s="2">
        <f>HYPERLINK("https://camerareadycosmetics.com/products/mehron-cheek-cream", "https://camerareadycosmetics.com/products/mehron-cheek-cream")</f>
        <v/>
      </c>
      <c r="B2521" s="2">
        <f>HYPERLINK("https://camerareadycosmetics.com/products/mehron-cheek-cream", "https://camerareadycosmetics.com/products/mehron-cheek-cream")</f>
        <v/>
      </c>
      <c r="C2521" t="inlineStr">
        <is>
          <t>CHEEK Cream</t>
        </is>
      </c>
      <c r="D2521" t="inlineStr">
        <is>
          <t>stila Convertible Color Dual Lip and Cheek Cream</t>
        </is>
      </c>
      <c r="E2521" s="2">
        <f>HYPERLINK("https://www.amazon.com/stila-Convertible-Color-Cheek-Lillium/dp/B00021B402/ref=sr_1_10?keywords=CHEEK+Cream&amp;qid=1695565479&amp;sr=8-10", "https://www.amazon.com/stila-Convertible-Color-Cheek-Lillium/dp/B00021B402/ref=sr_1_10?keywords=CHEEK+Cream&amp;qid=1695565479&amp;sr=8-10")</f>
        <v/>
      </c>
      <c r="F2521" t="inlineStr">
        <is>
          <t>B00021B402</t>
        </is>
      </c>
      <c r="G2521">
        <f>_xlfn.IMAGE("https://camerareadycosmetics.com/cdn/shop/products/bronze-Mehron-CHEEK-Cream_50x.jpg?v=1689637550")</f>
        <v/>
      </c>
      <c r="H2521">
        <f>_xlfn.IMAGE("https://m.media-amazon.com/images/I/51fIhqXYPaL._AC_UL320_.jpg")</f>
        <v/>
      </c>
      <c r="K2521" t="inlineStr">
        <is>
          <t>7.95</t>
        </is>
      </c>
      <c r="L2521" t="n">
        <v>21.25</v>
      </c>
      <c r="M2521" s="1" t="inlineStr">
        <is>
          <t>167.30%</t>
        </is>
      </c>
      <c r="N2521" t="n">
        <v>4.6</v>
      </c>
      <c r="O2521" t="n">
        <v>1524</v>
      </c>
      <c r="Q2521" t="inlineStr">
        <is>
          <t>InStock</t>
        </is>
      </c>
      <c r="R2521" t="inlineStr">
        <is>
          <t>undefined</t>
        </is>
      </c>
      <c r="S2521" t="inlineStr">
        <is>
          <t>7038366599</t>
        </is>
      </c>
    </row>
    <row r="2522" ht="75" customHeight="1">
      <c r="A2522" s="2">
        <f>HYPERLINK("https://camerareadycosmetics.com/products/mehron-cheek-cream", "https://camerareadycosmetics.com/products/mehron-cheek-cream")</f>
        <v/>
      </c>
      <c r="B2522" s="2">
        <f>HYPERLINK("https://camerareadycosmetics.com/products/mehron-cheek-cream", "https://camerareadycosmetics.com/products/mehron-cheek-cream")</f>
        <v/>
      </c>
      <c r="C2522" t="inlineStr">
        <is>
          <t>CHEEK Cream</t>
        </is>
      </c>
      <c r="D2522" t="inlineStr">
        <is>
          <t>Multifunctional Lip &amp; Cheek Makeup Sticks for Mature Skin - Revitalizing Beauty, Age-Defying Charm - Cream Blush Stick for Radiant Cheeks &amp; Luscious Lips</t>
        </is>
      </c>
      <c r="E2522" s="2">
        <f>HYPERLINK("https://www.amazon.com/VELAMO-ADVANCED-Multifunctional-Makeup-Sticks/dp/B0C7LX8FSD/ref=sr_1_7?keywords=CHEEK+Cream&amp;qid=1695565479&amp;sr=8-7", "https://www.amazon.com/VELAMO-ADVANCED-Multifunctional-Makeup-Sticks/dp/B0C7LX8FSD/ref=sr_1_7?keywords=CHEEK+Cream&amp;qid=1695565479&amp;sr=8-7")</f>
        <v/>
      </c>
      <c r="F2522" t="inlineStr">
        <is>
          <t>B0C7LX8FSD</t>
        </is>
      </c>
      <c r="G2522">
        <f>_xlfn.IMAGE("https://camerareadycosmetics.com/cdn/shop/products/bronze-Mehron-CHEEK-Cream_50x.jpg?v=1689637550")</f>
        <v/>
      </c>
      <c r="H2522">
        <f>_xlfn.IMAGE("https://m.media-amazon.com/images/I/61A2NEtOkAL._AC_UL320_.jpg")</f>
        <v/>
      </c>
      <c r="K2522" t="inlineStr">
        <is>
          <t>7.95</t>
        </is>
      </c>
      <c r="L2522" t="n">
        <v>18.99</v>
      </c>
      <c r="M2522" s="1" t="inlineStr">
        <is>
          <t>138.87%</t>
        </is>
      </c>
      <c r="N2522" t="n">
        <v>4.9</v>
      </c>
      <c r="O2522" t="n">
        <v>71</v>
      </c>
      <c r="Q2522" t="inlineStr">
        <is>
          <t>InStock</t>
        </is>
      </c>
      <c r="R2522" t="inlineStr">
        <is>
          <t>undefined</t>
        </is>
      </c>
      <c r="S2522" t="inlineStr">
        <is>
          <t>7038366599</t>
        </is>
      </c>
    </row>
    <row r="2523" ht="75" customHeight="1">
      <c r="A2523" s="2">
        <f>HYPERLINK("https://camerareadycosmetics.com/products/mehron-cheek-cream", "https://camerareadycosmetics.com/products/mehron-cheek-cream")</f>
        <v/>
      </c>
      <c r="B2523" s="2">
        <f>HYPERLINK("https://camerareadycosmetics.com/products/mehron-cheek-cream", "https://camerareadycosmetics.com/products/mehron-cheek-cream")</f>
        <v/>
      </c>
      <c r="C2523" t="inlineStr">
        <is>
          <t>CHEEK Cream</t>
        </is>
      </c>
      <c r="D2523" t="inlineStr">
        <is>
          <t>Palladio I'm Blushing 2-in-1 Cheek and Lip Tint, Buildable Lightweight Cream Blush, Sheer Multi Stick Hydrating formula, All day wear, Easy Application, Shimmery, Blends Perfectly onto Skin, Darling</t>
        </is>
      </c>
      <c r="E2523" s="2">
        <f>HYPERLINK("https://www.amazon.com/Palladio-Blushing-Cheek-Tint-Darling/dp/B01LHXZBZW/ref=sr_1_9?keywords=CHEEK+Cream&amp;qid=1695565479&amp;sr=8-9", "https://www.amazon.com/Palladio-Blushing-Cheek-Tint-Darling/dp/B01LHXZBZW/ref=sr_1_9?keywords=CHEEK+Cream&amp;qid=1695565479&amp;sr=8-9")</f>
        <v/>
      </c>
      <c r="F2523" t="inlineStr">
        <is>
          <t>B01LHXZBZW</t>
        </is>
      </c>
      <c r="G2523">
        <f>_xlfn.IMAGE("https://camerareadycosmetics.com/cdn/shop/products/bronze-Mehron-CHEEK-Cream_50x.jpg?v=1689637550")</f>
        <v/>
      </c>
      <c r="H2523">
        <f>_xlfn.IMAGE("https://m.media-amazon.com/images/I/61aoGwkGYRL._AC_UL320_.jpg")</f>
        <v/>
      </c>
      <c r="K2523" t="inlineStr">
        <is>
          <t>7.95</t>
        </is>
      </c>
      <c r="L2523" t="n">
        <v>9.99</v>
      </c>
      <c r="M2523" s="1" t="inlineStr">
        <is>
          <t>25.66%</t>
        </is>
      </c>
      <c r="N2523" t="n">
        <v>4.2</v>
      </c>
      <c r="O2523" t="n">
        <v>12800</v>
      </c>
      <c r="Q2523" t="inlineStr">
        <is>
          <t>InStock</t>
        </is>
      </c>
      <c r="R2523" t="inlineStr">
        <is>
          <t>undefined</t>
        </is>
      </c>
      <c r="S2523" t="inlineStr">
        <is>
          <t>7038366599</t>
        </is>
      </c>
    </row>
    <row r="2524" ht="75" customHeight="1">
      <c r="A2524" s="2">
        <f>HYPERLINK("https://camerareadycosmetics.com/products/mehron-cheek-cream", "https://camerareadycosmetics.com/products/mehron-cheek-cream")</f>
        <v/>
      </c>
      <c r="B2524" s="2">
        <f>HYPERLINK("https://camerareadycosmetics.com/products/mehron-cheek-cream", "https://camerareadycosmetics.com/products/mehron-cheek-cream")</f>
        <v/>
      </c>
      <c r="C2524" t="inlineStr">
        <is>
          <t>CHEEK Cream</t>
        </is>
      </c>
      <c r="D2524" t="inlineStr">
        <is>
          <t>Maybelline New York Cheek Heat Gel-Cream Blush Makeup, Lightweight, Breathable Feel, Sheer Flush Of Color, Natural-Looking, Dewy Finish, Oil-Free, Nude Burn, 1 Count</t>
        </is>
      </c>
      <c r="E2524" s="2">
        <f>HYPERLINK("https://www.amazon.com/Maybelline-Gel-Cream-lightweight-Breathable-Natural-Looking/dp/B07WLQ39ZF/ref=sr_1_2?keywords=CHEEK+Cream&amp;qid=1695565479&amp;sr=8-2", "https://www.amazon.com/Maybelline-Gel-Cream-lightweight-Breathable-Natural-Looking/dp/B07WLQ39ZF/ref=sr_1_2?keywords=CHEEK+Cream&amp;qid=1695565479&amp;sr=8-2")</f>
        <v/>
      </c>
      <c r="F2524" t="inlineStr">
        <is>
          <t>B07WLQ39ZF</t>
        </is>
      </c>
      <c r="G2524">
        <f>_xlfn.IMAGE("https://camerareadycosmetics.com/cdn/shop/products/bronze-Mehron-CHEEK-Cream_50x.jpg?v=1689637550")</f>
        <v/>
      </c>
      <c r="H2524">
        <f>_xlfn.IMAGE("https://m.media-amazon.com/images/I/614DZWALHnS._AC_UL320_.jpg")</f>
        <v/>
      </c>
      <c r="K2524" t="inlineStr">
        <is>
          <t>7.95</t>
        </is>
      </c>
      <c r="L2524" t="n">
        <v>5.98</v>
      </c>
      <c r="M2524" s="1" t="inlineStr">
        <is>
          <t>-24.78%</t>
        </is>
      </c>
      <c r="N2524" t="n">
        <v>4</v>
      </c>
      <c r="O2524" t="n">
        <v>14558</v>
      </c>
      <c r="Q2524" t="inlineStr">
        <is>
          <t>InStock</t>
        </is>
      </c>
      <c r="R2524" t="inlineStr">
        <is>
          <t>undefined</t>
        </is>
      </c>
      <c r="S2524" t="inlineStr">
        <is>
          <t>7038366599</t>
        </is>
      </c>
    </row>
    <row r="2525" ht="75" customHeight="1">
      <c r="A2525" s="2">
        <f>HYPERLINK("https://camerareadycosmetics.com/products/mehron-cheek-cream", "https://camerareadycosmetics.com/products/mehron-cheek-cream")</f>
        <v/>
      </c>
      <c r="B2525" s="2">
        <f>HYPERLINK("https://camerareadycosmetics.com/products/mehron-cheek-cream", "https://camerareadycosmetics.com/products/mehron-cheek-cream")</f>
        <v/>
      </c>
      <c r="C2525" t="inlineStr">
        <is>
          <t>CHEEK Cream</t>
        </is>
      </c>
      <c r="D2525" t="inlineStr">
        <is>
          <t>FOCALLURE Cream Blush Makeup,Buildable Blush Stick for Cheeks,Matte and Dewy Finish,Long Wearing,Easy Application,Lightweight Multi Stick,BURNING CLAY</t>
        </is>
      </c>
      <c r="E2525" s="2">
        <f>HYPERLINK("https://www.amazon.com/FOCALLURE-Buildable-Wearing-Application-Lightweight/dp/B0BD72JQ74/ref=sr_1_5?keywords=CHEEK+Cream&amp;qid=1695565479&amp;sr=8-5", "https://www.amazon.com/FOCALLURE-Buildable-Wearing-Application-Lightweight/dp/B0BD72JQ74/ref=sr_1_5?keywords=CHEEK+Cream&amp;qid=1695565479&amp;sr=8-5")</f>
        <v/>
      </c>
      <c r="F2525" t="inlineStr">
        <is>
          <t>B0BD72JQ74</t>
        </is>
      </c>
      <c r="G2525">
        <f>_xlfn.IMAGE("https://camerareadycosmetics.com/cdn/shop/products/bronze-Mehron-CHEEK-Cream_50x.jpg?v=1689637550")</f>
        <v/>
      </c>
      <c r="H2525">
        <f>_xlfn.IMAGE("https://m.media-amazon.com/images/I/71HzxwFInpL._AC_UL320_.jpg")</f>
        <v/>
      </c>
      <c r="K2525" t="inlineStr">
        <is>
          <t>7.95</t>
        </is>
      </c>
      <c r="L2525" t="n">
        <v>5.95</v>
      </c>
      <c r="M2525" s="1" t="inlineStr">
        <is>
          <t>-25.16%</t>
        </is>
      </c>
      <c r="N2525" t="n">
        <v>4.3</v>
      </c>
      <c r="O2525" t="n">
        <v>1193</v>
      </c>
      <c r="Q2525" t="inlineStr">
        <is>
          <t>InStock</t>
        </is>
      </c>
      <c r="R2525" t="inlineStr">
        <is>
          <t>undefined</t>
        </is>
      </c>
      <c r="S2525" t="inlineStr">
        <is>
          <t>7038366599</t>
        </is>
      </c>
    </row>
    <row r="2526" ht="75" customHeight="1">
      <c r="A2526" s="2">
        <f>HYPERLINK("https://camerareadycosmetics.com/products/mehron-cheek-cream", "https://camerareadycosmetics.com/products/mehron-cheek-cream")</f>
        <v/>
      </c>
      <c r="B2526" s="2">
        <f>HYPERLINK("https://camerareadycosmetics.com/products/mehron-cheek-cream", "https://camerareadycosmetics.com/products/mehron-cheek-cream")</f>
        <v/>
      </c>
      <c r="C2526" t="inlineStr">
        <is>
          <t>CHEEK Cream</t>
        </is>
      </c>
      <c r="D2526" t="inlineStr">
        <is>
          <t>e.l.f. Monochromatic Multi Stick, Luxuriously Creamy &amp; Blendable Color, For Eyes, Lips &amp; Cheeks, Dazzling Peony, 0.17 oz (5 g)</t>
        </is>
      </c>
      <c r="E2526" s="2">
        <f>HYPERLINK("https://www.amazon.com/l-f-Monochromatic-Multi-Cheeks-Dazzling/dp/B088W7L534/ref=sr_1_1?keywords=CHEEK+Cream&amp;qid=1695565479&amp;sr=8-1", "https://www.amazon.com/l-f-Monochromatic-Multi-Cheeks-Dazzling/dp/B088W7L534/ref=sr_1_1?keywords=CHEEK+Cream&amp;qid=1695565479&amp;sr=8-1")</f>
        <v/>
      </c>
      <c r="F2526" t="inlineStr">
        <is>
          <t>B088W7L534</t>
        </is>
      </c>
      <c r="G2526">
        <f>_xlfn.IMAGE("https://camerareadycosmetics.com/cdn/shop/products/bronze-Mehron-CHEEK-Cream_50x.jpg?v=1689637550")</f>
        <v/>
      </c>
      <c r="H2526">
        <f>_xlfn.IMAGE("https://m.media-amazon.com/images/I/61KedtnoewL._AC_UL320_.jpg")</f>
        <v/>
      </c>
      <c r="K2526" t="inlineStr">
        <is>
          <t>7.95</t>
        </is>
      </c>
      <c r="L2526" t="n">
        <v>5</v>
      </c>
      <c r="M2526" s="1" t="inlineStr">
        <is>
          <t>-37.11%</t>
        </is>
      </c>
      <c r="N2526" t="n">
        <v>4.2</v>
      </c>
      <c r="O2526" t="n">
        <v>45726</v>
      </c>
      <c r="Q2526" t="inlineStr">
        <is>
          <t>InStock</t>
        </is>
      </c>
      <c r="R2526" t="inlineStr">
        <is>
          <t>undefined</t>
        </is>
      </c>
      <c r="S2526" t="inlineStr">
        <is>
          <t>7038366599</t>
        </is>
      </c>
    </row>
    <row r="2527" ht="75" customHeight="1">
      <c r="A2527" s="2">
        <f>HYPERLINK("https://camerareadycosmetics.com/products/mehron-cheek-cream", "https://camerareadycosmetics.com/products/mehron-cheek-cream")</f>
        <v/>
      </c>
      <c r="B2527" s="2">
        <f>HYPERLINK("https://camerareadycosmetics.com/products/mehron-cheek-cream", "https://camerareadycosmetics.com/products/mehron-cheek-cream")</f>
        <v/>
      </c>
      <c r="C2527" t="inlineStr">
        <is>
          <t>CHEEK Cream</t>
        </is>
      </c>
      <c r="D2527" t="inlineStr">
        <is>
          <t>Wet n Wild MegaGlo Blush Stick Conceal &amp; Contour, Peach Bums| Shimmer | Blush Makeup Multistick | For Cheeks | Cream</t>
        </is>
      </c>
      <c r="E2527" s="2">
        <f>HYPERLINK("https://www.amazon.com/MegaGlo-Conceal-Contour-Shimmer-Multistick/dp/B01N5MWNJH/ref=sr_1_4?keywords=CHEEK+Cream&amp;qid=1695565479&amp;sr=8-4", "https://www.amazon.com/MegaGlo-Conceal-Contour-Shimmer-Multistick/dp/B01N5MWNJH/ref=sr_1_4?keywords=CHEEK+Cream&amp;qid=1695565479&amp;sr=8-4")</f>
        <v/>
      </c>
      <c r="F2527" t="inlineStr">
        <is>
          <t>B01N5MWNJH</t>
        </is>
      </c>
      <c r="G2527">
        <f>_xlfn.IMAGE("https://camerareadycosmetics.com/cdn/shop/products/bronze-Mehron-CHEEK-Cream_50x.jpg?v=1689637550")</f>
        <v/>
      </c>
      <c r="H2527">
        <f>_xlfn.IMAGE("https://m.media-amazon.com/images/I/71ABDW01k1L._AC_UL320_.jpg")</f>
        <v/>
      </c>
      <c r="K2527" t="inlineStr">
        <is>
          <t>7.95</t>
        </is>
      </c>
      <c r="L2527" t="n">
        <v>3.14</v>
      </c>
      <c r="M2527" s="1" t="inlineStr">
        <is>
          <t>-60.50%</t>
        </is>
      </c>
      <c r="N2527" t="n">
        <v>4.3</v>
      </c>
      <c r="O2527" t="n">
        <v>22697</v>
      </c>
      <c r="Q2527" t="inlineStr">
        <is>
          <t>InStock</t>
        </is>
      </c>
      <c r="R2527" t="inlineStr">
        <is>
          <t>undefined</t>
        </is>
      </c>
      <c r="S2527" t="inlineStr">
        <is>
          <t>7038366599</t>
        </is>
      </c>
    </row>
    <row r="2528" ht="75" customHeight="1">
      <c r="A2528" s="2">
        <f>HYPERLINK("https://camerareadycosmetics.com/products/mehron-cheek-cream", "https://camerareadycosmetics.com/products/mehron-cheek-cream")</f>
        <v/>
      </c>
      <c r="B2528" s="2">
        <f>HYPERLINK("https://camerareadycosmetics.com/products/mehron-cheek-cream", "https://camerareadycosmetics.com/products/mehron-cheek-cream")</f>
        <v/>
      </c>
      <c r="C2528" t="inlineStr">
        <is>
          <t>CHEEK Cream</t>
        </is>
      </c>
      <c r="D2528" t="inlineStr">
        <is>
          <t>Wet n Wild MegaGlo Blush Stick Conceal &amp; Contour, Peach Bums| Shimmer | Blush Makeup Multistick | For Cheeks | Cream</t>
        </is>
      </c>
      <c r="E2528" s="2">
        <f>HYPERLINK("https://www.amazon.com/MegaGlo-Conceal-Contour-Shimmer-Multistick/dp/B01N5MWNJH/ref=sr_1_4?keywords=CHEEK+Cream&amp;qid=1695565479&amp;sr=8-4", "https://www.amazon.com/MegaGlo-Conceal-Contour-Shimmer-Multistick/dp/B01N5MWNJH/ref=sr_1_4?keywords=CHEEK+Cream&amp;qid=1695565479&amp;sr=8-4")</f>
        <v/>
      </c>
      <c r="F2528" t="inlineStr">
        <is>
          <t>B01N5MWNJH</t>
        </is>
      </c>
      <c r="G2528">
        <f>_xlfn.IMAGE("https://camerareadycosmetics.com/cdn/shop/products/bronze-Mehron-CHEEK-Cream_50x.jpg?v=1689637550")</f>
        <v/>
      </c>
      <c r="H2528">
        <f>_xlfn.IMAGE("https://m.media-amazon.com/images/I/71ABDW01k1L._AC_UL320_.jpg")</f>
        <v/>
      </c>
      <c r="K2528" t="inlineStr">
        <is>
          <t>7.95</t>
        </is>
      </c>
      <c r="L2528" t="n">
        <v>3.14</v>
      </c>
      <c r="M2528" s="1" t="inlineStr">
        <is>
          <t>-60.50%</t>
        </is>
      </c>
      <c r="N2528" t="n">
        <v>4.3</v>
      </c>
      <c r="O2528" t="n">
        <v>22697</v>
      </c>
      <c r="Q2528" t="inlineStr">
        <is>
          <t>InStock</t>
        </is>
      </c>
      <c r="R2528" t="inlineStr">
        <is>
          <t>undefined</t>
        </is>
      </c>
      <c r="S2528" t="inlineStr">
        <is>
          <t>7038366599</t>
        </is>
      </c>
    </row>
    <row r="2529" ht="75" customHeight="1">
      <c r="A2529" s="2">
        <f>HYPERLINK("https://camerareadycosmetics.com/products/mehron-cheek-cream-palette", "https://camerareadycosmetics.com/products/mehron-cheek-cream-palette")</f>
        <v/>
      </c>
      <c r="B2529" s="2">
        <f>HYPERLINK("https://camerareadycosmetics.com/products/mehron-cheek-cream-palette", "https://camerareadycosmetics.com/products/mehron-cheek-cream-palette")</f>
        <v/>
      </c>
      <c r="C2529" t="inlineStr">
        <is>
          <t>Cheek Cream Palette</t>
        </is>
      </c>
      <c r="D2529" t="inlineStr">
        <is>
          <t>RCMA 5 Part "Series Favorites" Palette Cream Blush #1, Highly Pigmented &amp; Blendable Shades of Pink, Cheek Blush for Professional Makeup Artists</t>
        </is>
      </c>
      <c r="E2529" s="2">
        <f>HYPERLINK("https://www.amazon.com/RCMA-Favorites-Palette-Cream-Blush/dp/B09DGNDK8M/ref=sr_1_5?keywords=Cheek+Cream+Palette&amp;qid=1695565740&amp;sr=8-5", "https://www.amazon.com/RCMA-Favorites-Palette-Cream-Blush/dp/B09DGNDK8M/ref=sr_1_5?keywords=Cheek+Cream+Palette&amp;qid=1695565740&amp;sr=8-5")</f>
        <v/>
      </c>
      <c r="F2529" t="inlineStr">
        <is>
          <t>B09DGNDK8M</t>
        </is>
      </c>
      <c r="G2529">
        <f>_xlfn.IMAGE("https://camerareadycosmetics.com/cdn/shop/files/Mehron-cheekcreampalette_50x.jpg?v=1687197432")</f>
        <v/>
      </c>
      <c r="H2529">
        <f>_xlfn.IMAGE("https://m.media-amazon.com/images/I/71+9D92jcUL._AC_UL320_.jpg")</f>
        <v/>
      </c>
      <c r="K2529" t="inlineStr">
        <is>
          <t>39.95</t>
        </is>
      </c>
      <c r="L2529" t="n">
        <v>34.99</v>
      </c>
      <c r="M2529" s="1" t="inlineStr">
        <is>
          <t>-12.42%</t>
        </is>
      </c>
      <c r="N2529" t="n">
        <v>4.6</v>
      </c>
      <c r="O2529" t="n">
        <v>25</v>
      </c>
      <c r="Q2529" t="inlineStr">
        <is>
          <t>InStock</t>
        </is>
      </c>
      <c r="R2529" t="inlineStr">
        <is>
          <t>undefined</t>
        </is>
      </c>
      <c r="S2529" t="inlineStr">
        <is>
          <t>7041040135</t>
        </is>
      </c>
    </row>
    <row r="2530" ht="75" customHeight="1">
      <c r="A2530" s="2">
        <f>HYPERLINK("https://camerareadycosmetics.com/products/mehron-cheek-cream-palette", "https://camerareadycosmetics.com/products/mehron-cheek-cream-palette")</f>
        <v/>
      </c>
      <c r="B2530" s="2">
        <f>HYPERLINK("https://camerareadycosmetics.com/products/mehron-cheek-cream-palette", "https://camerareadycosmetics.com/products/mehron-cheek-cream-palette")</f>
        <v/>
      </c>
      <c r="C2530" t="inlineStr">
        <is>
          <t>Cheek Cream Palette</t>
        </is>
      </c>
      <c r="D2530" t="inlineStr">
        <is>
          <t>DELISOUL 8 Colors Cream Blush Stick,Shimmer Highlighter Stick,Matte Contour Stick,Face Bronzer Illuminator Blusher Makeup Palette For Cheeks Lips Eyes,Long Lasting Foundation Makeup Set</t>
        </is>
      </c>
      <c r="E2530" s="2">
        <f>HYPERLINK("https://www.amazon.com/DELISOUL-Shimmer-Highlighter-Illuminator-Foundation/dp/B09PVGHNBZ/ref=sr_1_10?keywords=Cheek+Cream+Palette&amp;qid=1695565740&amp;sr=8-10", "https://www.amazon.com/DELISOUL-Shimmer-Highlighter-Illuminator-Foundation/dp/B09PVGHNBZ/ref=sr_1_10?keywords=Cheek+Cream+Palette&amp;qid=1695565740&amp;sr=8-10")</f>
        <v/>
      </c>
      <c r="F2530" t="inlineStr">
        <is>
          <t>B09PVGHNBZ</t>
        </is>
      </c>
      <c r="G2530">
        <f>_xlfn.IMAGE("https://camerareadycosmetics.com/cdn/shop/files/Mehron-cheekcreampalette_50x.jpg?v=1687197432")</f>
        <v/>
      </c>
      <c r="H2530">
        <f>_xlfn.IMAGE("https://m.media-amazon.com/images/I/81RARdxaTFL._AC_UL320_.jpg")</f>
        <v/>
      </c>
      <c r="K2530" t="inlineStr">
        <is>
          <t>39.95</t>
        </is>
      </c>
      <c r="L2530" t="n">
        <v>11.99</v>
      </c>
      <c r="M2530" s="1" t="inlineStr">
        <is>
          <t>-69.99%</t>
        </is>
      </c>
      <c r="N2530" t="n">
        <v>3.8</v>
      </c>
      <c r="O2530" t="n">
        <v>21</v>
      </c>
      <c r="Q2530" t="inlineStr">
        <is>
          <t>InStock</t>
        </is>
      </c>
      <c r="R2530" t="inlineStr">
        <is>
          <t>undefined</t>
        </is>
      </c>
      <c r="S2530" t="inlineStr">
        <is>
          <t>7041040135</t>
        </is>
      </c>
    </row>
    <row r="2531" ht="75" customHeight="1">
      <c r="A2531" s="2">
        <f>HYPERLINK("https://camerareadycosmetics.com/products/mehron-cheek-cream-palette", "https://camerareadycosmetics.com/products/mehron-cheek-cream-palette")</f>
        <v/>
      </c>
      <c r="B2531" s="2">
        <f>HYPERLINK("https://camerareadycosmetics.com/products/mehron-cheek-cream-palette", "https://camerareadycosmetics.com/products/mehron-cheek-cream-palette")</f>
        <v/>
      </c>
      <c r="C2531" t="inlineStr">
        <is>
          <t>Cheek Cream Palette</t>
        </is>
      </c>
      <c r="D2531" t="inlineStr">
        <is>
          <t>LSxia 12 Colors Cream [Blush] Makeup Palette for Cheeks - Multi-functional Blush Makeup Palette with Brush, Natural Matte Long Wearing, Waterproof Blendable Face Makeup Palette (#01)</t>
        </is>
      </c>
      <c r="E2531" s="2">
        <f>HYPERLINK("https://www.amazon.com/LSxia-Colors-Makeup-Palette-Cheeks/dp/B0CBVB8H6B/ref=sr_1_1?keywords=Cheek+Cream+Palette&amp;qid=1695565740&amp;sr=8-1", "https://www.amazon.com/LSxia-Colors-Makeup-Palette-Cheeks/dp/B0CBVB8H6B/ref=sr_1_1?keywords=Cheek+Cream+Palette&amp;qid=1695565740&amp;sr=8-1")</f>
        <v/>
      </c>
      <c r="F2531" t="inlineStr">
        <is>
          <t>B0CBVB8H6B</t>
        </is>
      </c>
      <c r="G2531">
        <f>_xlfn.IMAGE("https://camerareadycosmetics.com/cdn/shop/files/Mehron-cheekcreampalette_50x.jpg?v=1687197432")</f>
        <v/>
      </c>
      <c r="H2531">
        <f>_xlfn.IMAGE("https://m.media-amazon.com/images/I/61b0mGMTFfL._AC_UL320_.jpg")</f>
        <v/>
      </c>
      <c r="K2531" t="inlineStr">
        <is>
          <t>39.95</t>
        </is>
      </c>
      <c r="L2531" t="n">
        <v>8.99</v>
      </c>
      <c r="M2531" s="1" t="inlineStr">
        <is>
          <t>-77.50%</t>
        </is>
      </c>
      <c r="N2531" t="n">
        <v>4</v>
      </c>
      <c r="O2531" t="n">
        <v>2</v>
      </c>
      <c r="Q2531" t="inlineStr">
        <is>
          <t>InStock</t>
        </is>
      </c>
      <c r="R2531" t="inlineStr">
        <is>
          <t>undefined</t>
        </is>
      </c>
      <c r="S2531" t="inlineStr">
        <is>
          <t>7041040135</t>
        </is>
      </c>
    </row>
    <row r="2532" ht="75" customHeight="1">
      <c r="A2532" s="2">
        <f>HYPERLINK("https://camerareadycosmetics.com/products/mehron-cheek-cream-palette", "https://camerareadycosmetics.com/products/mehron-cheek-cream-palette")</f>
        <v/>
      </c>
      <c r="B2532" s="2">
        <f>HYPERLINK("https://camerareadycosmetics.com/products/mehron-cheek-cream-palette", "https://camerareadycosmetics.com/products/mehron-cheek-cream-palette")</f>
        <v/>
      </c>
      <c r="C2532" t="inlineStr">
        <is>
          <t>Cheek Cream Palette</t>
        </is>
      </c>
      <c r="D2532" t="inlineStr">
        <is>
          <t>Boobeen Powder Blush Matte Blush, Highly Pigmented Beauty Cream Blush Palette for Create A Natural Cheek Flushed Look, Rich Colors (C-06)</t>
        </is>
      </c>
      <c r="E2532" s="2">
        <f>HYPERLINK("https://www.amazon.com/Boobeen-Pigmented-Palette-Natural-Flushed/dp/B0CDGYJG7R/ref=sr_1_2?keywords=Cheek+Cream+Palette&amp;qid=1695565740&amp;sr=8-2", "https://www.amazon.com/Boobeen-Pigmented-Palette-Natural-Flushed/dp/B0CDGYJG7R/ref=sr_1_2?keywords=Cheek+Cream+Palette&amp;qid=1695565740&amp;sr=8-2")</f>
        <v/>
      </c>
      <c r="F2532" t="inlineStr">
        <is>
          <t>B0CDGYJG7R</t>
        </is>
      </c>
      <c r="G2532">
        <f>_xlfn.IMAGE("https://camerareadycosmetics.com/cdn/shop/files/Mehron-cheekcreampalette_50x.jpg?v=1687197432")</f>
        <v/>
      </c>
      <c r="H2532">
        <f>_xlfn.IMAGE("https://m.media-amazon.com/images/I/71zrPdm7KML._AC_UL320_.jpg")</f>
        <v/>
      </c>
      <c r="K2532" t="inlineStr">
        <is>
          <t>39.95</t>
        </is>
      </c>
      <c r="L2532" t="n">
        <v>7.99</v>
      </c>
      <c r="M2532" s="1" t="inlineStr">
        <is>
          <t>-80.00%</t>
        </is>
      </c>
      <c r="N2532" t="n">
        <v>3.7</v>
      </c>
      <c r="O2532" t="n">
        <v>38</v>
      </c>
      <c r="Q2532" t="inlineStr">
        <is>
          <t>InStock</t>
        </is>
      </c>
      <c r="R2532" t="inlineStr">
        <is>
          <t>undefined</t>
        </is>
      </c>
      <c r="S2532" t="inlineStr">
        <is>
          <t>7041040135</t>
        </is>
      </c>
    </row>
    <row r="2533" ht="75" customHeight="1">
      <c r="A2533" s="2">
        <f>HYPERLINK("https://camerareadycosmetics.com/products/mehron-cheek-cream-palette", "https://camerareadycosmetics.com/products/mehron-cheek-cream-palette")</f>
        <v/>
      </c>
      <c r="B2533" s="2">
        <f>HYPERLINK("https://camerareadycosmetics.com/products/mehron-cheek-cream-palette", "https://camerareadycosmetics.com/products/mehron-cheek-cream-palette")</f>
        <v/>
      </c>
      <c r="C2533" t="inlineStr">
        <is>
          <t>Cheek Cream Palette</t>
        </is>
      </c>
      <c r="D2533" t="inlineStr">
        <is>
          <t>DELISOUL 8 Colors Cream Blush Stick,Shimmer Highlighter Stick,Matte Contour Stick,Face Bronzer Illuminator Blusher Makeup Palette For Cheeks Lips Eyes,Long Lasting Foundation Makeup Set</t>
        </is>
      </c>
      <c r="E2533" s="2">
        <f>HYPERLINK("https://www.amazon.com/DELISOUL-Shimmer-Highlighter-Illuminator-Foundation/dp/B09PVGHNBZ/ref=sr_1_10?keywords=Cheek+Cream+Palette&amp;qid=1695565740&amp;sr=8-10", "https://www.amazon.com/DELISOUL-Shimmer-Highlighter-Illuminator-Foundation/dp/B09PVGHNBZ/ref=sr_1_10?keywords=Cheek+Cream+Palette&amp;qid=1695565740&amp;sr=8-10")</f>
        <v/>
      </c>
      <c r="F2533" t="inlineStr">
        <is>
          <t>B09PVGHNBZ</t>
        </is>
      </c>
      <c r="G2533">
        <f>_xlfn.IMAGE("https://camerareadycosmetics.com/cdn/shop/files/Mehron-cheekcreampalette_50x.jpg?v=1687197432")</f>
        <v/>
      </c>
      <c r="H2533">
        <f>_xlfn.IMAGE("https://m.media-amazon.com/images/I/81RARdxaTFL._AC_UL320_.jpg")</f>
        <v/>
      </c>
      <c r="K2533" t="inlineStr">
        <is>
          <t>39.95</t>
        </is>
      </c>
      <c r="L2533" t="n">
        <v>11.99</v>
      </c>
      <c r="M2533" s="1" t="inlineStr">
        <is>
          <t>-69.99%</t>
        </is>
      </c>
      <c r="N2533" t="n">
        <v>3.8</v>
      </c>
      <c r="O2533" t="n">
        <v>21</v>
      </c>
      <c r="Q2533" t="inlineStr">
        <is>
          <t>InStock</t>
        </is>
      </c>
      <c r="R2533" t="inlineStr">
        <is>
          <t>undefined</t>
        </is>
      </c>
      <c r="S2533" t="inlineStr">
        <is>
          <t>7041040135</t>
        </is>
      </c>
    </row>
    <row r="2534" ht="75" customHeight="1">
      <c r="A2534" s="2">
        <f>HYPERLINK("https://camerareadycosmetics.com/products/mehron-cheek-cream-palette", "https://camerareadycosmetics.com/products/mehron-cheek-cream-palette")</f>
        <v/>
      </c>
      <c r="B2534" s="2">
        <f>HYPERLINK("https://camerareadycosmetics.com/products/mehron-cheek-cream-palette", "https://camerareadycosmetics.com/products/mehron-cheek-cream-palette")</f>
        <v/>
      </c>
      <c r="C2534" t="inlineStr">
        <is>
          <t>Cheek Cream Palette</t>
        </is>
      </c>
      <c r="D2534" t="inlineStr">
        <is>
          <t>LSxia 12 Colors Cream [Blush] Makeup Palette for Cheeks - Multi-functional Blush Makeup Palette with Brush, Natural Matte Long Wearing, Waterproof Blendable Face Makeup Palette (#01)</t>
        </is>
      </c>
      <c r="E2534" s="2">
        <f>HYPERLINK("https://www.amazon.com/LSxia-Colors-Makeup-Palette-Cheeks/dp/B0CBVB8H6B/ref=sr_1_1?keywords=Cheek+Cream+Palette&amp;qid=1695565740&amp;sr=8-1", "https://www.amazon.com/LSxia-Colors-Makeup-Palette-Cheeks/dp/B0CBVB8H6B/ref=sr_1_1?keywords=Cheek+Cream+Palette&amp;qid=1695565740&amp;sr=8-1")</f>
        <v/>
      </c>
      <c r="F2534" t="inlineStr">
        <is>
          <t>B0CBVB8H6B</t>
        </is>
      </c>
      <c r="G2534">
        <f>_xlfn.IMAGE("https://camerareadycosmetics.com/cdn/shop/files/Mehron-cheekcreampalette_50x.jpg?v=1687197432")</f>
        <v/>
      </c>
      <c r="H2534">
        <f>_xlfn.IMAGE("https://m.media-amazon.com/images/I/61b0mGMTFfL._AC_UL320_.jpg")</f>
        <v/>
      </c>
      <c r="K2534" t="inlineStr">
        <is>
          <t>39.95</t>
        </is>
      </c>
      <c r="L2534" t="n">
        <v>8.99</v>
      </c>
      <c r="M2534" s="1" t="inlineStr">
        <is>
          <t>-77.50%</t>
        </is>
      </c>
      <c r="N2534" t="n">
        <v>4</v>
      </c>
      <c r="O2534" t="n">
        <v>2</v>
      </c>
      <c r="Q2534" t="inlineStr">
        <is>
          <t>InStock</t>
        </is>
      </c>
      <c r="R2534" t="inlineStr">
        <is>
          <t>undefined</t>
        </is>
      </c>
      <c r="S2534" t="inlineStr">
        <is>
          <t>7041040135</t>
        </is>
      </c>
    </row>
    <row r="2535" ht="75" customHeight="1">
      <c r="A2535" s="2">
        <f>HYPERLINK("https://camerareadycosmetics.com/products/mehron-cheek-cream-palette", "https://camerareadycosmetics.com/products/mehron-cheek-cream-palette")</f>
        <v/>
      </c>
      <c r="B2535" s="2">
        <f>HYPERLINK("https://camerareadycosmetics.com/products/mehron-cheek-cream-palette", "https://camerareadycosmetics.com/products/mehron-cheek-cream-palette")</f>
        <v/>
      </c>
      <c r="C2535" t="inlineStr">
        <is>
          <t>Cheek Cream Palette</t>
        </is>
      </c>
      <c r="D2535" t="inlineStr">
        <is>
          <t>Boobeen Powder Blush Matte Blush, Highly Pigmented Beauty Cream Blush Palette for Create A Natural Cheek Flushed Look, Rich Colors (C-06)</t>
        </is>
      </c>
      <c r="E2535" s="2">
        <f>HYPERLINK("https://www.amazon.com/Boobeen-Pigmented-Palette-Natural-Flushed/dp/B0CDGYJG7R/ref=sr_1_2?keywords=Cheek+Cream+Palette&amp;qid=1695565740&amp;sr=8-2", "https://www.amazon.com/Boobeen-Pigmented-Palette-Natural-Flushed/dp/B0CDGYJG7R/ref=sr_1_2?keywords=Cheek+Cream+Palette&amp;qid=1695565740&amp;sr=8-2")</f>
        <v/>
      </c>
      <c r="F2535" t="inlineStr">
        <is>
          <t>B0CDGYJG7R</t>
        </is>
      </c>
      <c r="G2535">
        <f>_xlfn.IMAGE("https://camerareadycosmetics.com/cdn/shop/files/Mehron-cheekcreampalette_50x.jpg?v=1687197432")</f>
        <v/>
      </c>
      <c r="H2535">
        <f>_xlfn.IMAGE("https://m.media-amazon.com/images/I/71zrPdm7KML._AC_UL320_.jpg")</f>
        <v/>
      </c>
      <c r="K2535" t="inlineStr">
        <is>
          <t>39.95</t>
        </is>
      </c>
      <c r="L2535" t="n">
        <v>7.99</v>
      </c>
      <c r="M2535" s="1" t="inlineStr">
        <is>
          <t>-80.00%</t>
        </is>
      </c>
      <c r="N2535" t="n">
        <v>3.7</v>
      </c>
      <c r="O2535" t="n">
        <v>38</v>
      </c>
      <c r="Q2535" t="inlineStr">
        <is>
          <t>InStock</t>
        </is>
      </c>
      <c r="R2535" t="inlineStr">
        <is>
          <t>undefined</t>
        </is>
      </c>
      <c r="S2535" t="inlineStr">
        <is>
          <t>7041040135</t>
        </is>
      </c>
    </row>
    <row r="2536" ht="75" customHeight="1">
      <c r="A2536" s="2">
        <f>HYPERLINK("https://camerareadycosmetics.com/products/mehron-cheek-powder-8-color-blush-palette", "https://camerareadycosmetics.com/products/mehron-cheek-powder-8-color-blush-palette")</f>
        <v/>
      </c>
      <c r="B2536" s="2">
        <f>HYPERLINK("https://camerareadycosmetics.com/products/mehron-cheek-powder-8-color-blush-palette", "https://camerareadycosmetics.com/products/mehron-cheek-powder-8-color-blush-palette")</f>
        <v/>
      </c>
      <c r="C2536" t="inlineStr">
        <is>
          <t>Cheek Powder 8-Color Blush Palette</t>
        </is>
      </c>
      <c r="D2536" t="inlineStr">
        <is>
          <t>Blusher Palette, Vodisa Natural Make Up Blushing Set Face Sheer Matte Mineral Blush Kit, Cheek Base Foundation Pressed Powder Pallet Professional Facial Beauty Cosmetic Makeup Blush (8)</t>
        </is>
      </c>
      <c r="E2536" s="2">
        <f>HYPERLINK("https://www.amazon.com/Vodisa-Blushing-Foundation-Professional-Cosmetic/dp/B08Y7HKJMC/ref=sr_1_8?keywords=Cheek+Powder+8-Color+Blush+Palette&amp;qid=1695565561&amp;sr=8-8", "https://www.amazon.com/Vodisa-Blushing-Foundation-Professional-Cosmetic/dp/B08Y7HKJMC/ref=sr_1_8?keywords=Cheek+Powder+8-Color+Blush+Palette&amp;qid=1695565561&amp;sr=8-8")</f>
        <v/>
      </c>
      <c r="F2536" t="inlineStr">
        <is>
          <t>B08Y7HKJMC</t>
        </is>
      </c>
      <c r="G2536">
        <f>_xlfn.IMAGE("https://camerareadycosmetics.com/cdn/shop/products/cheek1__38749.1450802695.600.600_50x.jpeg?v=1689626910")</f>
        <v/>
      </c>
      <c r="H2536">
        <f>_xlfn.IMAGE("https://m.media-amazon.com/images/I/61vARJXLRvL._AC_UL320_.jpg")</f>
        <v/>
      </c>
      <c r="K2536" t="inlineStr">
        <is>
          <t>39.95</t>
        </is>
      </c>
      <c r="L2536" t="n">
        <v>15.99</v>
      </c>
      <c r="M2536" s="1" t="inlineStr">
        <is>
          <t>-59.97%</t>
        </is>
      </c>
      <c r="N2536" t="n">
        <v>4.6</v>
      </c>
      <c r="O2536" t="n">
        <v>17</v>
      </c>
      <c r="Q2536" t="inlineStr">
        <is>
          <t>InStock</t>
        </is>
      </c>
      <c r="R2536" t="inlineStr">
        <is>
          <t>undefined</t>
        </is>
      </c>
      <c r="S2536" t="inlineStr">
        <is>
          <t>7034765767</t>
        </is>
      </c>
    </row>
    <row r="2537" ht="75" customHeight="1">
      <c r="A2537" s="2">
        <f>HYPERLINK("https://camerareadycosmetics.com/products/mehron-cheek-powder-8-color-blush-palette", "https://camerareadycosmetics.com/products/mehron-cheek-powder-8-color-blush-palette")</f>
        <v/>
      </c>
      <c r="B2537" s="2">
        <f>HYPERLINK("https://camerareadycosmetics.com/products/mehron-cheek-powder-8-color-blush-palette", "https://camerareadycosmetics.com/products/mehron-cheek-powder-8-color-blush-palette")</f>
        <v/>
      </c>
      <c r="C2537" t="inlineStr">
        <is>
          <t>Cheek Powder 8-Color Blush Palette</t>
        </is>
      </c>
      <c r="D2537" t="inlineStr">
        <is>
          <t>Makeup 8 Color Blush Palette, Contour and Highlight Matte Blush Powder Bright Shimmer Cosmetics Blusher Light Face Blush Palette with Blush Brush</t>
        </is>
      </c>
      <c r="E2537" s="2">
        <f>HYPERLINK("https://www.amazon.com/Palette-Contour-Highlight-Shimmer-Cosmetics/dp/B093GRFZPJ/ref=sr_1_5?keywords=Cheek+Powder+8-Color+Blush+Palette&amp;qid=1695565561&amp;sr=8-5", "https://www.amazon.com/Palette-Contour-Highlight-Shimmer-Cosmetics/dp/B093GRFZPJ/ref=sr_1_5?keywords=Cheek+Powder+8-Color+Blush+Palette&amp;qid=1695565561&amp;sr=8-5")</f>
        <v/>
      </c>
      <c r="F2537" t="inlineStr">
        <is>
          <t>B093GRFZPJ</t>
        </is>
      </c>
      <c r="G2537">
        <f>_xlfn.IMAGE("https://camerareadycosmetics.com/cdn/shop/products/cheek1__38749.1450802695.600.600_50x.jpeg?v=1689626910")</f>
        <v/>
      </c>
      <c r="H2537">
        <f>_xlfn.IMAGE("https://m.media-amazon.com/images/I/714JIolR-aL._AC_UL320_.jpg")</f>
        <v/>
      </c>
      <c r="K2537" t="inlineStr">
        <is>
          <t>39.95</t>
        </is>
      </c>
      <c r="L2537" t="n">
        <v>9.99</v>
      </c>
      <c r="M2537" s="1" t="inlineStr">
        <is>
          <t>-74.99%</t>
        </is>
      </c>
      <c r="N2537" t="n">
        <v>4.2</v>
      </c>
      <c r="O2537" t="n">
        <v>658</v>
      </c>
      <c r="Q2537" t="inlineStr">
        <is>
          <t>InStock</t>
        </is>
      </c>
      <c r="R2537" t="inlineStr">
        <is>
          <t>undefined</t>
        </is>
      </c>
      <c r="S2537" t="inlineStr">
        <is>
          <t>7034765767</t>
        </is>
      </c>
    </row>
    <row r="2538" ht="75" customHeight="1">
      <c r="A2538" s="2">
        <f>HYPERLINK("https://camerareadycosmetics.com/products/mehron-cheek-powder-8-color-blush-palette", "https://camerareadycosmetics.com/products/mehron-cheek-powder-8-color-blush-palette")</f>
        <v/>
      </c>
      <c r="B2538" s="2">
        <f>HYPERLINK("https://camerareadycosmetics.com/products/mehron-cheek-powder-8-color-blush-palette", "https://camerareadycosmetics.com/products/mehron-cheek-powder-8-color-blush-palette")</f>
        <v/>
      </c>
      <c r="C2538" t="inlineStr">
        <is>
          <t>Cheek Powder 8-Color Blush Palette</t>
        </is>
      </c>
      <c r="D2538" t="inlineStr">
        <is>
          <t>8 Colors Face Matte Blush Palette Shading Blusher with Brush - Buildable Facial Cheek Blusher Contour Bronzing Pressed Powder Makeup Pallet Women Gift Set (01 Matte)</t>
        </is>
      </c>
      <c r="E2538" s="2">
        <f>HYPERLINK("https://www.amazon.com/UCANBE-Colors-Palette-Shading-Blusher/dp/B09J51W17H/ref=sr_1_4?keywords=Cheek+Powder+8-Color+Blush+Palette&amp;qid=1695565561&amp;sr=8-4", "https://www.amazon.com/UCANBE-Colors-Palette-Shading-Blusher/dp/B09J51W17H/ref=sr_1_4?keywords=Cheek+Powder+8-Color+Blush+Palette&amp;qid=1695565561&amp;sr=8-4")</f>
        <v/>
      </c>
      <c r="F2538" t="inlineStr">
        <is>
          <t>B09J51W17H</t>
        </is>
      </c>
      <c r="G2538">
        <f>_xlfn.IMAGE("https://camerareadycosmetics.com/cdn/shop/products/cheek1__38749.1450802695.600.600_50x.jpeg?v=1689626910")</f>
        <v/>
      </c>
      <c r="H2538">
        <f>_xlfn.IMAGE("https://m.media-amazon.com/images/I/71I1MutiLwL._AC_UL320_.jpg")</f>
        <v/>
      </c>
      <c r="K2538" t="inlineStr">
        <is>
          <t>39.95</t>
        </is>
      </c>
      <c r="L2538" t="n">
        <v>9.99</v>
      </c>
      <c r="M2538" s="1" t="inlineStr">
        <is>
          <t>-74.99%</t>
        </is>
      </c>
      <c r="N2538" t="n">
        <v>4.4</v>
      </c>
      <c r="O2538" t="n">
        <v>513</v>
      </c>
      <c r="Q2538" t="inlineStr">
        <is>
          <t>InStock</t>
        </is>
      </c>
      <c r="R2538" t="inlineStr">
        <is>
          <t>undefined</t>
        </is>
      </c>
      <c r="S2538" t="inlineStr">
        <is>
          <t>7034765767</t>
        </is>
      </c>
    </row>
    <row r="2539" ht="75" customHeight="1">
      <c r="A2539" s="2">
        <f>HYPERLINK("https://camerareadycosmetics.com/products/mehron-cheek-powder-8-color-blush-palette", "https://camerareadycosmetics.com/products/mehron-cheek-powder-8-color-blush-palette")</f>
        <v/>
      </c>
      <c r="B2539" s="2">
        <f>HYPERLINK("https://camerareadycosmetics.com/products/mehron-cheek-powder-8-color-blush-palette", "https://camerareadycosmetics.com/products/mehron-cheek-powder-8-color-blush-palette")</f>
        <v/>
      </c>
      <c r="C2539" t="inlineStr">
        <is>
          <t>Cheek Powder 8-Color Blush Palette</t>
        </is>
      </c>
      <c r="D2539" t="inlineStr">
        <is>
          <t>NewBang 8 Colors Blush Palette, Matte Mineral Blush Powder Bright Shimmer Face Blush,Contour and Highlight Blush Palette,Professional Facial Beauty Cosmetic Makeup Blush</t>
        </is>
      </c>
      <c r="E2539" s="2">
        <f>HYPERLINK("https://www.amazon.com/NewBang-Palette-Highlight-Professional-Cosmetic/dp/B0928HXPKZ/ref=sr_1_3?keywords=Cheek+Powder+8-Color+Blush+Palette&amp;qid=1695565561&amp;sr=8-3", "https://www.amazon.com/NewBang-Palette-Highlight-Professional-Cosmetic/dp/B0928HXPKZ/ref=sr_1_3?keywords=Cheek+Powder+8-Color+Blush+Palette&amp;qid=1695565561&amp;sr=8-3")</f>
        <v/>
      </c>
      <c r="F2539" t="inlineStr">
        <is>
          <t>B0928HXPKZ</t>
        </is>
      </c>
      <c r="G2539">
        <f>_xlfn.IMAGE("https://camerareadycosmetics.com/cdn/shop/products/cheek1__38749.1450802695.600.600_50x.jpeg?v=1689626910")</f>
        <v/>
      </c>
      <c r="H2539">
        <f>_xlfn.IMAGE("https://m.media-amazon.com/images/I/814lH-6qWML._AC_UL320_.jpg")</f>
        <v/>
      </c>
      <c r="K2539" t="inlineStr">
        <is>
          <t>39.95</t>
        </is>
      </c>
      <c r="L2539" t="n">
        <v>9.99</v>
      </c>
      <c r="M2539" s="1" t="inlineStr">
        <is>
          <t>-74.99%</t>
        </is>
      </c>
      <c r="N2539" t="n">
        <v>4.3</v>
      </c>
      <c r="O2539" t="n">
        <v>2496</v>
      </c>
      <c r="Q2539" t="inlineStr">
        <is>
          <t>InStock</t>
        </is>
      </c>
      <c r="R2539" t="inlineStr">
        <is>
          <t>undefined</t>
        </is>
      </c>
      <c r="S2539" t="inlineStr">
        <is>
          <t>7034765767</t>
        </is>
      </c>
    </row>
    <row r="2540" ht="75" customHeight="1">
      <c r="A2540" s="2">
        <f>HYPERLINK("https://camerareadycosmetics.com/products/mehron-cheek-powder-8-color-blush-palette", "https://camerareadycosmetics.com/products/mehron-cheek-powder-8-color-blush-palette")</f>
        <v/>
      </c>
      <c r="B2540" s="2">
        <f>HYPERLINK("https://camerareadycosmetics.com/products/mehron-cheek-powder-8-color-blush-palette", "https://camerareadycosmetics.com/products/mehron-cheek-powder-8-color-blush-palette")</f>
        <v/>
      </c>
      <c r="C2540" t="inlineStr">
        <is>
          <t>Cheek Powder 8-Color Blush Palette</t>
        </is>
      </c>
      <c r="D2540" t="inlineStr">
        <is>
          <t>CCbeauty 8 Color Blush Palette Matte, Long Lasting Natural Glow Complexion Face Blushes, Bright Shimmer Blush Powder, Highlight Blush Palette, Professional Facial Makeup Blusher, Valentine's Day Gift Sets for Her, Girls Women</t>
        </is>
      </c>
      <c r="E2540" s="2">
        <f>HYPERLINK("https://www.amazon.com/CCbeauty-Palette-Complexion-Highlight-Professional/dp/B09491GH8N/ref=sr_1_10?keywords=Cheek+Powder+8-Color+Blush+Palette&amp;qid=1695565561&amp;sr=8-10", "https://www.amazon.com/CCbeauty-Palette-Complexion-Highlight-Professional/dp/B09491GH8N/ref=sr_1_10?keywords=Cheek+Powder+8-Color+Blush+Palette&amp;qid=1695565561&amp;sr=8-10")</f>
        <v/>
      </c>
      <c r="F2540" t="inlineStr">
        <is>
          <t>B09491GH8N</t>
        </is>
      </c>
      <c r="G2540">
        <f>_xlfn.IMAGE("https://camerareadycosmetics.com/cdn/shop/products/cheek1__38749.1450802695.600.600_50x.jpeg?v=1689626910")</f>
        <v/>
      </c>
      <c r="H2540">
        <f>_xlfn.IMAGE("https://m.media-amazon.com/images/I/81kJ3RH7IOS._AC_UL320_.jpg")</f>
        <v/>
      </c>
      <c r="K2540" t="inlineStr">
        <is>
          <t>39.95</t>
        </is>
      </c>
      <c r="L2540" t="n">
        <v>8.99</v>
      </c>
      <c r="M2540" s="1" t="inlineStr">
        <is>
          <t>-77.50%</t>
        </is>
      </c>
      <c r="N2540" t="n">
        <v>4.3</v>
      </c>
      <c r="O2540" t="n">
        <v>251</v>
      </c>
      <c r="Q2540" t="inlineStr">
        <is>
          <t>InStock</t>
        </is>
      </c>
      <c r="R2540" t="inlineStr">
        <is>
          <t>undefined</t>
        </is>
      </c>
      <c r="S2540" t="inlineStr">
        <is>
          <t>7034765767</t>
        </is>
      </c>
    </row>
    <row r="2541" ht="75" customHeight="1">
      <c r="A2541" s="2">
        <f>HYPERLINK("https://camerareadycosmetics.com/products/mehron-cheek-powder-8-color-blush-palette", "https://camerareadycosmetics.com/products/mehron-cheek-powder-8-color-blush-palette")</f>
        <v/>
      </c>
      <c r="B2541" s="2">
        <f>HYPERLINK("https://camerareadycosmetics.com/products/mehron-cheek-powder-8-color-blush-palette", "https://camerareadycosmetics.com/products/mehron-cheek-powder-8-color-blush-palette")</f>
        <v/>
      </c>
      <c r="C2541" t="inlineStr">
        <is>
          <t>Cheek Powder 8-Color Blush Palette</t>
        </is>
      </c>
      <c r="D2541" t="inlineStr">
        <is>
          <t>SUMEITANG 8 Colors Face Blush Palette, Matte Mineral Powder Bright Shimmer for Cheek and Eye Shadow Make-up, Contour and Highlight, Women Facial Makeup Plate</t>
        </is>
      </c>
      <c r="E2541" s="2">
        <f>HYPERLINK("https://www.amazon.com/SUMEITANG-Palette-Mineral-Shimmer-Highlight/dp/B09P3GBHXZ/ref=sr_1_1?keywords=Cheek+Powder+8-Color+Blush+Palette&amp;qid=1695565561&amp;sr=8-1", "https://www.amazon.com/SUMEITANG-Palette-Mineral-Shimmer-Highlight/dp/B09P3GBHXZ/ref=sr_1_1?keywords=Cheek+Powder+8-Color+Blush+Palette&amp;qid=1695565561&amp;sr=8-1")</f>
        <v/>
      </c>
      <c r="F2541" t="inlineStr">
        <is>
          <t>B09P3GBHXZ</t>
        </is>
      </c>
      <c r="G2541">
        <f>_xlfn.IMAGE("https://camerareadycosmetics.com/cdn/shop/products/cheek1__38749.1450802695.600.600_50x.jpeg?v=1689626910")</f>
        <v/>
      </c>
      <c r="H2541">
        <f>_xlfn.IMAGE("https://m.media-amazon.com/images/I/71utoGksoUL._AC_UL320_.jpg")</f>
        <v/>
      </c>
      <c r="K2541" t="inlineStr">
        <is>
          <t>39.95</t>
        </is>
      </c>
      <c r="L2541" t="n">
        <v>8.99</v>
      </c>
      <c r="M2541" s="1" t="inlineStr">
        <is>
          <t>-77.50%</t>
        </is>
      </c>
      <c r="N2541" t="n">
        <v>4.4</v>
      </c>
      <c r="O2541" t="n">
        <v>187</v>
      </c>
      <c r="Q2541" t="inlineStr">
        <is>
          <t>InStock</t>
        </is>
      </c>
      <c r="R2541" t="inlineStr">
        <is>
          <t>undefined</t>
        </is>
      </c>
      <c r="S2541" t="inlineStr">
        <is>
          <t>7034765767</t>
        </is>
      </c>
    </row>
    <row r="2542" ht="75" customHeight="1">
      <c r="A2542" s="2">
        <f>HYPERLINK("https://camerareadycosmetics.com/products/mehron-cheek-powder-8-color-blush-palette", "https://camerareadycosmetics.com/products/mehron-cheek-powder-8-color-blush-palette")</f>
        <v/>
      </c>
      <c r="B2542" s="2">
        <f>HYPERLINK("https://camerareadycosmetics.com/products/mehron-cheek-powder-8-color-blush-palette", "https://camerareadycosmetics.com/products/mehron-cheek-powder-8-color-blush-palette")</f>
        <v/>
      </c>
      <c r="C2542" t="inlineStr">
        <is>
          <t>Cheek Powder 8-Color Blush Palette</t>
        </is>
      </c>
      <c r="D2542" t="inlineStr">
        <is>
          <t>Wismee 8 Colors Blush Palette Matte Blusher Compact Powder Cheek Cosmetics Makeup Palette Professional Face Sheer Matte Mineral Blush Natural Make Up Blushing Facial Beauty Cosmetic Makeup Blush</t>
        </is>
      </c>
      <c r="E2542" s="2">
        <f>HYPERLINK("https://www.amazon.com/Wismee-Cosmetics-Professional-Blushing-Cosmetic/dp/B094MX4RY3/ref=sr_1_6?keywords=Cheek+Powder+8-Color+Blush+Palette&amp;qid=1695565561&amp;sr=8-6", "https://www.amazon.com/Wismee-Cosmetics-Professional-Blushing-Cosmetic/dp/B094MX4RY3/ref=sr_1_6?keywords=Cheek+Powder+8-Color+Blush+Palette&amp;qid=1695565561&amp;sr=8-6")</f>
        <v/>
      </c>
      <c r="F2542" t="inlineStr">
        <is>
          <t>B094MX4RY3</t>
        </is>
      </c>
      <c r="G2542">
        <f>_xlfn.IMAGE("https://camerareadycosmetics.com/cdn/shop/products/cheek1__38749.1450802695.600.600_50x.jpeg?v=1689626910")</f>
        <v/>
      </c>
      <c r="H2542">
        <f>_xlfn.IMAGE("https://m.media-amazon.com/images/I/81RFPiEvHSL._AC_UL320_.jpg")</f>
        <v/>
      </c>
      <c r="K2542" t="inlineStr">
        <is>
          <t>39.95</t>
        </is>
      </c>
      <c r="L2542" t="n">
        <v>8.99</v>
      </c>
      <c r="M2542" s="1" t="inlineStr">
        <is>
          <t>-77.50%</t>
        </is>
      </c>
      <c r="N2542" t="n">
        <v>4.3</v>
      </c>
      <c r="O2542" t="n">
        <v>86</v>
      </c>
      <c r="Q2542" t="inlineStr">
        <is>
          <t>InStock</t>
        </is>
      </c>
      <c r="R2542" t="inlineStr">
        <is>
          <t>undefined</t>
        </is>
      </c>
      <c r="S2542" t="inlineStr">
        <is>
          <t>7034765767</t>
        </is>
      </c>
    </row>
    <row r="2543" ht="75" customHeight="1">
      <c r="A2543" s="2">
        <f>HYPERLINK("https://camerareadycosmetics.com/products/mehron-cheek-powder-8-color-blush-palette", "https://camerareadycosmetics.com/products/mehron-cheek-powder-8-color-blush-palette")</f>
        <v/>
      </c>
      <c r="B2543" s="2">
        <f>HYPERLINK("https://camerareadycosmetics.com/products/mehron-cheek-powder-8-color-blush-palette", "https://camerareadycosmetics.com/products/mehron-cheek-powder-8-color-blush-palette")</f>
        <v/>
      </c>
      <c r="C2543" t="inlineStr">
        <is>
          <t>Cheek Powder 8-Color Blush Palette</t>
        </is>
      </c>
      <c r="D2543" t="inlineStr">
        <is>
          <t>DELISOUL 8 Colors Face Blush Palette,Matte Blush Powder,Pink Blush Makeup Palette,Blush and Bronzer Foundation Palette,Long-Lasting Pigment Neutral Colors,Cruelty Free Mineral Makeup for Cheeks</t>
        </is>
      </c>
      <c r="E2543" s="2">
        <f>HYPERLINK("https://www.amazon.com/DELISOUL-Palette-Bronzer-Foundation-Long-Lasting/dp/B093GMS34K/ref=sr_1_2?keywords=Cheek+Powder+8-Color+Blush+Palette&amp;qid=1695565561&amp;sr=8-2", "https://www.amazon.com/DELISOUL-Palette-Bronzer-Foundation-Long-Lasting/dp/B093GMS34K/ref=sr_1_2?keywords=Cheek+Powder+8-Color+Blush+Palette&amp;qid=1695565561&amp;sr=8-2")</f>
        <v/>
      </c>
      <c r="F2543" t="inlineStr">
        <is>
          <t>B093GMS34K</t>
        </is>
      </c>
      <c r="G2543">
        <f>_xlfn.IMAGE("https://camerareadycosmetics.com/cdn/shop/products/cheek1__38749.1450802695.600.600_50x.jpeg?v=1689626910")</f>
        <v/>
      </c>
      <c r="H2543">
        <f>_xlfn.IMAGE("https://m.media-amazon.com/images/I/71PRdZO65oL._AC_UL320_.jpg")</f>
        <v/>
      </c>
      <c r="K2543" t="inlineStr">
        <is>
          <t>39.95</t>
        </is>
      </c>
      <c r="L2543" t="n">
        <v>7.99</v>
      </c>
      <c r="M2543" s="1" t="inlineStr">
        <is>
          <t>-80.00%</t>
        </is>
      </c>
      <c r="N2543" t="n">
        <v>4.3</v>
      </c>
      <c r="O2543" t="n">
        <v>138</v>
      </c>
      <c r="Q2543" t="inlineStr">
        <is>
          <t>InStock</t>
        </is>
      </c>
      <c r="R2543" t="inlineStr">
        <is>
          <t>undefined</t>
        </is>
      </c>
      <c r="S2543" t="inlineStr">
        <is>
          <t>7034765767</t>
        </is>
      </c>
    </row>
    <row r="2544" ht="75" customHeight="1">
      <c r="A2544" s="2">
        <f>HYPERLINK("https://camerareadycosmetics.com/products/mehron-cheek-powder-8-color-blush-palette", "https://camerareadycosmetics.com/products/mehron-cheek-powder-8-color-blush-palette")</f>
        <v/>
      </c>
      <c r="B2544" s="2">
        <f>HYPERLINK("https://camerareadycosmetics.com/products/mehron-cheek-powder-8-color-blush-palette", "https://camerareadycosmetics.com/products/mehron-cheek-powder-8-color-blush-palette")</f>
        <v/>
      </c>
      <c r="C2544" t="inlineStr">
        <is>
          <t>Cheek Powder 8-Color Blush Palette</t>
        </is>
      </c>
      <c r="D2544" t="inlineStr">
        <is>
          <t>Blusher Palette, Vodisa Natural Make Up Blushing Set Face Sheer Matte Mineral Blush Kit, Cheek Base Foundation Pressed Powder Pallet Professional Facial Beauty Cosmetic Makeup Blush (8)</t>
        </is>
      </c>
      <c r="E2544" s="2">
        <f>HYPERLINK("https://www.amazon.com/Vodisa-Blushing-Foundation-Professional-Cosmetic/dp/B08Y7HKJMC/ref=sr_1_8?keywords=Cheek+Powder+8-Color+Blush+Palette&amp;qid=1695565561&amp;sr=8-8", "https://www.amazon.com/Vodisa-Blushing-Foundation-Professional-Cosmetic/dp/B08Y7HKJMC/ref=sr_1_8?keywords=Cheek+Powder+8-Color+Blush+Palette&amp;qid=1695565561&amp;sr=8-8")</f>
        <v/>
      </c>
      <c r="F2544" t="inlineStr">
        <is>
          <t>B08Y7HKJMC</t>
        </is>
      </c>
      <c r="G2544">
        <f>_xlfn.IMAGE("https://camerareadycosmetics.com/cdn/shop/products/cheek1__38749.1450802695.600.600_50x.jpeg?v=1689626910")</f>
        <v/>
      </c>
      <c r="H2544">
        <f>_xlfn.IMAGE("https://m.media-amazon.com/images/I/61vARJXLRvL._AC_UL320_.jpg")</f>
        <v/>
      </c>
      <c r="K2544" t="inlineStr">
        <is>
          <t>39.95</t>
        </is>
      </c>
      <c r="L2544" t="n">
        <v>15.99</v>
      </c>
      <c r="M2544" s="1" t="inlineStr">
        <is>
          <t>-59.97%</t>
        </is>
      </c>
      <c r="N2544" t="n">
        <v>4.6</v>
      </c>
      <c r="O2544" t="n">
        <v>17</v>
      </c>
      <c r="Q2544" t="inlineStr">
        <is>
          <t>InStock</t>
        </is>
      </c>
      <c r="R2544" t="inlineStr">
        <is>
          <t>undefined</t>
        </is>
      </c>
      <c r="S2544" t="inlineStr">
        <is>
          <t>7034765767</t>
        </is>
      </c>
    </row>
    <row r="2545" ht="75" customHeight="1">
      <c r="A2545" s="2">
        <f>HYPERLINK("https://camerareadycosmetics.com/products/mehron-cheek-powder-8-color-blush-palette", "https://camerareadycosmetics.com/products/mehron-cheek-powder-8-color-blush-palette")</f>
        <v/>
      </c>
      <c r="B2545" s="2">
        <f>HYPERLINK("https://camerareadycosmetics.com/products/mehron-cheek-powder-8-color-blush-palette", "https://camerareadycosmetics.com/products/mehron-cheek-powder-8-color-blush-palette")</f>
        <v/>
      </c>
      <c r="C2545" t="inlineStr">
        <is>
          <t>Cheek Powder 8-Color Blush Palette</t>
        </is>
      </c>
      <c r="D2545" t="inlineStr">
        <is>
          <t>Makeup 8 Color Blush Palette, Contour and Highlight Matte Blush Powder Bright Shimmer Cosmetics Blusher Light Face Blush Palette with Blush Brush</t>
        </is>
      </c>
      <c r="E2545" s="2">
        <f>HYPERLINK("https://www.amazon.com/Palette-Contour-Highlight-Shimmer-Cosmetics/dp/B093GRFZPJ/ref=sr_1_5?keywords=Cheek+Powder+8-Color+Blush+Palette&amp;qid=1695565561&amp;sr=8-5", "https://www.amazon.com/Palette-Contour-Highlight-Shimmer-Cosmetics/dp/B093GRFZPJ/ref=sr_1_5?keywords=Cheek+Powder+8-Color+Blush+Palette&amp;qid=1695565561&amp;sr=8-5")</f>
        <v/>
      </c>
      <c r="F2545" t="inlineStr">
        <is>
          <t>B093GRFZPJ</t>
        </is>
      </c>
      <c r="G2545">
        <f>_xlfn.IMAGE("https://camerareadycosmetics.com/cdn/shop/products/cheek1__38749.1450802695.600.600_50x.jpeg?v=1689626910")</f>
        <v/>
      </c>
      <c r="H2545">
        <f>_xlfn.IMAGE("https://m.media-amazon.com/images/I/714JIolR-aL._AC_UL320_.jpg")</f>
        <v/>
      </c>
      <c r="K2545" t="inlineStr">
        <is>
          <t>39.95</t>
        </is>
      </c>
      <c r="L2545" t="n">
        <v>9.99</v>
      </c>
      <c r="M2545" s="1" t="inlineStr">
        <is>
          <t>-74.99%</t>
        </is>
      </c>
      <c r="N2545" t="n">
        <v>4.2</v>
      </c>
      <c r="O2545" t="n">
        <v>658</v>
      </c>
      <c r="Q2545" t="inlineStr">
        <is>
          <t>InStock</t>
        </is>
      </c>
      <c r="R2545" t="inlineStr">
        <is>
          <t>undefined</t>
        </is>
      </c>
      <c r="S2545" t="inlineStr">
        <is>
          <t>7034765767</t>
        </is>
      </c>
    </row>
    <row r="2546" ht="75" customHeight="1">
      <c r="A2546" s="2">
        <f>HYPERLINK("https://camerareadycosmetics.com/products/mehron-cheek-powder-8-color-blush-palette", "https://camerareadycosmetics.com/products/mehron-cheek-powder-8-color-blush-palette")</f>
        <v/>
      </c>
      <c r="B2546" s="2">
        <f>HYPERLINK("https://camerareadycosmetics.com/products/mehron-cheek-powder-8-color-blush-palette", "https://camerareadycosmetics.com/products/mehron-cheek-powder-8-color-blush-palette")</f>
        <v/>
      </c>
      <c r="C2546" t="inlineStr">
        <is>
          <t>Cheek Powder 8-Color Blush Palette</t>
        </is>
      </c>
      <c r="D2546" t="inlineStr">
        <is>
          <t>8 Colors Face Matte Blush Palette Shading Blusher with Brush - Buildable Facial Cheek Blusher Contour Bronzing Pressed Powder Makeup Pallet Women Gift Set (01 Matte)</t>
        </is>
      </c>
      <c r="E2546" s="2">
        <f>HYPERLINK("https://www.amazon.com/UCANBE-Colors-Palette-Shading-Blusher/dp/B09J51W17H/ref=sr_1_4?keywords=Cheek+Powder+8-Color+Blush+Palette&amp;qid=1695565561&amp;sr=8-4", "https://www.amazon.com/UCANBE-Colors-Palette-Shading-Blusher/dp/B09J51W17H/ref=sr_1_4?keywords=Cheek+Powder+8-Color+Blush+Palette&amp;qid=1695565561&amp;sr=8-4")</f>
        <v/>
      </c>
      <c r="F2546" t="inlineStr">
        <is>
          <t>B09J51W17H</t>
        </is>
      </c>
      <c r="G2546">
        <f>_xlfn.IMAGE("https://camerareadycosmetics.com/cdn/shop/products/cheek1__38749.1450802695.600.600_50x.jpeg?v=1689626910")</f>
        <v/>
      </c>
      <c r="H2546">
        <f>_xlfn.IMAGE("https://m.media-amazon.com/images/I/71I1MutiLwL._AC_UL320_.jpg")</f>
        <v/>
      </c>
      <c r="K2546" t="inlineStr">
        <is>
          <t>39.95</t>
        </is>
      </c>
      <c r="L2546" t="n">
        <v>9.99</v>
      </c>
      <c r="M2546" s="1" t="inlineStr">
        <is>
          <t>-74.99%</t>
        </is>
      </c>
      <c r="N2546" t="n">
        <v>4.4</v>
      </c>
      <c r="O2546" t="n">
        <v>513</v>
      </c>
      <c r="Q2546" t="inlineStr">
        <is>
          <t>InStock</t>
        </is>
      </c>
      <c r="R2546" t="inlineStr">
        <is>
          <t>undefined</t>
        </is>
      </c>
      <c r="S2546" t="inlineStr">
        <is>
          <t>7034765767</t>
        </is>
      </c>
    </row>
    <row r="2547" ht="75" customHeight="1">
      <c r="A2547" s="2">
        <f>HYPERLINK("https://camerareadycosmetics.com/products/mehron-cheek-powder-8-color-blush-palette", "https://camerareadycosmetics.com/products/mehron-cheek-powder-8-color-blush-palette")</f>
        <v/>
      </c>
      <c r="B2547" s="2">
        <f>HYPERLINK("https://camerareadycosmetics.com/products/mehron-cheek-powder-8-color-blush-palette", "https://camerareadycosmetics.com/products/mehron-cheek-powder-8-color-blush-palette")</f>
        <v/>
      </c>
      <c r="C2547" t="inlineStr">
        <is>
          <t>Cheek Powder 8-Color Blush Palette</t>
        </is>
      </c>
      <c r="D2547" t="inlineStr">
        <is>
          <t>NewBang 8 Colors Blush Palette, Matte Mineral Blush Powder Bright Shimmer Face Blush,Contour and Highlight Blush Palette,Professional Facial Beauty Cosmetic Makeup Blush</t>
        </is>
      </c>
      <c r="E2547" s="2">
        <f>HYPERLINK("https://www.amazon.com/NewBang-Palette-Highlight-Professional-Cosmetic/dp/B0928HXPKZ/ref=sr_1_3?keywords=Cheek+Powder+8-Color+Blush+Palette&amp;qid=1695565561&amp;sr=8-3", "https://www.amazon.com/NewBang-Palette-Highlight-Professional-Cosmetic/dp/B0928HXPKZ/ref=sr_1_3?keywords=Cheek+Powder+8-Color+Blush+Palette&amp;qid=1695565561&amp;sr=8-3")</f>
        <v/>
      </c>
      <c r="F2547" t="inlineStr">
        <is>
          <t>B0928HXPKZ</t>
        </is>
      </c>
      <c r="G2547">
        <f>_xlfn.IMAGE("https://camerareadycosmetics.com/cdn/shop/products/cheek1__38749.1450802695.600.600_50x.jpeg?v=1689626910")</f>
        <v/>
      </c>
      <c r="H2547">
        <f>_xlfn.IMAGE("https://m.media-amazon.com/images/I/814lH-6qWML._AC_UL320_.jpg")</f>
        <v/>
      </c>
      <c r="K2547" t="inlineStr">
        <is>
          <t>39.95</t>
        </is>
      </c>
      <c r="L2547" t="n">
        <v>9.99</v>
      </c>
      <c r="M2547" s="1" t="inlineStr">
        <is>
          <t>-74.99%</t>
        </is>
      </c>
      <c r="N2547" t="n">
        <v>4.3</v>
      </c>
      <c r="O2547" t="n">
        <v>2496</v>
      </c>
      <c r="Q2547" t="inlineStr">
        <is>
          <t>InStock</t>
        </is>
      </c>
      <c r="R2547" t="inlineStr">
        <is>
          <t>undefined</t>
        </is>
      </c>
      <c r="S2547" t="inlineStr">
        <is>
          <t>7034765767</t>
        </is>
      </c>
    </row>
    <row r="2548" ht="75" customHeight="1">
      <c r="A2548" s="2">
        <f>HYPERLINK("https://camerareadycosmetics.com/products/mehron-cheek-powder-8-color-blush-palette", "https://camerareadycosmetics.com/products/mehron-cheek-powder-8-color-blush-palette")</f>
        <v/>
      </c>
      <c r="B2548" s="2">
        <f>HYPERLINK("https://camerareadycosmetics.com/products/mehron-cheek-powder-8-color-blush-palette", "https://camerareadycosmetics.com/products/mehron-cheek-powder-8-color-blush-palette")</f>
        <v/>
      </c>
      <c r="C2548" t="inlineStr">
        <is>
          <t>Cheek Powder 8-Color Blush Palette</t>
        </is>
      </c>
      <c r="D2548" t="inlineStr">
        <is>
          <t>CCbeauty 8 Color Blush Palette Matte, Long Lasting Natural Glow Complexion Face Blushes, Bright Shimmer Blush Powder, Highlight Blush Palette, Professional Facial Makeup Blusher, Valentine's Day Gift Sets for Her, Girls Women</t>
        </is>
      </c>
      <c r="E2548" s="2">
        <f>HYPERLINK("https://www.amazon.com/CCbeauty-Palette-Complexion-Highlight-Professional/dp/B09491GH8N/ref=sr_1_10?keywords=Cheek+Powder+8-Color+Blush+Palette&amp;qid=1695565561&amp;sr=8-10", "https://www.amazon.com/CCbeauty-Palette-Complexion-Highlight-Professional/dp/B09491GH8N/ref=sr_1_10?keywords=Cheek+Powder+8-Color+Blush+Palette&amp;qid=1695565561&amp;sr=8-10")</f>
        <v/>
      </c>
      <c r="F2548" t="inlineStr">
        <is>
          <t>B09491GH8N</t>
        </is>
      </c>
      <c r="G2548">
        <f>_xlfn.IMAGE("https://camerareadycosmetics.com/cdn/shop/products/cheek1__38749.1450802695.600.600_50x.jpeg?v=1689626910")</f>
        <v/>
      </c>
      <c r="H2548">
        <f>_xlfn.IMAGE("https://m.media-amazon.com/images/I/81kJ3RH7IOS._AC_UL320_.jpg")</f>
        <v/>
      </c>
      <c r="K2548" t="inlineStr">
        <is>
          <t>39.95</t>
        </is>
      </c>
      <c r="L2548" t="n">
        <v>8.99</v>
      </c>
      <c r="M2548" s="1" t="inlineStr">
        <is>
          <t>-77.50%</t>
        </is>
      </c>
      <c r="N2548" t="n">
        <v>4.3</v>
      </c>
      <c r="O2548" t="n">
        <v>251</v>
      </c>
      <c r="Q2548" t="inlineStr">
        <is>
          <t>InStock</t>
        </is>
      </c>
      <c r="R2548" t="inlineStr">
        <is>
          <t>undefined</t>
        </is>
      </c>
      <c r="S2548" t="inlineStr">
        <is>
          <t>7034765767</t>
        </is>
      </c>
    </row>
    <row r="2549" ht="75" customHeight="1">
      <c r="A2549" s="2">
        <f>HYPERLINK("https://camerareadycosmetics.com/products/mehron-cheek-powder-8-color-blush-palette", "https://camerareadycosmetics.com/products/mehron-cheek-powder-8-color-blush-palette")</f>
        <v/>
      </c>
      <c r="B2549" s="2">
        <f>HYPERLINK("https://camerareadycosmetics.com/products/mehron-cheek-powder-8-color-blush-palette", "https://camerareadycosmetics.com/products/mehron-cheek-powder-8-color-blush-palette")</f>
        <v/>
      </c>
      <c r="C2549" t="inlineStr">
        <is>
          <t>Cheek Powder 8-Color Blush Palette</t>
        </is>
      </c>
      <c r="D2549" t="inlineStr">
        <is>
          <t>SUMEITANG 8 Colors Face Blush Palette, Matte Mineral Powder Bright Shimmer for Cheek and Eye Shadow Make-up, Contour and Highlight, Women Facial Makeup Plate</t>
        </is>
      </c>
      <c r="E2549" s="2">
        <f>HYPERLINK("https://www.amazon.com/SUMEITANG-Palette-Mineral-Shimmer-Highlight/dp/B09P3GBHXZ/ref=sr_1_1?keywords=Cheek+Powder+8-Color+Blush+Palette&amp;qid=1695565561&amp;sr=8-1", "https://www.amazon.com/SUMEITANG-Palette-Mineral-Shimmer-Highlight/dp/B09P3GBHXZ/ref=sr_1_1?keywords=Cheek+Powder+8-Color+Blush+Palette&amp;qid=1695565561&amp;sr=8-1")</f>
        <v/>
      </c>
      <c r="F2549" t="inlineStr">
        <is>
          <t>B09P3GBHXZ</t>
        </is>
      </c>
      <c r="G2549">
        <f>_xlfn.IMAGE("https://camerareadycosmetics.com/cdn/shop/products/cheek1__38749.1450802695.600.600_50x.jpeg?v=1689626910")</f>
        <v/>
      </c>
      <c r="H2549">
        <f>_xlfn.IMAGE("https://m.media-amazon.com/images/I/71utoGksoUL._AC_UL320_.jpg")</f>
        <v/>
      </c>
      <c r="K2549" t="inlineStr">
        <is>
          <t>39.95</t>
        </is>
      </c>
      <c r="L2549" t="n">
        <v>8.99</v>
      </c>
      <c r="M2549" s="1" t="inlineStr">
        <is>
          <t>-77.50%</t>
        </is>
      </c>
      <c r="N2549" t="n">
        <v>4.4</v>
      </c>
      <c r="O2549" t="n">
        <v>187</v>
      </c>
      <c r="Q2549" t="inlineStr">
        <is>
          <t>InStock</t>
        </is>
      </c>
      <c r="R2549" t="inlineStr">
        <is>
          <t>undefined</t>
        </is>
      </c>
      <c r="S2549" t="inlineStr">
        <is>
          <t>7034765767</t>
        </is>
      </c>
    </row>
    <row r="2550" ht="75" customHeight="1">
      <c r="A2550" s="2">
        <f>HYPERLINK("https://camerareadycosmetics.com/products/mehron-cheek-powder-8-color-blush-palette", "https://camerareadycosmetics.com/products/mehron-cheek-powder-8-color-blush-palette")</f>
        <v/>
      </c>
      <c r="B2550" s="2">
        <f>HYPERLINK("https://camerareadycosmetics.com/products/mehron-cheek-powder-8-color-blush-palette", "https://camerareadycosmetics.com/products/mehron-cheek-powder-8-color-blush-palette")</f>
        <v/>
      </c>
      <c r="C2550" t="inlineStr">
        <is>
          <t>Cheek Powder 8-Color Blush Palette</t>
        </is>
      </c>
      <c r="D2550" t="inlineStr">
        <is>
          <t>Wismee 8 Colors Blush Palette Matte Blusher Compact Powder Cheek Cosmetics Makeup Palette Professional Face Sheer Matte Mineral Blush Natural Make Up Blushing Facial Beauty Cosmetic Makeup Blush</t>
        </is>
      </c>
      <c r="E2550" s="2">
        <f>HYPERLINK("https://www.amazon.com/Wismee-Cosmetics-Professional-Blushing-Cosmetic/dp/B094MX4RY3/ref=sr_1_6?keywords=Cheek+Powder+8-Color+Blush+Palette&amp;qid=1695565561&amp;sr=8-6", "https://www.amazon.com/Wismee-Cosmetics-Professional-Blushing-Cosmetic/dp/B094MX4RY3/ref=sr_1_6?keywords=Cheek+Powder+8-Color+Blush+Palette&amp;qid=1695565561&amp;sr=8-6")</f>
        <v/>
      </c>
      <c r="F2550" t="inlineStr">
        <is>
          <t>B094MX4RY3</t>
        </is>
      </c>
      <c r="G2550">
        <f>_xlfn.IMAGE("https://camerareadycosmetics.com/cdn/shop/products/cheek1__38749.1450802695.600.600_50x.jpeg?v=1689626910")</f>
        <v/>
      </c>
      <c r="H2550">
        <f>_xlfn.IMAGE("https://m.media-amazon.com/images/I/81RFPiEvHSL._AC_UL320_.jpg")</f>
        <v/>
      </c>
      <c r="K2550" t="inlineStr">
        <is>
          <t>39.95</t>
        </is>
      </c>
      <c r="L2550" t="n">
        <v>8.99</v>
      </c>
      <c r="M2550" s="1" t="inlineStr">
        <is>
          <t>-77.50%</t>
        </is>
      </c>
      <c r="N2550" t="n">
        <v>4.3</v>
      </c>
      <c r="O2550" t="n">
        <v>86</v>
      </c>
      <c r="Q2550" t="inlineStr">
        <is>
          <t>InStock</t>
        </is>
      </c>
      <c r="R2550" t="inlineStr">
        <is>
          <t>undefined</t>
        </is>
      </c>
      <c r="S2550" t="inlineStr">
        <is>
          <t>7034765767</t>
        </is>
      </c>
    </row>
    <row r="2551" ht="75" customHeight="1">
      <c r="A2551" s="2">
        <f>HYPERLINK("https://camerareadycosmetics.com/products/mehron-cheek-powder-8-color-blush-palette", "https://camerareadycosmetics.com/products/mehron-cheek-powder-8-color-blush-palette")</f>
        <v/>
      </c>
      <c r="B2551" s="2">
        <f>HYPERLINK("https://camerareadycosmetics.com/products/mehron-cheek-powder-8-color-blush-palette", "https://camerareadycosmetics.com/products/mehron-cheek-powder-8-color-blush-palette")</f>
        <v/>
      </c>
      <c r="C2551" t="inlineStr">
        <is>
          <t>Cheek Powder 8-Color Blush Palette</t>
        </is>
      </c>
      <c r="D2551" t="inlineStr">
        <is>
          <t>DELISOUL 8 Colors Face Blush Palette,Matte Blush Powder,Pink Blush Makeup Palette,Blush and Bronzer Foundation Palette,Long-Lasting Pigment Neutral Colors,Cruelty Free Mineral Makeup for Cheeks</t>
        </is>
      </c>
      <c r="E2551" s="2">
        <f>HYPERLINK("https://www.amazon.com/DELISOUL-Palette-Bronzer-Foundation-Long-Lasting/dp/B093GMS34K/ref=sr_1_2?keywords=Cheek+Powder+8-Color+Blush+Palette&amp;qid=1695565561&amp;sr=8-2", "https://www.amazon.com/DELISOUL-Palette-Bronzer-Foundation-Long-Lasting/dp/B093GMS34K/ref=sr_1_2?keywords=Cheek+Powder+8-Color+Blush+Palette&amp;qid=1695565561&amp;sr=8-2")</f>
        <v/>
      </c>
      <c r="F2551" t="inlineStr">
        <is>
          <t>B093GMS34K</t>
        </is>
      </c>
      <c r="G2551">
        <f>_xlfn.IMAGE("https://camerareadycosmetics.com/cdn/shop/products/cheek1__38749.1450802695.600.600_50x.jpeg?v=1689626910")</f>
        <v/>
      </c>
      <c r="H2551">
        <f>_xlfn.IMAGE("https://m.media-amazon.com/images/I/71PRdZO65oL._AC_UL320_.jpg")</f>
        <v/>
      </c>
      <c r="K2551" t="inlineStr">
        <is>
          <t>39.95</t>
        </is>
      </c>
      <c r="L2551" t="n">
        <v>7.99</v>
      </c>
      <c r="M2551" s="1" t="inlineStr">
        <is>
          <t>-80.00%</t>
        </is>
      </c>
      <c r="N2551" t="n">
        <v>4.3</v>
      </c>
      <c r="O2551" t="n">
        <v>138</v>
      </c>
      <c r="Q2551" t="inlineStr">
        <is>
          <t>InStock</t>
        </is>
      </c>
      <c r="R2551" t="inlineStr">
        <is>
          <t>undefined</t>
        </is>
      </c>
      <c r="S2551" t="inlineStr">
        <is>
          <t>7034765767</t>
        </is>
      </c>
    </row>
    <row r="2552" ht="75" customHeight="1">
      <c r="A2552" s="2">
        <f>HYPERLINK("https://camerareadycosmetics.com/products/mehron-highlight-pro-3-color-palette", "https://camerareadycosmetics.com/products/mehron-highlight-pro-3-color-palette")</f>
        <v/>
      </c>
      <c r="B2552" s="2">
        <f>HYPERLINK("https://camerareadycosmetics.com/products/mehron-highlight-pro-3-color-palette", "https://camerareadycosmetics.com/products/mehron-highlight-pro-3-color-palette")</f>
        <v/>
      </c>
      <c r="C2552" t="inlineStr">
        <is>
          <t>Highlight-Pro 3 Color Palette</t>
        </is>
      </c>
      <c r="D2552" t="inlineStr">
        <is>
          <t>Profusion Cosmetics Pro Contour Palette - Portable, Thin and Lightweight Professional 3 Bronze &amp; 3 Matte Highlight Colors With Full Length Mirror</t>
        </is>
      </c>
      <c r="E2552" s="2">
        <f>HYPERLINK("https://www.amazon.com/Profusion-Cosmetics-Contour-Professional-Highlight/dp/B07NNVWH86/ref=sr_1_1?keywords=Highlight-Pro+3+Color+Palette&amp;qid=1695565721&amp;sr=8-1", "https://www.amazon.com/Profusion-Cosmetics-Contour-Professional-Highlight/dp/B07NNVWH86/ref=sr_1_1?keywords=Highlight-Pro+3+Color+Palette&amp;qid=1695565721&amp;sr=8-1")</f>
        <v/>
      </c>
      <c r="F2552" t="inlineStr">
        <is>
          <t>B07NNVWH86</t>
        </is>
      </c>
      <c r="G2552">
        <f>_xlfn.IMAGE("https://camerareadycosmetics.com/cdn/shop/products/Mehron-HPW-HPC_Palettes_box_50x.jpg?v=1524078726")</f>
        <v/>
      </c>
      <c r="H2552">
        <f>_xlfn.IMAGE("https://m.media-amazon.com/images/I/61qOFy-CUwL._AC_UL320_.jpg")</f>
        <v/>
      </c>
      <c r="K2552" t="inlineStr">
        <is>
          <t>17.95</t>
        </is>
      </c>
      <c r="L2552" t="n">
        <v>9</v>
      </c>
      <c r="M2552" s="1" t="inlineStr">
        <is>
          <t>-49.86%</t>
        </is>
      </c>
      <c r="N2552" t="n">
        <v>4.3</v>
      </c>
      <c r="O2552" t="n">
        <v>215</v>
      </c>
      <c r="Q2552" t="inlineStr">
        <is>
          <t>InStock</t>
        </is>
      </c>
      <c r="R2552" t="inlineStr">
        <is>
          <t>undefined</t>
        </is>
      </c>
      <c r="S2552" t="inlineStr">
        <is>
          <t>558378647562</t>
        </is>
      </c>
    </row>
    <row r="2553" ht="75" customHeight="1">
      <c r="A2553" s="2">
        <f>HYPERLINK("https://camerareadycosmetics.com/products/mehron-highlight-pro-3-color-palette", "https://camerareadycosmetics.com/products/mehron-highlight-pro-3-color-palette")</f>
        <v/>
      </c>
      <c r="B2553" s="2">
        <f>HYPERLINK("https://camerareadycosmetics.com/products/mehron-highlight-pro-3-color-palette", "https://camerareadycosmetics.com/products/mehron-highlight-pro-3-color-palette")</f>
        <v/>
      </c>
      <c r="C2553" t="inlineStr">
        <is>
          <t>Highlight-Pro 3 Color Palette</t>
        </is>
      </c>
      <c r="D2553" t="inlineStr">
        <is>
          <t>6 Colors Concealer,Black &amp; White 3 In 1 Color Contouring Palette With Brush,for Dark Circles, Freckles, Blemishes Cream Concealer,Waterproof&amp;Long-Lasting Beginners&amp;Professional Makeup Artist Contour Palette CreamWith Brush</t>
        </is>
      </c>
      <c r="E2553" s="2">
        <f>HYPERLINK("https://www.amazon.com/Concealer-Contouring-Waterproof-Long-Lasting-Professional/dp/B0C6SNN3V6/ref=sr_1_10?keywords=Highlight-Pro+3+Color+Palette&amp;qid=1695565721&amp;sr=8-10", "https://www.amazon.com/Concealer-Contouring-Waterproof-Long-Lasting-Professional/dp/B0C6SNN3V6/ref=sr_1_10?keywords=Highlight-Pro+3+Color+Palette&amp;qid=1695565721&amp;sr=8-10")</f>
        <v/>
      </c>
      <c r="F2553" t="inlineStr">
        <is>
          <t>B0C6SNN3V6</t>
        </is>
      </c>
      <c r="G2553">
        <f>_xlfn.IMAGE("https://camerareadycosmetics.com/cdn/shop/products/Mehron-HPW-HPC_Palettes_box_50x.jpg?v=1524078726")</f>
        <v/>
      </c>
      <c r="H2553">
        <f>_xlfn.IMAGE("https://m.media-amazon.com/images/I/61FqrSGMc2L._AC_UL320_.jpg")</f>
        <v/>
      </c>
      <c r="K2553" t="inlineStr">
        <is>
          <t>17.95</t>
        </is>
      </c>
      <c r="L2553" t="n">
        <v>8.99</v>
      </c>
      <c r="M2553" s="1" t="inlineStr">
        <is>
          <t>-49.92%</t>
        </is>
      </c>
      <c r="N2553" t="n">
        <v>4.4</v>
      </c>
      <c r="O2553" t="n">
        <v>4</v>
      </c>
      <c r="Q2553" t="inlineStr">
        <is>
          <t>InStock</t>
        </is>
      </c>
      <c r="R2553" t="inlineStr">
        <is>
          <t>undefined</t>
        </is>
      </c>
      <c r="S2553" t="inlineStr">
        <is>
          <t>558378647562</t>
        </is>
      </c>
    </row>
    <row r="2554" ht="75" customHeight="1">
      <c r="A2554" s="2">
        <f>HYPERLINK("https://camerareadycosmetics.com/products/mehron-highlight-pro-3-color-palette", "https://camerareadycosmetics.com/products/mehron-highlight-pro-3-color-palette")</f>
        <v/>
      </c>
      <c r="B2554" s="2">
        <f>HYPERLINK("https://camerareadycosmetics.com/products/mehron-highlight-pro-3-color-palette", "https://camerareadycosmetics.com/products/mehron-highlight-pro-3-color-palette")</f>
        <v/>
      </c>
      <c r="C2554" t="inlineStr">
        <is>
          <t>Highlight-Pro 3 Color Palette</t>
        </is>
      </c>
      <c r="D2554" t="inlineStr">
        <is>
          <t>Waterproof 2pcs Tri-color Face Concealer Highlight Contour Palette for Light Medium Skin.Demi Beige Color Correct Cream Foundation Palet for Under Eye Dark Circles Eyelid Tattoo.Natural Ivory Cream Makeup Plate corrector de ojeras B</t>
        </is>
      </c>
      <c r="E2554" s="2">
        <f>HYPERLINK("https://www.amazon.com/Waterproof-Tri-color-Concealer-Foundation-Tattoo-Natural/dp/B0BFF5GXW5/ref=sr_1_8?keywords=Highlight-Pro+3+Color+Palette&amp;qid=1695565721&amp;sr=8-8", "https://www.amazon.com/Waterproof-Tri-color-Concealer-Foundation-Tattoo-Natural/dp/B0BFF5GXW5/ref=sr_1_8?keywords=Highlight-Pro+3+Color+Palette&amp;qid=1695565721&amp;sr=8-8")</f>
        <v/>
      </c>
      <c r="F2554" t="inlineStr">
        <is>
          <t>B0BFF5GXW5</t>
        </is>
      </c>
      <c r="G2554">
        <f>_xlfn.IMAGE("https://camerareadycosmetics.com/cdn/shop/products/Mehron-HPW-HPC_Palettes_box_50x.jpg?v=1524078726")</f>
        <v/>
      </c>
      <c r="H2554">
        <f>_xlfn.IMAGE("https://m.media-amazon.com/images/I/51zdnAsT7OL._AC_UL320_.jpg")</f>
        <v/>
      </c>
      <c r="K2554" t="inlineStr">
        <is>
          <t>17.95</t>
        </is>
      </c>
      <c r="L2554" t="n">
        <v>8.99</v>
      </c>
      <c r="M2554" s="1" t="inlineStr">
        <is>
          <t>-49.92%</t>
        </is>
      </c>
      <c r="N2554" t="n">
        <v>3.8</v>
      </c>
      <c r="O2554" t="n">
        <v>43</v>
      </c>
      <c r="Q2554" t="inlineStr">
        <is>
          <t>InStock</t>
        </is>
      </c>
      <c r="R2554" t="inlineStr">
        <is>
          <t>undefined</t>
        </is>
      </c>
      <c r="S2554" t="inlineStr">
        <is>
          <t>558378647562</t>
        </is>
      </c>
    </row>
    <row r="2555" ht="75" customHeight="1">
      <c r="A2555" s="2">
        <f>HYPERLINK("https://camerareadycosmetics.com/products/mehron-highlight-pro-3-color-palette", "https://camerareadycosmetics.com/products/mehron-highlight-pro-3-color-palette")</f>
        <v/>
      </c>
      <c r="B2555" s="2">
        <f>HYPERLINK("https://camerareadycosmetics.com/products/mehron-highlight-pro-3-color-palette", "https://camerareadycosmetics.com/products/mehron-highlight-pro-3-color-palette")</f>
        <v/>
      </c>
      <c r="C2555" t="inlineStr">
        <is>
          <t>Highlight-Pro 3 Color Palette</t>
        </is>
      </c>
      <c r="D2555" t="inlineStr">
        <is>
          <t>Concealer Contour Palette With Brush,3 In 1 Color Correcting Highlight Concealer Contour Makeup Palette,color corrector for dark circles，Contouring foundation palette Waterproof&amp;Long-Lasting,contouring makeup kit for beginners Dark Circles.(White)</t>
        </is>
      </c>
      <c r="E2555" s="2">
        <f>HYPERLINK("https://www.amazon.com/Correcting-circles%EF%BC%8CContouring-foundation-Waterproof-Long-Lasting/dp/B0BP9YMV42/ref=sr_1_4?keywords=Highlight-Pro+3+Color+Palette&amp;qid=1695565721&amp;sr=8-4", "https://www.amazon.com/Correcting-circles%EF%BC%8CContouring-foundation-Waterproof-Long-Lasting/dp/B0BP9YMV42/ref=sr_1_4?keywords=Highlight-Pro+3+Color+Palette&amp;qid=1695565721&amp;sr=8-4")</f>
        <v/>
      </c>
      <c r="F2555" t="inlineStr">
        <is>
          <t>B0BP9YMV42</t>
        </is>
      </c>
      <c r="G2555">
        <f>_xlfn.IMAGE("https://camerareadycosmetics.com/cdn/shop/products/Mehron-HPW-HPC_Palettes_box_50x.jpg?v=1524078726")</f>
        <v/>
      </c>
      <c r="H2555">
        <f>_xlfn.IMAGE("https://m.media-amazon.com/images/I/51Clfj8WjlL._AC_UL320_.jpg")</f>
        <v/>
      </c>
      <c r="K2555" t="inlineStr">
        <is>
          <t>17.95</t>
        </is>
      </c>
      <c r="L2555" t="n">
        <v>6.99</v>
      </c>
      <c r="M2555" s="1" t="inlineStr">
        <is>
          <t>-61.06%</t>
        </is>
      </c>
      <c r="N2555" t="n">
        <v>3.8</v>
      </c>
      <c r="O2555" t="n">
        <v>26</v>
      </c>
      <c r="Q2555" t="inlineStr">
        <is>
          <t>InStock</t>
        </is>
      </c>
      <c r="R2555" t="inlineStr">
        <is>
          <t>undefined</t>
        </is>
      </c>
      <c r="S2555" t="inlineStr">
        <is>
          <t>558378647562</t>
        </is>
      </c>
    </row>
    <row r="2556" ht="75" customHeight="1">
      <c r="A2556" s="2">
        <f>HYPERLINK("https://camerareadycosmetics.com/products/mehron-highlight-pro-3-color-palette", "https://camerareadycosmetics.com/products/mehron-highlight-pro-3-color-palette")</f>
        <v/>
      </c>
      <c r="B2556" s="2">
        <f>HYPERLINK("https://camerareadycosmetics.com/products/mehron-highlight-pro-3-color-palette", "https://camerareadycosmetics.com/products/mehron-highlight-pro-3-color-palette")</f>
        <v/>
      </c>
      <c r="C2556" t="inlineStr">
        <is>
          <t>Highlight-Pro 3 Color Palette</t>
        </is>
      </c>
      <c r="D2556" t="inlineStr">
        <is>
          <t>Apooliy 3 Colors Eyeshadow Palette, Ultra-Pigmented Long-Lasting Matte &amp; Shimmer Eye Makeup Charming Highlight 2.8oz</t>
        </is>
      </c>
      <c r="E2556" s="2">
        <f>HYPERLINK("https://www.amazon.com/Apooliy-Eyeshadow-Ultra-Pigmented-Long-Lasting-Highlight/dp/B0C53D15VR/ref=sr_1_3?keywords=Highlight-Pro+3+Color+Palette&amp;qid=1695565721&amp;sr=8-3", "https://www.amazon.com/Apooliy-Eyeshadow-Ultra-Pigmented-Long-Lasting-Highlight/dp/B0C53D15VR/ref=sr_1_3?keywords=Highlight-Pro+3+Color+Palette&amp;qid=1695565721&amp;sr=8-3")</f>
        <v/>
      </c>
      <c r="F2556" t="inlineStr">
        <is>
          <t>B0C53D15VR</t>
        </is>
      </c>
      <c r="G2556">
        <f>_xlfn.IMAGE("https://camerareadycosmetics.com/cdn/shop/products/Mehron-HPW-HPC_Palettes_box_50x.jpg?v=1524078726")</f>
        <v/>
      </c>
      <c r="H2556">
        <f>_xlfn.IMAGE("https://m.media-amazon.com/images/I/61sSKwGnAfL._AC_UL320_.jpg")</f>
        <v/>
      </c>
      <c r="K2556" t="inlineStr">
        <is>
          <t>17.95</t>
        </is>
      </c>
      <c r="L2556" t="n">
        <v>6.99</v>
      </c>
      <c r="M2556" s="1" t="inlineStr">
        <is>
          <t>-61.06%</t>
        </is>
      </c>
      <c r="N2556" t="n">
        <v>5</v>
      </c>
      <c r="O2556" t="n">
        <v>3</v>
      </c>
      <c r="Q2556" t="inlineStr">
        <is>
          <t>InStock</t>
        </is>
      </c>
      <c r="R2556" t="inlineStr">
        <is>
          <t>undefined</t>
        </is>
      </c>
      <c r="S2556" t="inlineStr">
        <is>
          <t>558378647562</t>
        </is>
      </c>
    </row>
    <row r="2557" ht="75" customHeight="1">
      <c r="A2557" s="2">
        <f>HYPERLINK("https://camerareadycosmetics.com/products/mehron-highlight-pro-3-color-palette", "https://camerareadycosmetics.com/products/mehron-highlight-pro-3-color-palette")</f>
        <v/>
      </c>
      <c r="B2557" s="2">
        <f>HYPERLINK("https://camerareadycosmetics.com/products/mehron-highlight-pro-3-color-palette", "https://camerareadycosmetics.com/products/mehron-highlight-pro-3-color-palette")</f>
        <v/>
      </c>
      <c r="C2557" t="inlineStr">
        <is>
          <t>Highlight-Pro 3 Color Palette</t>
        </is>
      </c>
      <c r="D2557" t="inlineStr">
        <is>
          <t>Profusion Cosmetics Pro Contour Palette - Portable, Thin and Lightweight Professional 3 Bronze &amp; 3 Matte Highlight Colors With Full Length Mirror</t>
        </is>
      </c>
      <c r="E2557" s="2">
        <f>HYPERLINK("https://www.amazon.com/Profusion-Cosmetics-Contour-Professional-Highlight/dp/B07NNVWH86/ref=sr_1_1?keywords=Highlight-Pro+3+Color+Palette&amp;qid=1695565721&amp;sr=8-1", "https://www.amazon.com/Profusion-Cosmetics-Contour-Professional-Highlight/dp/B07NNVWH86/ref=sr_1_1?keywords=Highlight-Pro+3+Color+Palette&amp;qid=1695565721&amp;sr=8-1")</f>
        <v/>
      </c>
      <c r="F2557" t="inlineStr">
        <is>
          <t>B07NNVWH86</t>
        </is>
      </c>
      <c r="G2557">
        <f>_xlfn.IMAGE("https://camerareadycosmetics.com/cdn/shop/products/Mehron-HPW-HPC_Palettes_box_50x.jpg?v=1524078726")</f>
        <v/>
      </c>
      <c r="H2557">
        <f>_xlfn.IMAGE("https://m.media-amazon.com/images/I/61qOFy-CUwL._AC_UL320_.jpg")</f>
        <v/>
      </c>
      <c r="K2557" t="inlineStr">
        <is>
          <t>17.95</t>
        </is>
      </c>
      <c r="L2557" t="n">
        <v>9</v>
      </c>
      <c r="M2557" s="1" t="inlineStr">
        <is>
          <t>-49.86%</t>
        </is>
      </c>
      <c r="N2557" t="n">
        <v>4.3</v>
      </c>
      <c r="O2557" t="n">
        <v>215</v>
      </c>
      <c r="Q2557" t="inlineStr">
        <is>
          <t>InStock</t>
        </is>
      </c>
      <c r="R2557" t="inlineStr">
        <is>
          <t>undefined</t>
        </is>
      </c>
      <c r="S2557" t="inlineStr">
        <is>
          <t>558378647562</t>
        </is>
      </c>
    </row>
    <row r="2558" ht="75" customHeight="1">
      <c r="A2558" s="2">
        <f>HYPERLINK("https://camerareadycosmetics.com/products/mehron-highlight-pro-3-color-palette", "https://camerareadycosmetics.com/products/mehron-highlight-pro-3-color-palette")</f>
        <v/>
      </c>
      <c r="B2558" s="2">
        <f>HYPERLINK("https://camerareadycosmetics.com/products/mehron-highlight-pro-3-color-palette", "https://camerareadycosmetics.com/products/mehron-highlight-pro-3-color-palette")</f>
        <v/>
      </c>
      <c r="C2558" t="inlineStr">
        <is>
          <t>Highlight-Pro 3 Color Palette</t>
        </is>
      </c>
      <c r="D2558" t="inlineStr">
        <is>
          <t>6 Colors Concealer,Black &amp; White 3 In 1 Color Contouring Palette With Brush,for Dark Circles, Freckles, Blemishes Cream Concealer,Waterproof&amp;Long-Lasting Beginners&amp;Professional Makeup Artist Contour Palette CreamWith Brush</t>
        </is>
      </c>
      <c r="E2558" s="2">
        <f>HYPERLINK("https://www.amazon.com/Concealer-Contouring-Waterproof-Long-Lasting-Professional/dp/B0C6SNN3V6/ref=sr_1_10?keywords=Highlight-Pro+3+Color+Palette&amp;qid=1695565721&amp;sr=8-10", "https://www.amazon.com/Concealer-Contouring-Waterproof-Long-Lasting-Professional/dp/B0C6SNN3V6/ref=sr_1_10?keywords=Highlight-Pro+3+Color+Palette&amp;qid=1695565721&amp;sr=8-10")</f>
        <v/>
      </c>
      <c r="F2558" t="inlineStr">
        <is>
          <t>B0C6SNN3V6</t>
        </is>
      </c>
      <c r="G2558">
        <f>_xlfn.IMAGE("https://camerareadycosmetics.com/cdn/shop/products/Mehron-HPW-HPC_Palettes_box_50x.jpg?v=1524078726")</f>
        <v/>
      </c>
      <c r="H2558">
        <f>_xlfn.IMAGE("https://m.media-amazon.com/images/I/61FqrSGMc2L._AC_UL320_.jpg")</f>
        <v/>
      </c>
      <c r="K2558" t="inlineStr">
        <is>
          <t>17.95</t>
        </is>
      </c>
      <c r="L2558" t="n">
        <v>8.99</v>
      </c>
      <c r="M2558" s="1" t="inlineStr">
        <is>
          <t>-49.92%</t>
        </is>
      </c>
      <c r="N2558" t="n">
        <v>4.4</v>
      </c>
      <c r="O2558" t="n">
        <v>4</v>
      </c>
      <c r="Q2558" t="inlineStr">
        <is>
          <t>InStock</t>
        </is>
      </c>
      <c r="R2558" t="inlineStr">
        <is>
          <t>undefined</t>
        </is>
      </c>
      <c r="S2558" t="inlineStr">
        <is>
          <t>558378647562</t>
        </is>
      </c>
    </row>
    <row r="2559" ht="75" customHeight="1">
      <c r="A2559" s="2">
        <f>HYPERLINK("https://camerareadycosmetics.com/products/mehron-highlight-pro-3-color-palette", "https://camerareadycosmetics.com/products/mehron-highlight-pro-3-color-palette")</f>
        <v/>
      </c>
      <c r="B2559" s="2">
        <f>HYPERLINK("https://camerareadycosmetics.com/products/mehron-highlight-pro-3-color-palette", "https://camerareadycosmetics.com/products/mehron-highlight-pro-3-color-palette")</f>
        <v/>
      </c>
      <c r="C2559" t="inlineStr">
        <is>
          <t>Highlight-Pro 3 Color Palette</t>
        </is>
      </c>
      <c r="D2559" t="inlineStr">
        <is>
          <t>Waterproof 2pcs Tri-color Face Concealer Highlight Contour Palette for Light Medium Skin.Demi Beige Color Correct Cream Foundation Palet for Under Eye Dark Circles Eyelid Tattoo.Natural Ivory Cream Makeup Plate corrector de ojeras B</t>
        </is>
      </c>
      <c r="E2559" s="2">
        <f>HYPERLINK("https://www.amazon.com/Waterproof-Tri-color-Concealer-Foundation-Tattoo-Natural/dp/B0BFF5GXW5/ref=sr_1_8?keywords=Highlight-Pro+3+Color+Palette&amp;qid=1695565721&amp;sr=8-8", "https://www.amazon.com/Waterproof-Tri-color-Concealer-Foundation-Tattoo-Natural/dp/B0BFF5GXW5/ref=sr_1_8?keywords=Highlight-Pro+3+Color+Palette&amp;qid=1695565721&amp;sr=8-8")</f>
        <v/>
      </c>
      <c r="F2559" t="inlineStr">
        <is>
          <t>B0BFF5GXW5</t>
        </is>
      </c>
      <c r="G2559">
        <f>_xlfn.IMAGE("https://camerareadycosmetics.com/cdn/shop/products/Mehron-HPW-HPC_Palettes_box_50x.jpg?v=1524078726")</f>
        <v/>
      </c>
      <c r="H2559">
        <f>_xlfn.IMAGE("https://m.media-amazon.com/images/I/51zdnAsT7OL._AC_UL320_.jpg")</f>
        <v/>
      </c>
      <c r="K2559" t="inlineStr">
        <is>
          <t>17.95</t>
        </is>
      </c>
      <c r="L2559" t="n">
        <v>8.99</v>
      </c>
      <c r="M2559" s="1" t="inlineStr">
        <is>
          <t>-49.92%</t>
        </is>
      </c>
      <c r="N2559" t="n">
        <v>3.8</v>
      </c>
      <c r="O2559" t="n">
        <v>43</v>
      </c>
      <c r="Q2559" t="inlineStr">
        <is>
          <t>InStock</t>
        </is>
      </c>
      <c r="R2559" t="inlineStr">
        <is>
          <t>undefined</t>
        </is>
      </c>
      <c r="S2559" t="inlineStr">
        <is>
          <t>558378647562</t>
        </is>
      </c>
    </row>
    <row r="2560" ht="75" customHeight="1">
      <c r="A2560" s="2">
        <f>HYPERLINK("https://camerareadycosmetics.com/products/mehron-highlight-pro-3-color-palette", "https://camerareadycosmetics.com/products/mehron-highlight-pro-3-color-palette")</f>
        <v/>
      </c>
      <c r="B2560" s="2">
        <f>HYPERLINK("https://camerareadycosmetics.com/products/mehron-highlight-pro-3-color-palette", "https://camerareadycosmetics.com/products/mehron-highlight-pro-3-color-palette")</f>
        <v/>
      </c>
      <c r="C2560" t="inlineStr">
        <is>
          <t>Highlight-Pro 3 Color Palette</t>
        </is>
      </c>
      <c r="D2560" t="inlineStr">
        <is>
          <t>Concealer Contour Palette With Brush,3 In 1 Color Correcting Highlight Concealer Contour Makeup Palette,color corrector for dark circles，Contouring foundation palette Waterproof&amp;Long-Lasting,contouring makeup kit for beginners Dark Circles.(White)</t>
        </is>
      </c>
      <c r="E2560" s="2">
        <f>HYPERLINK("https://www.amazon.com/Correcting-circles%EF%BC%8CContouring-foundation-Waterproof-Long-Lasting/dp/B0BP9YMV42/ref=sr_1_4?keywords=Highlight-Pro+3+Color+Palette&amp;qid=1695565721&amp;sr=8-4", "https://www.amazon.com/Correcting-circles%EF%BC%8CContouring-foundation-Waterproof-Long-Lasting/dp/B0BP9YMV42/ref=sr_1_4?keywords=Highlight-Pro+3+Color+Palette&amp;qid=1695565721&amp;sr=8-4")</f>
        <v/>
      </c>
      <c r="F2560" t="inlineStr">
        <is>
          <t>B0BP9YMV42</t>
        </is>
      </c>
      <c r="G2560">
        <f>_xlfn.IMAGE("https://camerareadycosmetics.com/cdn/shop/products/Mehron-HPW-HPC_Palettes_box_50x.jpg?v=1524078726")</f>
        <v/>
      </c>
      <c r="H2560">
        <f>_xlfn.IMAGE("https://m.media-amazon.com/images/I/51Clfj8WjlL._AC_UL320_.jpg")</f>
        <v/>
      </c>
      <c r="K2560" t="inlineStr">
        <is>
          <t>17.95</t>
        </is>
      </c>
      <c r="L2560" t="n">
        <v>6.99</v>
      </c>
      <c r="M2560" s="1" t="inlineStr">
        <is>
          <t>-61.06%</t>
        </is>
      </c>
      <c r="N2560" t="n">
        <v>3.8</v>
      </c>
      <c r="O2560" t="n">
        <v>26</v>
      </c>
      <c r="Q2560" t="inlineStr">
        <is>
          <t>InStock</t>
        </is>
      </c>
      <c r="R2560" t="inlineStr">
        <is>
          <t>undefined</t>
        </is>
      </c>
      <c r="S2560" t="inlineStr">
        <is>
          <t>558378647562</t>
        </is>
      </c>
    </row>
    <row r="2561" ht="75" customHeight="1">
      <c r="A2561" s="2">
        <f>HYPERLINK("https://camerareadycosmetics.com/products/mehron-highlight-pro-3-color-palette", "https://camerareadycosmetics.com/products/mehron-highlight-pro-3-color-palette")</f>
        <v/>
      </c>
      <c r="B2561" s="2">
        <f>HYPERLINK("https://camerareadycosmetics.com/products/mehron-highlight-pro-3-color-palette", "https://camerareadycosmetics.com/products/mehron-highlight-pro-3-color-palette")</f>
        <v/>
      </c>
      <c r="C2561" t="inlineStr">
        <is>
          <t>Highlight-Pro 3 Color Palette</t>
        </is>
      </c>
      <c r="D2561" t="inlineStr">
        <is>
          <t>Apooliy 3 Colors Eyeshadow Palette, Ultra-Pigmented Long-Lasting Matte &amp; Shimmer Eye Makeup Charming Highlight 2.8oz</t>
        </is>
      </c>
      <c r="E2561" s="2">
        <f>HYPERLINK("https://www.amazon.com/Apooliy-Eyeshadow-Ultra-Pigmented-Long-Lasting-Highlight/dp/B0C53D15VR/ref=sr_1_3?keywords=Highlight-Pro+3+Color+Palette&amp;qid=1695565721&amp;sr=8-3", "https://www.amazon.com/Apooliy-Eyeshadow-Ultra-Pigmented-Long-Lasting-Highlight/dp/B0C53D15VR/ref=sr_1_3?keywords=Highlight-Pro+3+Color+Palette&amp;qid=1695565721&amp;sr=8-3")</f>
        <v/>
      </c>
      <c r="F2561" t="inlineStr">
        <is>
          <t>B0C53D15VR</t>
        </is>
      </c>
      <c r="G2561">
        <f>_xlfn.IMAGE("https://camerareadycosmetics.com/cdn/shop/products/Mehron-HPW-HPC_Palettes_box_50x.jpg?v=1524078726")</f>
        <v/>
      </c>
      <c r="H2561">
        <f>_xlfn.IMAGE("https://m.media-amazon.com/images/I/61sSKwGnAfL._AC_UL320_.jpg")</f>
        <v/>
      </c>
      <c r="K2561" t="inlineStr">
        <is>
          <t>17.95</t>
        </is>
      </c>
      <c r="L2561" t="n">
        <v>6.99</v>
      </c>
      <c r="M2561" s="1" t="inlineStr">
        <is>
          <t>-61.06%</t>
        </is>
      </c>
      <c r="N2561" t="n">
        <v>5</v>
      </c>
      <c r="O2561" t="n">
        <v>3</v>
      </c>
      <c r="Q2561" t="inlineStr">
        <is>
          <t>InStock</t>
        </is>
      </c>
      <c r="R2561" t="inlineStr">
        <is>
          <t>undefined</t>
        </is>
      </c>
      <c r="S2561" t="inlineStr">
        <is>
          <t>558378647562</t>
        </is>
      </c>
    </row>
    <row r="2562" ht="75" customHeight="1">
      <c r="A2562" s="2">
        <f>HYPERLINK("https://camerareadycosmetics.com/products/mehron-hydro-prep-pro", "https://camerareadycosmetics.com/products/mehron-hydro-prep-pro")</f>
        <v/>
      </c>
      <c r="B2562" s="2">
        <f>HYPERLINK("https://camerareadycosmetics.com/products/mehron-hydro-prep-pro", "https://camerareadycosmetics.com/products/mehron-hydro-prep-pro")</f>
        <v/>
      </c>
      <c r="C2562" t="inlineStr">
        <is>
          <t>Hydro Prep Pro</t>
        </is>
      </c>
      <c r="D2562" t="inlineStr">
        <is>
          <t>Mehron Hydro Prep Pro Hydrating Hyaluronic Acid Serum| Moisturizing and Hydrating Hyaluronic Face Serum for Face | Gel Makeup Primer 4 fl oz (120 ml)</t>
        </is>
      </c>
      <c r="E2562" s="2">
        <f>HYPERLINK("https://www.amazon.com/Hydro-Prep-Pro-Hydrating-Hyaluronic/dp/B09MSLFT4Q/ref=sr_1_1?keywords=Hydro+Prep+Pro&amp;qid=1695565531&amp;sr=8-1", "https://www.amazon.com/Hydro-Prep-Pro-Hydrating-Hyaluronic/dp/B09MSLFT4Q/ref=sr_1_1?keywords=Hydro+Prep+Pro&amp;qid=1695565531&amp;sr=8-1")</f>
        <v/>
      </c>
      <c r="F2562" t="inlineStr">
        <is>
          <t>B09MSLFT4Q</t>
        </is>
      </c>
      <c r="G2562">
        <f>_xlfn.IMAGE("https://camerareadycosmetics.com/cdn/shop/products/mehron-189_HydroPrep_1000px_50x.jpg?v=1642445613")</f>
        <v/>
      </c>
      <c r="H2562">
        <f>_xlfn.IMAGE("https://m.media-amazon.com/images/I/518MRk19fBL._AC_UL320_.jpg")</f>
        <v/>
      </c>
      <c r="K2562" t="inlineStr">
        <is>
          <t>11.95</t>
        </is>
      </c>
      <c r="L2562" t="n">
        <v>14.95</v>
      </c>
      <c r="M2562" s="1" t="inlineStr">
        <is>
          <t>25.10%</t>
        </is>
      </c>
      <c r="N2562" t="n">
        <v>4.5</v>
      </c>
      <c r="O2562" t="n">
        <v>71</v>
      </c>
      <c r="Q2562" t="inlineStr">
        <is>
          <t>InStock</t>
        </is>
      </c>
      <c r="R2562" t="inlineStr">
        <is>
          <t>undefined</t>
        </is>
      </c>
      <c r="S2562" t="inlineStr">
        <is>
          <t>7160774820025</t>
        </is>
      </c>
    </row>
    <row r="2563" ht="75" customHeight="1">
      <c r="A2563" s="2">
        <f>HYPERLINK("https://camerareadycosmetics.com/products/mehron-lipstix-lipstick-sealer", "https://camerareadycosmetics.com/products/mehron-lipstix-lipstick-sealer")</f>
        <v/>
      </c>
      <c r="B2563" s="2">
        <f>HYPERLINK("https://camerareadycosmetics.com/products/mehron-lipstix-lipstick-sealer", "https://camerareadycosmetics.com/products/mehron-lipstix-lipstick-sealer")</f>
        <v/>
      </c>
      <c r="C2563" t="inlineStr">
        <is>
          <t>LIPSTIX Lipstick Sealer</t>
        </is>
      </c>
      <c r="D2563" t="inlineStr">
        <is>
          <t>Mehron Makeup LipStix Sealer | Professional Lipstick Sealer| Lip Seal, Lip Lock, Lip Top Coat .5 oz (14 ml)</t>
        </is>
      </c>
      <c r="E2563" s="2">
        <f>HYPERLINK("https://www.amazon.com/Mehron-Makeup-Lipstick-Sealer-5/dp/B000EGH1RU/ref=sr_1_1?keywords=LIPSTIX+Lipstick+Sealer&amp;qid=1695565467&amp;sr=8-1", "https://www.amazon.com/Mehron-Makeup-Lipstick-Sealer-5/dp/B000EGH1RU/ref=sr_1_1?keywords=LIPSTIX+Lipstick+Sealer&amp;qid=1695565467&amp;sr=8-1")</f>
        <v/>
      </c>
      <c r="F2563" t="inlineStr">
        <is>
          <t>B000EGH1RU</t>
        </is>
      </c>
      <c r="G2563">
        <f>_xlfn.IMAGE("https://camerareadycosmetics.com/cdn/shop/products/mehron-lipstix-lipstick-sealer_50x.jpg?v=1689634356")</f>
        <v/>
      </c>
      <c r="H2563">
        <f>_xlfn.IMAGE("https://m.media-amazon.com/images/I/412A1mzMt1L._AC_UL320_.jpg")</f>
        <v/>
      </c>
      <c r="K2563" t="inlineStr">
        <is>
          <t>6.95</t>
        </is>
      </c>
      <c r="L2563" t="n">
        <v>9.949999999999999</v>
      </c>
      <c r="M2563" s="1" t="inlineStr">
        <is>
          <t>43.17%</t>
        </is>
      </c>
      <c r="N2563" t="n">
        <v>3.1</v>
      </c>
      <c r="O2563" t="n">
        <v>387</v>
      </c>
      <c r="Q2563" t="inlineStr">
        <is>
          <t>InStock</t>
        </is>
      </c>
      <c r="R2563" t="inlineStr">
        <is>
          <t>undefined</t>
        </is>
      </c>
      <c r="S2563" t="inlineStr">
        <is>
          <t>7036936647</t>
        </is>
      </c>
    </row>
    <row r="2564" ht="75" customHeight="1">
      <c r="A2564" s="2">
        <f>HYPERLINK("https://camerareadycosmetics.com/products/mehron-mixing-liquid-4-5oz", "https://camerareadycosmetics.com/products/mehron-mixing-liquid-4-5oz")</f>
        <v/>
      </c>
      <c r="B2564" s="2">
        <f>HYPERLINK("https://camerareadycosmetics.com/products/mehron-mixing-liquid-4-5oz", "https://camerareadycosmetics.com/products/mehron-mixing-liquid-4-5oz")</f>
        <v/>
      </c>
      <c r="C2564" t="inlineStr">
        <is>
          <t>Mixing Liquid</t>
        </is>
      </c>
      <c r="D2564" t="inlineStr">
        <is>
          <t>Mehron Makeup Metallic Powder (.17 oz) with Mixing Liquid (1 oz) (COPPER)</t>
        </is>
      </c>
      <c r="E2564" s="2">
        <f>HYPERLINK("https://www.amazon.com/Mehron-Makeup-Metallic-Powder-Mixing/dp/B0057Z8VM2/ref=sr_1_3?keywords=Mixing+Liquid&amp;qid=1695565452&amp;sr=8-3", "https://www.amazon.com/Mehron-Makeup-Metallic-Powder-Mixing/dp/B0057Z8VM2/ref=sr_1_3?keywords=Mixing+Liquid&amp;qid=1695565452&amp;sr=8-3")</f>
        <v/>
      </c>
      <c r="F2564" t="inlineStr">
        <is>
          <t>B0057Z8VM2</t>
        </is>
      </c>
      <c r="G2564">
        <f>_xlfn.IMAGE("https://camerareadycosmetics.com/cdn/shop/products/Mixing_Liquid_label__35865.1466783373.1280.1280__99799.1470065192.1280.1280_50x.jpg?v=1506736982")</f>
        <v/>
      </c>
      <c r="H2564">
        <f>_xlfn.IMAGE("https://m.media-amazon.com/images/I/71yosRc2bVL._AC_UL320_.jpg")</f>
        <v/>
      </c>
      <c r="K2564" t="inlineStr">
        <is>
          <t>9.95</t>
        </is>
      </c>
      <c r="L2564" t="n">
        <v>14.95</v>
      </c>
      <c r="M2564" s="1" t="inlineStr">
        <is>
          <t>50.25%</t>
        </is>
      </c>
      <c r="N2564" t="n">
        <v>4.6</v>
      </c>
      <c r="O2564" t="n">
        <v>1044</v>
      </c>
      <c r="Q2564" t="inlineStr">
        <is>
          <t>InStock</t>
        </is>
      </c>
      <c r="R2564" t="inlineStr">
        <is>
          <t>undefined</t>
        </is>
      </c>
      <c r="S2564" t="inlineStr">
        <is>
          <t>7049174535</t>
        </is>
      </c>
    </row>
    <row r="2565" ht="75" customHeight="1">
      <c r="A2565" s="2">
        <f>HYPERLINK("https://camerareadycosmetics.com/products/mehron-mixing-liquid-4-5oz", "https://camerareadycosmetics.com/products/mehron-mixing-liquid-4-5oz")</f>
        <v/>
      </c>
      <c r="B2565" s="2">
        <f>HYPERLINK("https://camerareadycosmetics.com/products/mehron-mixing-liquid-4-5oz", "https://camerareadycosmetics.com/products/mehron-mixing-liquid-4-5oz")</f>
        <v/>
      </c>
      <c r="C2565" t="inlineStr">
        <is>
          <t>Mixing Liquid</t>
        </is>
      </c>
      <c r="D2565" t="inlineStr">
        <is>
          <t>Mehron Makeup Mixing Liquid (4.5 oz)</t>
        </is>
      </c>
      <c r="E2565" s="2" t="n"/>
      <c r="F2565" t="inlineStr">
        <is>
          <t>B004Z26GSO</t>
        </is>
      </c>
      <c r="G2565">
        <f>_xlfn.IMAGE("https://camerareadycosmetics.com/cdn/shop/products/Mixing_Liquid_label__35865.1466783373.1280.1280__99799.1470065192.1280.1280_50x.jpg?v=1506736982")</f>
        <v/>
      </c>
      <c r="H2565">
        <f>_xlfn.IMAGE("https://m.media-amazon.com/images/I/71hfSzemfVL._AC_UL320_.jpg")</f>
        <v/>
      </c>
      <c r="K2565" t="inlineStr">
        <is>
          <t>9.95</t>
        </is>
      </c>
      <c r="L2565" t="n">
        <v>12.95</v>
      </c>
      <c r="M2565" s="1" t="inlineStr">
        <is>
          <t>30.15%</t>
        </is>
      </c>
      <c r="N2565" t="n">
        <v>4.4</v>
      </c>
      <c r="O2565" t="n">
        <v>2626</v>
      </c>
      <c r="Q2565" t="inlineStr">
        <is>
          <t>InStock</t>
        </is>
      </c>
      <c r="R2565" t="inlineStr">
        <is>
          <t>undefined</t>
        </is>
      </c>
      <c r="S2565" t="inlineStr">
        <is>
          <t>7049174535</t>
        </is>
      </c>
    </row>
    <row r="2566" ht="75" customHeight="1">
      <c r="A2566" s="2">
        <f>HYPERLINK("https://camerareadycosmetics.com/products/mehron-mixing-liquid-4-5oz", "https://camerareadycosmetics.com/products/mehron-mixing-liquid-4-5oz")</f>
        <v/>
      </c>
      <c r="B2566" s="2">
        <f>HYPERLINK("https://camerareadycosmetics.com/products/mehron-mixing-liquid-4-5oz", "https://camerareadycosmetics.com/products/mehron-mixing-liquid-4-5oz")</f>
        <v/>
      </c>
      <c r="C2566" t="inlineStr">
        <is>
          <t>Mixing Liquid</t>
        </is>
      </c>
      <c r="D2566" t="inlineStr">
        <is>
          <t>Mehron Makeup Mixing Liquid (4.5 oz)</t>
        </is>
      </c>
      <c r="E2566" s="2">
        <f>HYPERLINK("https://www.amazon.com/Mehron-Makeup-Mixing-Liquid-4-5/dp/B004Z26GSO/ref=sr_1_2?keywords=Mixing+Liquid&amp;qid=1695565452&amp;sr=8-2", "https://www.amazon.com/Mehron-Makeup-Mixing-Liquid-4-5/dp/B004Z26GSO/ref=sr_1_2?keywords=Mixing+Liquid&amp;qid=1695565452&amp;sr=8-2")</f>
        <v/>
      </c>
      <c r="F2566" t="inlineStr">
        <is>
          <t>B004Z26GSO</t>
        </is>
      </c>
      <c r="G2566">
        <f>_xlfn.IMAGE("https://camerareadycosmetics.com/cdn/shop/products/Mixing_Liquid_label__35865.1466783373.1280.1280__99799.1470065192.1280.1280_50x.jpg?v=1506736982")</f>
        <v/>
      </c>
      <c r="H2566">
        <f>_xlfn.IMAGE("https://m.media-amazon.com/images/I/71hfSzemfVL._AC_UL320_.jpg")</f>
        <v/>
      </c>
      <c r="K2566" t="inlineStr">
        <is>
          <t>9.95</t>
        </is>
      </c>
      <c r="L2566" t="n">
        <v>12.95</v>
      </c>
      <c r="M2566" s="1" t="inlineStr">
        <is>
          <t>30.15%</t>
        </is>
      </c>
      <c r="N2566" t="n">
        <v>4.4</v>
      </c>
      <c r="O2566" t="n">
        <v>2626</v>
      </c>
      <c r="Q2566" t="inlineStr">
        <is>
          <t>InStock</t>
        </is>
      </c>
      <c r="R2566" t="inlineStr">
        <is>
          <t>undefined</t>
        </is>
      </c>
      <c r="S2566" t="inlineStr">
        <is>
          <t>7049174535</t>
        </is>
      </c>
    </row>
    <row r="2567" ht="75" customHeight="1">
      <c r="A2567" s="2">
        <f>HYPERLINK("https://camerareadycosmetics.com/products/mehron-mixing-liquid-4-5oz", "https://camerareadycosmetics.com/products/mehron-mixing-liquid-4-5oz")</f>
        <v/>
      </c>
      <c r="B2567" s="2">
        <f>HYPERLINK("https://camerareadycosmetics.com/products/mehron-mixing-liquid-4-5oz", "https://camerareadycosmetics.com/products/mehron-mixing-liquid-4-5oz")</f>
        <v/>
      </c>
      <c r="C2567" t="inlineStr">
        <is>
          <t>Mixing Liquid</t>
        </is>
      </c>
      <c r="D2567" t="inlineStr">
        <is>
          <t>Graftobian Glitter Glam Liquid Skin Sparkle (Clear Mixing Base)</t>
        </is>
      </c>
      <c r="E2567" s="2">
        <f>HYPERLINK("https://www.amazon.com/Graftobian-Glitter-Liquid-Sparkle-Mixing/dp/B00BQJUXJM/ref=sr_1_8?keywords=Mixing+Liquid&amp;qid=1695565452&amp;sr=8-8", "https://www.amazon.com/Graftobian-Glitter-Liquid-Sparkle-Mixing/dp/B00BQJUXJM/ref=sr_1_8?keywords=Mixing+Liquid&amp;qid=1695565452&amp;sr=8-8")</f>
        <v/>
      </c>
      <c r="F2567" t="inlineStr">
        <is>
          <t>B00BQJUXJM</t>
        </is>
      </c>
      <c r="G2567">
        <f>_xlfn.IMAGE("https://camerareadycosmetics.com/cdn/shop/products/Mixing_Liquid_label__35865.1466783373.1280.1280__99799.1470065192.1280.1280_50x.jpg?v=1506736982")</f>
        <v/>
      </c>
      <c r="H2567">
        <f>_xlfn.IMAGE("https://m.media-amazon.com/images/I/614s+tI4AXL._AC_UL320_.jpg")</f>
        <v/>
      </c>
      <c r="K2567" t="inlineStr">
        <is>
          <t>9.95</t>
        </is>
      </c>
      <c r="L2567" t="n">
        <v>12</v>
      </c>
      <c r="M2567" s="1" t="inlineStr">
        <is>
          <t>20.60%</t>
        </is>
      </c>
      <c r="N2567" t="n">
        <v>4.2</v>
      </c>
      <c r="O2567" t="n">
        <v>29</v>
      </c>
      <c r="Q2567" t="inlineStr">
        <is>
          <t>InStock</t>
        </is>
      </c>
      <c r="R2567" t="inlineStr">
        <is>
          <t>undefined</t>
        </is>
      </c>
      <c r="S2567" t="inlineStr">
        <is>
          <t>7049174535</t>
        </is>
      </c>
    </row>
    <row r="2568" ht="75" customHeight="1">
      <c r="A2568" s="2">
        <f>HYPERLINK("https://camerareadycosmetics.com/products/mehron-mixing-liquid-4-5oz", "https://camerareadycosmetics.com/products/mehron-mixing-liquid-4-5oz")</f>
        <v/>
      </c>
      <c r="B2568" s="2">
        <f>HYPERLINK("https://camerareadycosmetics.com/products/mehron-mixing-liquid-4-5oz", "https://camerareadycosmetics.com/products/mehron-mixing-liquid-4-5oz")</f>
        <v/>
      </c>
      <c r="C2568" t="inlineStr">
        <is>
          <t>Mixing Liquid</t>
        </is>
      </c>
      <c r="D2568" t="inlineStr">
        <is>
          <t>Schoner Brunnen Duraline Makeup Mixing Liquid Cosmetics Eyeshadow Sealant Prolong Makeup Pigment Durability 10ml/0.33 US FL OZ</t>
        </is>
      </c>
      <c r="E2568" s="2">
        <f>HYPERLINK("https://www.amazon.com/Duraline-Cosmetics-Eyeshadow-Sealant-Durability/dp/B09PMYLC13/ref=sr_1_4?keywords=Mixing+Liquid&amp;qid=1695565452&amp;sr=8-4", "https://www.amazon.com/Duraline-Cosmetics-Eyeshadow-Sealant-Durability/dp/B09PMYLC13/ref=sr_1_4?keywords=Mixing+Liquid&amp;qid=1695565452&amp;sr=8-4")</f>
        <v/>
      </c>
      <c r="F2568" t="inlineStr">
        <is>
          <t>B09PMYLC13</t>
        </is>
      </c>
      <c r="G2568">
        <f>_xlfn.IMAGE("https://camerareadycosmetics.com/cdn/shop/products/Mixing_Liquid_label__35865.1466783373.1280.1280__99799.1470065192.1280.1280_50x.jpg?v=1506736982")</f>
        <v/>
      </c>
      <c r="H2568">
        <f>_xlfn.IMAGE("https://m.media-amazon.com/images/I/41bMWhmuvDL._AC_UL320_.jpg")</f>
        <v/>
      </c>
      <c r="K2568" t="inlineStr">
        <is>
          <t>9.95</t>
        </is>
      </c>
      <c r="L2568" t="n">
        <v>11.99</v>
      </c>
      <c r="M2568" s="1" t="inlineStr">
        <is>
          <t>20.50%</t>
        </is>
      </c>
      <c r="N2568" t="n">
        <v>4.2</v>
      </c>
      <c r="O2568" t="n">
        <v>120</v>
      </c>
      <c r="Q2568" t="inlineStr">
        <is>
          <t>InStock</t>
        </is>
      </c>
      <c r="R2568" t="inlineStr">
        <is>
          <t>undefined</t>
        </is>
      </c>
      <c r="S2568" t="inlineStr">
        <is>
          <t>7049174535</t>
        </is>
      </c>
    </row>
    <row r="2569" ht="75" customHeight="1">
      <c r="A2569" s="2">
        <f>HYPERLINK("https://camerareadycosmetics.com/products/mehron-mixing-liquid-4-5oz", "https://camerareadycosmetics.com/products/mehron-mixing-liquid-4-5oz")</f>
        <v/>
      </c>
      <c r="B2569" s="2">
        <f>HYPERLINK("https://camerareadycosmetics.com/products/mehron-mixing-liquid-4-5oz", "https://camerareadycosmetics.com/products/mehron-mixing-liquid-4-5oz")</f>
        <v/>
      </c>
      <c r="C2569" t="inlineStr">
        <is>
          <t>Mixing Liquid</t>
        </is>
      </c>
      <c r="D2569" t="inlineStr">
        <is>
          <t>4 Pieces Plastic Double Dappen Dish Plastics Nail Art Tools Bowl Cup Soaking Dappen Dish with Lid for Mixing Acrylic Powder Liquid Nail Art Manicures Products, White and Rose-Red</t>
        </is>
      </c>
      <c r="E2569" s="2">
        <f>HYPERLINK("https://www.amazon.com/Plastic-Plastics-Manicures-Products-Rose-Red/dp/B07WDJYGQD/ref=sr_1_9?keywords=Mixing+Liquid&amp;qid=1695565452&amp;sr=8-9", "https://www.amazon.com/Plastic-Plastics-Manicures-Products-Rose-Red/dp/B07WDJYGQD/ref=sr_1_9?keywords=Mixing+Liquid&amp;qid=1695565452&amp;sr=8-9")</f>
        <v/>
      </c>
      <c r="F2569" t="inlineStr">
        <is>
          <t>B07WDJYGQD</t>
        </is>
      </c>
      <c r="G2569">
        <f>_xlfn.IMAGE("https://camerareadycosmetics.com/cdn/shop/products/Mixing_Liquid_label__35865.1466783373.1280.1280__99799.1470065192.1280.1280_50x.jpg?v=1506736982")</f>
        <v/>
      </c>
      <c r="H2569">
        <f>_xlfn.IMAGE("https://m.media-amazon.com/images/I/51k+pDis0uL._AC_UL320_.jpg")</f>
        <v/>
      </c>
      <c r="K2569" t="inlineStr">
        <is>
          <t>9.95</t>
        </is>
      </c>
      <c r="L2569" t="n">
        <v>7.97</v>
      </c>
      <c r="M2569" s="1" t="inlineStr">
        <is>
          <t>-19.90%</t>
        </is>
      </c>
      <c r="N2569" t="n">
        <v>4.5</v>
      </c>
      <c r="O2569" t="n">
        <v>12</v>
      </c>
      <c r="Q2569" t="inlineStr">
        <is>
          <t>InStock</t>
        </is>
      </c>
      <c r="R2569" t="inlineStr">
        <is>
          <t>undefined</t>
        </is>
      </c>
      <c r="S2569" t="inlineStr">
        <is>
          <t>7049174535</t>
        </is>
      </c>
    </row>
    <row r="2570" ht="75" customHeight="1">
      <c r="A2570" s="2">
        <f>HYPERLINK("https://camerareadycosmetics.com/products/mehron-mixing-liquid-4-5oz", "https://camerareadycosmetics.com/products/mehron-mixing-liquid-4-5oz")</f>
        <v/>
      </c>
      <c r="B2570" s="2">
        <f>HYPERLINK("https://camerareadycosmetics.com/products/mehron-mixing-liquid-4-5oz", "https://camerareadycosmetics.com/products/mehron-mixing-liquid-4-5oz")</f>
        <v/>
      </c>
      <c r="C2570" t="inlineStr">
        <is>
          <t>Mixing Liquid</t>
        </is>
      </c>
      <c r="D2570" t="inlineStr">
        <is>
          <t>Erinde Orange Foundation Mixing Pigment Color Corrector Makeup, Matte Pigment For Foundation, Smooth Lightweight Liquid Foundation Mixing Pigment, Ultra-Blendable, Cold to Warm, Cruelty-Free, 0.67 Oz.</t>
        </is>
      </c>
      <c r="E2570" s="2">
        <f>HYPERLINK("https://www.amazon.com/Erinde-Foundation-Lightweight-Ultra-Blendable-Cruelty-Free/dp/B0BW9169L5/ref=sr_1_7?keywords=Mixing+Liquid&amp;qid=1695565452&amp;sr=8-7", "https://www.amazon.com/Erinde-Foundation-Lightweight-Ultra-Blendable-Cruelty-Free/dp/B0BW9169L5/ref=sr_1_7?keywords=Mixing+Liquid&amp;qid=1695565452&amp;sr=8-7")</f>
        <v/>
      </c>
      <c r="F2570" t="inlineStr">
        <is>
          <t>B0BW9169L5</t>
        </is>
      </c>
      <c r="G2570">
        <f>_xlfn.IMAGE("https://camerareadycosmetics.com/cdn/shop/products/Mixing_Liquid_label__35865.1466783373.1280.1280__99799.1470065192.1280.1280_50x.jpg?v=1506736982")</f>
        <v/>
      </c>
      <c r="H2570">
        <f>_xlfn.IMAGE("https://m.media-amazon.com/images/I/61G6oJmGf9L._AC_UL320_.jpg")</f>
        <v/>
      </c>
      <c r="K2570" t="inlineStr">
        <is>
          <t>9.95</t>
        </is>
      </c>
      <c r="L2570" t="n">
        <v>6.99</v>
      </c>
      <c r="M2570" s="1" t="inlineStr">
        <is>
          <t>-29.75%</t>
        </is>
      </c>
      <c r="N2570" t="n">
        <v>4.2</v>
      </c>
      <c r="O2570" t="n">
        <v>25</v>
      </c>
      <c r="Q2570" t="inlineStr">
        <is>
          <t>InStock</t>
        </is>
      </c>
      <c r="R2570" t="inlineStr">
        <is>
          <t>undefined</t>
        </is>
      </c>
      <c r="S2570" t="inlineStr">
        <is>
          <t>7049174535</t>
        </is>
      </c>
    </row>
    <row r="2571" ht="75" customHeight="1">
      <c r="A2571" s="2">
        <f>HYPERLINK("https://camerareadycosmetics.com/products/mehron-pencil-liner", "https://camerareadycosmetics.com/products/mehron-pencil-liner")</f>
        <v/>
      </c>
      <c r="B2571" s="2">
        <f>HYPERLINK("https://camerareadycosmetics.com/products/mehron-pencil-liner", "https://camerareadycosmetics.com/products/mehron-pencil-liner")</f>
        <v/>
      </c>
      <c r="C2571" t="inlineStr">
        <is>
          <t>Pencil Liner</t>
        </is>
      </c>
      <c r="D2571" t="inlineStr">
        <is>
          <t>54pcs Nabi Lip Liner Pencils</t>
        </is>
      </c>
      <c r="E2571" s="2">
        <f>HYPERLINK("https://www.amazon.com/54pcs-Nabi-Quality-Liner-Pencils/dp/B00CVDTMI0/ref=sr_1_5?keywords=Pencil+Liner&amp;qid=1695565495&amp;sr=8-5", "https://www.amazon.com/54pcs-Nabi-Quality-Liner-Pencils/dp/B00CVDTMI0/ref=sr_1_5?keywords=Pencil+Liner&amp;qid=1695565495&amp;sr=8-5")</f>
        <v/>
      </c>
      <c r="F2571" t="inlineStr">
        <is>
          <t>B00CVDTMI0</t>
        </is>
      </c>
      <c r="G2571">
        <f>_xlfn.IMAGE("https://camerareadycosmetics.com/cdn/shop/files/brown_grande_0714790d-fafe-466b-b31a-24ce5ede3bcb_50x.jpg?v=1687196759")</f>
        <v/>
      </c>
      <c r="H2571">
        <f>_xlfn.IMAGE("https://m.media-amazon.com/images/I/91mvVvVrK1L._AC_UL320_.jpg")</f>
        <v/>
      </c>
      <c r="K2571" t="inlineStr">
        <is>
          <t>4.95</t>
        </is>
      </c>
      <c r="L2571" t="n">
        <v>27.7</v>
      </c>
      <c r="M2571" s="1" t="inlineStr">
        <is>
          <t>459.60%</t>
        </is>
      </c>
      <c r="N2571" t="n">
        <v>4.6</v>
      </c>
      <c r="O2571" t="n">
        <v>4535</v>
      </c>
      <c r="Q2571" t="inlineStr">
        <is>
          <t>InStock</t>
        </is>
      </c>
      <c r="R2571" t="inlineStr">
        <is>
          <t>undefined</t>
        </is>
      </c>
      <c r="S2571" t="inlineStr">
        <is>
          <t>7037337735</t>
        </is>
      </c>
    </row>
    <row r="2572" ht="75" customHeight="1">
      <c r="A2572" s="2">
        <f>HYPERLINK("https://camerareadycosmetics.com/products/mehron-pencil-liner", "https://camerareadycosmetics.com/products/mehron-pencil-liner")</f>
        <v/>
      </c>
      <c r="B2572" s="2">
        <f>HYPERLINK("https://camerareadycosmetics.com/products/mehron-pencil-liner", "https://camerareadycosmetics.com/products/mehron-pencil-liner")</f>
        <v/>
      </c>
      <c r="C2572" t="inlineStr">
        <is>
          <t>Pencil Liner</t>
        </is>
      </c>
      <c r="D2572" t="inlineStr">
        <is>
          <t>Revlon ColorStay Pencil Eyeliner with Built-in Sharpener, Waterproof, Smudgeproof, Longwearing Eye Makeup with Ultra-Fine Tip, 201 Black, 2 Pack</t>
        </is>
      </c>
      <c r="E2572" s="2">
        <f>HYPERLINK("https://www.amazon.com/ColorStay-Waterproof-Smudgeproof-Longwearing-Ultra-Fine/dp/B01J1A3TFW/ref=sr_1_6?keywords=Pencil+Liner&amp;qid=1695565495&amp;sr=8-6", "https://www.amazon.com/ColorStay-Waterproof-Smudgeproof-Longwearing-Ultra-Fine/dp/B01J1A3TFW/ref=sr_1_6?keywords=Pencil+Liner&amp;qid=1695565495&amp;sr=8-6")</f>
        <v/>
      </c>
      <c r="F2572" t="inlineStr">
        <is>
          <t>B01J1A3TFW</t>
        </is>
      </c>
      <c r="G2572">
        <f>_xlfn.IMAGE("https://camerareadycosmetics.com/cdn/shop/files/brown_grande_0714790d-fafe-466b-b31a-24ce5ede3bcb_50x.jpg?v=1687196759")</f>
        <v/>
      </c>
      <c r="H2572">
        <f>_xlfn.IMAGE("https://m.media-amazon.com/images/I/81NPQaWcQ6L._AC_UL320_.jpg")</f>
        <v/>
      </c>
      <c r="K2572" t="inlineStr">
        <is>
          <t>4.95</t>
        </is>
      </c>
      <c r="L2572" t="n">
        <v>11</v>
      </c>
      <c r="M2572" s="1" t="inlineStr">
        <is>
          <t>122.22%</t>
        </is>
      </c>
      <c r="N2572" t="n">
        <v>4.5</v>
      </c>
      <c r="O2572" t="n">
        <v>27754</v>
      </c>
      <c r="Q2572" t="inlineStr">
        <is>
          <t>InStock</t>
        </is>
      </c>
      <c r="R2572" t="inlineStr">
        <is>
          <t>undefined</t>
        </is>
      </c>
      <c r="S2572" t="inlineStr">
        <is>
          <t>7037337735</t>
        </is>
      </c>
    </row>
    <row r="2573" ht="75" customHeight="1">
      <c r="A2573" s="2">
        <f>HYPERLINK("https://camerareadycosmetics.com/products/mehron-pencil-liner", "https://camerareadycosmetics.com/products/mehron-pencil-liner")</f>
        <v/>
      </c>
      <c r="B2573" s="2">
        <f>HYPERLINK("https://camerareadycosmetics.com/products/mehron-pencil-liner", "https://camerareadycosmetics.com/products/mehron-pencil-liner")</f>
        <v/>
      </c>
      <c r="C2573" t="inlineStr">
        <is>
          <t>Pencil Liner</t>
        </is>
      </c>
      <c r="D2573" t="inlineStr">
        <is>
          <t>CLIO Extreme Gelpresso Pencil Eyeliner, Smudge-Proof, Waterproof, Long-Lasting, Long-Wear, 6 Cool and Warm Tone Shades, Ultra-Smooth, Creamy Formula, Precise Application, Retractable, Versatile Looks (004 GRAY BROWN)</t>
        </is>
      </c>
      <c r="E2573" s="2">
        <f>HYPERLINK("https://www.amazon.com/CLIO-Smudge-Proof-Long-Lasting-Ultra-Smooth-Application/dp/B09SPDZKDK/ref=sr_1_3?keywords=Pencil+Liner&amp;qid=1695565495&amp;sr=8-3", "https://www.amazon.com/CLIO-Smudge-Proof-Long-Lasting-Ultra-Smooth-Application/dp/B09SPDZKDK/ref=sr_1_3?keywords=Pencil+Liner&amp;qid=1695565495&amp;sr=8-3")</f>
        <v/>
      </c>
      <c r="F2573" t="inlineStr">
        <is>
          <t>B09SPDZKDK</t>
        </is>
      </c>
      <c r="G2573">
        <f>_xlfn.IMAGE("https://camerareadycosmetics.com/cdn/shop/files/brown_grande_0714790d-fafe-466b-b31a-24ce5ede3bcb_50x.jpg?v=1687196759")</f>
        <v/>
      </c>
      <c r="H2573">
        <f>_xlfn.IMAGE("https://m.media-amazon.com/images/I/41GBRtLLwVL._AC_UL320_.jpg")</f>
        <v/>
      </c>
      <c r="K2573" t="inlineStr">
        <is>
          <t>4.95</t>
        </is>
      </c>
      <c r="L2573" t="n">
        <v>9.99</v>
      </c>
      <c r="M2573" s="1" t="inlineStr">
        <is>
          <t>101.82%</t>
        </is>
      </c>
      <c r="N2573" t="n">
        <v>4.4</v>
      </c>
      <c r="O2573" t="n">
        <v>207</v>
      </c>
      <c r="Q2573" t="inlineStr">
        <is>
          <t>InStock</t>
        </is>
      </c>
      <c r="R2573" t="inlineStr">
        <is>
          <t>undefined</t>
        </is>
      </c>
      <c r="S2573" t="inlineStr">
        <is>
          <t>7037337735</t>
        </is>
      </c>
    </row>
    <row r="2574" ht="75" customHeight="1">
      <c r="A2574" s="2">
        <f>HYPERLINK("https://camerareadycosmetics.com/products/mehron-pencil-liner", "https://camerareadycosmetics.com/products/mehron-pencil-liner")</f>
        <v/>
      </c>
      <c r="B2574" s="2">
        <f>HYPERLINK("https://camerareadycosmetics.com/products/mehron-pencil-liner", "https://camerareadycosmetics.com/products/mehron-pencil-liner")</f>
        <v/>
      </c>
      <c r="C2574" t="inlineStr">
        <is>
          <t>Pencil Liner</t>
        </is>
      </c>
      <c r="D2574" t="inlineStr">
        <is>
          <t>CLIO Sharp So Simple Waterproof Pencil Eye Liner, Micro Precision Tip (2mm), Twist Up, Self-Sharpening, Long Lasting, Smudge-Resistant, High-Intensity Color, Ultra-Smooth (02 Brown)</t>
        </is>
      </c>
      <c r="E2574" s="2">
        <f>HYPERLINK("https://www.amazon.com/CLIO-Self-Sharpening-Smudge-Resistant-High-Intensity-Ultra-Smooth/dp/B07TS7CFTS/ref=sr_1_8?keywords=Pencil+Liner&amp;qid=1695565495&amp;sr=8-8", "https://www.amazon.com/CLIO-Self-Sharpening-Smudge-Resistant-High-Intensity-Ultra-Smooth/dp/B07TS7CFTS/ref=sr_1_8?keywords=Pencil+Liner&amp;qid=1695565495&amp;sr=8-8")</f>
        <v/>
      </c>
      <c r="F2574" t="inlineStr">
        <is>
          <t>B07TS7CFTS</t>
        </is>
      </c>
      <c r="G2574">
        <f>_xlfn.IMAGE("https://camerareadycosmetics.com/cdn/shop/files/brown_grande_0714790d-fafe-466b-b31a-24ce5ede3bcb_50x.jpg?v=1687196759")</f>
        <v/>
      </c>
      <c r="H2574">
        <f>_xlfn.IMAGE("https://m.media-amazon.com/images/I/51k7JlzZsWL._AC_UL320_.jpg")</f>
        <v/>
      </c>
      <c r="K2574" t="inlineStr">
        <is>
          <t>4.95</t>
        </is>
      </c>
      <c r="L2574" t="n">
        <v>9.9</v>
      </c>
      <c r="M2574" s="1" t="inlineStr">
        <is>
          <t>100.00%</t>
        </is>
      </c>
      <c r="N2574" t="n">
        <v>4.3</v>
      </c>
      <c r="O2574" t="n">
        <v>2231</v>
      </c>
      <c r="Q2574" t="inlineStr">
        <is>
          <t>InStock</t>
        </is>
      </c>
      <c r="R2574" t="inlineStr">
        <is>
          <t>undefined</t>
        </is>
      </c>
      <c r="S2574" t="inlineStr">
        <is>
          <t>7037337735</t>
        </is>
      </c>
    </row>
    <row r="2575" ht="75" customHeight="1">
      <c r="A2575" s="2">
        <f>HYPERLINK("https://camerareadycosmetics.com/products/mehron-pencil-liner", "https://camerareadycosmetics.com/products/mehron-pencil-liner")</f>
        <v/>
      </c>
      <c r="B2575" s="2">
        <f>HYPERLINK("https://camerareadycosmetics.com/products/mehron-pencil-liner", "https://camerareadycosmetics.com/products/mehron-pencil-liner")</f>
        <v/>
      </c>
      <c r="C2575" t="inlineStr">
        <is>
          <t>Pencil Liner</t>
        </is>
      </c>
      <c r="D2575" t="inlineStr">
        <is>
          <t>Gel Eyeliner Pencil - Black &amp; Brown Waterproof Smudge-proof Matte Gel Eyeliner Pencil, Fade-Proof Eye Liner Smooth Tattoo Eyeliner Pencil for Women Cat Eye/Smoky Eye Makeup with Sharpener</t>
        </is>
      </c>
      <c r="E2575" s="2">
        <f>HYPERLINK("https://www.amazon.com/LYSdefeu-Gel-Eyeliner-Pencil-Smudge-proof/dp/B0C9DTK3K4/ref=sr_1_9?keywords=Pencil+Liner&amp;qid=1695565495&amp;sr=8-9", "https://www.amazon.com/LYSdefeu-Gel-Eyeliner-Pencil-Smudge-proof/dp/B0C9DTK3K4/ref=sr_1_9?keywords=Pencil+Liner&amp;qid=1695565495&amp;sr=8-9")</f>
        <v/>
      </c>
      <c r="F2575" t="inlineStr">
        <is>
          <t>B0C9DTK3K4</t>
        </is>
      </c>
      <c r="G2575">
        <f>_xlfn.IMAGE("https://camerareadycosmetics.com/cdn/shop/files/brown_grande_0714790d-fafe-466b-b31a-24ce5ede3bcb_50x.jpg?v=1687196759")</f>
        <v/>
      </c>
      <c r="H2575">
        <f>_xlfn.IMAGE("https://m.media-amazon.com/images/I/71YVIaV+cWL._AC_UL320_.jpg")</f>
        <v/>
      </c>
      <c r="K2575" t="inlineStr">
        <is>
          <t>4.95</t>
        </is>
      </c>
      <c r="L2575" t="n">
        <v>9.58</v>
      </c>
      <c r="M2575" s="1" t="inlineStr">
        <is>
          <t>93.54%</t>
        </is>
      </c>
      <c r="N2575" t="n">
        <v>5</v>
      </c>
      <c r="O2575" t="n">
        <v>1</v>
      </c>
      <c r="Q2575" t="inlineStr">
        <is>
          <t>InStock</t>
        </is>
      </c>
      <c r="R2575" t="inlineStr">
        <is>
          <t>undefined</t>
        </is>
      </c>
      <c r="S2575" t="inlineStr">
        <is>
          <t>7037337735</t>
        </is>
      </c>
    </row>
    <row r="2576" ht="75" customHeight="1">
      <c r="A2576" s="2">
        <f>HYPERLINK("https://camerareadycosmetics.com/products/mehron-pencil-liner", "https://camerareadycosmetics.com/products/mehron-pencil-liner")</f>
        <v/>
      </c>
      <c r="B2576" s="2">
        <f>HYPERLINK("https://camerareadycosmetics.com/products/mehron-pencil-liner", "https://camerareadycosmetics.com/products/mehron-pencil-liner")</f>
        <v/>
      </c>
      <c r="C2576" t="inlineStr">
        <is>
          <t>Pencil Liner</t>
        </is>
      </c>
      <c r="D2576" t="inlineStr">
        <is>
          <t>Maybelline New York TattooStudio Long-Lasting Sharpenable Eyeliner Pencil, Glide on Smooth Gel Pigments with 36 Hour Wear, Waterproof, Bold Brown, 1 Count</t>
        </is>
      </c>
      <c r="E2576" s="2">
        <f>HYPERLINK("https://www.amazon.com/Maybelline-New-York-Tattoostudio-Waterproof/dp/B07GX7TD34/ref=sr_1_4?keywords=Pencil+Liner&amp;qid=1695565495&amp;sr=8-4", "https://www.amazon.com/Maybelline-New-York-Tattoostudio-Waterproof/dp/B07GX7TD34/ref=sr_1_4?keywords=Pencil+Liner&amp;qid=1695565495&amp;sr=8-4")</f>
        <v/>
      </c>
      <c r="F2576" t="inlineStr">
        <is>
          <t>B07GX7TD34</t>
        </is>
      </c>
      <c r="G2576">
        <f>_xlfn.IMAGE("https://camerareadycosmetics.com/cdn/shop/files/brown_grande_0714790d-fafe-466b-b31a-24ce5ede3bcb_50x.jpg?v=1687196759")</f>
        <v/>
      </c>
      <c r="H2576">
        <f>_xlfn.IMAGE("https://m.media-amazon.com/images/I/61LfiWu3TDL._AC_UL320_.jpg")</f>
        <v/>
      </c>
      <c r="K2576" t="inlineStr">
        <is>
          <t>4.95</t>
        </is>
      </c>
      <c r="L2576" t="n">
        <v>8.51</v>
      </c>
      <c r="M2576" s="1" t="inlineStr">
        <is>
          <t>71.92%</t>
        </is>
      </c>
      <c r="N2576" t="n">
        <v>4.3</v>
      </c>
      <c r="O2576" t="n">
        <v>28510</v>
      </c>
      <c r="Q2576" t="inlineStr">
        <is>
          <t>InStock</t>
        </is>
      </c>
      <c r="R2576" t="inlineStr">
        <is>
          <t>undefined</t>
        </is>
      </c>
      <c r="S2576" t="inlineStr">
        <is>
          <t>7037337735</t>
        </is>
      </c>
    </row>
    <row r="2577" ht="75" customHeight="1">
      <c r="A2577" s="2">
        <f>HYPERLINK("https://camerareadycosmetics.com/products/mehron-pencil-liner", "https://camerareadycosmetics.com/products/mehron-pencil-liner")</f>
        <v/>
      </c>
      <c r="B2577" s="2">
        <f>HYPERLINK("https://camerareadycosmetics.com/products/mehron-pencil-liner", "https://camerareadycosmetics.com/products/mehron-pencil-liner")</f>
        <v/>
      </c>
      <c r="C2577" t="inlineStr">
        <is>
          <t>Pencil Liner</t>
        </is>
      </c>
      <c r="D2577" t="inlineStr">
        <is>
          <t>evpct 6Pcs White Glitter Eyeliner Pencils Set delineadores de colores para ojos lapiz negro a prueba de agua Black Silver Blue Red Brown Metallic Colorful Liquid Eye Liners Waterproof</t>
        </is>
      </c>
      <c r="E2577" s="2">
        <f>HYPERLINK("https://www.amazon.com/Eyeliner-delineadores-Colorful-Metallic-Waterproof/dp/B09ZKBMY3D/ref=sr_1_10?keywords=Pencil+Liner&amp;qid=1695565495&amp;sr=8-10", "https://www.amazon.com/Eyeliner-delineadores-Colorful-Metallic-Waterproof/dp/B09ZKBMY3D/ref=sr_1_10?keywords=Pencil+Liner&amp;qid=1695565495&amp;sr=8-10")</f>
        <v/>
      </c>
      <c r="F2577" t="inlineStr">
        <is>
          <t>B09ZKBMY3D</t>
        </is>
      </c>
      <c r="G2577">
        <f>_xlfn.IMAGE("https://camerareadycosmetics.com/cdn/shop/files/brown_grande_0714790d-fafe-466b-b31a-24ce5ede3bcb_50x.jpg?v=1687196759")</f>
        <v/>
      </c>
      <c r="H2577">
        <f>_xlfn.IMAGE("https://m.media-amazon.com/images/I/61uUHA221kL._AC_UL320_.jpg")</f>
        <v/>
      </c>
      <c r="K2577" t="inlineStr">
        <is>
          <t>4.95</t>
        </is>
      </c>
      <c r="L2577" t="n">
        <v>7.99</v>
      </c>
      <c r="M2577" s="1" t="inlineStr">
        <is>
          <t>61.41%</t>
        </is>
      </c>
      <c r="N2577" t="n">
        <v>4.2</v>
      </c>
      <c r="O2577" t="n">
        <v>2500</v>
      </c>
      <c r="Q2577" t="inlineStr">
        <is>
          <t>InStock</t>
        </is>
      </c>
      <c r="R2577" t="inlineStr">
        <is>
          <t>undefined</t>
        </is>
      </c>
      <c r="S2577" t="inlineStr">
        <is>
          <t>7037337735</t>
        </is>
      </c>
    </row>
    <row r="2578" ht="75" customHeight="1">
      <c r="A2578" s="2">
        <f>HYPERLINK("https://camerareadycosmetics.com/products/mehron-pencil-liner", "https://camerareadycosmetics.com/products/mehron-pencil-liner")</f>
        <v/>
      </c>
      <c r="B2578" s="2">
        <f>HYPERLINK("https://camerareadycosmetics.com/products/mehron-pencil-liner", "https://camerareadycosmetics.com/products/mehron-pencil-liner")</f>
        <v/>
      </c>
      <c r="C2578" t="inlineStr">
        <is>
          <t>Pencil Liner</t>
        </is>
      </c>
      <c r="D2578" t="inlineStr">
        <is>
          <t>NYX PROFESSIONAL MAKEUP Mechanical Eyeliner Pencil, Black</t>
        </is>
      </c>
      <c r="E2578" s="2">
        <f>HYPERLINK("https://www.amazon.com/NYX-Mechanical-Eye-Pencil-Black/dp/B005G9E9AW/ref=sr_1_1?keywords=Pencil+Liner&amp;qid=1695565495&amp;sr=8-1", "https://www.amazon.com/NYX-Mechanical-Eye-Pencil-Black/dp/B005G9E9AW/ref=sr_1_1?keywords=Pencil+Liner&amp;qid=1695565495&amp;sr=8-1")</f>
        <v/>
      </c>
      <c r="F2578" t="inlineStr">
        <is>
          <t>B005G9E9AW</t>
        </is>
      </c>
      <c r="G2578">
        <f>_xlfn.IMAGE("https://camerareadycosmetics.com/cdn/shop/files/brown_grande_0714790d-fafe-466b-b31a-24ce5ede3bcb_50x.jpg?v=1687196759")</f>
        <v/>
      </c>
      <c r="H2578">
        <f>_xlfn.IMAGE("https://m.media-amazon.com/images/I/51rSQChbyPL._AC_UL320_.jpg")</f>
        <v/>
      </c>
      <c r="K2578" t="inlineStr">
        <is>
          <t>4.95</t>
        </is>
      </c>
      <c r="L2578" t="n">
        <v>5.79</v>
      </c>
      <c r="M2578" s="1" t="inlineStr">
        <is>
          <t>16.97%</t>
        </is>
      </c>
      <c r="N2578" t="n">
        <v>4.5</v>
      </c>
      <c r="O2578" t="n">
        <v>108381</v>
      </c>
      <c r="Q2578" t="inlineStr">
        <is>
          <t>InStock</t>
        </is>
      </c>
      <c r="R2578" t="inlineStr">
        <is>
          <t>undefined</t>
        </is>
      </c>
      <c r="S2578" t="inlineStr">
        <is>
          <t>7037337735</t>
        </is>
      </c>
    </row>
    <row r="2579" ht="75" customHeight="1">
      <c r="A2579" s="2">
        <f>HYPERLINK("https://camerareadycosmetics.com/products/mehron-pencil-liner", "https://camerareadycosmetics.com/products/mehron-pencil-liner")</f>
        <v/>
      </c>
      <c r="B2579" s="2">
        <f>HYPERLINK("https://camerareadycosmetics.com/products/mehron-pencil-liner", "https://camerareadycosmetics.com/products/mehron-pencil-liner")</f>
        <v/>
      </c>
      <c r="C2579" t="inlineStr">
        <is>
          <t>Pencil Liner</t>
        </is>
      </c>
      <c r="D2579" t="inlineStr">
        <is>
          <t>Wet n Wild Color Icon Kohl Eyeliner Pencil Baby's Got Black</t>
        </is>
      </c>
      <c r="E2579" s="2">
        <f>HYPERLINK("https://www.amazon.com/wet-wild-Color-Liner-Pencil/dp/B00WT1QGCO/ref=sr_1_2?keywords=Pencil+Liner&amp;qid=1695565495&amp;sr=8-2", "https://www.amazon.com/wet-wild-Color-Liner-Pencil/dp/B00WT1QGCO/ref=sr_1_2?keywords=Pencil+Liner&amp;qid=1695565495&amp;sr=8-2")</f>
        <v/>
      </c>
      <c r="F2579" t="inlineStr">
        <is>
          <t>B00WT1QGCO</t>
        </is>
      </c>
      <c r="G2579">
        <f>_xlfn.IMAGE("https://camerareadycosmetics.com/cdn/shop/files/brown_grande_0714790d-fafe-466b-b31a-24ce5ede3bcb_50x.jpg?v=1687196759")</f>
        <v/>
      </c>
      <c r="H2579">
        <f>_xlfn.IMAGE("https://m.media-amazon.com/images/I/71q8o5UG0PL._AC_UL320_.jpg")</f>
        <v/>
      </c>
      <c r="K2579" t="inlineStr">
        <is>
          <t>4.95</t>
        </is>
      </c>
      <c r="L2579" t="n">
        <v>0.99</v>
      </c>
      <c r="M2579" s="1" t="inlineStr">
        <is>
          <t>-80.00%</t>
        </is>
      </c>
      <c r="N2579" t="n">
        <v>4.5</v>
      </c>
      <c r="O2579" t="n">
        <v>9802</v>
      </c>
      <c r="Q2579" t="inlineStr">
        <is>
          <t>InStock</t>
        </is>
      </c>
      <c r="R2579" t="inlineStr">
        <is>
          <t>undefined</t>
        </is>
      </c>
      <c r="S2579" t="inlineStr">
        <is>
          <t>7037337735</t>
        </is>
      </c>
    </row>
    <row r="2580" ht="75" customHeight="1">
      <c r="A2580" s="2">
        <f>HYPERLINK("https://camerareadycosmetics.com/products/mehron-pencil-liner", "https://camerareadycosmetics.com/products/mehron-pencil-liner")</f>
        <v/>
      </c>
      <c r="B2580" s="2">
        <f>HYPERLINK("https://camerareadycosmetics.com/products/mehron-pencil-liner", "https://camerareadycosmetics.com/products/mehron-pencil-liner")</f>
        <v/>
      </c>
      <c r="C2580" t="inlineStr">
        <is>
          <t>Pencil Liner</t>
        </is>
      </c>
      <c r="D2580" t="inlineStr">
        <is>
          <t>Wet n Wild Color Icon Kohl Eyeliner Pencil Baby's Got Black</t>
        </is>
      </c>
      <c r="E2580" s="2">
        <f>HYPERLINK("https://www.amazon.com/wet-wild-Color-Liner-Pencil/dp/B00WT1QGCO/ref=sr_1_2?keywords=Pencil+Liner&amp;qid=1695565495&amp;sr=8-2", "https://www.amazon.com/wet-wild-Color-Liner-Pencil/dp/B00WT1QGCO/ref=sr_1_2?keywords=Pencil+Liner&amp;qid=1695565495&amp;sr=8-2")</f>
        <v/>
      </c>
      <c r="F2580" t="inlineStr">
        <is>
          <t>B00WT1QGCO</t>
        </is>
      </c>
      <c r="G2580">
        <f>_xlfn.IMAGE("https://camerareadycosmetics.com/cdn/shop/files/brown_grande_0714790d-fafe-466b-b31a-24ce5ede3bcb_50x.jpg?v=1687196759")</f>
        <v/>
      </c>
      <c r="H2580">
        <f>_xlfn.IMAGE("https://m.media-amazon.com/images/I/71q8o5UG0PL._AC_UL320_.jpg")</f>
        <v/>
      </c>
      <c r="K2580" t="inlineStr">
        <is>
          <t>4.95</t>
        </is>
      </c>
      <c r="L2580" t="n">
        <v>0.99</v>
      </c>
      <c r="M2580" s="1" t="inlineStr">
        <is>
          <t>-80.00%</t>
        </is>
      </c>
      <c r="N2580" t="n">
        <v>4.5</v>
      </c>
      <c r="O2580" t="n">
        <v>9802</v>
      </c>
      <c r="Q2580" t="inlineStr">
        <is>
          <t>InStock</t>
        </is>
      </c>
      <c r="R2580" t="inlineStr">
        <is>
          <t>undefined</t>
        </is>
      </c>
      <c r="S2580" t="inlineStr">
        <is>
          <t>7037337735</t>
        </is>
      </c>
    </row>
    <row r="2581" ht="75" customHeight="1">
      <c r="A2581" s="2">
        <f>HYPERLINK("https://camerareadycosmetics.com/products/mehron-pro-brow-palette", "https://camerareadycosmetics.com/products/mehron-pro-brow-palette")</f>
        <v/>
      </c>
      <c r="B2581" s="2">
        <f>HYPERLINK("https://camerareadycosmetics.com/products/mehron-pro-brow-palette", "https://camerareadycosmetics.com/products/mehron-pro-brow-palette")</f>
        <v/>
      </c>
      <c r="C2581" t="inlineStr">
        <is>
          <t>Pro Brow Palette</t>
        </is>
      </c>
      <c r="D2581" t="inlineStr">
        <is>
          <t>Anastasia Beverly Hills - Brow Pro Palette</t>
        </is>
      </c>
      <c r="E2581" s="2">
        <f>HYPERLINK("https://www.amazon.com/Anastasia-Beverly-Hills-Brow-Palette/dp/B00IPWCD4Q/ref=sr_1_1?keywords=Pro+Brow+Palette&amp;qid=1695565617&amp;sr=8-1", "https://www.amazon.com/Anastasia-Beverly-Hills-Brow-Palette/dp/B00IPWCD4Q/ref=sr_1_1?keywords=Pro+Brow+Palette&amp;qid=1695565617&amp;sr=8-1")</f>
        <v/>
      </c>
      <c r="F2581" t="inlineStr">
        <is>
          <t>B00IPWCD4Q</t>
        </is>
      </c>
      <c r="G2581">
        <f>_xlfn.IMAGE("https://camerareadycosmetics.com/cdn/shop/products/mehron-328-Pro_Brow_Palette_50x.jpg?v=1688675334")</f>
        <v/>
      </c>
      <c r="H2581">
        <f>_xlfn.IMAGE("https://m.media-amazon.com/images/I/71FObabgsQL._AC_UL320_.jpg")</f>
        <v/>
      </c>
      <c r="K2581" t="inlineStr">
        <is>
          <t>19.95</t>
        </is>
      </c>
      <c r="L2581" t="n">
        <v>88</v>
      </c>
      <c r="M2581" s="1" t="inlineStr">
        <is>
          <t>341.10%</t>
        </is>
      </c>
      <c r="N2581" t="n">
        <v>4.8</v>
      </c>
      <c r="O2581" t="n">
        <v>89</v>
      </c>
      <c r="Q2581" t="inlineStr">
        <is>
          <t>InStock</t>
        </is>
      </c>
      <c r="R2581" t="inlineStr">
        <is>
          <t>undefined</t>
        </is>
      </c>
      <c r="S2581" t="inlineStr">
        <is>
          <t>6938115113145</t>
        </is>
      </c>
    </row>
    <row r="2582" ht="75" customHeight="1">
      <c r="A2582" s="2">
        <f>HYPERLINK("https://camerareadycosmetics.com/products/mehron-pro-brow-palette", "https://camerareadycosmetics.com/products/mehron-pro-brow-palette")</f>
        <v/>
      </c>
      <c r="B2582" s="2">
        <f>HYPERLINK("https://camerareadycosmetics.com/products/mehron-pro-brow-palette", "https://camerareadycosmetics.com/products/mehron-pro-brow-palette")</f>
        <v/>
      </c>
      <c r="C2582" t="inlineStr">
        <is>
          <t>Pro Brow Palette</t>
        </is>
      </c>
      <c r="D2582" t="inlineStr">
        <is>
          <t>Maybelline New York Brow Drama Pro Palette, Deep Brown 0.1 oz (Pack of 2)</t>
        </is>
      </c>
      <c r="E2582" s="2">
        <f>HYPERLINK("https://www.amazon.com/Maybelline-New-York-Deep-Brown/dp/B014VB4UUE/ref=sr_1_7?keywords=Pro+Brow+Palette&amp;qid=1695565617&amp;sr=8-7", "https://www.amazon.com/Maybelline-New-York-Deep-Brown/dp/B014VB4UUE/ref=sr_1_7?keywords=Pro+Brow+Palette&amp;qid=1695565617&amp;sr=8-7")</f>
        <v/>
      </c>
      <c r="F2582" t="inlineStr">
        <is>
          <t>B014VB4UUE</t>
        </is>
      </c>
      <c r="G2582">
        <f>_xlfn.IMAGE("https://camerareadycosmetics.com/cdn/shop/products/mehron-328-Pro_Brow_Palette_50x.jpg?v=1688675334")</f>
        <v/>
      </c>
      <c r="H2582">
        <f>_xlfn.IMAGE("https://m.media-amazon.com/images/I/81iBmy2rYJL._AC_UL320_.jpg")</f>
        <v/>
      </c>
      <c r="K2582" t="inlineStr">
        <is>
          <t>19.95</t>
        </is>
      </c>
      <c r="L2582" t="n">
        <v>34.95</v>
      </c>
      <c r="M2582" s="1" t="inlineStr">
        <is>
          <t>75.19%</t>
        </is>
      </c>
      <c r="N2582" t="n">
        <v>4.6</v>
      </c>
      <c r="O2582" t="n">
        <v>174</v>
      </c>
      <c r="Q2582" t="inlineStr">
        <is>
          <t>InStock</t>
        </is>
      </c>
      <c r="R2582" t="inlineStr">
        <is>
          <t>undefined</t>
        </is>
      </c>
      <c r="S2582" t="inlineStr">
        <is>
          <t>6938115113145</t>
        </is>
      </c>
    </row>
    <row r="2583" ht="75" customHeight="1">
      <c r="A2583" s="2">
        <f>HYPERLINK("https://camerareadycosmetics.com/products/mehron-pro-brow-palette", "https://camerareadycosmetics.com/products/mehron-pro-brow-palette")</f>
        <v/>
      </c>
      <c r="B2583" s="2">
        <f>HYPERLINK("https://camerareadycosmetics.com/products/mehron-pro-brow-palette", "https://camerareadycosmetics.com/products/mehron-pro-brow-palette")</f>
        <v/>
      </c>
      <c r="C2583" t="inlineStr">
        <is>
          <t>Pro Brow Palette</t>
        </is>
      </c>
      <c r="D2583" t="inlineStr">
        <is>
          <t>Maybelline Brow Drama Pro Palette 2 Pack (Soft Brown)</t>
        </is>
      </c>
      <c r="E2583" s="2">
        <f>HYPERLINK("https://www.amazon.com/Maybelline-Brow-Drama-Palette-Brown/dp/B01BDZ4H22/ref=sr_1_8?keywords=Pro+Brow+Palette&amp;qid=1695565617&amp;sr=8-8", "https://www.amazon.com/Maybelline-Brow-Drama-Palette-Brown/dp/B01BDZ4H22/ref=sr_1_8?keywords=Pro+Brow+Palette&amp;qid=1695565617&amp;sr=8-8")</f>
        <v/>
      </c>
      <c r="F2583" t="inlineStr">
        <is>
          <t>B01BDZ4H22</t>
        </is>
      </c>
      <c r="G2583">
        <f>_xlfn.IMAGE("https://camerareadycosmetics.com/cdn/shop/products/mehron-328-Pro_Brow_Palette_50x.jpg?v=1688675334")</f>
        <v/>
      </c>
      <c r="H2583">
        <f>_xlfn.IMAGE("https://m.media-amazon.com/images/I/81m77v6BjxL._AC_UL320_.jpg")</f>
        <v/>
      </c>
      <c r="K2583" t="inlineStr">
        <is>
          <t>19.95</t>
        </is>
      </c>
      <c r="L2583" t="n">
        <v>29.99</v>
      </c>
      <c r="M2583" s="1" t="inlineStr">
        <is>
          <t>50.33%</t>
        </is>
      </c>
      <c r="N2583" t="n">
        <v>4.6</v>
      </c>
      <c r="O2583" t="n">
        <v>124</v>
      </c>
      <c r="Q2583" t="inlineStr">
        <is>
          <t>InStock</t>
        </is>
      </c>
      <c r="R2583" t="inlineStr">
        <is>
          <t>undefined</t>
        </is>
      </c>
      <c r="S2583" t="inlineStr">
        <is>
          <t>6938115113145</t>
        </is>
      </c>
    </row>
    <row r="2584" ht="75" customHeight="1">
      <c r="A2584" s="2">
        <f>HYPERLINK("https://camerareadycosmetics.com/products/mehron-pro-brow-palette", "https://camerareadycosmetics.com/products/mehron-pro-brow-palette")</f>
        <v/>
      </c>
      <c r="B2584" s="2">
        <f>HYPERLINK("https://camerareadycosmetics.com/products/mehron-pro-brow-palette", "https://camerareadycosmetics.com/products/mehron-pro-brow-palette")</f>
        <v/>
      </c>
      <c r="C2584" t="inlineStr">
        <is>
          <t>Pro Brow Palette</t>
        </is>
      </c>
      <c r="D2584" t="inlineStr">
        <is>
          <t>Profusion Cosmetics Eyebrow Pro Makeup Case Brows I Palette - Medium Dark</t>
        </is>
      </c>
      <c r="E2584" s="2">
        <f>HYPERLINK("https://www.amazon.com/Profusion-Cosmetics-Eyebrow-Makeup-Palette/dp/B07N1RJPDY/ref=sr_1_6?keywords=Pro+Brow+Palette&amp;qid=1695565617&amp;sr=8-6", "https://www.amazon.com/Profusion-Cosmetics-Eyebrow-Makeup-Palette/dp/B07N1RJPDY/ref=sr_1_6?keywords=Pro+Brow+Palette&amp;qid=1695565617&amp;sr=8-6")</f>
        <v/>
      </c>
      <c r="F2584" t="inlineStr">
        <is>
          <t>B07N1RJPDY</t>
        </is>
      </c>
      <c r="G2584">
        <f>_xlfn.IMAGE("https://camerareadycosmetics.com/cdn/shop/products/mehron-328-Pro_Brow_Palette_50x.jpg?v=1688675334")</f>
        <v/>
      </c>
      <c r="H2584">
        <f>_xlfn.IMAGE("https://m.media-amazon.com/images/I/71QPAFB+VKL._AC_UL320_.jpg")</f>
        <v/>
      </c>
      <c r="K2584" t="inlineStr">
        <is>
          <t>19.95</t>
        </is>
      </c>
      <c r="L2584" t="n">
        <v>24.8</v>
      </c>
      <c r="M2584" s="1" t="inlineStr">
        <is>
          <t>24.31%</t>
        </is>
      </c>
      <c r="N2584" t="n">
        <v>4.3</v>
      </c>
      <c r="O2584" t="n">
        <v>159</v>
      </c>
      <c r="Q2584" t="inlineStr">
        <is>
          <t>InStock</t>
        </is>
      </c>
      <c r="R2584" t="inlineStr">
        <is>
          <t>undefined</t>
        </is>
      </c>
      <c r="S2584" t="inlineStr">
        <is>
          <t>6938115113145</t>
        </is>
      </c>
    </row>
    <row r="2585" ht="75" customHeight="1">
      <c r="A2585" s="2">
        <f>HYPERLINK("https://camerareadycosmetics.com/products/mehron-pro-brow-palette", "https://camerareadycosmetics.com/products/mehron-pro-brow-palette")</f>
        <v/>
      </c>
      <c r="B2585" s="2">
        <f>HYPERLINK("https://camerareadycosmetics.com/products/mehron-pro-brow-palette", "https://camerareadycosmetics.com/products/mehron-pro-brow-palette")</f>
        <v/>
      </c>
      <c r="C2585" t="inlineStr">
        <is>
          <t>Pro Brow Palette</t>
        </is>
      </c>
      <c r="D2585" t="inlineStr">
        <is>
          <t>Mehron Pro Brow Palette - Pressed Powders and Pomade</t>
        </is>
      </c>
      <c r="E2585" s="2">
        <f>HYPERLINK("https://www.amazon.com/Mehron-Pro-Brow-Palette-Pressed/dp/B081HFD1GN/ref=sr_1_3?keywords=Pro+Brow+Palette&amp;qid=1695565617&amp;sr=8-3", "https://www.amazon.com/Mehron-Pro-Brow-Palette-Pressed/dp/B081HFD1GN/ref=sr_1_3?keywords=Pro+Brow+Palette&amp;qid=1695565617&amp;sr=8-3")</f>
        <v/>
      </c>
      <c r="F2585" t="inlineStr">
        <is>
          <t>B081HFD1GN</t>
        </is>
      </c>
      <c r="G2585">
        <f>_xlfn.IMAGE("https://camerareadycosmetics.com/cdn/shop/products/mehron-328-Pro_Brow_Palette_50x.jpg?v=1688675334")</f>
        <v/>
      </c>
      <c r="H2585">
        <f>_xlfn.IMAGE("https://m.media-amazon.com/images/I/91GqL2oDt4L._AC_UL320_.jpg")</f>
        <v/>
      </c>
      <c r="K2585" t="inlineStr">
        <is>
          <t>19.95</t>
        </is>
      </c>
      <c r="L2585" t="n">
        <v>22.95</v>
      </c>
      <c r="M2585" s="1" t="inlineStr">
        <is>
          <t>15.04%</t>
        </is>
      </c>
      <c r="N2585" t="n">
        <v>4.2</v>
      </c>
      <c r="O2585" t="n">
        <v>106</v>
      </c>
      <c r="Q2585" t="inlineStr">
        <is>
          <t>InStock</t>
        </is>
      </c>
      <c r="R2585" t="inlineStr">
        <is>
          <t>undefined</t>
        </is>
      </c>
      <c r="S2585" t="inlineStr">
        <is>
          <t>6938115113145</t>
        </is>
      </c>
    </row>
    <row r="2586" ht="75" customHeight="1">
      <c r="A2586" s="2">
        <f>HYPERLINK("https://camerareadycosmetics.com/products/mehron-pro-brow-palette", "https://camerareadycosmetics.com/products/mehron-pro-brow-palette")</f>
        <v/>
      </c>
      <c r="B2586" s="2">
        <f>HYPERLINK("https://camerareadycosmetics.com/products/mehron-pro-brow-palette", "https://camerareadycosmetics.com/products/mehron-pro-brow-palette")</f>
        <v/>
      </c>
      <c r="C2586" t="inlineStr">
        <is>
          <t>Pro Brow Palette</t>
        </is>
      </c>
      <c r="D2586" t="inlineStr">
        <is>
          <t>Profusion Cosmetics Eyebrow Pro Makeup Case Brows I Palette - Light Medium</t>
        </is>
      </c>
      <c r="E2586" s="2">
        <f>HYPERLINK("https://www.amazon.com/Profusion-Cosmetics-Eyebrow-Makeup-Palette/dp/B07N1RHKD7/ref=sr_1_5?keywords=Pro+Brow+Palette&amp;qid=1695565617&amp;sr=8-5", "https://www.amazon.com/Profusion-Cosmetics-Eyebrow-Makeup-Palette/dp/B07N1RHKD7/ref=sr_1_5?keywords=Pro+Brow+Palette&amp;qid=1695565617&amp;sr=8-5")</f>
        <v/>
      </c>
      <c r="F2586" t="inlineStr">
        <is>
          <t>B07N1RHKD7</t>
        </is>
      </c>
      <c r="G2586">
        <f>_xlfn.IMAGE("https://camerareadycosmetics.com/cdn/shop/products/mehron-328-Pro_Brow_Palette_50x.jpg?v=1688675334")</f>
        <v/>
      </c>
      <c r="H2586">
        <f>_xlfn.IMAGE("https://m.media-amazon.com/images/I/7165G6PI+3L._AC_UL320_.jpg")</f>
        <v/>
      </c>
      <c r="K2586" t="inlineStr">
        <is>
          <t>19.95</t>
        </is>
      </c>
      <c r="L2586" t="n">
        <v>19.89</v>
      </c>
      <c r="M2586" s="1" t="inlineStr">
        <is>
          <t>-0.30%</t>
        </is>
      </c>
      <c r="N2586" t="n">
        <v>4.4</v>
      </c>
      <c r="O2586" t="n">
        <v>156</v>
      </c>
      <c r="Q2586" t="inlineStr">
        <is>
          <t>InStock</t>
        </is>
      </c>
      <c r="R2586" t="inlineStr">
        <is>
          <t>undefined</t>
        </is>
      </c>
      <c r="S2586" t="inlineStr">
        <is>
          <t>6938115113145</t>
        </is>
      </c>
    </row>
    <row r="2587" ht="75" customHeight="1">
      <c r="A2587" s="2">
        <f>HYPERLINK("https://camerareadycosmetics.com/products/mehron-pro-brow-palette", "https://camerareadycosmetics.com/products/mehron-pro-brow-palette")</f>
        <v/>
      </c>
      <c r="B2587" s="2">
        <f>HYPERLINK("https://camerareadycosmetics.com/products/mehron-pro-brow-palette", "https://camerareadycosmetics.com/products/mehron-pro-brow-palette")</f>
        <v/>
      </c>
      <c r="C2587" t="inlineStr">
        <is>
          <t>Pro Brow Palette</t>
        </is>
      </c>
      <c r="D2587" t="inlineStr">
        <is>
          <t>Maybelline New York Brow Drama Pro Eyebrow Palette, Deep Brown, 0.1 oz.</t>
        </is>
      </c>
      <c r="E2587" s="2">
        <f>HYPERLINK("https://www.amazon.com/Maybelline-New-York-Makeup-Palette/dp/B0126RXS5S/ref=sr_1_4?keywords=Pro+Brow+Palette&amp;qid=1695565617&amp;sr=8-4", "https://www.amazon.com/Maybelline-New-York-Makeup-Palette/dp/B0126RXS5S/ref=sr_1_4?keywords=Pro+Brow+Palette&amp;qid=1695565617&amp;sr=8-4")</f>
        <v/>
      </c>
      <c r="F2587" t="inlineStr">
        <is>
          <t>B0126RXS5S</t>
        </is>
      </c>
      <c r="G2587">
        <f>_xlfn.IMAGE("https://camerareadycosmetics.com/cdn/shop/products/mehron-328-Pro_Brow_Palette_50x.jpg?v=1688675334")</f>
        <v/>
      </c>
      <c r="H2587">
        <f>_xlfn.IMAGE("https://m.media-amazon.com/images/I/81oYsRAiNtL._AC_UL320_.jpg")</f>
        <v/>
      </c>
      <c r="K2587" t="inlineStr">
        <is>
          <t>19.95</t>
        </is>
      </c>
      <c r="L2587" t="n">
        <v>14.2</v>
      </c>
      <c r="M2587" s="1" t="inlineStr">
        <is>
          <t>-28.82%</t>
        </is>
      </c>
      <c r="N2587" t="n">
        <v>4.5</v>
      </c>
      <c r="O2587" t="n">
        <v>3026</v>
      </c>
      <c r="Q2587" t="inlineStr">
        <is>
          <t>InStock</t>
        </is>
      </c>
      <c r="R2587" t="inlineStr">
        <is>
          <t>undefined</t>
        </is>
      </c>
      <c r="S2587" t="inlineStr">
        <is>
          <t>6938115113145</t>
        </is>
      </c>
    </row>
    <row r="2588" ht="75" customHeight="1">
      <c r="A2588" s="2">
        <f>HYPERLINK("https://camerareadycosmetics.com/products/mehron-skin-prep-pro-formerly-no-sweat", "https://camerareadycosmetics.com/products/mehron-skin-prep-pro-formerly-no-sweat")</f>
        <v/>
      </c>
      <c r="B2588" s="2">
        <f>HYPERLINK("https://camerareadycosmetics.com/products/mehron-skin-prep-pro-formerly-no-sweat", "https://camerareadycosmetics.com/products/mehron-skin-prep-pro-formerly-no-sweat")</f>
        <v/>
      </c>
      <c r="C2588" t="inlineStr">
        <is>
          <t>Skin Prep Pro</t>
        </is>
      </c>
      <c r="D2588" t="inlineStr">
        <is>
          <t>Mehron Makeup Skin Prep Pro Mattifying Skin Toner | Long Lasting Pre-Makeup Skin Primer 4 fl oz (120 ml)</t>
        </is>
      </c>
      <c r="E2588" s="2">
        <f>HYPERLINK("https://www.amazon.com/Mehron-Makeup-Skin-Prep-ounce/dp/B00FE90M0K/ref=sr_1_1?keywords=Skin+Prep+Pro&amp;qid=1695565427&amp;sr=8-1", "https://www.amazon.com/Mehron-Makeup-Skin-Prep-ounce/dp/B00FE90M0K/ref=sr_1_1?keywords=Skin+Prep+Pro&amp;qid=1695565427&amp;sr=8-1")</f>
        <v/>
      </c>
      <c r="F2588" t="inlineStr">
        <is>
          <t>B00FE90M0K</t>
        </is>
      </c>
      <c r="G2588">
        <f>_xlfn.IMAGE("https://camerareadycosmetics.com/cdn/shop/products/138006000__21993.1429919818.600.600_50x.jpeg?v=1689627926")</f>
        <v/>
      </c>
      <c r="H2588">
        <f>_xlfn.IMAGE("https://m.media-amazon.com/images/I/61hKtfXrfcL._AC_UL320_.jpg")</f>
        <v/>
      </c>
      <c r="K2588" t="inlineStr">
        <is>
          <t>11.95</t>
        </is>
      </c>
      <c r="L2588" t="n">
        <v>15.95</v>
      </c>
      <c r="M2588" s="1" t="inlineStr">
        <is>
          <t>33.47%</t>
        </is>
      </c>
      <c r="N2588" t="n">
        <v>4.5</v>
      </c>
      <c r="O2588" t="n">
        <v>2013</v>
      </c>
      <c r="Q2588" t="inlineStr">
        <is>
          <t>InStock</t>
        </is>
      </c>
      <c r="R2588" t="inlineStr">
        <is>
          <t>undefined</t>
        </is>
      </c>
      <c r="S2588" t="inlineStr">
        <is>
          <t>7035018631</t>
        </is>
      </c>
    </row>
    <row r="2589" ht="75" customHeight="1">
      <c r="A2589" s="2">
        <f>HYPERLINK("https://camerareadycosmetics.com/products/mehron-skin-prep-pro-formerly-no-sweat", "https://camerareadycosmetics.com/products/mehron-skin-prep-pro-formerly-no-sweat")</f>
        <v/>
      </c>
      <c r="B2589" s="2">
        <f>HYPERLINK("https://camerareadycosmetics.com/products/mehron-skin-prep-pro-formerly-no-sweat", "https://camerareadycosmetics.com/products/mehron-skin-prep-pro-formerly-no-sweat")</f>
        <v/>
      </c>
      <c r="C2589" t="inlineStr">
        <is>
          <t>Skin Prep Pro</t>
        </is>
      </c>
      <c r="D2589" t="inlineStr">
        <is>
          <t>Safe n' Simple Skin Barrier Wipes with Alcohol - 50 Individual 2x2 Large Barrier Film Wipes with Alcohol - Skin Prep Protective Wipes - Bandage Medical Adhesive Remover for Skin</t>
        </is>
      </c>
      <c r="E2589" s="2">
        <f>HYPERLINK("https://www.amazon.com/Safe-Simple-Skin-Barrier-Count/dp/B010PD3MGU/ref=sr_1_9?keywords=Skin+Prep+Pro&amp;qid=1695565427&amp;sr=8-9", "https://www.amazon.com/Safe-Simple-Skin-Barrier-Count/dp/B010PD3MGU/ref=sr_1_9?keywords=Skin+Prep+Pro&amp;qid=1695565427&amp;sr=8-9")</f>
        <v/>
      </c>
      <c r="F2589" t="inlineStr">
        <is>
          <t>B010PD3MGU</t>
        </is>
      </c>
      <c r="G2589">
        <f>_xlfn.IMAGE("https://camerareadycosmetics.com/cdn/shop/products/138006000__21993.1429919818.600.600_50x.jpeg?v=1689627926")</f>
        <v/>
      </c>
      <c r="H2589">
        <f>_xlfn.IMAGE("https://m.media-amazon.com/images/I/61nxUKCaQUL._AC_UL320_.jpg")</f>
        <v/>
      </c>
      <c r="K2589" t="inlineStr">
        <is>
          <t>11.95</t>
        </is>
      </c>
      <c r="L2589" t="n">
        <v>11</v>
      </c>
      <c r="M2589" s="1" t="inlineStr">
        <is>
          <t>-7.95%</t>
        </is>
      </c>
      <c r="N2589" t="n">
        <v>4.4</v>
      </c>
      <c r="O2589" t="n">
        <v>461</v>
      </c>
      <c r="Q2589" t="inlineStr">
        <is>
          <t>InStock</t>
        </is>
      </c>
      <c r="R2589" t="inlineStr">
        <is>
          <t>undefined</t>
        </is>
      </c>
      <c r="S2589" t="inlineStr">
        <is>
          <t>7035018631</t>
        </is>
      </c>
    </row>
    <row r="2590" ht="75" customHeight="1">
      <c r="A2590" s="2">
        <f>HYPERLINK("https://camerareadycosmetics.com/products/mehron-starblend-cake-makeup", "https://camerareadycosmetics.com/products/mehron-starblend-cake-makeup")</f>
        <v/>
      </c>
      <c r="B2590" s="2">
        <f>HYPERLINK("https://camerareadycosmetics.com/products/mehron-starblend-cake-makeup", "https://camerareadycosmetics.com/products/mehron-starblend-cake-makeup")</f>
        <v/>
      </c>
      <c r="C2590" t="inlineStr">
        <is>
          <t>Cake Makeup</t>
        </is>
      </c>
      <c r="D2590" t="inlineStr">
        <is>
          <t>Water Activated Split Cake Eyeliner, UV Glow Blacklight Fluorescent Paint, Onmay 14 Bright Color Retro Graphic Hydra Eye Liner, Body Face Paint, Halloween Makeup (14color)</t>
        </is>
      </c>
      <c r="E2590" s="2">
        <f>HYPERLINK("https://www.amazon.com/Activated-Eyeliner-Blacklight-Fluorescent-Halloween/dp/B09ZTVYMGT/ref=sr_1_4?keywords=Cake+Makeup&amp;qid=1695565448&amp;sr=8-4", "https://www.amazon.com/Activated-Eyeliner-Blacklight-Fluorescent-Halloween/dp/B09ZTVYMGT/ref=sr_1_4?keywords=Cake+Makeup&amp;qid=1695565448&amp;sr=8-4")</f>
        <v/>
      </c>
      <c r="F2590" t="inlineStr">
        <is>
          <t>B09ZTVYMGT</t>
        </is>
      </c>
      <c r="G2590">
        <f>_xlfn.IMAGE("https://camerareadycosmetics.com/cdn/shop/products/5185_zoom_50x.jpg?v=1689638516")</f>
        <v/>
      </c>
      <c r="H2590">
        <f>_xlfn.IMAGE("https://m.media-amazon.com/images/I/71T5GWunzCL._AC_UL320_.jpg")</f>
        <v/>
      </c>
      <c r="K2590" t="inlineStr">
        <is>
          <t>14.95</t>
        </is>
      </c>
      <c r="L2590" t="n">
        <v>19.99</v>
      </c>
      <c r="M2590" s="1" t="inlineStr">
        <is>
          <t>33.71%</t>
        </is>
      </c>
      <c r="N2590" t="n">
        <v>4.5</v>
      </c>
      <c r="O2590" t="n">
        <v>299</v>
      </c>
      <c r="Q2590" t="inlineStr">
        <is>
          <t>InStock</t>
        </is>
      </c>
      <c r="R2590" t="inlineStr">
        <is>
          <t>undefined</t>
        </is>
      </c>
      <c r="S2590" t="inlineStr">
        <is>
          <t>7038846535</t>
        </is>
      </c>
    </row>
    <row r="2591" ht="75" customHeight="1">
      <c r="A2591" s="2">
        <f>HYPERLINK("https://camerareadycosmetics.com/products/mehron-starblend-cake-makeup", "https://camerareadycosmetics.com/products/mehron-starblend-cake-makeup")</f>
        <v/>
      </c>
      <c r="B2591" s="2">
        <f>HYPERLINK("https://camerareadycosmetics.com/products/mehron-starblend-cake-makeup", "https://camerareadycosmetics.com/products/mehron-starblend-cake-makeup")</f>
        <v/>
      </c>
      <c r="C2591" t="inlineStr">
        <is>
          <t>Cake Makeup</t>
        </is>
      </c>
      <c r="D2591" t="inlineStr">
        <is>
          <t>10 Pcs Makeup Cake Topper Cosmetics Birthday Makeup Cake Decorations 3D Resin Bridal Shower Cake Topper Lipstick Perfume Eye Shadow Blush Spa Theme Party Supplies for Girls Women Makeup Birthday Party</t>
        </is>
      </c>
      <c r="E2591" s="2">
        <f>HYPERLINK("https://www.amazon.com/Cosmetics-Birthday-Decorations-Lipstick-Supplies/dp/B09XQVZ3FL/ref=sr_1_7?keywords=Cake+Makeup&amp;qid=1695565448&amp;sr=8-7", "https://www.amazon.com/Cosmetics-Birthday-Decorations-Lipstick-Supplies/dp/B09XQVZ3FL/ref=sr_1_7?keywords=Cake+Makeup&amp;qid=1695565448&amp;sr=8-7")</f>
        <v/>
      </c>
      <c r="F2591" t="inlineStr">
        <is>
          <t>B09XQVZ3FL</t>
        </is>
      </c>
      <c r="G2591">
        <f>_xlfn.IMAGE("https://camerareadycosmetics.com/cdn/shop/products/5185_zoom_50x.jpg?v=1689638516")</f>
        <v/>
      </c>
      <c r="H2591">
        <f>_xlfn.IMAGE("https://m.media-amazon.com/images/I/71ekXQbl2lL._AC_UL320_.jpg")</f>
        <v/>
      </c>
      <c r="K2591" t="inlineStr">
        <is>
          <t>14.95</t>
        </is>
      </c>
      <c r="L2591" t="n">
        <v>17.99</v>
      </c>
      <c r="M2591" s="1" t="inlineStr">
        <is>
          <t>20.33%</t>
        </is>
      </c>
      <c r="N2591" t="n">
        <v>4.6</v>
      </c>
      <c r="O2591" t="n">
        <v>77</v>
      </c>
      <c r="Q2591" t="inlineStr">
        <is>
          <t>InStock</t>
        </is>
      </c>
      <c r="R2591" t="inlineStr">
        <is>
          <t>undefined</t>
        </is>
      </c>
      <c r="S2591" t="inlineStr">
        <is>
          <t>7038846535</t>
        </is>
      </c>
    </row>
    <row r="2592" ht="75" customHeight="1">
      <c r="A2592" s="2">
        <f>HYPERLINK("https://camerareadycosmetics.com/products/mehron-starblend-cake-makeup", "https://camerareadycosmetics.com/products/mehron-starblend-cake-makeup")</f>
        <v/>
      </c>
      <c r="B2592" s="2">
        <f>HYPERLINK("https://camerareadycosmetics.com/products/mehron-starblend-cake-makeup", "https://camerareadycosmetics.com/products/mehron-starblend-cake-makeup")</f>
        <v/>
      </c>
      <c r="C2592" t="inlineStr">
        <is>
          <t>Cake Makeup</t>
        </is>
      </c>
      <c r="D2592" t="inlineStr">
        <is>
          <t>MEMOVAN Makeup Cake Topper 4 Pack, Resin Cosmetics Lipstick Perfume Bottle Eye Shadow Blush Makeup Cake Decorations for Bridal Shower Bachelorette Girl Women Spa Makeup Themed Birthday Party Supplies</t>
        </is>
      </c>
      <c r="E2592" s="2">
        <f>HYPERLINK("https://www.amazon.com/MEMOVAN-Cosmetics-Lipstick-Decorations-Bachelorette/dp/B08M5QRYF2/ref=sr_1_3?keywords=Cake+Makeup&amp;qid=1695565448&amp;sr=8-3", "https://www.amazon.com/MEMOVAN-Cosmetics-Lipstick-Decorations-Bachelorette/dp/B08M5QRYF2/ref=sr_1_3?keywords=Cake+Makeup&amp;qid=1695565448&amp;sr=8-3")</f>
        <v/>
      </c>
      <c r="F2592" t="inlineStr">
        <is>
          <t>B08M5QRYF2</t>
        </is>
      </c>
      <c r="G2592">
        <f>_xlfn.IMAGE("https://camerareadycosmetics.com/cdn/shop/products/5185_zoom_50x.jpg?v=1689638516")</f>
        <v/>
      </c>
      <c r="H2592">
        <f>_xlfn.IMAGE("https://m.media-amazon.com/images/I/51vMhyYUEvL._AC_UL320_.jpg")</f>
        <v/>
      </c>
      <c r="K2592" t="inlineStr">
        <is>
          <t>14.95</t>
        </is>
      </c>
      <c r="L2592" t="n">
        <v>14.99</v>
      </c>
      <c r="M2592" s="1" t="inlineStr">
        <is>
          <t>0.27%</t>
        </is>
      </c>
      <c r="N2592" t="n">
        <v>4.7</v>
      </c>
      <c r="O2592" t="n">
        <v>890</v>
      </c>
      <c r="Q2592" t="inlineStr">
        <is>
          <t>InStock</t>
        </is>
      </c>
      <c r="R2592" t="inlineStr">
        <is>
          <t>undefined</t>
        </is>
      </c>
      <c r="S2592" t="inlineStr">
        <is>
          <t>7038846535</t>
        </is>
      </c>
    </row>
    <row r="2593" ht="75" customHeight="1">
      <c r="A2593" s="2">
        <f>HYPERLINK("https://camerareadycosmetics.com/products/mehron-starblend-cake-makeup", "https://camerareadycosmetics.com/products/mehron-starblend-cake-makeup")</f>
        <v/>
      </c>
      <c r="B2593" s="2">
        <f>HYPERLINK("https://camerareadycosmetics.com/products/mehron-starblend-cake-makeup", "https://camerareadycosmetics.com/products/mehron-starblend-cake-makeup")</f>
        <v/>
      </c>
      <c r="C2593" t="inlineStr">
        <is>
          <t>Cake Makeup</t>
        </is>
      </c>
      <c r="D2593" t="inlineStr">
        <is>
          <t>Mehron Makeup StarBlend Cake Makeup | Wet/Dry Pressed Powder Face Makeup | Powder Foundation | Black Body and Face Paint 2 oz (56g)</t>
        </is>
      </c>
      <c r="E2593" s="2">
        <f>HYPERLINK("https://www.amazon.com/Mehron-Makeup-StarBlend-Cake-Black/dp/B00RLUQ2YK/ref=sr_1_1?keywords=Cake+Makeup&amp;qid=1695565448&amp;sr=8-1", "https://www.amazon.com/Mehron-Makeup-StarBlend-Cake-Black/dp/B00RLUQ2YK/ref=sr_1_1?keywords=Cake+Makeup&amp;qid=1695565448&amp;sr=8-1")</f>
        <v/>
      </c>
      <c r="F2593" t="inlineStr">
        <is>
          <t>B00RLUQ2YK</t>
        </is>
      </c>
      <c r="G2593">
        <f>_xlfn.IMAGE("https://camerareadycosmetics.com/cdn/shop/products/5185_zoom_50x.jpg?v=1689638516")</f>
        <v/>
      </c>
      <c r="H2593">
        <f>_xlfn.IMAGE("https://m.media-amazon.com/images/I/71u48Pm7YXL._AC_UL320_.jpg")</f>
        <v/>
      </c>
      <c r="K2593" t="inlineStr">
        <is>
          <t>14.95</t>
        </is>
      </c>
      <c r="L2593" t="n">
        <v>14.95</v>
      </c>
      <c r="M2593" s="1" t="inlineStr">
        <is>
          <t>0.00%</t>
        </is>
      </c>
      <c r="N2593" t="n">
        <v>4.5</v>
      </c>
      <c r="O2593" t="n">
        <v>10203</v>
      </c>
      <c r="Q2593" t="inlineStr">
        <is>
          <t>InStock</t>
        </is>
      </c>
      <c r="R2593" t="inlineStr">
        <is>
          <t>undefined</t>
        </is>
      </c>
      <c r="S2593" t="inlineStr">
        <is>
          <t>7038846535</t>
        </is>
      </c>
    </row>
    <row r="2594" ht="75" customHeight="1">
      <c r="A2594" s="2">
        <f>HYPERLINK("https://camerareadycosmetics.com/products/mehron-starblend-cake-makeup", "https://camerareadycosmetics.com/products/mehron-starblend-cake-makeup")</f>
        <v/>
      </c>
      <c r="B2594" s="2">
        <f>HYPERLINK("https://camerareadycosmetics.com/products/mehron-starblend-cake-makeup", "https://camerareadycosmetics.com/products/mehron-starblend-cake-makeup")</f>
        <v/>
      </c>
      <c r="C2594" t="inlineStr">
        <is>
          <t>Cake Makeup</t>
        </is>
      </c>
      <c r="D2594" t="inlineStr">
        <is>
          <t>Ercadio 4 Pack Make up Cake Toppers Resin Cosmetics Lipstick Perfume Bottle Cake Decorations for Makeup Theme Bridal Shower Bachelorette Birthday Party Decorations Supplies</t>
        </is>
      </c>
      <c r="E2594" s="2">
        <f>HYPERLINK("https://www.amazon.com/Ercadio-Cosmetics-Lipstick-Decorations-Bachelorette/dp/B08924KHCF/ref=sr_1_2?keywords=Cake+Makeup&amp;qid=1695565448&amp;sr=8-2", "https://www.amazon.com/Ercadio-Cosmetics-Lipstick-Decorations-Bachelorette/dp/B08924KHCF/ref=sr_1_2?keywords=Cake+Makeup&amp;qid=1695565448&amp;sr=8-2")</f>
        <v/>
      </c>
      <c r="F2594" t="inlineStr">
        <is>
          <t>B08924KHCF</t>
        </is>
      </c>
      <c r="G2594">
        <f>_xlfn.IMAGE("https://camerareadycosmetics.com/cdn/shop/products/5185_zoom_50x.jpg?v=1689638516")</f>
        <v/>
      </c>
      <c r="H2594">
        <f>_xlfn.IMAGE("https://m.media-amazon.com/images/I/71KYYn89QIL._AC_UL320_.jpg")</f>
        <v/>
      </c>
      <c r="K2594" t="inlineStr">
        <is>
          <t>14.95</t>
        </is>
      </c>
      <c r="L2594" t="n">
        <v>13.98</v>
      </c>
      <c r="M2594" s="1" t="inlineStr">
        <is>
          <t>-6.49%</t>
        </is>
      </c>
      <c r="N2594" t="n">
        <v>4.7</v>
      </c>
      <c r="O2594" t="n">
        <v>610</v>
      </c>
      <c r="Q2594" t="inlineStr">
        <is>
          <t>InStock</t>
        </is>
      </c>
      <c r="R2594" t="inlineStr">
        <is>
          <t>undefined</t>
        </is>
      </c>
      <c r="S2594" t="inlineStr">
        <is>
          <t>7038846535</t>
        </is>
      </c>
    </row>
    <row r="2595" ht="75" customHeight="1">
      <c r="A2595" s="2">
        <f>HYPERLINK("https://camerareadycosmetics.com/products/mehron-starblend-cake-makeup", "https://camerareadycosmetics.com/products/mehron-starblend-cake-makeup")</f>
        <v/>
      </c>
      <c r="B2595" s="2">
        <f>HYPERLINK("https://camerareadycosmetics.com/products/mehron-starblend-cake-makeup", "https://camerareadycosmetics.com/products/mehron-starblend-cake-makeup")</f>
        <v/>
      </c>
      <c r="C2595" t="inlineStr">
        <is>
          <t>Cake Makeup</t>
        </is>
      </c>
      <c r="D2595" t="inlineStr">
        <is>
          <t>JeVenis Makeup Cake Decorations Spa Birthday Cake Topper Spa Party Supplies Salon Birthday Decoration</t>
        </is>
      </c>
      <c r="E2595" s="2">
        <f>HYPERLINK("https://www.amazon.com/JeVenis-Decorations-Birthday-Supplies-Decoration/dp/B08P5HB5SQ/ref=sr_1_9?keywords=Cake+Makeup&amp;qid=1695565448&amp;sr=8-9", "https://www.amazon.com/JeVenis-Decorations-Birthday-Supplies-Decoration/dp/B08P5HB5SQ/ref=sr_1_9?keywords=Cake+Makeup&amp;qid=1695565448&amp;sr=8-9")</f>
        <v/>
      </c>
      <c r="F2595" t="inlineStr">
        <is>
          <t>B08P5HB5SQ</t>
        </is>
      </c>
      <c r="G2595">
        <f>_xlfn.IMAGE("https://camerareadycosmetics.com/cdn/shop/products/5185_zoom_50x.jpg?v=1689638516")</f>
        <v/>
      </c>
      <c r="H2595">
        <f>_xlfn.IMAGE("https://m.media-amazon.com/images/I/61SbM7my7NL._AC_UL320_.jpg")</f>
        <v/>
      </c>
      <c r="K2595" t="inlineStr">
        <is>
          <t>14.95</t>
        </is>
      </c>
      <c r="L2595" t="n">
        <v>11.99</v>
      </c>
      <c r="M2595" s="1" t="inlineStr">
        <is>
          <t>-19.80%</t>
        </is>
      </c>
      <c r="N2595" t="n">
        <v>4.6</v>
      </c>
      <c r="O2595" t="n">
        <v>540</v>
      </c>
      <c r="Q2595" t="inlineStr">
        <is>
          <t>InStock</t>
        </is>
      </c>
      <c r="R2595" t="inlineStr">
        <is>
          <t>undefined</t>
        </is>
      </c>
      <c r="S2595" t="inlineStr">
        <is>
          <t>7038846535</t>
        </is>
      </c>
    </row>
    <row r="2596" ht="75" customHeight="1">
      <c r="A2596" s="2">
        <f>HYPERLINK("https://camerareadycosmetics.com/products/mehron-starblend-cake-makeup", "https://camerareadycosmetics.com/products/mehron-starblend-cake-makeup")</f>
        <v/>
      </c>
      <c r="B2596" s="2">
        <f>HYPERLINK("https://camerareadycosmetics.com/products/mehron-starblend-cake-makeup", "https://camerareadycosmetics.com/products/mehron-starblend-cake-makeup")</f>
        <v/>
      </c>
      <c r="C2596" t="inlineStr">
        <is>
          <t>Cake Makeup</t>
        </is>
      </c>
      <c r="D2596" t="inlineStr">
        <is>
          <t>Wismee Clown White Face Body Paint, 68g/2.4oz Professional Water Activated Face Paint SFX Makeup Cake for Cosplay Halloween Black White Face Painting Kits for Adults Kids Special Effects Makeup Kit Face Painting</t>
        </is>
      </c>
      <c r="E2596" s="2">
        <f>HYPERLINK("https://www.amazon.com/Wismee-Professional-Activated-Halloween-Painting/dp/B0BP26XZWQ/ref=sr_1_5?keywords=Cake+Makeup&amp;qid=1695565448&amp;sr=8-5", "https://www.amazon.com/Wismee-Professional-Activated-Halloween-Painting/dp/B0BP26XZWQ/ref=sr_1_5?keywords=Cake+Makeup&amp;qid=1695565448&amp;sr=8-5")</f>
        <v/>
      </c>
      <c r="F2596" t="inlineStr">
        <is>
          <t>B0BP26XZWQ</t>
        </is>
      </c>
      <c r="G2596">
        <f>_xlfn.IMAGE("https://camerareadycosmetics.com/cdn/shop/products/5185_zoom_50x.jpg?v=1689638516")</f>
        <v/>
      </c>
      <c r="H2596">
        <f>_xlfn.IMAGE("https://m.media-amazon.com/images/I/81cIS1JVx5L._AC_UL320_.jpg")</f>
        <v/>
      </c>
      <c r="K2596" t="inlineStr">
        <is>
          <t>14.95</t>
        </is>
      </c>
      <c r="L2596" t="n">
        <v>8.99</v>
      </c>
      <c r="M2596" s="1" t="inlineStr">
        <is>
          <t>-39.87%</t>
        </is>
      </c>
      <c r="N2596" t="n">
        <v>4.6</v>
      </c>
      <c r="O2596" t="n">
        <v>35</v>
      </c>
      <c r="Q2596" t="inlineStr">
        <is>
          <t>InStock</t>
        </is>
      </c>
      <c r="R2596" t="inlineStr">
        <is>
          <t>undefined</t>
        </is>
      </c>
      <c r="S2596" t="inlineStr">
        <is>
          <t>7038846535</t>
        </is>
      </c>
    </row>
    <row r="2597" ht="75" customHeight="1">
      <c r="A2597" s="2">
        <f>HYPERLINK("https://camerareadycosmetics.com/products/mehron-starblend-cake-makeup", "https://camerareadycosmetics.com/products/mehron-starblend-cake-makeup")</f>
        <v/>
      </c>
      <c r="B2597" s="2">
        <f>HYPERLINK("https://camerareadycosmetics.com/products/mehron-starblend-cake-makeup", "https://camerareadycosmetics.com/products/mehron-starblend-cake-makeup")</f>
        <v/>
      </c>
      <c r="C2597" t="inlineStr">
        <is>
          <t>Cake Makeup</t>
        </is>
      </c>
      <c r="D2597" t="inlineStr">
        <is>
          <t>SHEGLAM Color Bloom Liquid Blush Makeup for Cheeks Matte Finish - Love Cake</t>
        </is>
      </c>
      <c r="E2597" s="2">
        <f>HYPERLINK("https://www.amazon.com/SHEGLAM-Liquid-Makeup-Cheeks-Finish/dp/B0BHFBBH25/ref=sr_1_10?keywords=Cake+Makeup&amp;qid=1695565448&amp;sr=8-10", "https://www.amazon.com/SHEGLAM-Liquid-Makeup-Cheeks-Finish/dp/B0BHFBBH25/ref=sr_1_10?keywords=Cake+Makeup&amp;qid=1695565448&amp;sr=8-10")</f>
        <v/>
      </c>
      <c r="F2597" t="inlineStr">
        <is>
          <t>B0BHFBBH25</t>
        </is>
      </c>
      <c r="G2597">
        <f>_xlfn.IMAGE("https://camerareadycosmetics.com/cdn/shop/products/5185_zoom_50x.jpg?v=1689638516")</f>
        <v/>
      </c>
      <c r="H2597">
        <f>_xlfn.IMAGE("https://m.media-amazon.com/images/I/41e5ZzLrkLL._AC_UL320_.jpg")</f>
        <v/>
      </c>
      <c r="K2597" t="inlineStr">
        <is>
          <t>14.95</t>
        </is>
      </c>
      <c r="L2597" t="n">
        <v>6.99</v>
      </c>
      <c r="M2597" s="1" t="inlineStr">
        <is>
          <t>-53.24%</t>
        </is>
      </c>
      <c r="N2597" t="n">
        <v>4.6</v>
      </c>
      <c r="O2597" t="n">
        <v>1032</v>
      </c>
      <c r="Q2597" t="inlineStr">
        <is>
          <t>InStock</t>
        </is>
      </c>
      <c r="R2597" t="inlineStr">
        <is>
          <t>undefined</t>
        </is>
      </c>
      <c r="S2597" t="inlineStr">
        <is>
          <t>7038846535</t>
        </is>
      </c>
    </row>
    <row r="2598" ht="75" customHeight="1">
      <c r="A2598" s="2">
        <f>HYPERLINK("https://camerareadycosmetics.com/products/mehron-starblend-cake-makeup", "https://camerareadycosmetics.com/products/mehron-starblend-cake-makeup")</f>
        <v/>
      </c>
      <c r="B2598" s="2">
        <f>HYPERLINK("https://camerareadycosmetics.com/products/mehron-starblend-cake-makeup", "https://camerareadycosmetics.com/products/mehron-starblend-cake-makeup")</f>
        <v/>
      </c>
      <c r="C2598" t="inlineStr">
        <is>
          <t>Cake Makeup</t>
        </is>
      </c>
      <c r="D2598" t="inlineStr">
        <is>
          <t>SHEGLAM Color Bloom Liquid Blush Makeup for Cheeks Matte Finish - Love Cake</t>
        </is>
      </c>
      <c r="E2598" s="2">
        <f>HYPERLINK("https://www.amazon.com/SHEGLAM-Liquid-Makeup-Cheeks-Finish/dp/B0BHFBBH25/ref=sr_1_10?keywords=Cake+Makeup&amp;qid=1695565448&amp;sr=8-10", "https://www.amazon.com/SHEGLAM-Liquid-Makeup-Cheeks-Finish/dp/B0BHFBBH25/ref=sr_1_10?keywords=Cake+Makeup&amp;qid=1695565448&amp;sr=8-10")</f>
        <v/>
      </c>
      <c r="F2598" t="inlineStr">
        <is>
          <t>B0BHFBBH25</t>
        </is>
      </c>
      <c r="G2598">
        <f>_xlfn.IMAGE("https://camerareadycosmetics.com/cdn/shop/products/5185_zoom_50x.jpg?v=1689638516")</f>
        <v/>
      </c>
      <c r="H2598">
        <f>_xlfn.IMAGE("https://m.media-amazon.com/images/I/41e5ZzLrkLL._AC_UL320_.jpg")</f>
        <v/>
      </c>
      <c r="K2598" t="inlineStr">
        <is>
          <t>14.95</t>
        </is>
      </c>
      <c r="L2598" t="n">
        <v>6.99</v>
      </c>
      <c r="M2598" s="1" t="inlineStr">
        <is>
          <t>-53.24%</t>
        </is>
      </c>
      <c r="N2598" t="n">
        <v>4.6</v>
      </c>
      <c r="O2598" t="n">
        <v>1032</v>
      </c>
      <c r="Q2598" t="inlineStr">
        <is>
          <t>InStock</t>
        </is>
      </c>
      <c r="R2598" t="inlineStr">
        <is>
          <t>undefined</t>
        </is>
      </c>
      <c r="S2598" t="inlineStr">
        <is>
          <t>7038846535</t>
        </is>
      </c>
    </row>
    <row r="2599" ht="75" customHeight="1">
      <c r="A2599" s="2">
        <f>HYPERLINK("https://camerareadycosmetics.com/products/mehron-tattoo-covering", "https://camerareadycosmetics.com/products/mehron-tattoo-covering")</f>
        <v/>
      </c>
      <c r="B2599" s="2">
        <f>HYPERLINK("https://camerareadycosmetics.com/products/mehron-tattoo-covering", "https://camerareadycosmetics.com/products/mehron-tattoo-covering")</f>
        <v/>
      </c>
      <c r="C2599" t="inlineStr">
        <is>
          <t>Tattoo Covering</t>
        </is>
      </c>
      <c r="D2599" t="inlineStr">
        <is>
          <t>Tattoo Cover Up, 6Pcs Invisible Breathable Tattoo Cover Up Tape, Tattoo Cover Up Makeup Waterproof for Covering Up Scars and Tattoo</t>
        </is>
      </c>
      <c r="E2599" s="2">
        <f>HYPERLINK("https://www.amazon.com/Tattoo-Invisible-Breathable-Waterproof-Covering/dp/B0C26YKR8S/ref=sr_1_6?keywords=Tattoo+Covering&amp;qid=1695565463&amp;sr=8-6", "https://www.amazon.com/Tattoo-Invisible-Breathable-Waterproof-Covering/dp/B0C26YKR8S/ref=sr_1_6?keywords=Tattoo+Covering&amp;qid=1695565463&amp;sr=8-6")</f>
        <v/>
      </c>
      <c r="F2599" t="inlineStr">
        <is>
          <t>B0C26YKR8S</t>
        </is>
      </c>
      <c r="G2599">
        <f>_xlfn.IMAGE("https://camerareadycosmetics.com/cdn/shop/products/138011000__72349.1436920027.600.600_50x.jpg?v=1615846026")</f>
        <v/>
      </c>
      <c r="H2599">
        <f>_xlfn.IMAGE("https://m.media-amazon.com/images/I/619IkaNZYjL._AC_UL320_.jpg")</f>
        <v/>
      </c>
      <c r="K2599" t="inlineStr">
        <is>
          <t>15.95</t>
        </is>
      </c>
      <c r="L2599" t="n">
        <v>13.96</v>
      </c>
      <c r="M2599" s="1" t="inlineStr">
        <is>
          <t>-12.48%</t>
        </is>
      </c>
      <c r="N2599" t="n">
        <v>4.5</v>
      </c>
      <c r="O2599" t="n">
        <v>2052</v>
      </c>
      <c r="Q2599" t="inlineStr">
        <is>
          <t>InStock</t>
        </is>
      </c>
      <c r="R2599" t="inlineStr">
        <is>
          <t>undefined</t>
        </is>
      </c>
      <c r="S2599" t="inlineStr">
        <is>
          <t>7035180679</t>
        </is>
      </c>
    </row>
    <row r="2600" ht="75" customHeight="1">
      <c r="A2600" s="2">
        <f>HYPERLINK("https://camerareadycosmetics.com/products/mehron-tattoo-covering", "https://camerareadycosmetics.com/products/mehron-tattoo-covering")</f>
        <v/>
      </c>
      <c r="B2600" s="2">
        <f>HYPERLINK("https://camerareadycosmetics.com/products/mehron-tattoo-covering", "https://camerareadycosmetics.com/products/mehron-tattoo-covering")</f>
        <v/>
      </c>
      <c r="C2600" t="inlineStr">
        <is>
          <t>Tattoo Covering</t>
        </is>
      </c>
      <c r="D2600" t="inlineStr">
        <is>
          <t>Tattoo Cover Up Tape, Ultra Thin Patch for Tattoo Scar and Birthmarks, Invisible Waterproof Skin Tone Concealer Sticker for Covering Up Scars Tattoos,6 Count (Pack of 1)</t>
        </is>
      </c>
      <c r="E2600" s="2">
        <f>HYPERLINK("https://www.amazon.com/Birthmarks-Invisible-Waterproof-Concealer-Covering/dp/B0CHYFFGBB/ref=sr_1_3?keywords=Tattoo+Covering&amp;qid=1695565463&amp;sr=8-3", "https://www.amazon.com/Birthmarks-Invisible-Waterproof-Concealer-Covering/dp/B0CHYFFGBB/ref=sr_1_3?keywords=Tattoo+Covering&amp;qid=1695565463&amp;sr=8-3")</f>
        <v/>
      </c>
      <c r="F2600" t="inlineStr">
        <is>
          <t>B0CHYFFGBB</t>
        </is>
      </c>
      <c r="G2600">
        <f>_xlfn.IMAGE("https://camerareadycosmetics.com/cdn/shop/products/138011000__72349.1436920027.600.600_50x.jpg?v=1615846026")</f>
        <v/>
      </c>
      <c r="H2600">
        <f>_xlfn.IMAGE("https://m.media-amazon.com/images/I/61Qx-Pi7tRL._AC_UL320_.jpg")</f>
        <v/>
      </c>
      <c r="K2600" t="inlineStr">
        <is>
          <t>15.95</t>
        </is>
      </c>
      <c r="L2600" t="n">
        <v>12.97</v>
      </c>
      <c r="M2600" s="1" t="inlineStr">
        <is>
          <t>-18.68%</t>
        </is>
      </c>
      <c r="N2600" t="n">
        <v>4.4</v>
      </c>
      <c r="O2600" t="n">
        <v>1018</v>
      </c>
      <c r="Q2600" t="inlineStr">
        <is>
          <t>InStock</t>
        </is>
      </c>
      <c r="R2600" t="inlineStr">
        <is>
          <t>undefined</t>
        </is>
      </c>
      <c r="S2600" t="inlineStr">
        <is>
          <t>7035180679</t>
        </is>
      </c>
    </row>
    <row r="2601" ht="75" customHeight="1">
      <c r="A2601" s="2">
        <f>HYPERLINK("https://camerareadycosmetics.com/products/mehron-tattoo-covering", "https://camerareadycosmetics.com/products/mehron-tattoo-covering")</f>
        <v/>
      </c>
      <c r="B2601" s="2">
        <f>HYPERLINK("https://camerareadycosmetics.com/products/mehron-tattoo-covering", "https://camerareadycosmetics.com/products/mehron-tattoo-covering")</f>
        <v/>
      </c>
      <c r="C2601" t="inlineStr">
        <is>
          <t>Tattoo Covering</t>
        </is>
      </c>
      <c r="D2601" t="inlineStr">
        <is>
          <t>Tattoo Cover Up, 6Pcs Invisible Breathable Tattoo Cover Up Tape, Ultra Thin Patch for Tattoo Scar and Birthmarks, Invisible Waterproof Skin Tone Concealer Sticker for Covering Up Scars Tattoos</t>
        </is>
      </c>
      <c r="E2601" s="2">
        <f>HYPERLINK("https://www.amazon.com/Invisible-Breathable-Birthmarks-Waterproof-Concealer/dp/B0C8SGJGTZ/ref=sr_1_5?keywords=Tattoo+Covering&amp;qid=1695565463&amp;sr=8-5", "https://www.amazon.com/Invisible-Breathable-Birthmarks-Waterproof-Concealer/dp/B0C8SGJGTZ/ref=sr_1_5?keywords=Tattoo+Covering&amp;qid=1695565463&amp;sr=8-5")</f>
        <v/>
      </c>
      <c r="F2601" t="inlineStr">
        <is>
          <t>B0C8SGJGTZ</t>
        </is>
      </c>
      <c r="G2601">
        <f>_xlfn.IMAGE("https://camerareadycosmetics.com/cdn/shop/products/138011000__72349.1436920027.600.600_50x.jpg?v=1615846026")</f>
        <v/>
      </c>
      <c r="H2601">
        <f>_xlfn.IMAGE("https://m.media-amazon.com/images/I/61+L3QraBDL._AC_UL320_.jpg")</f>
        <v/>
      </c>
      <c r="K2601" t="inlineStr">
        <is>
          <t>15.95</t>
        </is>
      </c>
      <c r="L2601" t="n">
        <v>12.97</v>
      </c>
      <c r="M2601" s="1" t="inlineStr">
        <is>
          <t>-18.68%</t>
        </is>
      </c>
      <c r="N2601" t="n">
        <v>4.4</v>
      </c>
      <c r="O2601" t="n">
        <v>1478</v>
      </c>
      <c r="Q2601" t="inlineStr">
        <is>
          <t>InStock</t>
        </is>
      </c>
      <c r="R2601" t="inlineStr">
        <is>
          <t>undefined</t>
        </is>
      </c>
      <c r="S2601" t="inlineStr">
        <is>
          <t>7035180679</t>
        </is>
      </c>
    </row>
    <row r="2602" ht="75" customHeight="1">
      <c r="A2602" s="2">
        <f>HYPERLINK("https://camerareadycosmetics.com/products/mehron-tattoo-covering", "https://camerareadycosmetics.com/products/mehron-tattoo-covering")</f>
        <v/>
      </c>
      <c r="B2602" s="2">
        <f>HYPERLINK("https://camerareadycosmetics.com/products/mehron-tattoo-covering", "https://camerareadycosmetics.com/products/mehron-tattoo-covering")</f>
        <v/>
      </c>
      <c r="C2602" t="inlineStr">
        <is>
          <t>Tattoo Covering</t>
        </is>
      </c>
      <c r="D2602" t="inlineStr">
        <is>
          <t>Tattoo Cover Up Tape, Ultra Thin Patch for Tattoo Scar and Birthmarks, Invisible Waterproof Skin Tone Concealer Sticker for Covering Up Scars Tattoos,6 Count (Pack of 1)</t>
        </is>
      </c>
      <c r="E2602" s="2">
        <f>HYPERLINK("https://www.amazon.com/Birthmarks-Invisible-Waterproof-Concealer-Covering/dp/B0C283KB81/ref=sr_1_8?keywords=Tattoo+Covering&amp;qid=1695565463&amp;sr=8-8", "https://www.amazon.com/Birthmarks-Invisible-Waterproof-Concealer-Covering/dp/B0C283KB81/ref=sr_1_8?keywords=Tattoo+Covering&amp;qid=1695565463&amp;sr=8-8")</f>
        <v/>
      </c>
      <c r="F2602" t="inlineStr">
        <is>
          <t>B0C283KB81</t>
        </is>
      </c>
      <c r="G2602">
        <f>_xlfn.IMAGE("https://camerareadycosmetics.com/cdn/shop/products/138011000__72349.1436920027.600.600_50x.jpg?v=1615846026")</f>
        <v/>
      </c>
      <c r="H2602">
        <f>_xlfn.IMAGE("https://m.media-amazon.com/images/I/61Qx-Pi7tRL._AC_UL320_.jpg")</f>
        <v/>
      </c>
      <c r="K2602" t="inlineStr">
        <is>
          <t>15.95</t>
        </is>
      </c>
      <c r="L2602" t="n">
        <v>9.970000000000001</v>
      </c>
      <c r="M2602" s="1" t="inlineStr">
        <is>
          <t>-37.49%</t>
        </is>
      </c>
      <c r="N2602" t="n">
        <v>4.1</v>
      </c>
      <c r="O2602" t="n">
        <v>265</v>
      </c>
      <c r="Q2602" t="inlineStr">
        <is>
          <t>InStock</t>
        </is>
      </c>
      <c r="R2602" t="inlineStr">
        <is>
          <t>undefined</t>
        </is>
      </c>
      <c r="S2602" t="inlineStr">
        <is>
          <t>7035180679</t>
        </is>
      </c>
    </row>
    <row r="2603" ht="75" customHeight="1">
      <c r="A2603" s="2">
        <f>HYPERLINK("https://camerareadycosmetics.com/products/mehron-touch-up-matte-finishing-anti-shine-gel", "https://camerareadycosmetics.com/products/mehron-touch-up-matte-finishing-anti-shine-gel")</f>
        <v/>
      </c>
      <c r="B2603" s="2">
        <f>HYPERLINK("https://camerareadycosmetics.com/products/mehron-touch-up-matte-finishing-anti-shine-gel", "https://camerareadycosmetics.com/products/mehron-touch-up-matte-finishing-anti-shine-gel")</f>
        <v/>
      </c>
      <c r="C2603" t="inlineStr">
        <is>
          <t>Touch-Up Matte Finishing Anti-Shine Gel</t>
        </is>
      </c>
      <c r="D2603" t="inlineStr">
        <is>
          <t>Veil Cosmetics | AutoMatte Mattifying Balm | Anti-Shine Translucent Powderless Makeup | Prime, Set, Mattify, Touch-Up &amp; Remove Oil | Blur Pores &amp; Fine Lines | Smooth Complexion | All Skin Types</t>
        </is>
      </c>
      <c r="E2603" s="2">
        <f>HYPERLINK("https://www.amazon.com/Veil-Costmetics-Automatte-Mattifying-Touch-Up/dp/B07FW7SYY4/ref=sr_1_7?keywords=Touch-Up+Matte+Finishing+Anti-Shine+Gel&amp;qid=1695565428&amp;sr=8-7", "https://www.amazon.com/Veil-Costmetics-Automatte-Mattifying-Touch-Up/dp/B07FW7SYY4/ref=sr_1_7?keywords=Touch-Up+Matte+Finishing+Anti-Shine+Gel&amp;qid=1695565428&amp;sr=8-7")</f>
        <v/>
      </c>
      <c r="F2603" t="inlineStr">
        <is>
          <t>B07FW7SYY4</t>
        </is>
      </c>
      <c r="G2603">
        <f>_xlfn.IMAGE("https://camerareadycosmetics.com/cdn/shop/products/TouchUp_Group_A__40619.1453984883.1280.1280_1_50x.jpg?v=1689632656")</f>
        <v/>
      </c>
      <c r="H2603">
        <f>_xlfn.IMAGE("https://m.media-amazon.com/images/I/51kad+oFknL._AC_UL320_.jpg")</f>
        <v/>
      </c>
      <c r="K2603" t="inlineStr">
        <is>
          <t>9.95</t>
        </is>
      </c>
      <c r="L2603" t="n">
        <v>45</v>
      </c>
      <c r="M2603" s="1" t="inlineStr">
        <is>
          <t>352.26%</t>
        </is>
      </c>
      <c r="N2603" t="n">
        <v>3.8</v>
      </c>
      <c r="O2603" t="n">
        <v>147</v>
      </c>
      <c r="Q2603" t="inlineStr">
        <is>
          <t>InStock</t>
        </is>
      </c>
      <c r="R2603" t="inlineStr">
        <is>
          <t>undefined</t>
        </is>
      </c>
      <c r="S2603" t="inlineStr">
        <is>
          <t>7036201287</t>
        </is>
      </c>
    </row>
    <row r="2604" ht="75" customHeight="1">
      <c r="A2604" s="2">
        <f>HYPERLINK("https://camerareadycosmetics.com/products/mehron-touch-up-matte-finishing-anti-shine-gel", "https://camerareadycosmetics.com/products/mehron-touch-up-matte-finishing-anti-shine-gel")</f>
        <v/>
      </c>
      <c r="B2604" s="2">
        <f>HYPERLINK("https://camerareadycosmetics.com/products/mehron-touch-up-matte-finishing-anti-shine-gel", "https://camerareadycosmetics.com/products/mehron-touch-up-matte-finishing-anti-shine-gel")</f>
        <v/>
      </c>
      <c r="C2604" t="inlineStr">
        <is>
          <t>Touch-Up Matte Finishing Anti-Shine Gel</t>
        </is>
      </c>
      <c r="D2604" t="inlineStr">
        <is>
          <t>Mehron Makeup TouchUp Anti-Shine Gel | Matte Primer Face Makeup | Finishing and Primer Gel (Dark Tint)</t>
        </is>
      </c>
      <c r="E2604" s="2">
        <f>HYPERLINK("https://www.amazon.com/Mehron-Makeup-Touch-Up-Anti-Shine-Finishing/dp/B00L10R4K2/ref=sr_1_1?keywords=Touch-Up+Matte+Finishing+Anti-Shine+Gel&amp;qid=1695565428&amp;sr=8-1", "https://www.amazon.com/Mehron-Makeup-Touch-Up-Anti-Shine-Finishing/dp/B00L10R4K2/ref=sr_1_1?keywords=Touch-Up+Matte+Finishing+Anti-Shine+Gel&amp;qid=1695565428&amp;sr=8-1")</f>
        <v/>
      </c>
      <c r="F2604" t="inlineStr">
        <is>
          <t>B00L10R4K2</t>
        </is>
      </c>
      <c r="G2604">
        <f>_xlfn.IMAGE("https://camerareadycosmetics.com/cdn/shop/products/TouchUp_Group_A__40619.1453984883.1280.1280_1_50x.jpg?v=1689632656")</f>
        <v/>
      </c>
      <c r="H2604">
        <f>_xlfn.IMAGE("https://m.media-amazon.com/images/I/51K+QJy0uIL._AC_UL320_.jpg")</f>
        <v/>
      </c>
      <c r="K2604" t="inlineStr">
        <is>
          <t>9.95</t>
        </is>
      </c>
      <c r="L2604" t="n">
        <v>12.95</v>
      </c>
      <c r="M2604" s="1" t="inlineStr">
        <is>
          <t>30.15%</t>
        </is>
      </c>
      <c r="N2604" t="n">
        <v>4.1</v>
      </c>
      <c r="O2604" t="n">
        <v>360</v>
      </c>
      <c r="Q2604" t="inlineStr">
        <is>
          <t>InStock</t>
        </is>
      </c>
      <c r="R2604" t="inlineStr">
        <is>
          <t>undefined</t>
        </is>
      </c>
      <c r="S2604" t="inlineStr">
        <is>
          <t>7036201287</t>
        </is>
      </c>
    </row>
    <row r="2605" ht="75" customHeight="1">
      <c r="A2605" s="2">
        <f>HYPERLINK("https://camerareadycosmetics.com/products/mehron-ultrafine-setting-powder", "https://camerareadycosmetics.com/products/mehron-ultrafine-setting-powder")</f>
        <v/>
      </c>
      <c r="B2605" s="2">
        <f>HYPERLINK("https://camerareadycosmetics.com/products/mehron-ultrafine-setting-powder", "https://camerareadycosmetics.com/products/mehron-ultrafine-setting-powder")</f>
        <v/>
      </c>
      <c r="C2605" t="inlineStr">
        <is>
          <t>UltraFine Setting Powder</t>
        </is>
      </c>
      <c r="D2605" t="inlineStr">
        <is>
          <t>Mehron Ultrafine Setting Powder - Soft Beige 1 oz.</t>
        </is>
      </c>
      <c r="E2605" s="2">
        <f>HYPERLINK("https://www.amazon.com/Mehron-Makeup-Setting-Powder-Beige/dp/B00B2ANCP2/ref=sr_1_1?keywords=UltraFine+Setting+Powder&amp;qid=1695565512&amp;sr=8-1", "https://www.amazon.com/Mehron-Makeup-Setting-Powder-Beige/dp/B00B2ANCP2/ref=sr_1_1?keywords=UltraFine+Setting+Powder&amp;qid=1695565512&amp;sr=8-1")</f>
        <v/>
      </c>
      <c r="F2605" t="inlineStr">
        <is>
          <t>B00B2ANCP2</t>
        </is>
      </c>
      <c r="G2605">
        <f>_xlfn.IMAGE("https://camerareadycosmetics.com/cdn/shop/products/Mehron-UltraFine-Setting-Powder-white_50x.jpg?v=1629832533")</f>
        <v/>
      </c>
      <c r="H2605">
        <f>_xlfn.IMAGE("https://m.media-amazon.com/images/I/51Vt7ldywlL._AC_UL320_.jpg")</f>
        <v/>
      </c>
      <c r="K2605" t="inlineStr">
        <is>
          <t>7.95</t>
        </is>
      </c>
      <c r="L2605" t="n">
        <v>9.949999999999999</v>
      </c>
      <c r="M2605" s="1" t="inlineStr">
        <is>
          <t>25.16%</t>
        </is>
      </c>
      <c r="N2605" t="n">
        <v>4.5</v>
      </c>
      <c r="O2605" t="n">
        <v>7402</v>
      </c>
      <c r="Q2605" t="inlineStr">
        <is>
          <t>InStock</t>
        </is>
      </c>
      <c r="R2605" t="inlineStr">
        <is>
          <t>undefined</t>
        </is>
      </c>
      <c r="S2605" t="inlineStr">
        <is>
          <t>7039130183</t>
        </is>
      </c>
    </row>
    <row r="2606" ht="75" customHeight="1">
      <c r="A2606" s="2">
        <f>HYPERLINK("https://camerareadycosmetics.com/products/mehron-velvet-finish-primer-serum", "https://camerareadycosmetics.com/products/mehron-velvet-finish-primer-serum")</f>
        <v/>
      </c>
      <c r="B2606" s="2">
        <f>HYPERLINK("https://camerareadycosmetics.com/products/mehron-velvet-finish-primer-serum", "https://camerareadycosmetics.com/products/mehron-velvet-finish-primer-serum")</f>
        <v/>
      </c>
      <c r="C2606" t="inlineStr">
        <is>
          <t>Velvet Finish Primer Serum</t>
        </is>
      </c>
      <c r="D2606" t="inlineStr">
        <is>
          <t>Blithe Makeup Prep Essence Primer for Elegant Dewy Finish - Skin Brightening Niacinamide Serum &amp; Moisturizing Makeup Primer for Mature Skin, Glamorous Radiant Glow Primer, Korean Makeup 1 Fl Oz</t>
        </is>
      </c>
      <c r="E2606" s="2">
        <f>HYPERLINK("https://www.amazon.com/BLITHE-Makeup-Prep-Essence-Ready/dp/B07FL8PDZM/ref=sr_1_8?keywords=Velvet+Finish+Primer+Serum&amp;qid=1695565517&amp;sr=8-8", "https://www.amazon.com/BLITHE-Makeup-Prep-Essence-Ready/dp/B07FL8PDZM/ref=sr_1_8?keywords=Velvet+Finish+Primer+Serum&amp;qid=1695565517&amp;sr=8-8")</f>
        <v/>
      </c>
      <c r="F2606" t="inlineStr">
        <is>
          <t>B07FL8PDZM</t>
        </is>
      </c>
      <c r="G2606">
        <f>_xlfn.IMAGE("https://camerareadycosmetics.com/cdn/shop/products/138008000__13917.1435878991.600.600_50x.jpeg?v=1689627980")</f>
        <v/>
      </c>
      <c r="H2606">
        <f>_xlfn.IMAGE("https://m.media-amazon.com/images/I/61Ukfj1xiaL._AC_UL320_.jpg")</f>
        <v/>
      </c>
      <c r="K2606" t="inlineStr">
        <is>
          <t>19.95</t>
        </is>
      </c>
      <c r="L2606" t="n">
        <v>25.2</v>
      </c>
      <c r="M2606" s="1" t="inlineStr">
        <is>
          <t>26.32%</t>
        </is>
      </c>
      <c r="N2606" t="n">
        <v>4</v>
      </c>
      <c r="O2606" t="n">
        <v>48</v>
      </c>
      <c r="Q2606" t="inlineStr">
        <is>
          <t>InStock</t>
        </is>
      </c>
      <c r="R2606" t="inlineStr">
        <is>
          <t>undefined</t>
        </is>
      </c>
      <c r="S2606" t="inlineStr">
        <is>
          <t>7035024263</t>
        </is>
      </c>
    </row>
    <row r="2607" ht="75" customHeight="1">
      <c r="A2607" s="2">
        <f>HYPERLINK("https://camerareadycosmetics.com/products/mehron-velvet-finish-primer-serum", "https://camerareadycosmetics.com/products/mehron-velvet-finish-primer-serum")</f>
        <v/>
      </c>
      <c r="B2607" s="2">
        <f>HYPERLINK("https://camerareadycosmetics.com/products/mehron-velvet-finish-primer-serum", "https://camerareadycosmetics.com/products/mehron-velvet-finish-primer-serum")</f>
        <v/>
      </c>
      <c r="C2607" t="inlineStr">
        <is>
          <t>Velvet Finish Primer Serum</t>
        </is>
      </c>
      <c r="D2607" t="inlineStr">
        <is>
          <t>Mehron Makeup Velvet Finish Pre-Foundation Skin Primer (1 oz)</t>
        </is>
      </c>
      <c r="E2607" s="2">
        <f>HYPERLINK("https://www.amazon.com/Mehron-Makeup-Velvet-Finish-Pre-Foundation/dp/B0026KCKIW/ref=sr_1_3?keywords=Velvet+Finish+Primer+Serum&amp;qid=1695565517&amp;sr=8-3", "https://www.amazon.com/Mehron-Makeup-Velvet-Finish-Pre-Foundation/dp/B0026KCKIW/ref=sr_1_3?keywords=Velvet+Finish+Primer+Serum&amp;qid=1695565517&amp;sr=8-3")</f>
        <v/>
      </c>
      <c r="F2607" t="inlineStr">
        <is>
          <t>B0026KCKIW</t>
        </is>
      </c>
      <c r="G2607">
        <f>_xlfn.IMAGE("https://camerareadycosmetics.com/cdn/shop/products/138008000__13917.1435878991.600.600_50x.jpeg?v=1689627980")</f>
        <v/>
      </c>
      <c r="H2607">
        <f>_xlfn.IMAGE("https://m.media-amazon.com/images/I/61gQo8eKGsL._AC_UL320_.jpg")</f>
        <v/>
      </c>
      <c r="K2607" t="inlineStr">
        <is>
          <t>19.95</t>
        </is>
      </c>
      <c r="L2607" t="n">
        <v>21.95</v>
      </c>
      <c r="M2607" s="1" t="inlineStr">
        <is>
          <t>10.03%</t>
        </is>
      </c>
      <c r="N2607" t="n">
        <v>4.3</v>
      </c>
      <c r="O2607" t="n">
        <v>229</v>
      </c>
      <c r="Q2607" t="inlineStr">
        <is>
          <t>InStock</t>
        </is>
      </c>
      <c r="R2607" t="inlineStr">
        <is>
          <t>undefined</t>
        </is>
      </c>
      <c r="S2607" t="inlineStr">
        <is>
          <t>7035024263</t>
        </is>
      </c>
    </row>
    <row r="2608" ht="75" customHeight="1">
      <c r="A2608" s="2">
        <f>HYPERLINK("https://camerareadycosmetics.com/products/melanie-mills-hollywood-gleam-body-radiance", "https://camerareadycosmetics.com/products/melanie-mills-hollywood-gleam-body-radiance")</f>
        <v/>
      </c>
      <c r="B2608" s="2">
        <f>HYPERLINK("https://camerareadycosmetics.com/products/melanie-mills-hollywood-gleam-body-radiance", "https://camerareadycosmetics.com/products/melanie-mills-hollywood-gleam-body-radiance")</f>
        <v/>
      </c>
      <c r="C2608" t="inlineStr">
        <is>
          <t>Gleam Face &amp; Body Radiance</t>
        </is>
      </c>
      <c r="D2608" t="inlineStr">
        <is>
          <t>Melanie Mills Hollywood Gleam Body Radiance All In One Makeup, Moisturizer &amp; Glow For Face &amp; Body - Disco Gold, 3.4 fl.oz.</t>
        </is>
      </c>
      <c r="E2608" s="2">
        <f>HYPERLINK("https://www.amazon.com/Melanie-Mills-Hollywood-Radiance-Moisturizer/dp/B01NA7GRPM/ref=sr_1_3?keywords=Gleam+Face+%26+Body+Radiance&amp;qid=1695565495&amp;sr=8-3", "https://www.amazon.com/Melanie-Mills-Hollywood-Radiance-Moisturizer/dp/B01NA7GRPM/ref=sr_1_3?keywords=Gleam+Face+%26+Body+Radiance&amp;qid=1695565495&amp;sr=8-3")</f>
        <v/>
      </c>
      <c r="F2608" t="inlineStr">
        <is>
          <t>B01NA7GRPM</t>
        </is>
      </c>
      <c r="G2608">
        <f>_xlfn.IMAGE("https://camerareadycosmetics.com/cdn/shop/products/3.4oz-tube-with-swatch_Deep-Gold_50x.jpg?v=1686861269")</f>
        <v/>
      </c>
      <c r="H2608">
        <f>_xlfn.IMAGE("https://m.media-amazon.com/images/I/71zQlii7WFL._AC_UL320_.jpg")</f>
        <v/>
      </c>
      <c r="K2608" t="inlineStr">
        <is>
          <t>45.0</t>
        </is>
      </c>
      <c r="L2608" t="n">
        <v>45</v>
      </c>
      <c r="M2608" s="1" t="inlineStr">
        <is>
          <t>0.00%</t>
        </is>
      </c>
      <c r="N2608" t="n">
        <v>1</v>
      </c>
      <c r="O2608" t="n">
        <v>1</v>
      </c>
      <c r="Q2608" t="inlineStr">
        <is>
          <t>InStock</t>
        </is>
      </c>
      <c r="R2608" t="inlineStr">
        <is>
          <t>undefined</t>
        </is>
      </c>
      <c r="S2608" t="inlineStr">
        <is>
          <t>7050179015</t>
        </is>
      </c>
    </row>
    <row r="2609" ht="75" customHeight="1">
      <c r="A2609" s="2">
        <f>HYPERLINK("https://camerareadycosmetics.com/products/melanie-mills-hollywood-gleam-body-radiance", "https://camerareadycosmetics.com/products/melanie-mills-hollywood-gleam-body-radiance")</f>
        <v/>
      </c>
      <c r="B2609" s="2">
        <f>HYPERLINK("https://camerareadycosmetics.com/products/melanie-mills-hollywood-gleam-body-radiance", "https://camerareadycosmetics.com/products/melanie-mills-hollywood-gleam-body-radiance")</f>
        <v/>
      </c>
      <c r="C2609" t="inlineStr">
        <is>
          <t>Gleam Face &amp; Body Radiance</t>
        </is>
      </c>
      <c r="D2609" t="inlineStr">
        <is>
          <t>Melanie Mills Hollywood Gleam Body Radiance All In One Makeup, Moisturizer &amp; Glow For Face &amp; Body - Peach Deluxe, 3.4 fl.oz.</t>
        </is>
      </c>
      <c r="E2609" s="2">
        <f>HYPERLINK("https://www.amazon.com/Melanie-Mills-Hollywood-Radiance-Moisturizer/dp/B01N33M9NM/ref=sr_1_4?keywords=Gleam+Face+%26+Body+Radiance&amp;qid=1695565495&amp;sr=8-4", "https://www.amazon.com/Melanie-Mills-Hollywood-Radiance-Moisturizer/dp/B01N33M9NM/ref=sr_1_4?keywords=Gleam+Face+%26+Body+Radiance&amp;qid=1695565495&amp;sr=8-4")</f>
        <v/>
      </c>
      <c r="F2609" t="inlineStr">
        <is>
          <t>B01N33M9NM</t>
        </is>
      </c>
      <c r="G2609">
        <f>_xlfn.IMAGE("https://camerareadycosmetics.com/cdn/shop/products/3.4oz-tube-with-swatch_Deep-Gold_50x.jpg?v=1686861269")</f>
        <v/>
      </c>
      <c r="H2609">
        <f>_xlfn.IMAGE("https://m.media-amazon.com/images/I/818E8bxEOCL._AC_UL320_.jpg")</f>
        <v/>
      </c>
      <c r="K2609" t="inlineStr">
        <is>
          <t>45.0</t>
        </is>
      </c>
      <c r="L2609" t="n">
        <v>45</v>
      </c>
      <c r="M2609" s="1" t="inlineStr">
        <is>
          <t>0.00%</t>
        </is>
      </c>
      <c r="N2609" t="n">
        <v>4.3</v>
      </c>
      <c r="O2609" t="n">
        <v>26</v>
      </c>
      <c r="Q2609" t="inlineStr">
        <is>
          <t>InStock</t>
        </is>
      </c>
      <c r="R2609" t="inlineStr">
        <is>
          <t>undefined</t>
        </is>
      </c>
      <c r="S2609" t="inlineStr">
        <is>
          <t>7050179015</t>
        </is>
      </c>
    </row>
    <row r="2610" ht="75" customHeight="1">
      <c r="A2610" s="2">
        <f>HYPERLINK("https://camerareadycosmetics.com/products/melanie-mills-hollywood-gleam-body-radiance", "https://camerareadycosmetics.com/products/melanie-mills-hollywood-gleam-body-radiance")</f>
        <v/>
      </c>
      <c r="B2610" s="2">
        <f>HYPERLINK("https://camerareadycosmetics.com/products/melanie-mills-hollywood-gleam-body-radiance", "https://camerareadycosmetics.com/products/melanie-mills-hollywood-gleam-body-radiance")</f>
        <v/>
      </c>
      <c r="C2610" t="inlineStr">
        <is>
          <t>Gleam Face &amp; Body Radiance</t>
        </is>
      </c>
      <c r="D2610" t="inlineStr">
        <is>
          <t>Melanie Mills Hollywood Gleam Body Radiance All In One Makeup, Moisturizer &amp; Glow For Face &amp; Body - Deep Gold, 3.4 fl.oz.</t>
        </is>
      </c>
      <c r="E2610" s="2">
        <f>HYPERLINK("https://www.amazon.com/Melanie-Mills-Hollywood-Gleam-Radiance/dp/B00H5WB1KE/ref=sr_1_5?keywords=Gleam+Face+%26+Body+Radiance&amp;qid=1695565495&amp;sr=8-5", "https://www.amazon.com/Melanie-Mills-Hollywood-Gleam-Radiance/dp/B00H5WB1KE/ref=sr_1_5?keywords=Gleam+Face+%26+Body+Radiance&amp;qid=1695565495&amp;sr=8-5")</f>
        <v/>
      </c>
      <c r="F2610" t="inlineStr">
        <is>
          <t>B00H5WB1KE</t>
        </is>
      </c>
      <c r="G2610">
        <f>_xlfn.IMAGE("https://camerareadycosmetics.com/cdn/shop/products/3.4oz-tube-with-swatch_Deep-Gold_50x.jpg?v=1686861269")</f>
        <v/>
      </c>
      <c r="H2610">
        <f>_xlfn.IMAGE("https://m.media-amazon.com/images/I/81nwKi3qgCL._AC_UL320_.jpg")</f>
        <v/>
      </c>
      <c r="K2610" t="inlineStr">
        <is>
          <t>45.0</t>
        </is>
      </c>
      <c r="L2610" t="n">
        <v>45</v>
      </c>
      <c r="M2610" s="1" t="inlineStr">
        <is>
          <t>0.00%</t>
        </is>
      </c>
      <c r="N2610" t="n">
        <v>4.1</v>
      </c>
      <c r="O2610" t="n">
        <v>42</v>
      </c>
      <c r="Q2610" t="inlineStr">
        <is>
          <t>InStock</t>
        </is>
      </c>
      <c r="R2610" t="inlineStr">
        <is>
          <t>undefined</t>
        </is>
      </c>
      <c r="S2610" t="inlineStr">
        <is>
          <t>7050179015</t>
        </is>
      </c>
    </row>
    <row r="2611" ht="75" customHeight="1">
      <c r="A2611" s="2">
        <f>HYPERLINK("https://camerareadycosmetics.com/products/melanie-mills-hollywood-gleam-body-radiance", "https://camerareadycosmetics.com/products/melanie-mills-hollywood-gleam-body-radiance")</f>
        <v/>
      </c>
      <c r="B2611" s="2">
        <f>HYPERLINK("https://camerareadycosmetics.com/products/melanie-mills-hollywood-gleam-body-radiance", "https://camerareadycosmetics.com/products/melanie-mills-hollywood-gleam-body-radiance")</f>
        <v/>
      </c>
      <c r="C2611" t="inlineStr">
        <is>
          <t>Gleam Face &amp; Body Radiance</t>
        </is>
      </c>
      <c r="D2611" t="inlineStr">
        <is>
          <t>Melanie Mills Hollywood Gleam Body Radiance All In One Makeup, Moisturizer &amp; Glow For Face &amp; Body - Bronze Gold, 3.4 fl.oz.</t>
        </is>
      </c>
      <c r="E2611" s="2">
        <f>HYPERLINK("https://www.amazon.com/Melanie-Mills-Hollywood-Moisturizing-Radiance/dp/B00H5WB1OK/ref=sr_1_6?keywords=Gleam+Face+%26+Body+Radiance&amp;qid=1695565495&amp;sr=8-6", "https://www.amazon.com/Melanie-Mills-Hollywood-Moisturizing-Radiance/dp/B00H5WB1OK/ref=sr_1_6?keywords=Gleam+Face+%26+Body+Radiance&amp;qid=1695565495&amp;sr=8-6")</f>
        <v/>
      </c>
      <c r="F2611" t="inlineStr">
        <is>
          <t>B00H5WB1OK</t>
        </is>
      </c>
      <c r="G2611">
        <f>_xlfn.IMAGE("https://camerareadycosmetics.com/cdn/shop/products/3.4oz-tube-with-swatch_Deep-Gold_50x.jpg?v=1686861269")</f>
        <v/>
      </c>
      <c r="H2611">
        <f>_xlfn.IMAGE("https://m.media-amazon.com/images/I/71N4tit9-YL._AC_UL320_.jpg")</f>
        <v/>
      </c>
      <c r="K2611" t="inlineStr">
        <is>
          <t>45.0</t>
        </is>
      </c>
      <c r="L2611" t="n">
        <v>45</v>
      </c>
      <c r="M2611" s="1" t="inlineStr">
        <is>
          <t>0.00%</t>
        </is>
      </c>
      <c r="N2611" t="n">
        <v>4.4</v>
      </c>
      <c r="O2611" t="n">
        <v>35</v>
      </c>
      <c r="Q2611" t="inlineStr">
        <is>
          <t>InStock</t>
        </is>
      </c>
      <c r="R2611" t="inlineStr">
        <is>
          <t>undefined</t>
        </is>
      </c>
      <c r="S2611" t="inlineStr">
        <is>
          <t>7050179015</t>
        </is>
      </c>
    </row>
    <row r="2612" ht="75" customHeight="1">
      <c r="A2612" s="2">
        <f>HYPERLINK("https://camerareadycosmetics.com/products/melanie-mills-hollywood-gleam-body-radiance", "https://camerareadycosmetics.com/products/melanie-mills-hollywood-gleam-body-radiance")</f>
        <v/>
      </c>
      <c r="B2612" s="2">
        <f>HYPERLINK("https://camerareadycosmetics.com/products/melanie-mills-hollywood-gleam-body-radiance", "https://camerareadycosmetics.com/products/melanie-mills-hollywood-gleam-body-radiance")</f>
        <v/>
      </c>
      <c r="C2612" t="inlineStr">
        <is>
          <t>Gleam Face &amp; Body Radiance</t>
        </is>
      </c>
      <c r="D2612" t="inlineStr">
        <is>
          <t>Melanie Mills Hollywood Gleam Body Radiance All In One Makeup, Moisturizer &amp; Glow For Face &amp; Body - Opalescence, 3.4 fl.oz.</t>
        </is>
      </c>
      <c r="E2612" s="2">
        <f>HYPERLINK("https://www.amazon.com/Melanie-Mills-Hollywood-Radiance-Moisturizer/dp/B078HFXFG5/ref=sr_1_7?keywords=Gleam+Face+%26+Body+Radiance&amp;qid=1695565495&amp;sr=8-7", "https://www.amazon.com/Melanie-Mills-Hollywood-Radiance-Moisturizer/dp/B078HFXFG5/ref=sr_1_7?keywords=Gleam+Face+%26+Body+Radiance&amp;qid=1695565495&amp;sr=8-7")</f>
        <v/>
      </c>
      <c r="F2612" t="inlineStr">
        <is>
          <t>B078HFXFG5</t>
        </is>
      </c>
      <c r="G2612">
        <f>_xlfn.IMAGE("https://camerareadycosmetics.com/cdn/shop/products/3.4oz-tube-with-swatch_Deep-Gold_50x.jpg?v=1686861269")</f>
        <v/>
      </c>
      <c r="H2612">
        <f>_xlfn.IMAGE("https://m.media-amazon.com/images/I/712zj99rC4L._AC_UL320_.jpg")</f>
        <v/>
      </c>
      <c r="K2612" t="inlineStr">
        <is>
          <t>45.0</t>
        </is>
      </c>
      <c r="L2612" t="n">
        <v>45</v>
      </c>
      <c r="M2612" s="1" t="inlineStr">
        <is>
          <t>0.00%</t>
        </is>
      </c>
      <c r="N2612" t="n">
        <v>3.6</v>
      </c>
      <c r="O2612" t="n">
        <v>8</v>
      </c>
      <c r="Q2612" t="inlineStr">
        <is>
          <t>InStock</t>
        </is>
      </c>
      <c r="R2612" t="inlineStr">
        <is>
          <t>undefined</t>
        </is>
      </c>
      <c r="S2612" t="inlineStr">
        <is>
          <t>7050179015</t>
        </is>
      </c>
    </row>
    <row r="2613" ht="75" customHeight="1">
      <c r="A2613" s="2">
        <f>HYPERLINK("https://camerareadycosmetics.com/products/melanie-mills-hollywood-gleam-body-radiance", "https://camerareadycosmetics.com/products/melanie-mills-hollywood-gleam-body-radiance")</f>
        <v/>
      </c>
      <c r="B2613" s="2">
        <f>HYPERLINK("https://camerareadycosmetics.com/products/melanie-mills-hollywood-gleam-body-radiance", "https://camerareadycosmetics.com/products/melanie-mills-hollywood-gleam-body-radiance")</f>
        <v/>
      </c>
      <c r="C2613" t="inlineStr">
        <is>
          <t>Gleam Face &amp; Body Radiance</t>
        </is>
      </c>
      <c r="D2613" t="inlineStr">
        <is>
          <t>Melanie Mills Hollywood Gleam Body Radiance All In One Makeup, Moisturizer &amp; Glow For Face &amp; Body - Rose Gold, 3.4 fl.oz.</t>
        </is>
      </c>
      <c r="E2613" s="2">
        <f>HYPERLINK("https://www.amazon.com/Melanie-Mills-Hollywood-Moisturizing-Radiance/dp/B00H5WB1LS/ref=sr_1_1?keywords=Gleam+Face+%26+Body+Radiance&amp;qid=1695565495&amp;sr=8-1", "https://www.amazon.com/Melanie-Mills-Hollywood-Moisturizing-Radiance/dp/B00H5WB1LS/ref=sr_1_1?keywords=Gleam+Face+%26+Body+Radiance&amp;qid=1695565495&amp;sr=8-1")</f>
        <v/>
      </c>
      <c r="F2613" t="inlineStr">
        <is>
          <t>B00H5WB1LS</t>
        </is>
      </c>
      <c r="G2613">
        <f>_xlfn.IMAGE("https://camerareadycosmetics.com/cdn/shop/products/3.4oz-tube-with-swatch_Deep-Gold_50x.jpg?v=1686861269")</f>
        <v/>
      </c>
      <c r="H2613">
        <f>_xlfn.IMAGE("https://m.media-amazon.com/images/I/71bmtx7dJqL._AC_UL320_.jpg")</f>
        <v/>
      </c>
      <c r="K2613" t="inlineStr">
        <is>
          <t>45.0</t>
        </is>
      </c>
      <c r="L2613" t="n">
        <v>45</v>
      </c>
      <c r="M2613" s="1" t="inlineStr">
        <is>
          <t>0.00%</t>
        </is>
      </c>
      <c r="N2613" t="n">
        <v>3.9</v>
      </c>
      <c r="O2613" t="n">
        <v>46</v>
      </c>
      <c r="Q2613" t="inlineStr">
        <is>
          <t>InStock</t>
        </is>
      </c>
      <c r="R2613" t="inlineStr">
        <is>
          <t>undefined</t>
        </is>
      </c>
      <c r="S2613" t="inlineStr">
        <is>
          <t>7050179015</t>
        </is>
      </c>
    </row>
    <row r="2614" ht="75" customHeight="1">
      <c r="A2614" s="2">
        <f>HYPERLINK("https://camerareadycosmetics.com/products/melanie-mills-hollywood-gleam-body-radiance", "https://camerareadycosmetics.com/products/melanie-mills-hollywood-gleam-body-radiance")</f>
        <v/>
      </c>
      <c r="B2614" s="2">
        <f>HYPERLINK("https://camerareadycosmetics.com/products/melanie-mills-hollywood-gleam-body-radiance", "https://camerareadycosmetics.com/products/melanie-mills-hollywood-gleam-body-radiance")</f>
        <v/>
      </c>
      <c r="C2614" t="inlineStr">
        <is>
          <t>Gleam Face &amp; Body Radiance</t>
        </is>
      </c>
      <c r="D2614" t="inlineStr">
        <is>
          <t>Melanie Mills Hollywood Gleam Body Radiance All In One Makeup, Moisturizer &amp; Glow For Face &amp; Body - Opalescence, Mini 1 fl.oz.</t>
        </is>
      </c>
      <c r="E2614" s="2">
        <f>HYPERLINK("https://www.amazon.com/Melanie-Mills-Hollywood-Radiance-Moisturizer/dp/B078HKVFL8/ref=sr_1_2?keywords=Gleam+Face+%26+Body+Radiance&amp;qid=1695565495&amp;sr=8-2", "https://www.amazon.com/Melanie-Mills-Hollywood-Radiance-Moisturizer/dp/B078HKVFL8/ref=sr_1_2?keywords=Gleam+Face+%26+Body+Radiance&amp;qid=1695565495&amp;sr=8-2")</f>
        <v/>
      </c>
      <c r="F2614" t="inlineStr">
        <is>
          <t>B078HKVFL8</t>
        </is>
      </c>
      <c r="G2614">
        <f>_xlfn.IMAGE("https://camerareadycosmetics.com/cdn/shop/products/3.4oz-tube-with-swatch_Deep-Gold_50x.jpg?v=1686861269")</f>
        <v/>
      </c>
      <c r="H2614">
        <f>_xlfn.IMAGE("https://m.media-amazon.com/images/I/6104EdkdrXL._AC_UL320_.jpg")</f>
        <v/>
      </c>
      <c r="K2614" t="inlineStr">
        <is>
          <t>45.0</t>
        </is>
      </c>
      <c r="L2614" t="n">
        <v>18</v>
      </c>
      <c r="M2614" s="1" t="inlineStr">
        <is>
          <t>-60.00%</t>
        </is>
      </c>
      <c r="N2614" t="n">
        <v>4.1</v>
      </c>
      <c r="O2614" t="n">
        <v>648</v>
      </c>
      <c r="Q2614" t="inlineStr">
        <is>
          <t>InStock</t>
        </is>
      </c>
      <c r="R2614" t="inlineStr">
        <is>
          <t>undefined</t>
        </is>
      </c>
      <c r="S2614" t="inlineStr">
        <is>
          <t>7050179015</t>
        </is>
      </c>
    </row>
    <row r="2615" ht="75" customHeight="1">
      <c r="A2615" s="2">
        <f>HYPERLINK("https://camerareadycosmetics.com/products/melanie-mills-hollywood-gleam-body-radiance", "https://camerareadycosmetics.com/products/melanie-mills-hollywood-gleam-body-radiance")</f>
        <v/>
      </c>
      <c r="B2615" s="2">
        <f>HYPERLINK("https://camerareadycosmetics.com/products/melanie-mills-hollywood-gleam-body-radiance", "https://camerareadycosmetics.com/products/melanie-mills-hollywood-gleam-body-radiance")</f>
        <v/>
      </c>
      <c r="C2615" t="inlineStr">
        <is>
          <t>Gleam Face &amp; Body Radiance</t>
        </is>
      </c>
      <c r="D2615" t="inlineStr">
        <is>
          <t>Melanie Mills Hollywood Gleam Body Radiance All In One Makeup, Moisturizer &amp; Glow For Face &amp; Body - Opalescence, Mini 1 fl.oz.</t>
        </is>
      </c>
      <c r="E2615" s="2">
        <f>HYPERLINK("https://www.amazon.com/Melanie-Mills-Hollywood-Radiance-Moisturizer/dp/B078HKVFL8/ref=sr_1_2?keywords=Gleam+Face+%26+Body+Radiance&amp;qid=1695565495&amp;sr=8-2", "https://www.amazon.com/Melanie-Mills-Hollywood-Radiance-Moisturizer/dp/B078HKVFL8/ref=sr_1_2?keywords=Gleam+Face+%26+Body+Radiance&amp;qid=1695565495&amp;sr=8-2")</f>
        <v/>
      </c>
      <c r="F2615" t="inlineStr">
        <is>
          <t>B078HKVFL8</t>
        </is>
      </c>
      <c r="G2615">
        <f>_xlfn.IMAGE("https://camerareadycosmetics.com/cdn/shop/products/3.4oz-tube-with-swatch_Deep-Gold_50x.jpg?v=1686861269")</f>
        <v/>
      </c>
      <c r="H2615">
        <f>_xlfn.IMAGE("https://m.media-amazon.com/images/I/6104EdkdrXL._AC_UL320_.jpg")</f>
        <v/>
      </c>
      <c r="K2615" t="inlineStr">
        <is>
          <t>45.0</t>
        </is>
      </c>
      <c r="L2615" t="n">
        <v>18</v>
      </c>
      <c r="M2615" s="1" t="inlineStr">
        <is>
          <t>-60.00%</t>
        </is>
      </c>
      <c r="N2615" t="n">
        <v>4.1</v>
      </c>
      <c r="O2615" t="n">
        <v>648</v>
      </c>
      <c r="Q2615" t="inlineStr">
        <is>
          <t>InStock</t>
        </is>
      </c>
      <c r="R2615" t="inlineStr">
        <is>
          <t>undefined</t>
        </is>
      </c>
      <c r="S2615" t="inlineStr">
        <is>
          <t>7050179015</t>
        </is>
      </c>
    </row>
    <row r="2616" ht="75" customHeight="1">
      <c r="A2616" s="2">
        <f>HYPERLINK("https://camerareadycosmetics.com/products/melanie-mills-hollywood-gleam-on-the-go-kit", "https://camerareadycosmetics.com/products/melanie-mills-hollywood-gleam-on-the-go-kit")</f>
        <v/>
      </c>
      <c r="B2616" s="2">
        <f>HYPERLINK("https://camerareadycosmetics.com/products/melanie-mills-hollywood-gleam-on-the-go-kit", "https://camerareadycosmetics.com/products/melanie-mills-hollywood-gleam-on-the-go-kit")</f>
        <v/>
      </c>
      <c r="C2616" t="inlineStr">
        <is>
          <t>Gleam on the Go - Gleam Girl</t>
        </is>
      </c>
      <c r="D2616" t="inlineStr">
        <is>
          <t>blinc Glow and Go Cream Stick Highlighter, Moonlight Gleam, Champagne, 0.1235 Oz</t>
        </is>
      </c>
      <c r="E2616" s="2">
        <f>HYPERLINK("https://www.amazon.com/blinc-Cream-Stick-Highlighter-Moonlight/dp/B07VN3PVZQ/ref=sr_1_1?keywords=Gleam+on+the+Go+-+Gleam+Girl&amp;qid=1695565500&amp;sr=8-1", "https://www.amazon.com/blinc-Cream-Stick-Highlighter-Moonlight/dp/B07VN3PVZQ/ref=sr_1_1?keywords=Gleam+on+the+Go+-+Gleam+Girl&amp;qid=1695565500&amp;sr=8-1")</f>
        <v/>
      </c>
      <c r="F2616" t="inlineStr">
        <is>
          <t>B07VN3PVZQ</t>
        </is>
      </c>
      <c r="G2616">
        <f>_xlfn.IMAGE("https://camerareadycosmetics.com/cdn/shop/products/leg-chart-full_8d8d87f7-f79b-4922-a924-29b85fb7a796_50x.jpg?v=1689657888")</f>
        <v/>
      </c>
      <c r="H2616">
        <f>_xlfn.IMAGE("https://m.media-amazon.com/images/I/61o0PbIvGwL._AC_UL320_.jpg")</f>
        <v/>
      </c>
      <c r="K2616" t="inlineStr">
        <is>
          <t>41.0</t>
        </is>
      </c>
      <c r="L2616" t="n">
        <v>12.95</v>
      </c>
      <c r="M2616" s="1" t="inlineStr">
        <is>
          <t>-68.41%</t>
        </is>
      </c>
      <c r="N2616" t="n">
        <v>3.8</v>
      </c>
      <c r="O2616" t="n">
        <v>9</v>
      </c>
      <c r="Q2616" t="inlineStr">
        <is>
          <t>OutOfStock</t>
        </is>
      </c>
      <c r="R2616" t="inlineStr">
        <is>
          <t>undefined</t>
        </is>
      </c>
      <c r="S2616" t="inlineStr">
        <is>
          <t>7050113607</t>
        </is>
      </c>
    </row>
    <row r="2617" ht="75" customHeight="1">
      <c r="A2617" s="2">
        <f>HYPERLINK("https://camerareadycosmetics.com/products/melanie-mills-hollywood-gleam-on-the-go-kit", "https://camerareadycosmetics.com/products/melanie-mills-hollywood-gleam-on-the-go-kit")</f>
        <v/>
      </c>
      <c r="B2617" s="2">
        <f>HYPERLINK("https://camerareadycosmetics.com/products/melanie-mills-hollywood-gleam-on-the-go-kit", "https://camerareadycosmetics.com/products/melanie-mills-hollywood-gleam-on-the-go-kit")</f>
        <v/>
      </c>
      <c r="C2617" t="inlineStr">
        <is>
          <t>Gleam on the Go - Gleam Girl</t>
        </is>
      </c>
      <c r="D2617" t="inlineStr">
        <is>
          <t>Glitter Girls – Glitter on the Go Shoes Accessory Set – 14-inch Doll Clothes and Accessories for Girls Age 3 and Up – Children’s Toys</t>
        </is>
      </c>
      <c r="E2617" s="2">
        <f>HYPERLINK("https://www.amazon.com/Glitter-Girls-Battat-Accessory-Accessories/dp/B073FWLHNP/ref=sr_1_3?keywords=Gleam+on+the+Go+-+Gleam+Girl&amp;qid=1695565500&amp;sr=8-3", "https://www.amazon.com/Glitter-Girls-Battat-Accessory-Accessories/dp/B073FWLHNP/ref=sr_1_3?keywords=Gleam+on+the+Go+-+Gleam+Girl&amp;qid=1695565500&amp;sr=8-3")</f>
        <v/>
      </c>
      <c r="F2617" t="inlineStr">
        <is>
          <t>B073FWLHNP</t>
        </is>
      </c>
      <c r="G2617">
        <f>_xlfn.IMAGE("https://camerareadycosmetics.com/cdn/shop/products/leg-chart-full_8d8d87f7-f79b-4922-a924-29b85fb7a796_50x.jpg?v=1689657888")</f>
        <v/>
      </c>
      <c r="H2617">
        <f>_xlfn.IMAGE("https://m.media-amazon.com/images/I/81r1-hLOw-L._AC_UL320_.jpg")</f>
        <v/>
      </c>
      <c r="K2617" t="inlineStr">
        <is>
          <t>41.0</t>
        </is>
      </c>
      <c r="L2617" t="n">
        <v>9.949999999999999</v>
      </c>
      <c r="M2617" s="1" t="inlineStr">
        <is>
          <t>-75.73%</t>
        </is>
      </c>
      <c r="N2617" t="n">
        <v>4.4</v>
      </c>
      <c r="O2617" t="n">
        <v>146</v>
      </c>
      <c r="Q2617" t="inlineStr">
        <is>
          <t>OutOfStock</t>
        </is>
      </c>
      <c r="R2617" t="inlineStr">
        <is>
          <t>undefined</t>
        </is>
      </c>
      <c r="S2617" t="inlineStr">
        <is>
          <t>7050113607</t>
        </is>
      </c>
    </row>
    <row r="2618" ht="75" customHeight="1">
      <c r="A2618" s="2">
        <f>HYPERLINK("https://camerareadycosmetics.com/products/melanie-mills-hollywood-gleam-on-the-go-kit", "https://camerareadycosmetics.com/products/melanie-mills-hollywood-gleam-on-the-go-kit")</f>
        <v/>
      </c>
      <c r="B2618" s="2">
        <f>HYPERLINK("https://camerareadycosmetics.com/products/melanie-mills-hollywood-gleam-on-the-go-kit", "https://camerareadycosmetics.com/products/melanie-mills-hollywood-gleam-on-the-go-kit")</f>
        <v/>
      </c>
      <c r="C2618" t="inlineStr">
        <is>
          <t>Gleam on the Go - Gleam Girl</t>
        </is>
      </c>
      <c r="D2618" t="inlineStr">
        <is>
          <t>blinc Glow and Go Cream Stick Highlighter, Moonlight Gleam, Champagne, 0.1235 Oz</t>
        </is>
      </c>
      <c r="E2618" s="2">
        <f>HYPERLINK("https://www.amazon.com/blinc-Cream-Stick-Highlighter-Moonlight/dp/B07VN3PVZQ/ref=sr_1_1?keywords=Gleam+on+the+Go+-+Gleam+Girl&amp;qid=1695565500&amp;sr=8-1", "https://www.amazon.com/blinc-Cream-Stick-Highlighter-Moonlight/dp/B07VN3PVZQ/ref=sr_1_1?keywords=Gleam+on+the+Go+-+Gleam+Girl&amp;qid=1695565500&amp;sr=8-1")</f>
        <v/>
      </c>
      <c r="F2618" t="inlineStr">
        <is>
          <t>B07VN3PVZQ</t>
        </is>
      </c>
      <c r="G2618">
        <f>_xlfn.IMAGE("https://camerareadycosmetics.com/cdn/shop/products/leg-chart-full_8d8d87f7-f79b-4922-a924-29b85fb7a796_50x.jpg?v=1689657888")</f>
        <v/>
      </c>
      <c r="H2618">
        <f>_xlfn.IMAGE("https://m.media-amazon.com/images/I/61o0PbIvGwL._AC_UL320_.jpg")</f>
        <v/>
      </c>
      <c r="K2618" t="inlineStr">
        <is>
          <t>41.0</t>
        </is>
      </c>
      <c r="L2618" t="n">
        <v>12.95</v>
      </c>
      <c r="M2618" s="1" t="inlineStr">
        <is>
          <t>-68.41%</t>
        </is>
      </c>
      <c r="N2618" t="n">
        <v>3.8</v>
      </c>
      <c r="O2618" t="n">
        <v>9</v>
      </c>
      <c r="Q2618" t="inlineStr">
        <is>
          <t>OutOfStock</t>
        </is>
      </c>
      <c r="R2618" t="inlineStr">
        <is>
          <t>undefined</t>
        </is>
      </c>
      <c r="S2618" t="inlineStr">
        <is>
          <t>7050113607</t>
        </is>
      </c>
    </row>
    <row r="2619" ht="75" customHeight="1">
      <c r="A2619" s="2">
        <f>HYPERLINK("https://camerareadycosmetics.com/products/melanie-mills-hollywood-gleam-on-the-go-kit", "https://camerareadycosmetics.com/products/melanie-mills-hollywood-gleam-on-the-go-kit")</f>
        <v/>
      </c>
      <c r="B2619" s="2">
        <f>HYPERLINK("https://camerareadycosmetics.com/products/melanie-mills-hollywood-gleam-on-the-go-kit", "https://camerareadycosmetics.com/products/melanie-mills-hollywood-gleam-on-the-go-kit")</f>
        <v/>
      </c>
      <c r="C2619" t="inlineStr">
        <is>
          <t>Gleam on the Go - Gleam Girl</t>
        </is>
      </c>
      <c r="D2619" t="inlineStr">
        <is>
          <t>Glitter Girls – Glitter on the Go Shoes Accessory Set – 14-inch Doll Clothes and Accessories for Girls Age 3 and Up – Children’s Toys</t>
        </is>
      </c>
      <c r="E2619" s="2">
        <f>HYPERLINK("https://www.amazon.com/Glitter-Girls-Battat-Accessory-Accessories/dp/B073FWLHNP/ref=sr_1_3?keywords=Gleam+on+the+Go+-+Gleam+Girl&amp;qid=1695565500&amp;sr=8-3", "https://www.amazon.com/Glitter-Girls-Battat-Accessory-Accessories/dp/B073FWLHNP/ref=sr_1_3?keywords=Gleam+on+the+Go+-+Gleam+Girl&amp;qid=1695565500&amp;sr=8-3")</f>
        <v/>
      </c>
      <c r="F2619" t="inlineStr">
        <is>
          <t>B073FWLHNP</t>
        </is>
      </c>
      <c r="G2619">
        <f>_xlfn.IMAGE("https://camerareadycosmetics.com/cdn/shop/products/leg-chart-full_8d8d87f7-f79b-4922-a924-29b85fb7a796_50x.jpg?v=1689657888")</f>
        <v/>
      </c>
      <c r="H2619">
        <f>_xlfn.IMAGE("https://m.media-amazon.com/images/I/81r1-hLOw-L._AC_UL320_.jpg")</f>
        <v/>
      </c>
      <c r="K2619" t="inlineStr">
        <is>
          <t>41.0</t>
        </is>
      </c>
      <c r="L2619" t="n">
        <v>9.949999999999999</v>
      </c>
      <c r="M2619" s="1" t="inlineStr">
        <is>
          <t>-75.73%</t>
        </is>
      </c>
      <c r="N2619" t="n">
        <v>4.4</v>
      </c>
      <c r="O2619" t="n">
        <v>146</v>
      </c>
      <c r="Q2619" t="inlineStr">
        <is>
          <t>OutOfStock</t>
        </is>
      </c>
      <c r="R2619" t="inlineStr">
        <is>
          <t>undefined</t>
        </is>
      </c>
      <c r="S2619" t="inlineStr">
        <is>
          <t>7050113607</t>
        </is>
      </c>
    </row>
    <row r="2620" ht="75" customHeight="1">
      <c r="A2620" s="2">
        <f>HYPERLINK("https://camerareadycosmetics.com/products/melanie-mills-hollywood-gleam-on-the-go-kit-2", "https://camerareadycosmetics.com/products/melanie-mills-hollywood-gleam-on-the-go-kit-2")</f>
        <v/>
      </c>
      <c r="B2620" s="2">
        <f>HYPERLINK("https://camerareadycosmetics.com/products/melanie-mills-hollywood-gleam-on-the-go-kit-2", "https://camerareadycosmetics.com/products/melanie-mills-hollywood-gleam-on-the-go-kit-2")</f>
        <v/>
      </c>
      <c r="C2620" t="inlineStr">
        <is>
          <t>Gleam On The Go - Glow Girl</t>
        </is>
      </c>
      <c r="D2620" t="inlineStr">
        <is>
          <t>blinc Glow and Go Cream Stick Highlighter, Moonlight Gleam, Champagne, 0.1235 Oz</t>
        </is>
      </c>
      <c r="E2620" s="2">
        <f>HYPERLINK("https://www.amazon.com/blinc-Cream-Stick-Highlighter-Moonlight/dp/B07VN3PVZQ/ref=sr_1_2?keywords=Gleam+On+The+Go+-+Glow+Girl&amp;qid=1695565586&amp;sr=8-2", "https://www.amazon.com/blinc-Cream-Stick-Highlighter-Moonlight/dp/B07VN3PVZQ/ref=sr_1_2?keywords=Gleam+On+The+Go+-+Glow+Girl&amp;qid=1695565586&amp;sr=8-2")</f>
        <v/>
      </c>
      <c r="F2620" t="inlineStr">
        <is>
          <t>B07VN3PVZQ</t>
        </is>
      </c>
      <c r="G2620">
        <f>_xlfn.IMAGE("https://camerareadycosmetics.com/cdn/shop/products/GOTG_Glow-Girl_Tubes_50x.jpg?v=1694446783")</f>
        <v/>
      </c>
      <c r="H2620">
        <f>_xlfn.IMAGE("https://m.media-amazon.com/images/I/61o0PbIvGwL._AC_UL320_.jpg")</f>
        <v/>
      </c>
      <c r="K2620" t="inlineStr">
        <is>
          <t>41.0</t>
        </is>
      </c>
      <c r="L2620" t="n">
        <v>12.95</v>
      </c>
      <c r="M2620" s="1" t="inlineStr">
        <is>
          <t>-68.41%</t>
        </is>
      </c>
      <c r="N2620" t="n">
        <v>3.8</v>
      </c>
      <c r="O2620" t="n">
        <v>9</v>
      </c>
      <c r="Q2620" t="inlineStr">
        <is>
          <t>OutOfStock</t>
        </is>
      </c>
      <c r="R2620" t="inlineStr">
        <is>
          <t>undefined</t>
        </is>
      </c>
      <c r="S2620" t="inlineStr">
        <is>
          <t>10389564426</t>
        </is>
      </c>
    </row>
    <row r="2621" ht="75" customHeight="1">
      <c r="A2621" s="2">
        <f>HYPERLINK("https://camerareadycosmetics.com/products/melanie-mills-hollywood-gleam-on-the-go-kit-2", "https://camerareadycosmetics.com/products/melanie-mills-hollywood-gleam-on-the-go-kit-2")</f>
        <v/>
      </c>
      <c r="B2621" s="2">
        <f>HYPERLINK("https://camerareadycosmetics.com/products/melanie-mills-hollywood-gleam-on-the-go-kit-2", "https://camerareadycosmetics.com/products/melanie-mills-hollywood-gleam-on-the-go-kit-2")</f>
        <v/>
      </c>
      <c r="C2621" t="inlineStr">
        <is>
          <t>Gleam On The Go - Glow Girl</t>
        </is>
      </c>
      <c r="D2621" t="inlineStr">
        <is>
          <t>blinc Glow and Go Cream Stick Highlighter, Moonlight Gleam, Champagne, 0.1235 Oz</t>
        </is>
      </c>
      <c r="E2621" s="2">
        <f>HYPERLINK("https://www.amazon.com/blinc-Cream-Stick-Highlighter-Moonlight/dp/B07VN3PVZQ/ref=sr_1_2?keywords=Gleam+On+The+Go+-+Glow+Girl&amp;qid=1695565586&amp;sr=8-2", "https://www.amazon.com/blinc-Cream-Stick-Highlighter-Moonlight/dp/B07VN3PVZQ/ref=sr_1_2?keywords=Gleam+On+The+Go+-+Glow+Girl&amp;qid=1695565586&amp;sr=8-2")</f>
        <v/>
      </c>
      <c r="F2621" t="inlineStr">
        <is>
          <t>B07VN3PVZQ</t>
        </is>
      </c>
      <c r="G2621">
        <f>_xlfn.IMAGE("https://camerareadycosmetics.com/cdn/shop/products/GOTG_Glow-Girl_Tubes_50x.jpg?v=1694446783")</f>
        <v/>
      </c>
      <c r="H2621">
        <f>_xlfn.IMAGE("https://m.media-amazon.com/images/I/61o0PbIvGwL._AC_UL320_.jpg")</f>
        <v/>
      </c>
      <c r="K2621" t="inlineStr">
        <is>
          <t>41.0</t>
        </is>
      </c>
      <c r="L2621" t="n">
        <v>12.95</v>
      </c>
      <c r="M2621" s="1" t="inlineStr">
        <is>
          <t>-68.41%</t>
        </is>
      </c>
      <c r="N2621" t="n">
        <v>3.8</v>
      </c>
      <c r="O2621" t="n">
        <v>9</v>
      </c>
      <c r="Q2621" t="inlineStr">
        <is>
          <t>OutOfStock</t>
        </is>
      </c>
      <c r="R2621" t="inlineStr">
        <is>
          <t>undefined</t>
        </is>
      </c>
      <c r="S2621" t="inlineStr">
        <is>
          <t>10389564426</t>
        </is>
      </c>
    </row>
    <row r="2622" ht="75" customHeight="1">
      <c r="A2622" s="2">
        <f>HYPERLINK("https://camerareadycosmetics.com/products/meloway-hi-res-matte-lipstick", "https://camerareadycosmetics.com/products/meloway-hi-res-matte-lipstick")</f>
        <v/>
      </c>
      <c r="B2622" s="2">
        <f>HYPERLINK("https://camerareadycosmetics.com/products/meloway-hi-res-matte-lipstick", "https://camerareadycosmetics.com/products/meloway-hi-res-matte-lipstick")</f>
        <v/>
      </c>
      <c r="C2622" t="inlineStr">
        <is>
          <t>Hi-Res Matte Lipstick</t>
        </is>
      </c>
      <c r="D2622" t="inlineStr">
        <is>
          <t>Maybelline New York Super Stay Matte Ink Liquid Lipstick Makeup, Long Lasting High Impact Color, Up to 16H Wear, Exhilarator, Ruby Red, 1 Count</t>
        </is>
      </c>
      <c r="E2622" s="2" t="n"/>
      <c r="F2622" t="inlineStr">
        <is>
          <t>B08H4FSGDX</t>
        </is>
      </c>
      <c r="G2622">
        <f>_xlfn.IMAGE("https://camerareadycosmetics.com/cdn/shop/products/SummerSolstice_model1_900x_fc19d51d-84a1-44ed-b716-e663309efff0_50x.jpg?v=1677726608")</f>
        <v/>
      </c>
      <c r="H2622">
        <f>_xlfn.IMAGE("https://m.media-amazon.com/images/I/61DcdgnhAZL._AC_UL320_.jpg")</f>
        <v/>
      </c>
      <c r="K2622" t="inlineStr">
        <is>
          <t>25.0</t>
        </is>
      </c>
      <c r="L2622" t="n">
        <v>7.98</v>
      </c>
      <c r="M2622" s="1" t="inlineStr">
        <is>
          <t>-68.08%</t>
        </is>
      </c>
      <c r="N2622" t="n">
        <v>4.4</v>
      </c>
      <c r="O2622" t="n">
        <v>109666</v>
      </c>
      <c r="Q2622" t="inlineStr">
        <is>
          <t>InStock</t>
        </is>
      </c>
      <c r="R2622" t="inlineStr">
        <is>
          <t>undefined</t>
        </is>
      </c>
      <c r="S2622" t="inlineStr">
        <is>
          <t>7573726199993</t>
        </is>
      </c>
    </row>
    <row r="2623" ht="75" customHeight="1">
      <c r="A2623" s="2">
        <f>HYPERLINK("https://camerareadycosmetics.com/products/meloway-hi-res-matte-lipstick", "https://camerareadycosmetics.com/products/meloway-hi-res-matte-lipstick")</f>
        <v/>
      </c>
      <c r="B2623" s="2">
        <f>HYPERLINK("https://camerareadycosmetics.com/products/meloway-hi-res-matte-lipstick", "https://camerareadycosmetics.com/products/meloway-hi-res-matte-lipstick")</f>
        <v/>
      </c>
      <c r="C2623" t="inlineStr">
        <is>
          <t>Hi-Res Matte Lipstick</t>
        </is>
      </c>
      <c r="D2623" t="inlineStr">
        <is>
          <t>COVERGIRL Exhibitionist Ultra-Matte Lipstick, Provocateur</t>
        </is>
      </c>
      <c r="E2623" s="2">
        <f>HYPERLINK("https://www.amazon.com/Covergirl-Exhibitionist-Matte-Provocateur-Count/dp/B07S5M9KJ8/ref=sr_1_5?keywords=Hi-Res+Matte+Lipstick&amp;qid=1695565820&amp;sr=8-5", "https://www.amazon.com/Covergirl-Exhibitionist-Matte-Provocateur-Count/dp/B07S5M9KJ8/ref=sr_1_5?keywords=Hi-Res+Matte+Lipstick&amp;qid=1695565820&amp;sr=8-5")</f>
        <v/>
      </c>
      <c r="F2623" t="inlineStr">
        <is>
          <t>B07S5M9KJ8</t>
        </is>
      </c>
      <c r="G2623">
        <f>_xlfn.IMAGE("https://camerareadycosmetics.com/cdn/shop/products/SummerSolstice_model1_900x_fc19d51d-84a1-44ed-b716-e663309efff0_50x.jpg?v=1677726608")</f>
        <v/>
      </c>
      <c r="H2623">
        <f>_xlfn.IMAGE("https://m.media-amazon.com/images/I/71y11zxx0WL._AC_UL320_.jpg")</f>
        <v/>
      </c>
      <c r="K2623" t="inlineStr">
        <is>
          <t>25.0</t>
        </is>
      </c>
      <c r="L2623" t="n">
        <v>6.99</v>
      </c>
      <c r="M2623" s="1" t="inlineStr">
        <is>
          <t>-72.04%</t>
        </is>
      </c>
      <c r="N2623" t="n">
        <v>4.1</v>
      </c>
      <c r="O2623" t="n">
        <v>1890</v>
      </c>
      <c r="Q2623" t="inlineStr">
        <is>
          <t>InStock</t>
        </is>
      </c>
      <c r="R2623" t="inlineStr">
        <is>
          <t>undefined</t>
        </is>
      </c>
      <c r="S2623" t="inlineStr">
        <is>
          <t>7573726199993</t>
        </is>
      </c>
    </row>
    <row r="2624" ht="75" customHeight="1">
      <c r="A2624" s="2">
        <f>HYPERLINK("https://camerareadycosmetics.com/products/meloway-hi-res-matte-lipstick", "https://camerareadycosmetics.com/products/meloway-hi-res-matte-lipstick")</f>
        <v/>
      </c>
      <c r="B2624" s="2">
        <f>HYPERLINK("https://camerareadycosmetics.com/products/meloway-hi-res-matte-lipstick", "https://camerareadycosmetics.com/products/meloway-hi-res-matte-lipstick")</f>
        <v/>
      </c>
      <c r="C2624" t="inlineStr">
        <is>
          <t>Hi-Res Matte Lipstick</t>
        </is>
      </c>
      <c r="D2624" t="inlineStr">
        <is>
          <t>6Pcs Matte Liquid Lipstick Set Lip Stain Makeup, 24 Hour Long Lasting Waterproof Dark Red Matte Matt Lipsticks Lip Gloss Sets for Women, Velvety Long Lasting High Pigmented</t>
        </is>
      </c>
      <c r="E2624" s="2">
        <f>HYPERLINK("https://www.amazon.com/Lipstick-Waterproof-Lipsticks-Pigmented-Lipgloss/dp/B099DC2H6B/ref=sr_1_8?keywords=Hi-Res+Matte+Lipstick&amp;qid=1695565820&amp;sr=8-8", "https://www.amazon.com/Lipstick-Waterproof-Lipsticks-Pigmented-Lipgloss/dp/B099DC2H6B/ref=sr_1_8?keywords=Hi-Res+Matte+Lipstick&amp;qid=1695565820&amp;sr=8-8")</f>
        <v/>
      </c>
      <c r="F2624" t="inlineStr">
        <is>
          <t>B099DC2H6B</t>
        </is>
      </c>
      <c r="G2624">
        <f>_xlfn.IMAGE("https://camerareadycosmetics.com/cdn/shop/products/SummerSolstice_model1_900x_fc19d51d-84a1-44ed-b716-e663309efff0_50x.jpg?v=1677726608")</f>
        <v/>
      </c>
      <c r="H2624">
        <f>_xlfn.IMAGE("https://m.media-amazon.com/images/I/61ojKYro5jS._AC_UL320_.jpg")</f>
        <v/>
      </c>
      <c r="K2624" t="inlineStr">
        <is>
          <t>25.0</t>
        </is>
      </c>
      <c r="L2624" t="n">
        <v>6.59</v>
      </c>
      <c r="M2624" s="1" t="inlineStr">
        <is>
          <t>-73.64%</t>
        </is>
      </c>
      <c r="N2624" t="n">
        <v>4</v>
      </c>
      <c r="O2624" t="n">
        <v>251</v>
      </c>
      <c r="Q2624" t="inlineStr">
        <is>
          <t>InStock</t>
        </is>
      </c>
      <c r="R2624" t="inlineStr">
        <is>
          <t>undefined</t>
        </is>
      </c>
      <c r="S2624" t="inlineStr">
        <is>
          <t>7573726199993</t>
        </is>
      </c>
    </row>
    <row r="2625" ht="75" customHeight="1">
      <c r="A2625" s="2">
        <f>HYPERLINK("https://camerareadycosmetics.com/products/meloway-hi-res-matte-lipstick", "https://camerareadycosmetics.com/products/meloway-hi-res-matte-lipstick")</f>
        <v/>
      </c>
      <c r="B2625" s="2">
        <f>HYPERLINK("https://camerareadycosmetics.com/products/meloway-hi-res-matte-lipstick", "https://camerareadycosmetics.com/products/meloway-hi-res-matte-lipstick")</f>
        <v/>
      </c>
      <c r="C2625" t="inlineStr">
        <is>
          <t>Hi-Res Matte Lipstick</t>
        </is>
      </c>
      <c r="D2625" t="inlineStr">
        <is>
          <t>Maybelline New York Super Stay Matte Ink Liquid Lipstick Makeup, Long Lasting High Impact Color, Up to 16H Wear, Exhilarator, Ruby Red, 1 Count</t>
        </is>
      </c>
      <c r="E2625" s="2" t="n"/>
      <c r="F2625" t="inlineStr">
        <is>
          <t>B08H4FSGDX</t>
        </is>
      </c>
      <c r="G2625">
        <f>_xlfn.IMAGE("https://camerareadycosmetics.com/cdn/shop/products/SummerSolstice_model1_900x_fc19d51d-84a1-44ed-b716-e663309efff0_50x.jpg?v=1677726608")</f>
        <v/>
      </c>
      <c r="H2625">
        <f>_xlfn.IMAGE("https://m.media-amazon.com/images/I/61DcdgnhAZL._AC_UL320_.jpg")</f>
        <v/>
      </c>
      <c r="K2625" t="inlineStr">
        <is>
          <t>25.0</t>
        </is>
      </c>
      <c r="L2625" t="n">
        <v>7.98</v>
      </c>
      <c r="M2625" s="1" t="inlineStr">
        <is>
          <t>-68.08%</t>
        </is>
      </c>
      <c r="N2625" t="n">
        <v>4.4</v>
      </c>
      <c r="O2625" t="n">
        <v>109666</v>
      </c>
      <c r="Q2625" t="inlineStr">
        <is>
          <t>InStock</t>
        </is>
      </c>
      <c r="R2625" t="inlineStr">
        <is>
          <t>undefined</t>
        </is>
      </c>
      <c r="S2625" t="inlineStr">
        <is>
          <t>7573726199993</t>
        </is>
      </c>
    </row>
    <row r="2626" ht="75" customHeight="1">
      <c r="A2626" s="2">
        <f>HYPERLINK("https://camerareadycosmetics.com/products/meloway-hi-res-matte-lipstick", "https://camerareadycosmetics.com/products/meloway-hi-res-matte-lipstick")</f>
        <v/>
      </c>
      <c r="B2626" s="2">
        <f>HYPERLINK("https://camerareadycosmetics.com/products/meloway-hi-res-matte-lipstick", "https://camerareadycosmetics.com/products/meloway-hi-res-matte-lipstick")</f>
        <v/>
      </c>
      <c r="C2626" t="inlineStr">
        <is>
          <t>Hi-Res Matte Lipstick</t>
        </is>
      </c>
      <c r="D2626" t="inlineStr">
        <is>
          <t>COVERGIRL Exhibitionist Ultra-Matte Lipstick, Provocateur</t>
        </is>
      </c>
      <c r="E2626" s="2">
        <f>HYPERLINK("https://www.amazon.com/Covergirl-Exhibitionist-Matte-Provocateur-Count/dp/B07S5M9KJ8/ref=sr_1_5?keywords=Hi-Res+Matte+Lipstick&amp;qid=1695565820&amp;sr=8-5", "https://www.amazon.com/Covergirl-Exhibitionist-Matte-Provocateur-Count/dp/B07S5M9KJ8/ref=sr_1_5?keywords=Hi-Res+Matte+Lipstick&amp;qid=1695565820&amp;sr=8-5")</f>
        <v/>
      </c>
      <c r="F2626" t="inlineStr">
        <is>
          <t>B07S5M9KJ8</t>
        </is>
      </c>
      <c r="G2626">
        <f>_xlfn.IMAGE("https://camerareadycosmetics.com/cdn/shop/products/SummerSolstice_model1_900x_fc19d51d-84a1-44ed-b716-e663309efff0_50x.jpg?v=1677726608")</f>
        <v/>
      </c>
      <c r="H2626">
        <f>_xlfn.IMAGE("https://m.media-amazon.com/images/I/71y11zxx0WL._AC_UL320_.jpg")</f>
        <v/>
      </c>
      <c r="K2626" t="inlineStr">
        <is>
          <t>25.0</t>
        </is>
      </c>
      <c r="L2626" t="n">
        <v>6.99</v>
      </c>
      <c r="M2626" s="1" t="inlineStr">
        <is>
          <t>-72.04%</t>
        </is>
      </c>
      <c r="N2626" t="n">
        <v>4.1</v>
      </c>
      <c r="O2626" t="n">
        <v>1890</v>
      </c>
      <c r="Q2626" t="inlineStr">
        <is>
          <t>InStock</t>
        </is>
      </c>
      <c r="R2626" t="inlineStr">
        <is>
          <t>undefined</t>
        </is>
      </c>
      <c r="S2626" t="inlineStr">
        <is>
          <t>7573726199993</t>
        </is>
      </c>
    </row>
    <row r="2627" ht="75" customHeight="1">
      <c r="A2627" s="2">
        <f>HYPERLINK("https://camerareadycosmetics.com/products/meloway-hi-res-matte-lipstick", "https://camerareadycosmetics.com/products/meloway-hi-res-matte-lipstick")</f>
        <v/>
      </c>
      <c r="B2627" s="2">
        <f>HYPERLINK("https://camerareadycosmetics.com/products/meloway-hi-res-matte-lipstick", "https://camerareadycosmetics.com/products/meloway-hi-res-matte-lipstick")</f>
        <v/>
      </c>
      <c r="C2627" t="inlineStr">
        <is>
          <t>Hi-Res Matte Lipstick</t>
        </is>
      </c>
      <c r="D2627" t="inlineStr">
        <is>
          <t>6Pcs Matte Liquid Lipstick Set Lip Stain Makeup, 24 Hour Long Lasting Waterproof Dark Red Matte Matt Lipsticks Lip Gloss Sets for Women, Velvety Long Lasting High Pigmented</t>
        </is>
      </c>
      <c r="E2627" s="2">
        <f>HYPERLINK("https://www.amazon.com/Lipstick-Waterproof-Lipsticks-Pigmented-Lipgloss/dp/B099DC2H6B/ref=sr_1_8?keywords=Hi-Res+Matte+Lipstick&amp;qid=1695565820&amp;sr=8-8", "https://www.amazon.com/Lipstick-Waterproof-Lipsticks-Pigmented-Lipgloss/dp/B099DC2H6B/ref=sr_1_8?keywords=Hi-Res+Matte+Lipstick&amp;qid=1695565820&amp;sr=8-8")</f>
        <v/>
      </c>
      <c r="F2627" t="inlineStr">
        <is>
          <t>B099DC2H6B</t>
        </is>
      </c>
      <c r="G2627">
        <f>_xlfn.IMAGE("https://camerareadycosmetics.com/cdn/shop/products/SummerSolstice_model1_900x_fc19d51d-84a1-44ed-b716-e663309efff0_50x.jpg?v=1677726608")</f>
        <v/>
      </c>
      <c r="H2627">
        <f>_xlfn.IMAGE("https://m.media-amazon.com/images/I/61ojKYro5jS._AC_UL320_.jpg")</f>
        <v/>
      </c>
      <c r="K2627" t="inlineStr">
        <is>
          <t>25.0</t>
        </is>
      </c>
      <c r="L2627" t="n">
        <v>6.59</v>
      </c>
      <c r="M2627" s="1" t="inlineStr">
        <is>
          <t>-73.64%</t>
        </is>
      </c>
      <c r="N2627" t="n">
        <v>4</v>
      </c>
      <c r="O2627" t="n">
        <v>251</v>
      </c>
      <c r="Q2627" t="inlineStr">
        <is>
          <t>InStock</t>
        </is>
      </c>
      <c r="R2627" t="inlineStr">
        <is>
          <t>undefined</t>
        </is>
      </c>
      <c r="S2627" t="inlineStr">
        <is>
          <t>7573726199993</t>
        </is>
      </c>
    </row>
    <row r="2628" ht="75" customHeight="1">
      <c r="A2628" s="2">
        <f>HYPERLINK("https://camerareadycosmetics.com/products/meloway-your-way-mascara", "https://camerareadycosmetics.com/products/meloway-your-way-mascara")</f>
        <v/>
      </c>
      <c r="B2628" s="2">
        <f>HYPERLINK("https://camerareadycosmetics.com/products/meloway-your-way-mascara", "https://camerareadycosmetics.com/products/meloway-your-way-mascara")</f>
        <v/>
      </c>
      <c r="C2628" t="inlineStr">
        <is>
          <t>Your Way Mascara</t>
        </is>
      </c>
      <c r="D2628" t="inlineStr">
        <is>
          <t>Meloway Your Way Mascara</t>
        </is>
      </c>
      <c r="E2628" s="2">
        <f>HYPERLINK("https://www.amazon.com/Meloway-Your-Mascara-Super-Black/dp/B0B7FN6K6B/ref=sr_1_1?keywords=Your+Way+Mascara&amp;qid=1695565661&amp;sr=8-1", "https://www.amazon.com/Meloway-Your-Mascara-Super-Black/dp/B0B7FN6K6B/ref=sr_1_1?keywords=Your+Way+Mascara&amp;qid=1695565661&amp;sr=8-1")</f>
        <v/>
      </c>
      <c r="F2628" t="inlineStr">
        <is>
          <t>B0B7FN6K6B</t>
        </is>
      </c>
      <c r="G2628">
        <f>_xlfn.IMAGE("https://camerareadycosmetics.com/cdn/shop/products/Blue_Jeans_3_50x.jpg?v=1658776801")</f>
        <v/>
      </c>
      <c r="H2628">
        <f>_xlfn.IMAGE("https://m.media-amazon.com/images/I/71Y7mZELzdL._AC_UL320_.jpg")</f>
        <v/>
      </c>
      <c r="K2628" t="inlineStr">
        <is>
          <t>23.0</t>
        </is>
      </c>
      <c r="L2628" t="n">
        <v>23</v>
      </c>
      <c r="M2628" s="1" t="inlineStr">
        <is>
          <t>0.00%</t>
        </is>
      </c>
      <c r="N2628" t="n">
        <v>4.3</v>
      </c>
      <c r="O2628" t="n">
        <v>5</v>
      </c>
      <c r="Q2628" t="inlineStr">
        <is>
          <t>InStock</t>
        </is>
      </c>
      <c r="R2628" t="inlineStr">
        <is>
          <t>undefined</t>
        </is>
      </c>
      <c r="S2628" t="inlineStr">
        <is>
          <t>7435216879801</t>
        </is>
      </c>
    </row>
    <row r="2629" ht="75" customHeight="1">
      <c r="A2629" s="2">
        <f>HYPERLINK("https://camerareadycosmetics.com/products/melt-cosmetics-air-mini-eyeshadow-palette", "https://camerareadycosmetics.com/products/melt-cosmetics-air-mini-eyeshadow-palette")</f>
        <v/>
      </c>
      <c r="B2629" s="2">
        <f>HYPERLINK("https://camerareadycosmetics.com/products/melt-cosmetics-air-mini-eyeshadow-palette", "https://camerareadycosmetics.com/products/melt-cosmetics-air-mini-eyeshadow-palette")</f>
        <v/>
      </c>
      <c r="C2629" t="inlineStr">
        <is>
          <t>Air Mini Eyeshadow Palette</t>
        </is>
      </c>
      <c r="D2629" t="inlineStr">
        <is>
          <t>Too Faced Let’s Play Mini Eyeshadow Palette</t>
        </is>
      </c>
      <c r="E2629" s="2">
        <f>HYPERLINK("https://www.amazon.com/Lets-Play-Mini-Eyeshadow-Palette/dp/B08TQ6FSQ7/ref=sr_1_7?keywords=Air+Mini+Eyeshadow+Palette&amp;qid=1695565771&amp;sr=8-7", "https://www.amazon.com/Lets-Play-Mini-Eyeshadow-Palette/dp/B08TQ6FSQ7/ref=sr_1_7?keywords=Air+Mini+Eyeshadow+Palette&amp;qid=1695565771&amp;sr=8-7")</f>
        <v/>
      </c>
      <c r="F2629" t="inlineStr">
        <is>
          <t>B08TQ6FSQ7</t>
        </is>
      </c>
      <c r="G2629">
        <f>_xlfn.IMAGE("https://camerareadycosmetics.com/cdn/shop/products/MeltCosmeticsAirMiniEyeshadowPalette_50x.jpg?v=1670434609")</f>
        <v/>
      </c>
      <c r="H2629">
        <f>_xlfn.IMAGE("https://m.media-amazon.com/images/I/61k-TWHt4BL._AC_UL320_.jpg")</f>
        <v/>
      </c>
      <c r="K2629" t="inlineStr">
        <is>
          <t>38.0</t>
        </is>
      </c>
      <c r="L2629" t="n">
        <v>20</v>
      </c>
      <c r="M2629" s="1" t="inlineStr">
        <is>
          <t>-47.37%</t>
        </is>
      </c>
      <c r="N2629" t="n">
        <v>4.7</v>
      </c>
      <c r="O2629" t="n">
        <v>47</v>
      </c>
      <c r="Q2629" t="inlineStr">
        <is>
          <t>InStock</t>
        </is>
      </c>
      <c r="R2629" t="inlineStr">
        <is>
          <t>undefined</t>
        </is>
      </c>
      <c r="S2629" t="inlineStr">
        <is>
          <t>7514599620793</t>
        </is>
      </c>
    </row>
    <row r="2630" ht="75" customHeight="1">
      <c r="A2630" s="2">
        <f>HYPERLINK("https://camerareadycosmetics.com/products/melt-cosmetics-air-mini-eyeshadow-palette", "https://camerareadycosmetics.com/products/melt-cosmetics-air-mini-eyeshadow-palette")</f>
        <v/>
      </c>
      <c r="B2630" s="2">
        <f>HYPERLINK("https://camerareadycosmetics.com/products/melt-cosmetics-air-mini-eyeshadow-palette", "https://camerareadycosmetics.com/products/melt-cosmetics-air-mini-eyeshadow-palette")</f>
        <v/>
      </c>
      <c r="C2630" t="inlineStr">
        <is>
          <t>Air Mini Eyeshadow Palette</t>
        </is>
      </c>
      <c r="D2630" t="inlineStr">
        <is>
          <t>Mini PRO Matte &amp; Glitter Eyeshadow Palette</t>
        </is>
      </c>
      <c r="E2630" s="2">
        <f>HYPERLINK("https://www.amazon.com/LORAC-Mini-Palette-Simmering-0-17/dp/B0921L3BV9/ref=sr_1_4?keywords=Air+Mini+Eyeshadow+Palette&amp;qid=1695565771&amp;sr=8-4", "https://www.amazon.com/LORAC-Mini-Palette-Simmering-0-17/dp/B0921L3BV9/ref=sr_1_4?keywords=Air+Mini+Eyeshadow+Palette&amp;qid=1695565771&amp;sr=8-4")</f>
        <v/>
      </c>
      <c r="F2630" t="inlineStr">
        <is>
          <t>B0921L3BV9</t>
        </is>
      </c>
      <c r="G2630">
        <f>_xlfn.IMAGE("https://camerareadycosmetics.com/cdn/shop/products/MeltCosmeticsAirMiniEyeshadowPalette_50x.jpg?v=1670434609")</f>
        <v/>
      </c>
      <c r="H2630">
        <f>_xlfn.IMAGE("https://m.media-amazon.com/images/I/81ZDGgpHvhL._AC_UL320_.jpg")</f>
        <v/>
      </c>
      <c r="K2630" t="inlineStr">
        <is>
          <t>38.0</t>
        </is>
      </c>
      <c r="L2630" t="n">
        <v>16</v>
      </c>
      <c r="M2630" s="1" t="inlineStr">
        <is>
          <t>-57.89%</t>
        </is>
      </c>
      <c r="N2630" t="n">
        <v>4.4</v>
      </c>
      <c r="O2630" t="n">
        <v>373</v>
      </c>
      <c r="Q2630" t="inlineStr">
        <is>
          <t>InStock</t>
        </is>
      </c>
      <c r="R2630" t="inlineStr">
        <is>
          <t>undefined</t>
        </is>
      </c>
      <c r="S2630" t="inlineStr">
        <is>
          <t>7514599620793</t>
        </is>
      </c>
    </row>
    <row r="2631" ht="75" customHeight="1">
      <c r="A2631" s="2">
        <f>HYPERLINK("https://camerareadycosmetics.com/products/melt-cosmetics-air-mini-eyeshadow-palette", "https://camerareadycosmetics.com/products/melt-cosmetics-air-mini-eyeshadow-palette")</f>
        <v/>
      </c>
      <c r="B2631" s="2">
        <f>HYPERLINK("https://camerareadycosmetics.com/products/melt-cosmetics-air-mini-eyeshadow-palette", "https://camerareadycosmetics.com/products/melt-cosmetics-air-mini-eyeshadow-palette")</f>
        <v/>
      </c>
      <c r="C2631" t="inlineStr">
        <is>
          <t>Air Mini Eyeshadow Palette</t>
        </is>
      </c>
      <c r="D2631" t="inlineStr">
        <is>
          <t>6 Colors Mini Naked Eyeshadow Makeup Palette Rosy Neutral Nude Eye Shadow Shimmer &amp; Matte Make Up Pallet with Mirror Highly Pigmented Long Lasting Waterproof Travel Size Gift Kit 02</t>
        </is>
      </c>
      <c r="E2631" s="2">
        <f>HYPERLINK("https://www.amazon.com/SUSIKEKI-Eyeshadow-Palette-Pigmented-Waterproof/dp/B0C4L34BPX/ref=sr_1_3?keywords=Air+Mini+Eyeshadow+Palette&amp;qid=1695565771&amp;sr=8-3", "https://www.amazon.com/SUSIKEKI-Eyeshadow-Palette-Pigmented-Waterproof/dp/B0C4L34BPX/ref=sr_1_3?keywords=Air+Mini+Eyeshadow+Palette&amp;qid=1695565771&amp;sr=8-3")</f>
        <v/>
      </c>
      <c r="F2631" t="inlineStr">
        <is>
          <t>B0C4L34BPX</t>
        </is>
      </c>
      <c r="G2631">
        <f>_xlfn.IMAGE("https://camerareadycosmetics.com/cdn/shop/products/MeltCosmeticsAirMiniEyeshadowPalette_50x.jpg?v=1670434609")</f>
        <v/>
      </c>
      <c r="H2631">
        <f>_xlfn.IMAGE("https://m.media-amazon.com/images/I/81UWP86XXeL._AC_UL320_.jpg")</f>
        <v/>
      </c>
      <c r="K2631" t="inlineStr">
        <is>
          <t>38.0</t>
        </is>
      </c>
      <c r="L2631" t="n">
        <v>7.98</v>
      </c>
      <c r="M2631" s="1" t="inlineStr">
        <is>
          <t>-79.00%</t>
        </is>
      </c>
      <c r="N2631" t="n">
        <v>4.4</v>
      </c>
      <c r="O2631" t="n">
        <v>59</v>
      </c>
      <c r="Q2631" t="inlineStr">
        <is>
          <t>InStock</t>
        </is>
      </c>
      <c r="R2631" t="inlineStr">
        <is>
          <t>undefined</t>
        </is>
      </c>
      <c r="S2631" t="inlineStr">
        <is>
          <t>7514599620793</t>
        </is>
      </c>
    </row>
    <row r="2632" ht="75" customHeight="1">
      <c r="A2632" s="2">
        <f>HYPERLINK("https://camerareadycosmetics.com/products/melt-cosmetics-air-mini-eyeshadow-palette", "https://camerareadycosmetics.com/products/melt-cosmetics-air-mini-eyeshadow-palette")</f>
        <v/>
      </c>
      <c r="B2632" s="2">
        <f>HYPERLINK("https://camerareadycosmetics.com/products/melt-cosmetics-air-mini-eyeshadow-palette", "https://camerareadycosmetics.com/products/melt-cosmetics-air-mini-eyeshadow-palette")</f>
        <v/>
      </c>
      <c r="C2632" t="inlineStr">
        <is>
          <t>Air Mini Eyeshadow Palette</t>
        </is>
      </c>
      <c r="D2632" t="inlineStr">
        <is>
          <t>NYX PROFESSIONAL MAKEUP Ultimate Edit Mini Shadow Palette, Eyeshadow Palette - Brights</t>
        </is>
      </c>
      <c r="E2632" s="2">
        <f>HYPERLINK("https://www.amazon.com/NYX-PROFESSIONAL-MAKEUP-Ultimate-Palette/dp/B07KBD7KQY/ref=sr_1_2?keywords=Air+Mini+Eyeshadow+Palette&amp;qid=1695565771&amp;sr=8-2", "https://www.amazon.com/NYX-PROFESSIONAL-MAKEUP-Ultimate-Palette/dp/B07KBD7KQY/ref=sr_1_2?keywords=Air+Mini+Eyeshadow+Palette&amp;qid=1695565771&amp;sr=8-2")</f>
        <v/>
      </c>
      <c r="F2632" t="inlineStr">
        <is>
          <t>B07KBD7KQY</t>
        </is>
      </c>
      <c r="G2632">
        <f>_xlfn.IMAGE("https://camerareadycosmetics.com/cdn/shop/products/MeltCosmeticsAirMiniEyeshadowPalette_50x.jpg?v=1670434609")</f>
        <v/>
      </c>
      <c r="H2632">
        <f>_xlfn.IMAGE("https://m.media-amazon.com/images/I/61BF0SrQTjL._AC_UL320_.jpg")</f>
        <v/>
      </c>
      <c r="K2632" t="inlineStr">
        <is>
          <t>38.0</t>
        </is>
      </c>
      <c r="L2632" t="n">
        <v>7.59</v>
      </c>
      <c r="M2632" s="1" t="inlineStr">
        <is>
          <t>-80.03%</t>
        </is>
      </c>
      <c r="N2632" t="n">
        <v>4.5</v>
      </c>
      <c r="O2632" t="n">
        <v>1574</v>
      </c>
      <c r="Q2632" t="inlineStr">
        <is>
          <t>InStock</t>
        </is>
      </c>
      <c r="R2632" t="inlineStr">
        <is>
          <t>undefined</t>
        </is>
      </c>
      <c r="S2632" t="inlineStr">
        <is>
          <t>7514599620793</t>
        </is>
      </c>
    </row>
    <row r="2633" ht="75" customHeight="1">
      <c r="A2633" s="2">
        <f>HYPERLINK("https://camerareadycosmetics.com/products/melt-cosmetics-air-mini-eyeshadow-palette", "https://camerareadycosmetics.com/products/melt-cosmetics-air-mini-eyeshadow-palette")</f>
        <v/>
      </c>
      <c r="B2633" s="2">
        <f>HYPERLINK("https://camerareadycosmetics.com/products/melt-cosmetics-air-mini-eyeshadow-palette", "https://camerareadycosmetics.com/products/melt-cosmetics-air-mini-eyeshadow-palette")</f>
        <v/>
      </c>
      <c r="C2633" t="inlineStr">
        <is>
          <t>Air Mini Eyeshadow Palette</t>
        </is>
      </c>
      <c r="D2633" t="inlineStr">
        <is>
          <t>Mini PRO Matte &amp; Glitter Eyeshadow Palette</t>
        </is>
      </c>
      <c r="E2633" s="2">
        <f>HYPERLINK("https://www.amazon.com/LORAC-Mini-Palette-Simmering-0-17/dp/B0921L3BV9/ref=sr_1_4?keywords=Air+Mini+Eyeshadow+Palette&amp;qid=1695565771&amp;sr=8-4", "https://www.amazon.com/LORAC-Mini-Palette-Simmering-0-17/dp/B0921L3BV9/ref=sr_1_4?keywords=Air+Mini+Eyeshadow+Palette&amp;qid=1695565771&amp;sr=8-4")</f>
        <v/>
      </c>
      <c r="F2633" t="inlineStr">
        <is>
          <t>B0921L3BV9</t>
        </is>
      </c>
      <c r="G2633">
        <f>_xlfn.IMAGE("https://camerareadycosmetics.com/cdn/shop/products/MeltCosmeticsAirMiniEyeshadowPalette_50x.jpg?v=1670434609")</f>
        <v/>
      </c>
      <c r="H2633">
        <f>_xlfn.IMAGE("https://m.media-amazon.com/images/I/81ZDGgpHvhL._AC_UL320_.jpg")</f>
        <v/>
      </c>
      <c r="K2633" t="inlineStr">
        <is>
          <t>38.0</t>
        </is>
      </c>
      <c r="L2633" t="n">
        <v>16</v>
      </c>
      <c r="M2633" s="1" t="inlineStr">
        <is>
          <t>-57.89%</t>
        </is>
      </c>
      <c r="N2633" t="n">
        <v>4.4</v>
      </c>
      <c r="O2633" t="n">
        <v>373</v>
      </c>
      <c r="Q2633" t="inlineStr">
        <is>
          <t>InStock</t>
        </is>
      </c>
      <c r="R2633" t="inlineStr">
        <is>
          <t>undefined</t>
        </is>
      </c>
      <c r="S2633" t="inlineStr">
        <is>
          <t>7514599620793</t>
        </is>
      </c>
    </row>
    <row r="2634" ht="75" customHeight="1">
      <c r="A2634" s="2">
        <f>HYPERLINK("https://camerareadycosmetics.com/products/melt-cosmetics-air-mini-eyeshadow-palette", "https://camerareadycosmetics.com/products/melt-cosmetics-air-mini-eyeshadow-palette")</f>
        <v/>
      </c>
      <c r="B2634" s="2">
        <f>HYPERLINK("https://camerareadycosmetics.com/products/melt-cosmetics-air-mini-eyeshadow-palette", "https://camerareadycosmetics.com/products/melt-cosmetics-air-mini-eyeshadow-palette")</f>
        <v/>
      </c>
      <c r="C2634" t="inlineStr">
        <is>
          <t>Air Mini Eyeshadow Palette</t>
        </is>
      </c>
      <c r="D2634" t="inlineStr">
        <is>
          <t>6 Colors Mini Naked Eyeshadow Makeup Palette Rosy Neutral Nude Eye Shadow Shimmer &amp; Matte Make Up Pallet with Mirror Highly Pigmented Long Lasting Waterproof Travel Size Gift Kit 02</t>
        </is>
      </c>
      <c r="E2634" s="2">
        <f>HYPERLINK("https://www.amazon.com/SUSIKEKI-Eyeshadow-Palette-Pigmented-Waterproof/dp/B0C4L34BPX/ref=sr_1_3?keywords=Air+Mini+Eyeshadow+Palette&amp;qid=1695565771&amp;sr=8-3", "https://www.amazon.com/SUSIKEKI-Eyeshadow-Palette-Pigmented-Waterproof/dp/B0C4L34BPX/ref=sr_1_3?keywords=Air+Mini+Eyeshadow+Palette&amp;qid=1695565771&amp;sr=8-3")</f>
        <v/>
      </c>
      <c r="F2634" t="inlineStr">
        <is>
          <t>B0C4L34BPX</t>
        </is>
      </c>
      <c r="G2634">
        <f>_xlfn.IMAGE("https://camerareadycosmetics.com/cdn/shop/products/MeltCosmeticsAirMiniEyeshadowPalette_50x.jpg?v=1670434609")</f>
        <v/>
      </c>
      <c r="H2634">
        <f>_xlfn.IMAGE("https://m.media-amazon.com/images/I/81UWP86XXeL._AC_UL320_.jpg")</f>
        <v/>
      </c>
      <c r="K2634" t="inlineStr">
        <is>
          <t>38.0</t>
        </is>
      </c>
      <c r="L2634" t="n">
        <v>7.98</v>
      </c>
      <c r="M2634" s="1" t="inlineStr">
        <is>
          <t>-79.00%</t>
        </is>
      </c>
      <c r="N2634" t="n">
        <v>4.4</v>
      </c>
      <c r="O2634" t="n">
        <v>59</v>
      </c>
      <c r="Q2634" t="inlineStr">
        <is>
          <t>InStock</t>
        </is>
      </c>
      <c r="R2634" t="inlineStr">
        <is>
          <t>undefined</t>
        </is>
      </c>
      <c r="S2634" t="inlineStr">
        <is>
          <t>7514599620793</t>
        </is>
      </c>
    </row>
    <row r="2635" ht="75" customHeight="1">
      <c r="A2635" s="2">
        <f>HYPERLINK("https://camerareadycosmetics.com/products/melt-cosmetics-air-mini-eyeshadow-palette", "https://camerareadycosmetics.com/products/melt-cosmetics-air-mini-eyeshadow-palette")</f>
        <v/>
      </c>
      <c r="B2635" s="2">
        <f>HYPERLINK("https://camerareadycosmetics.com/products/melt-cosmetics-air-mini-eyeshadow-palette", "https://camerareadycosmetics.com/products/melt-cosmetics-air-mini-eyeshadow-palette")</f>
        <v/>
      </c>
      <c r="C2635" t="inlineStr">
        <is>
          <t>Air Mini Eyeshadow Palette</t>
        </is>
      </c>
      <c r="D2635" t="inlineStr">
        <is>
          <t>NYX PROFESSIONAL MAKEUP Ultimate Edit Mini Shadow Palette, Eyeshadow Palette - Brights</t>
        </is>
      </c>
      <c r="E2635" s="2">
        <f>HYPERLINK("https://www.amazon.com/NYX-PROFESSIONAL-MAKEUP-Ultimate-Palette/dp/B07KBD7KQY/ref=sr_1_2?keywords=Air+Mini+Eyeshadow+Palette&amp;qid=1695565771&amp;sr=8-2", "https://www.amazon.com/NYX-PROFESSIONAL-MAKEUP-Ultimate-Palette/dp/B07KBD7KQY/ref=sr_1_2?keywords=Air+Mini+Eyeshadow+Palette&amp;qid=1695565771&amp;sr=8-2")</f>
        <v/>
      </c>
      <c r="F2635" t="inlineStr">
        <is>
          <t>B07KBD7KQY</t>
        </is>
      </c>
      <c r="G2635">
        <f>_xlfn.IMAGE("https://camerareadycosmetics.com/cdn/shop/products/MeltCosmeticsAirMiniEyeshadowPalette_50x.jpg?v=1670434609")</f>
        <v/>
      </c>
      <c r="H2635">
        <f>_xlfn.IMAGE("https://m.media-amazon.com/images/I/61BF0SrQTjL._AC_UL320_.jpg")</f>
        <v/>
      </c>
      <c r="K2635" t="inlineStr">
        <is>
          <t>38.0</t>
        </is>
      </c>
      <c r="L2635" t="n">
        <v>7.59</v>
      </c>
      <c r="M2635" s="1" t="inlineStr">
        <is>
          <t>-80.03%</t>
        </is>
      </c>
      <c r="N2635" t="n">
        <v>4.5</v>
      </c>
      <c r="O2635" t="n">
        <v>1574</v>
      </c>
      <c r="Q2635" t="inlineStr">
        <is>
          <t>InStock</t>
        </is>
      </c>
      <c r="R2635" t="inlineStr">
        <is>
          <t>undefined</t>
        </is>
      </c>
      <c r="S2635" t="inlineStr">
        <is>
          <t>7514599620793</t>
        </is>
      </c>
    </row>
    <row r="2636" ht="75" customHeight="1">
      <c r="A2636" s="2">
        <f>HYPERLINK("https://camerareadycosmetics.com/products/melt-cosmetics-dark-matter-eyeshadow-palette", "https://camerareadycosmetics.com/products/melt-cosmetics-dark-matter-eyeshadow-palette")</f>
        <v/>
      </c>
      <c r="B2636" s="2">
        <f>HYPERLINK("https://camerareadycosmetics.com/products/melt-cosmetics-dark-matter-eyeshadow-palette", "https://camerareadycosmetics.com/products/melt-cosmetics-dark-matter-eyeshadow-palette")</f>
        <v/>
      </c>
      <c r="C2636" t="inlineStr">
        <is>
          <t>Dark Matter Eyeshadow Palette</t>
        </is>
      </c>
      <c r="D2636" t="inlineStr">
        <is>
          <t>Afflano Neon Makeup Palette Eyeshadow, Glow in the Dark Neon Eyeshadow Palette Highly Pigmented, UV Glow Blacklight Eye Shadow Pallet, Red Orange Pink Bright Pressed Glitter Eyes Makeup Palette</t>
        </is>
      </c>
      <c r="E2636" s="2">
        <f>HYPERLINK("https://www.amazon.com/Eyeshadow-Afflano-Blacklight-Pigmented-Colorful/dp/B07WDNC59N/ref=sr_1_6?keywords=Dark+Matter+Eyeshadow+Palette&amp;qid=1695565839&amp;sr=8-6", "https://www.amazon.com/Eyeshadow-Afflano-Blacklight-Pigmented-Colorful/dp/B07WDNC59N/ref=sr_1_6?keywords=Dark+Matter+Eyeshadow+Palette&amp;qid=1695565839&amp;sr=8-6")</f>
        <v/>
      </c>
      <c r="F2636" t="inlineStr">
        <is>
          <t>B07WDNC59N</t>
        </is>
      </c>
      <c r="G2636">
        <f>_xlfn.IMAGE("https://camerareadycosmetics.com/cdn/shop/files/Melt_Darkmatter_main_50x.jpg?v=1685721054")</f>
        <v/>
      </c>
      <c r="H2636">
        <f>_xlfn.IMAGE("https://m.media-amazon.com/images/I/71IIEM3gLdL._AC_UL320_.jpg")</f>
        <v/>
      </c>
      <c r="K2636" t="inlineStr">
        <is>
          <t>52.0</t>
        </is>
      </c>
      <c r="L2636" t="n">
        <v>14.99</v>
      </c>
      <c r="M2636" s="1" t="inlineStr">
        <is>
          <t>-71.17%</t>
        </is>
      </c>
      <c r="N2636" t="n">
        <v>4.3</v>
      </c>
      <c r="O2636" t="n">
        <v>2457</v>
      </c>
      <c r="Q2636" t="inlineStr">
        <is>
          <t>InStock</t>
        </is>
      </c>
      <c r="R2636" t="inlineStr">
        <is>
          <t>undefined</t>
        </is>
      </c>
      <c r="S2636" t="inlineStr">
        <is>
          <t>7593730015417</t>
        </is>
      </c>
    </row>
    <row r="2637" ht="75" customHeight="1">
      <c r="A2637" s="2">
        <f>HYPERLINK("https://camerareadycosmetics.com/products/melt-cosmetics-dark-matter-eyeshadow-palette", "https://camerareadycosmetics.com/products/melt-cosmetics-dark-matter-eyeshadow-palette")</f>
        <v/>
      </c>
      <c r="B2637" s="2">
        <f>HYPERLINK("https://camerareadycosmetics.com/products/melt-cosmetics-dark-matter-eyeshadow-palette", "https://camerareadycosmetics.com/products/melt-cosmetics-dark-matter-eyeshadow-palette")</f>
        <v/>
      </c>
      <c r="C2637" t="inlineStr">
        <is>
          <t>Dark Matter Eyeshadow Palette</t>
        </is>
      </c>
      <c r="D2637" t="inlineStr">
        <is>
          <t>9Color Rose Gold Dark Brown Colorful Eyeshadow Palette Makeup,Matte Shimmer Korean Natural Neutral Smokey Eye Eyeshadow palettes Highly Pigmented Naturing-Looking Long Lasting Waterproof Blendable</t>
        </is>
      </c>
      <c r="E2637" s="2">
        <f>HYPERLINK("https://www.amazon.com/Eyeshadow-Pigmented-Naturing-Looking-Waterproof-Blendable/dp/B0C2ZGTJ55/ref=sr_1_9?keywords=Dark+Matter+Eyeshadow+Palette&amp;qid=1695565839&amp;sr=8-9", "https://www.amazon.com/Eyeshadow-Pigmented-Naturing-Looking-Waterproof-Blendable/dp/B0C2ZGTJ55/ref=sr_1_9?keywords=Dark+Matter+Eyeshadow+Palette&amp;qid=1695565839&amp;sr=8-9")</f>
        <v/>
      </c>
      <c r="F2637" t="inlineStr">
        <is>
          <t>B0C2ZGTJ55</t>
        </is>
      </c>
      <c r="G2637">
        <f>_xlfn.IMAGE("https://camerareadycosmetics.com/cdn/shop/files/Melt_Darkmatter_main_50x.jpg?v=1685721054")</f>
        <v/>
      </c>
      <c r="H2637">
        <f>_xlfn.IMAGE("https://m.media-amazon.com/images/I/61+MBrzLcJL._AC_UL320_.jpg")</f>
        <v/>
      </c>
      <c r="K2637" t="inlineStr">
        <is>
          <t>52.0</t>
        </is>
      </c>
      <c r="L2637" t="n">
        <v>6.99</v>
      </c>
      <c r="M2637" s="1" t="inlineStr">
        <is>
          <t>-86.56%</t>
        </is>
      </c>
      <c r="N2637" t="n">
        <v>3.8</v>
      </c>
      <c r="O2637" t="n">
        <v>7</v>
      </c>
      <c r="Q2637" t="inlineStr">
        <is>
          <t>InStock</t>
        </is>
      </c>
      <c r="R2637" t="inlineStr">
        <is>
          <t>undefined</t>
        </is>
      </c>
      <c r="S2637" t="inlineStr">
        <is>
          <t>7593730015417</t>
        </is>
      </c>
    </row>
    <row r="2638" ht="75" customHeight="1">
      <c r="A2638" s="2">
        <f>HYPERLINK("https://camerareadycosmetics.com/products/melt-cosmetics-dark-matter-eyeshadow-palette", "https://camerareadycosmetics.com/products/melt-cosmetics-dark-matter-eyeshadow-palette")</f>
        <v/>
      </c>
      <c r="B2638" s="2">
        <f>HYPERLINK("https://camerareadycosmetics.com/products/melt-cosmetics-dark-matter-eyeshadow-palette", "https://camerareadycosmetics.com/products/melt-cosmetics-dark-matter-eyeshadow-palette")</f>
        <v/>
      </c>
      <c r="C2638" t="inlineStr">
        <is>
          <t>Dark Matter Eyeshadow Palette</t>
        </is>
      </c>
      <c r="D2638" t="inlineStr">
        <is>
          <t>Afflano Neon Makeup Palette Eyeshadow, Glow in the Dark Neon Eyeshadow Palette Highly Pigmented, UV Glow Blacklight Eye Shadow Pallet, Red Orange Pink Bright Pressed Glitter Eyes Makeup Palette</t>
        </is>
      </c>
      <c r="E2638" s="2">
        <f>HYPERLINK("https://www.amazon.com/Eyeshadow-Afflano-Blacklight-Pigmented-Colorful/dp/B07WDNC59N/ref=sr_1_6?keywords=Dark+Matter+Eyeshadow+Palette&amp;qid=1695565839&amp;sr=8-6", "https://www.amazon.com/Eyeshadow-Afflano-Blacklight-Pigmented-Colorful/dp/B07WDNC59N/ref=sr_1_6?keywords=Dark+Matter+Eyeshadow+Palette&amp;qid=1695565839&amp;sr=8-6")</f>
        <v/>
      </c>
      <c r="F2638" t="inlineStr">
        <is>
          <t>B07WDNC59N</t>
        </is>
      </c>
      <c r="G2638">
        <f>_xlfn.IMAGE("https://camerareadycosmetics.com/cdn/shop/files/Melt_Darkmatter_main_50x.jpg?v=1685721054")</f>
        <v/>
      </c>
      <c r="H2638">
        <f>_xlfn.IMAGE("https://m.media-amazon.com/images/I/71IIEM3gLdL._AC_UL320_.jpg")</f>
        <v/>
      </c>
      <c r="K2638" t="inlineStr">
        <is>
          <t>52.0</t>
        </is>
      </c>
      <c r="L2638" t="n">
        <v>14.99</v>
      </c>
      <c r="M2638" s="1" t="inlineStr">
        <is>
          <t>-71.17%</t>
        </is>
      </c>
      <c r="N2638" t="n">
        <v>4.3</v>
      </c>
      <c r="O2638" t="n">
        <v>2457</v>
      </c>
      <c r="Q2638" t="inlineStr">
        <is>
          <t>InStock</t>
        </is>
      </c>
      <c r="R2638" t="inlineStr">
        <is>
          <t>undefined</t>
        </is>
      </c>
      <c r="S2638" t="inlineStr">
        <is>
          <t>7593730015417</t>
        </is>
      </c>
    </row>
    <row r="2639" ht="75" customHeight="1">
      <c r="A2639" s="2">
        <f>HYPERLINK("https://camerareadycosmetics.com/products/melt-cosmetics-dark-matter-eyeshadow-palette", "https://camerareadycosmetics.com/products/melt-cosmetics-dark-matter-eyeshadow-palette")</f>
        <v/>
      </c>
      <c r="B2639" s="2">
        <f>HYPERLINK("https://camerareadycosmetics.com/products/melt-cosmetics-dark-matter-eyeshadow-palette", "https://camerareadycosmetics.com/products/melt-cosmetics-dark-matter-eyeshadow-palette")</f>
        <v/>
      </c>
      <c r="C2639" t="inlineStr">
        <is>
          <t>Dark Matter Eyeshadow Palette</t>
        </is>
      </c>
      <c r="D2639" t="inlineStr">
        <is>
          <t>9Color Rose Gold Dark Brown Colorful Eyeshadow Palette Makeup,Matte Shimmer Korean Natural Neutral Smokey Eye Eyeshadow palettes Highly Pigmented Naturing-Looking Long Lasting Waterproof Blendable</t>
        </is>
      </c>
      <c r="E2639" s="2">
        <f>HYPERLINK("https://www.amazon.com/Eyeshadow-Pigmented-Naturing-Looking-Waterproof-Blendable/dp/B0C2ZGTJ55/ref=sr_1_9?keywords=Dark+Matter+Eyeshadow+Palette&amp;qid=1695565839&amp;sr=8-9", "https://www.amazon.com/Eyeshadow-Pigmented-Naturing-Looking-Waterproof-Blendable/dp/B0C2ZGTJ55/ref=sr_1_9?keywords=Dark+Matter+Eyeshadow+Palette&amp;qid=1695565839&amp;sr=8-9")</f>
        <v/>
      </c>
      <c r="F2639" t="inlineStr">
        <is>
          <t>B0C2ZGTJ55</t>
        </is>
      </c>
      <c r="G2639">
        <f>_xlfn.IMAGE("https://camerareadycosmetics.com/cdn/shop/files/Melt_Darkmatter_main_50x.jpg?v=1685721054")</f>
        <v/>
      </c>
      <c r="H2639">
        <f>_xlfn.IMAGE("https://m.media-amazon.com/images/I/61+MBrzLcJL._AC_UL320_.jpg")</f>
        <v/>
      </c>
      <c r="K2639" t="inlineStr">
        <is>
          <t>52.0</t>
        </is>
      </c>
      <c r="L2639" t="n">
        <v>6.99</v>
      </c>
      <c r="M2639" s="1" t="inlineStr">
        <is>
          <t>-86.56%</t>
        </is>
      </c>
      <c r="N2639" t="n">
        <v>3.8</v>
      </c>
      <c r="O2639" t="n">
        <v>7</v>
      </c>
      <c r="Q2639" t="inlineStr">
        <is>
          <t>InStock</t>
        </is>
      </c>
      <c r="R2639" t="inlineStr">
        <is>
          <t>undefined</t>
        </is>
      </c>
      <c r="S2639" t="inlineStr">
        <is>
          <t>7593730015417</t>
        </is>
      </c>
    </row>
    <row r="2640" ht="75" customHeight="1">
      <c r="A2640" s="2">
        <f>HYPERLINK("https://camerareadycosmetics.com/products/melt-cosmetics-earth-mini-eyeshadow-palette", "https://camerareadycosmetics.com/products/melt-cosmetics-earth-mini-eyeshadow-palette")</f>
        <v/>
      </c>
      <c r="B2640" s="2">
        <f>HYPERLINK("https://camerareadycosmetics.com/products/melt-cosmetics-earth-mini-eyeshadow-palette", "https://camerareadycosmetics.com/products/melt-cosmetics-earth-mini-eyeshadow-palette")</f>
        <v/>
      </c>
      <c r="C2640" t="inlineStr">
        <is>
          <t>Earth Mini Eyeshadow Palette</t>
        </is>
      </c>
      <c r="D2640" t="inlineStr">
        <is>
          <t>Urban Decay Mini Naked3 Eyeshadow Palette</t>
        </is>
      </c>
      <c r="E2640" s="2">
        <f>HYPERLINK("https://www.amazon.com/Urban-Decay-Naked3-Eyeshadow-Palette/dp/B095PSJ7QV/ref=sr_1_8?keywords=Earth+Mini+Eyeshadow+Palette&amp;qid=1695565762&amp;sr=8-8", "https://www.amazon.com/Urban-Decay-Naked3-Eyeshadow-Palette/dp/B095PSJ7QV/ref=sr_1_8?keywords=Earth+Mini+Eyeshadow+Palette&amp;qid=1695565762&amp;sr=8-8")</f>
        <v/>
      </c>
      <c r="F2640" t="inlineStr">
        <is>
          <t>B095PSJ7QV</t>
        </is>
      </c>
      <c r="G2640">
        <f>_xlfn.IMAGE("https://camerareadycosmetics.com/cdn/shop/products/MeltCosmeticsEarthMiniEyeshadowPalette_50x.jpg?v=1670434463")</f>
        <v/>
      </c>
      <c r="H2640">
        <f>_xlfn.IMAGE("https://m.media-amazon.com/images/I/81-8kyUlQAL._AC_UL320_.jpg")</f>
        <v/>
      </c>
      <c r="K2640" t="inlineStr">
        <is>
          <t>38.0</t>
        </is>
      </c>
      <c r="L2640" t="n">
        <v>28.05</v>
      </c>
      <c r="M2640" s="1" t="inlineStr">
        <is>
          <t>-26.18%</t>
        </is>
      </c>
      <c r="N2640" t="n">
        <v>4.6</v>
      </c>
      <c r="O2640" t="n">
        <v>11007</v>
      </c>
      <c r="Q2640" t="inlineStr">
        <is>
          <t>InStock</t>
        </is>
      </c>
      <c r="R2640" t="inlineStr">
        <is>
          <t>undefined</t>
        </is>
      </c>
      <c r="S2640" t="inlineStr">
        <is>
          <t>7514581827769</t>
        </is>
      </c>
    </row>
    <row r="2641" ht="75" customHeight="1">
      <c r="A2641" s="2">
        <f>HYPERLINK("https://camerareadycosmetics.com/products/melt-cosmetics-earth-mini-eyeshadow-palette", "https://camerareadycosmetics.com/products/melt-cosmetics-earth-mini-eyeshadow-palette")</f>
        <v/>
      </c>
      <c r="B2641" s="2">
        <f>HYPERLINK("https://camerareadycosmetics.com/products/melt-cosmetics-earth-mini-eyeshadow-palette", "https://camerareadycosmetics.com/products/melt-cosmetics-earth-mini-eyeshadow-palette")</f>
        <v/>
      </c>
      <c r="C2641" t="inlineStr">
        <is>
          <t>Earth Mini Eyeshadow Palette</t>
        </is>
      </c>
      <c r="D2641" t="inlineStr">
        <is>
          <t>DE'LANCI Soft Pink Brown Eyeshadow Palette,12 Color Matte Shimmer Nudes Neutral Eyeshadow Palette for Natural or Smoky Eye Look, Long Lasting Naked Shade for Women and Girls,Ultra-Blendable,Earth Tone</t>
        </is>
      </c>
      <c r="E2641" s="2">
        <f>HYPERLINK("https://www.amazon.com/DELANCI-Eyeshadow-Palette-Shimmer-Ultra-Blendable/dp/B0C4GVRVXQ/ref=sr_1_3?keywords=Earth+Mini+Eyeshadow+Palette&amp;qid=1695565762&amp;sr=8-3", "https://www.amazon.com/DELANCI-Eyeshadow-Palette-Shimmer-Ultra-Blendable/dp/B0C4GVRVXQ/ref=sr_1_3?keywords=Earth+Mini+Eyeshadow+Palette&amp;qid=1695565762&amp;sr=8-3")</f>
        <v/>
      </c>
      <c r="F2641" t="inlineStr">
        <is>
          <t>B0C4GVRVXQ</t>
        </is>
      </c>
      <c r="G2641">
        <f>_xlfn.IMAGE("https://camerareadycosmetics.com/cdn/shop/products/MeltCosmeticsEarthMiniEyeshadowPalette_50x.jpg?v=1670434463")</f>
        <v/>
      </c>
      <c r="H2641">
        <f>_xlfn.IMAGE("https://m.media-amazon.com/images/I/718z5vAuBNL._AC_UL320_.jpg")</f>
        <v/>
      </c>
      <c r="K2641" t="inlineStr">
        <is>
          <t>38.0</t>
        </is>
      </c>
      <c r="L2641" t="n">
        <v>12.98</v>
      </c>
      <c r="M2641" s="1" t="inlineStr">
        <is>
          <t>-65.84%</t>
        </is>
      </c>
      <c r="N2641" t="n">
        <v>4.2</v>
      </c>
      <c r="O2641" t="n">
        <v>24</v>
      </c>
      <c r="Q2641" t="inlineStr">
        <is>
          <t>InStock</t>
        </is>
      </c>
      <c r="R2641" t="inlineStr">
        <is>
          <t>undefined</t>
        </is>
      </c>
      <c r="S2641" t="inlineStr">
        <is>
          <t>7514581827769</t>
        </is>
      </c>
    </row>
    <row r="2642" ht="75" customHeight="1">
      <c r="A2642" s="2">
        <f>HYPERLINK("https://camerareadycosmetics.com/products/melt-cosmetics-earth-mini-eyeshadow-palette", "https://camerareadycosmetics.com/products/melt-cosmetics-earth-mini-eyeshadow-palette")</f>
        <v/>
      </c>
      <c r="B2642" s="2">
        <f>HYPERLINK("https://camerareadycosmetics.com/products/melt-cosmetics-earth-mini-eyeshadow-palette", "https://camerareadycosmetics.com/products/melt-cosmetics-earth-mini-eyeshadow-palette")</f>
        <v/>
      </c>
      <c r="C2642" t="inlineStr">
        <is>
          <t>Earth Mini Eyeshadow Palette</t>
        </is>
      </c>
      <c r="D2642" t="inlineStr">
        <is>
          <t>16 Colors Pro Matte Nude Eyeshadow Palette.Warm Earth Natural Tone Powder Palet for Eye Makeup.Long Lasting Light to Dark Brown Orange Eye Shadow Primers paleta de sombras de ojos</t>
        </is>
      </c>
      <c r="E2642" s="2">
        <f>HYPERLINK("https://www.amazon.com/Eyeshadow-Palette-Warm-Natural-Makeup-Long-Lasting/dp/B0BWTMZG8Y/ref=sr_1_10?keywords=Earth+Mini+Eyeshadow+Palette&amp;qid=1695565762&amp;sr=8-10", "https://www.amazon.com/Eyeshadow-Palette-Warm-Natural-Makeup-Long-Lasting/dp/B0BWTMZG8Y/ref=sr_1_10?keywords=Earth+Mini+Eyeshadow+Palette&amp;qid=1695565762&amp;sr=8-10")</f>
        <v/>
      </c>
      <c r="F2642" t="inlineStr">
        <is>
          <t>B0BWTMZG8Y</t>
        </is>
      </c>
      <c r="G2642">
        <f>_xlfn.IMAGE("https://camerareadycosmetics.com/cdn/shop/products/MeltCosmeticsEarthMiniEyeshadowPalette_50x.jpg?v=1670434463")</f>
        <v/>
      </c>
      <c r="H2642">
        <f>_xlfn.IMAGE("https://m.media-amazon.com/images/I/71KxnTqOsbL._AC_UL320_.jpg")</f>
        <v/>
      </c>
      <c r="K2642" t="inlineStr">
        <is>
          <t>38.0</t>
        </is>
      </c>
      <c r="L2642" t="n">
        <v>7.99</v>
      </c>
      <c r="M2642" s="1" t="inlineStr">
        <is>
          <t>-78.97%</t>
        </is>
      </c>
      <c r="N2642" t="n">
        <v>3.5</v>
      </c>
      <c r="O2642" t="n">
        <v>5</v>
      </c>
      <c r="Q2642" t="inlineStr">
        <is>
          <t>InStock</t>
        </is>
      </c>
      <c r="R2642" t="inlineStr">
        <is>
          <t>undefined</t>
        </is>
      </c>
      <c r="S2642" t="inlineStr">
        <is>
          <t>7514581827769</t>
        </is>
      </c>
    </row>
    <row r="2643" ht="75" customHeight="1">
      <c r="A2643" s="2">
        <f>HYPERLINK("https://camerareadycosmetics.com/products/melt-cosmetics-earth-mini-eyeshadow-palette", "https://camerareadycosmetics.com/products/melt-cosmetics-earth-mini-eyeshadow-palette")</f>
        <v/>
      </c>
      <c r="B2643" s="2">
        <f>HYPERLINK("https://camerareadycosmetics.com/products/melt-cosmetics-earth-mini-eyeshadow-palette", "https://camerareadycosmetics.com/products/melt-cosmetics-earth-mini-eyeshadow-palette")</f>
        <v/>
      </c>
      <c r="C2643" t="inlineStr">
        <is>
          <t>Earth Mini Eyeshadow Palette</t>
        </is>
      </c>
      <c r="D2643" t="inlineStr">
        <is>
          <t>SUSIKEKI 6 Colors Mini Naked Eyeshadow Makeup Palette Neutral Nude Smoky Eye Shadow Taupe &amp; Brown Matte Make Up Pallet with Mirror Highly Pigmented Long Lasting Waterproof Travel Size Gift Kit 01</t>
        </is>
      </c>
      <c r="E2643" s="2">
        <f>HYPERLINK("https://www.amazon.com/SUSIKEKI-Eyeshadow-Palette-Pigmented-Waterproof/dp/B0C4L2KRCH/ref=sr_1_5?keywords=Earth+Mini+Eyeshadow+Palette&amp;qid=1695565762&amp;sr=8-5", "https://www.amazon.com/SUSIKEKI-Eyeshadow-Palette-Pigmented-Waterproof/dp/B0C4L2KRCH/ref=sr_1_5?keywords=Earth+Mini+Eyeshadow+Palette&amp;qid=1695565762&amp;sr=8-5")</f>
        <v/>
      </c>
      <c r="F2643" t="inlineStr">
        <is>
          <t>B0C4L2KRCH</t>
        </is>
      </c>
      <c r="G2643">
        <f>_xlfn.IMAGE("https://camerareadycosmetics.com/cdn/shop/products/MeltCosmeticsEarthMiniEyeshadowPalette_50x.jpg?v=1670434463")</f>
        <v/>
      </c>
      <c r="H2643">
        <f>_xlfn.IMAGE("https://m.media-amazon.com/images/I/712XpOgENpL._AC_UL320_.jpg")</f>
        <v/>
      </c>
      <c r="K2643" t="inlineStr">
        <is>
          <t>38.0</t>
        </is>
      </c>
      <c r="L2643" t="n">
        <v>7.98</v>
      </c>
      <c r="M2643" s="1" t="inlineStr">
        <is>
          <t>-79.00%</t>
        </is>
      </c>
      <c r="N2643" t="n">
        <v>4.4</v>
      </c>
      <c r="O2643" t="n">
        <v>59</v>
      </c>
      <c r="Q2643" t="inlineStr">
        <is>
          <t>InStock</t>
        </is>
      </c>
      <c r="R2643" t="inlineStr">
        <is>
          <t>undefined</t>
        </is>
      </c>
      <c r="S2643" t="inlineStr">
        <is>
          <t>7514581827769</t>
        </is>
      </c>
    </row>
    <row r="2644" ht="75" customHeight="1">
      <c r="A2644" s="2">
        <f>HYPERLINK("https://camerareadycosmetics.com/products/melt-cosmetics-earth-mini-eyeshadow-palette", "https://camerareadycosmetics.com/products/melt-cosmetics-earth-mini-eyeshadow-palette")</f>
        <v/>
      </c>
      <c r="B2644" s="2">
        <f>HYPERLINK("https://camerareadycosmetics.com/products/melt-cosmetics-earth-mini-eyeshadow-palette", "https://camerareadycosmetics.com/products/melt-cosmetics-earth-mini-eyeshadow-palette")</f>
        <v/>
      </c>
      <c r="C2644" t="inlineStr">
        <is>
          <t>Earth Mini Eyeshadow Palette</t>
        </is>
      </c>
      <c r="D2644" t="inlineStr">
        <is>
          <t>DE'LANCI Soft Pink Brown Eyeshadow Palette,12 Color Matte Shimmer Nudes Neutral Eyeshadow Palette for Natural or Smoky Eye Look, Long Lasting Naked Shade for Women and Girls,Ultra-Blendable,Earth Tone</t>
        </is>
      </c>
      <c r="E2644" s="2">
        <f>HYPERLINK("https://www.amazon.com/DELANCI-Eyeshadow-Palette-Shimmer-Ultra-Blendable/dp/B0C4GVRVXQ/ref=sr_1_3?keywords=Earth+Mini+Eyeshadow+Palette&amp;qid=1695565762&amp;sr=8-3", "https://www.amazon.com/DELANCI-Eyeshadow-Palette-Shimmer-Ultra-Blendable/dp/B0C4GVRVXQ/ref=sr_1_3?keywords=Earth+Mini+Eyeshadow+Palette&amp;qid=1695565762&amp;sr=8-3")</f>
        <v/>
      </c>
      <c r="F2644" t="inlineStr">
        <is>
          <t>B0C4GVRVXQ</t>
        </is>
      </c>
      <c r="G2644">
        <f>_xlfn.IMAGE("https://camerareadycosmetics.com/cdn/shop/products/MeltCosmeticsEarthMiniEyeshadowPalette_50x.jpg?v=1670434463")</f>
        <v/>
      </c>
      <c r="H2644">
        <f>_xlfn.IMAGE("https://m.media-amazon.com/images/I/718z5vAuBNL._AC_UL320_.jpg")</f>
        <v/>
      </c>
      <c r="K2644" t="inlineStr">
        <is>
          <t>38.0</t>
        </is>
      </c>
      <c r="L2644" t="n">
        <v>12.98</v>
      </c>
      <c r="M2644" s="1" t="inlineStr">
        <is>
          <t>-65.84%</t>
        </is>
      </c>
      <c r="N2644" t="n">
        <v>4.2</v>
      </c>
      <c r="O2644" t="n">
        <v>24</v>
      </c>
      <c r="Q2644" t="inlineStr">
        <is>
          <t>InStock</t>
        </is>
      </c>
      <c r="R2644" t="inlineStr">
        <is>
          <t>undefined</t>
        </is>
      </c>
      <c r="S2644" t="inlineStr">
        <is>
          <t>7514581827769</t>
        </is>
      </c>
    </row>
    <row r="2645" ht="75" customHeight="1">
      <c r="A2645" s="2">
        <f>HYPERLINK("https://camerareadycosmetics.com/products/melt-cosmetics-earth-mini-eyeshadow-palette", "https://camerareadycosmetics.com/products/melt-cosmetics-earth-mini-eyeshadow-palette")</f>
        <v/>
      </c>
      <c r="B2645" s="2">
        <f>HYPERLINK("https://camerareadycosmetics.com/products/melt-cosmetics-earth-mini-eyeshadow-palette", "https://camerareadycosmetics.com/products/melt-cosmetics-earth-mini-eyeshadow-palette")</f>
        <v/>
      </c>
      <c r="C2645" t="inlineStr">
        <is>
          <t>Earth Mini Eyeshadow Palette</t>
        </is>
      </c>
      <c r="D2645" t="inlineStr">
        <is>
          <t>16 Colors Pro Matte Nude Eyeshadow Palette.Warm Earth Natural Tone Powder Palet for Eye Makeup.Long Lasting Light to Dark Brown Orange Eye Shadow Primers paleta de sombras de ojos</t>
        </is>
      </c>
      <c r="E2645" s="2">
        <f>HYPERLINK("https://www.amazon.com/Eyeshadow-Palette-Warm-Natural-Makeup-Long-Lasting/dp/B0BWTMZG8Y/ref=sr_1_10?keywords=Earth+Mini+Eyeshadow+Palette&amp;qid=1695565762&amp;sr=8-10", "https://www.amazon.com/Eyeshadow-Palette-Warm-Natural-Makeup-Long-Lasting/dp/B0BWTMZG8Y/ref=sr_1_10?keywords=Earth+Mini+Eyeshadow+Palette&amp;qid=1695565762&amp;sr=8-10")</f>
        <v/>
      </c>
      <c r="F2645" t="inlineStr">
        <is>
          <t>B0BWTMZG8Y</t>
        </is>
      </c>
      <c r="G2645">
        <f>_xlfn.IMAGE("https://camerareadycosmetics.com/cdn/shop/products/MeltCosmeticsEarthMiniEyeshadowPalette_50x.jpg?v=1670434463")</f>
        <v/>
      </c>
      <c r="H2645">
        <f>_xlfn.IMAGE("https://m.media-amazon.com/images/I/71KxnTqOsbL._AC_UL320_.jpg")</f>
        <v/>
      </c>
      <c r="K2645" t="inlineStr">
        <is>
          <t>38.0</t>
        </is>
      </c>
      <c r="L2645" t="n">
        <v>7.99</v>
      </c>
      <c r="M2645" s="1" t="inlineStr">
        <is>
          <t>-78.97%</t>
        </is>
      </c>
      <c r="N2645" t="n">
        <v>3.5</v>
      </c>
      <c r="O2645" t="n">
        <v>5</v>
      </c>
      <c r="Q2645" t="inlineStr">
        <is>
          <t>InStock</t>
        </is>
      </c>
      <c r="R2645" t="inlineStr">
        <is>
          <t>undefined</t>
        </is>
      </c>
      <c r="S2645" t="inlineStr">
        <is>
          <t>7514581827769</t>
        </is>
      </c>
    </row>
    <row r="2646" ht="75" customHeight="1">
      <c r="A2646" s="2">
        <f>HYPERLINK("https://camerareadycosmetics.com/products/melt-cosmetics-earth-mini-eyeshadow-palette", "https://camerareadycosmetics.com/products/melt-cosmetics-earth-mini-eyeshadow-palette")</f>
        <v/>
      </c>
      <c r="B2646" s="2">
        <f>HYPERLINK("https://camerareadycosmetics.com/products/melt-cosmetics-earth-mini-eyeshadow-palette", "https://camerareadycosmetics.com/products/melt-cosmetics-earth-mini-eyeshadow-palette")</f>
        <v/>
      </c>
      <c r="C2646" t="inlineStr">
        <is>
          <t>Earth Mini Eyeshadow Palette</t>
        </is>
      </c>
      <c r="D2646" t="inlineStr">
        <is>
          <t>SUSIKEKI 6 Colors Mini Naked Eyeshadow Makeup Palette Neutral Nude Smoky Eye Shadow Taupe &amp; Brown Matte Make Up Pallet with Mirror Highly Pigmented Long Lasting Waterproof Travel Size Gift Kit 01</t>
        </is>
      </c>
      <c r="E2646" s="2">
        <f>HYPERLINK("https://www.amazon.com/SUSIKEKI-Eyeshadow-Palette-Pigmented-Waterproof/dp/B0C4L2KRCH/ref=sr_1_5?keywords=Earth+Mini+Eyeshadow+Palette&amp;qid=1695565762&amp;sr=8-5", "https://www.amazon.com/SUSIKEKI-Eyeshadow-Palette-Pigmented-Waterproof/dp/B0C4L2KRCH/ref=sr_1_5?keywords=Earth+Mini+Eyeshadow+Palette&amp;qid=1695565762&amp;sr=8-5")</f>
        <v/>
      </c>
      <c r="F2646" t="inlineStr">
        <is>
          <t>B0C4L2KRCH</t>
        </is>
      </c>
      <c r="G2646">
        <f>_xlfn.IMAGE("https://camerareadycosmetics.com/cdn/shop/products/MeltCosmeticsEarthMiniEyeshadowPalette_50x.jpg?v=1670434463")</f>
        <v/>
      </c>
      <c r="H2646">
        <f>_xlfn.IMAGE("https://m.media-amazon.com/images/I/712XpOgENpL._AC_UL320_.jpg")</f>
        <v/>
      </c>
      <c r="K2646" t="inlineStr">
        <is>
          <t>38.0</t>
        </is>
      </c>
      <c r="L2646" t="n">
        <v>7.98</v>
      </c>
      <c r="M2646" s="1" t="inlineStr">
        <is>
          <t>-79.00%</t>
        </is>
      </c>
      <c r="N2646" t="n">
        <v>4.4</v>
      </c>
      <c r="O2646" t="n">
        <v>59</v>
      </c>
      <c r="Q2646" t="inlineStr">
        <is>
          <t>InStock</t>
        </is>
      </c>
      <c r="R2646" t="inlineStr">
        <is>
          <t>undefined</t>
        </is>
      </c>
      <c r="S2646" t="inlineStr">
        <is>
          <t>7514581827769</t>
        </is>
      </c>
    </row>
    <row r="2647" ht="75" customHeight="1">
      <c r="A2647" s="2">
        <f>HYPERLINK("https://camerareadycosmetics.com/products/melt-cosmetics-fire-mini-eyeshadow-palette", "https://camerareadycosmetics.com/products/melt-cosmetics-fire-mini-eyeshadow-palette")</f>
        <v/>
      </c>
      <c r="B2647" s="2">
        <f>HYPERLINK("https://camerareadycosmetics.com/products/melt-cosmetics-fire-mini-eyeshadow-palette", "https://camerareadycosmetics.com/products/melt-cosmetics-fire-mini-eyeshadow-palette")</f>
        <v/>
      </c>
      <c r="C2647" t="inlineStr">
        <is>
          <t>Fire Mini Eyeshadow Palette</t>
        </is>
      </c>
      <c r="D2647" t="inlineStr">
        <is>
          <t>Too Faced Light My Fire MIni Eyeshadow Palette</t>
        </is>
      </c>
      <c r="E2647" s="2">
        <f>HYPERLINK("https://www.amazon.com/Too-Faced-Light-Eyeshadow-Palette/dp/B08KJCF2RZ/ref=sr_1_1?keywords=Fire+Mini+Eyeshadow+Palette&amp;qid=1695565810&amp;sr=8-1", "https://www.amazon.com/Too-Faced-Light-Eyeshadow-Palette/dp/B08KJCF2RZ/ref=sr_1_1?keywords=Fire+Mini+Eyeshadow+Palette&amp;qid=1695565810&amp;sr=8-1")</f>
        <v/>
      </c>
      <c r="F2647" t="inlineStr">
        <is>
          <t>B08KJCF2RZ</t>
        </is>
      </c>
      <c r="G2647">
        <f>_xlfn.IMAGE("https://camerareadycosmetics.com/cdn/shop/products/MeltCosmeticsFireMiniEyeshadowPalette_50x.jpg?v=1670434669")</f>
        <v/>
      </c>
      <c r="H2647">
        <f>_xlfn.IMAGE("https://m.media-amazon.com/images/I/61259RsemOL._AC_UL320_.jpg")</f>
        <v/>
      </c>
      <c r="K2647" t="inlineStr">
        <is>
          <t>38.0</t>
        </is>
      </c>
      <c r="L2647" t="n">
        <v>22.9</v>
      </c>
      <c r="M2647" s="1" t="inlineStr">
        <is>
          <t>-39.74%</t>
        </is>
      </c>
      <c r="N2647" t="n">
        <v>4.9</v>
      </c>
      <c r="O2647" t="n">
        <v>33</v>
      </c>
      <c r="Q2647" t="inlineStr">
        <is>
          <t>InStock</t>
        </is>
      </c>
      <c r="R2647" t="inlineStr">
        <is>
          <t>undefined</t>
        </is>
      </c>
      <c r="S2647" t="inlineStr">
        <is>
          <t>7514598408377</t>
        </is>
      </c>
    </row>
    <row r="2648" ht="75" customHeight="1">
      <c r="A2648" s="2">
        <f>HYPERLINK("https://camerareadycosmetics.com/products/melt-cosmetics-fire-mini-eyeshadow-palette", "https://camerareadycosmetics.com/products/melt-cosmetics-fire-mini-eyeshadow-palette")</f>
        <v/>
      </c>
      <c r="B2648" s="2">
        <f>HYPERLINK("https://camerareadycosmetics.com/products/melt-cosmetics-fire-mini-eyeshadow-palette", "https://camerareadycosmetics.com/products/melt-cosmetics-fire-mini-eyeshadow-palette")</f>
        <v/>
      </c>
      <c r="C2648" t="inlineStr">
        <is>
          <t>Fire Mini Eyeshadow Palette</t>
        </is>
      </c>
      <c r="D2648" t="inlineStr">
        <is>
          <t>LORAC Mini PRO Matte &amp; Glitter Eyeshadow Palette</t>
        </is>
      </c>
      <c r="E2648" s="2">
        <f>HYPERLINK("https://www.amazon.com/LORAC-Mini-Palette-Simmering-0-17/dp/B0921L3BV9/ref=sr_1_6?keywords=Fire+Mini+Eyeshadow+Palette&amp;qid=1695565810&amp;sr=8-6", "https://www.amazon.com/LORAC-Mini-Palette-Simmering-0-17/dp/B0921L3BV9/ref=sr_1_6?keywords=Fire+Mini+Eyeshadow+Palette&amp;qid=1695565810&amp;sr=8-6")</f>
        <v/>
      </c>
      <c r="F2648" t="inlineStr">
        <is>
          <t>B0921L3BV9</t>
        </is>
      </c>
      <c r="G2648">
        <f>_xlfn.IMAGE("https://camerareadycosmetics.com/cdn/shop/products/MeltCosmeticsFireMiniEyeshadowPalette_50x.jpg?v=1670434669")</f>
        <v/>
      </c>
      <c r="H2648">
        <f>_xlfn.IMAGE("https://m.media-amazon.com/images/I/81ZDGgpHvhL._AC_UL320_.jpg")</f>
        <v/>
      </c>
      <c r="K2648" t="inlineStr">
        <is>
          <t>38.0</t>
        </is>
      </c>
      <c r="L2648" t="n">
        <v>16</v>
      </c>
      <c r="M2648" s="1" t="inlineStr">
        <is>
          <t>-57.89%</t>
        </is>
      </c>
      <c r="N2648" t="n">
        <v>4.4</v>
      </c>
      <c r="O2648" t="n">
        <v>373</v>
      </c>
      <c r="Q2648" t="inlineStr">
        <is>
          <t>InStock</t>
        </is>
      </c>
      <c r="R2648" t="inlineStr">
        <is>
          <t>undefined</t>
        </is>
      </c>
      <c r="S2648" t="inlineStr">
        <is>
          <t>7514598408377</t>
        </is>
      </c>
    </row>
    <row r="2649" ht="75" customHeight="1">
      <c r="A2649" s="2">
        <f>HYPERLINK("https://camerareadycosmetics.com/products/melt-cosmetics-fire-mini-eyeshadow-palette", "https://camerareadycosmetics.com/products/melt-cosmetics-fire-mini-eyeshadow-palette")</f>
        <v/>
      </c>
      <c r="B2649" s="2">
        <f>HYPERLINK("https://camerareadycosmetics.com/products/melt-cosmetics-fire-mini-eyeshadow-palette", "https://camerareadycosmetics.com/products/melt-cosmetics-fire-mini-eyeshadow-palette")</f>
        <v/>
      </c>
      <c r="C2649" t="inlineStr">
        <is>
          <t>Fire Mini Eyeshadow Palette</t>
        </is>
      </c>
      <c r="D2649" t="inlineStr">
        <is>
          <t>SUSIKEKI 6 Colors Mini Naked Eyeshadow Makeup Palette Rosy Neutral Nude Eye Shadow Shimmer &amp; Matte Make Up Pallet with Mirror Highly Pigmented Long Lasting Waterproof Travel Size Gift Kit 02</t>
        </is>
      </c>
      <c r="E2649" s="2">
        <f>HYPERLINK("https://www.amazon.com/SUSIKEKI-Eyeshadow-Palette-Pigmented-Waterproof/dp/B0C4L34BPX/ref=sr_1_4?keywords=Fire+Mini+Eyeshadow+Palette&amp;qid=1695565810&amp;sr=8-4", "https://www.amazon.com/SUSIKEKI-Eyeshadow-Palette-Pigmented-Waterproof/dp/B0C4L34BPX/ref=sr_1_4?keywords=Fire+Mini+Eyeshadow+Palette&amp;qid=1695565810&amp;sr=8-4")</f>
        <v/>
      </c>
      <c r="F2649" t="inlineStr">
        <is>
          <t>B0C4L34BPX</t>
        </is>
      </c>
      <c r="G2649">
        <f>_xlfn.IMAGE("https://camerareadycosmetics.com/cdn/shop/products/MeltCosmeticsFireMiniEyeshadowPalette_50x.jpg?v=1670434669")</f>
        <v/>
      </c>
      <c r="H2649">
        <f>_xlfn.IMAGE("https://m.media-amazon.com/images/I/81UWP86XXeL._AC_UL320_.jpg")</f>
        <v/>
      </c>
      <c r="K2649" t="inlineStr">
        <is>
          <t>38.0</t>
        </is>
      </c>
      <c r="L2649" t="n">
        <v>7.98</v>
      </c>
      <c r="M2649" s="1" t="inlineStr">
        <is>
          <t>-79.00%</t>
        </is>
      </c>
      <c r="N2649" t="n">
        <v>4.4</v>
      </c>
      <c r="O2649" t="n">
        <v>59</v>
      </c>
      <c r="Q2649" t="inlineStr">
        <is>
          <t>InStock</t>
        </is>
      </c>
      <c r="R2649" t="inlineStr">
        <is>
          <t>undefined</t>
        </is>
      </c>
      <c r="S2649" t="inlineStr">
        <is>
          <t>7514598408377</t>
        </is>
      </c>
    </row>
    <row r="2650" ht="75" customHeight="1">
      <c r="A2650" s="2">
        <f>HYPERLINK("https://camerareadycosmetics.com/products/melt-cosmetics-fire-mini-eyeshadow-palette", "https://camerareadycosmetics.com/products/melt-cosmetics-fire-mini-eyeshadow-palette")</f>
        <v/>
      </c>
      <c r="B2650" s="2">
        <f>HYPERLINK("https://camerareadycosmetics.com/products/melt-cosmetics-fire-mini-eyeshadow-palette", "https://camerareadycosmetics.com/products/melt-cosmetics-fire-mini-eyeshadow-palette")</f>
        <v/>
      </c>
      <c r="C2650" t="inlineStr">
        <is>
          <t>Fire Mini Eyeshadow Palette</t>
        </is>
      </c>
      <c r="D2650" t="inlineStr">
        <is>
          <t>NYX PROFESSIONAL MAKEUP Ultimate Edit Mini Shadow Palette, Eyeshadow Palette - Brights</t>
        </is>
      </c>
      <c r="E2650" s="2">
        <f>HYPERLINK("https://www.amazon.com/NYX-PROFESSIONAL-MAKEUP-Ultimate-Palette/dp/B07KBD7KQY/ref=sr_1_3?keywords=Fire+Mini+Eyeshadow+Palette&amp;qid=1695565810&amp;sr=8-3", "https://www.amazon.com/NYX-PROFESSIONAL-MAKEUP-Ultimate-Palette/dp/B07KBD7KQY/ref=sr_1_3?keywords=Fire+Mini+Eyeshadow+Palette&amp;qid=1695565810&amp;sr=8-3")</f>
        <v/>
      </c>
      <c r="F2650" t="inlineStr">
        <is>
          <t>B07KBD7KQY</t>
        </is>
      </c>
      <c r="G2650">
        <f>_xlfn.IMAGE("https://camerareadycosmetics.com/cdn/shop/products/MeltCosmeticsFireMiniEyeshadowPalette_50x.jpg?v=1670434669")</f>
        <v/>
      </c>
      <c r="H2650">
        <f>_xlfn.IMAGE("https://m.media-amazon.com/images/I/61BF0SrQTjL._AC_UL320_.jpg")</f>
        <v/>
      </c>
      <c r="K2650" t="inlineStr">
        <is>
          <t>38.0</t>
        </is>
      </c>
      <c r="L2650" t="n">
        <v>7.59</v>
      </c>
      <c r="M2650" s="1" t="inlineStr">
        <is>
          <t>-80.03%</t>
        </is>
      </c>
      <c r="N2650" t="n">
        <v>4.5</v>
      </c>
      <c r="O2650" t="n">
        <v>1574</v>
      </c>
      <c r="Q2650" t="inlineStr">
        <is>
          <t>InStock</t>
        </is>
      </c>
      <c r="R2650" t="inlineStr">
        <is>
          <t>undefined</t>
        </is>
      </c>
      <c r="S2650" t="inlineStr">
        <is>
          <t>7514598408377</t>
        </is>
      </c>
    </row>
    <row r="2651" ht="75" customHeight="1">
      <c r="A2651" s="2">
        <f>HYPERLINK("https://camerareadycosmetics.com/products/melt-cosmetics-fire-mini-eyeshadow-palette", "https://camerareadycosmetics.com/products/melt-cosmetics-fire-mini-eyeshadow-palette")</f>
        <v/>
      </c>
      <c r="B2651" s="2">
        <f>HYPERLINK("https://camerareadycosmetics.com/products/melt-cosmetics-fire-mini-eyeshadow-palette", "https://camerareadycosmetics.com/products/melt-cosmetics-fire-mini-eyeshadow-palette")</f>
        <v/>
      </c>
      <c r="C2651" t="inlineStr">
        <is>
          <t>Fire Mini Eyeshadow Palette</t>
        </is>
      </c>
      <c r="D2651" t="inlineStr">
        <is>
          <t>LORAC Mini PRO Matte &amp; Glitter Eyeshadow Palette</t>
        </is>
      </c>
      <c r="E2651" s="2">
        <f>HYPERLINK("https://www.amazon.com/LORAC-Mini-Palette-Simmering-0-17/dp/B0921L3BV9/ref=sr_1_6?keywords=Fire+Mini+Eyeshadow+Palette&amp;qid=1695565810&amp;sr=8-6", "https://www.amazon.com/LORAC-Mini-Palette-Simmering-0-17/dp/B0921L3BV9/ref=sr_1_6?keywords=Fire+Mini+Eyeshadow+Palette&amp;qid=1695565810&amp;sr=8-6")</f>
        <v/>
      </c>
      <c r="F2651" t="inlineStr">
        <is>
          <t>B0921L3BV9</t>
        </is>
      </c>
      <c r="G2651">
        <f>_xlfn.IMAGE("https://camerareadycosmetics.com/cdn/shop/products/MeltCosmeticsFireMiniEyeshadowPalette_50x.jpg?v=1670434669")</f>
        <v/>
      </c>
      <c r="H2651">
        <f>_xlfn.IMAGE("https://m.media-amazon.com/images/I/81ZDGgpHvhL._AC_UL320_.jpg")</f>
        <v/>
      </c>
      <c r="K2651" t="inlineStr">
        <is>
          <t>38.0</t>
        </is>
      </c>
      <c r="L2651" t="n">
        <v>16</v>
      </c>
      <c r="M2651" s="1" t="inlineStr">
        <is>
          <t>-57.89%</t>
        </is>
      </c>
      <c r="N2651" t="n">
        <v>4.4</v>
      </c>
      <c r="O2651" t="n">
        <v>373</v>
      </c>
      <c r="Q2651" t="inlineStr">
        <is>
          <t>InStock</t>
        </is>
      </c>
      <c r="R2651" t="inlineStr">
        <is>
          <t>undefined</t>
        </is>
      </c>
      <c r="S2651" t="inlineStr">
        <is>
          <t>7514598408377</t>
        </is>
      </c>
    </row>
    <row r="2652" ht="75" customHeight="1">
      <c r="A2652" s="2">
        <f>HYPERLINK("https://camerareadycosmetics.com/products/melt-cosmetics-fire-mini-eyeshadow-palette", "https://camerareadycosmetics.com/products/melt-cosmetics-fire-mini-eyeshadow-palette")</f>
        <v/>
      </c>
      <c r="B2652" s="2">
        <f>HYPERLINK("https://camerareadycosmetics.com/products/melt-cosmetics-fire-mini-eyeshadow-palette", "https://camerareadycosmetics.com/products/melt-cosmetics-fire-mini-eyeshadow-palette")</f>
        <v/>
      </c>
      <c r="C2652" t="inlineStr">
        <is>
          <t>Fire Mini Eyeshadow Palette</t>
        </is>
      </c>
      <c r="D2652" t="inlineStr">
        <is>
          <t>SUSIKEKI 6 Colors Mini Naked Eyeshadow Makeup Palette Rosy Neutral Nude Eye Shadow Shimmer &amp; Matte Make Up Pallet with Mirror Highly Pigmented Long Lasting Waterproof Travel Size Gift Kit 02</t>
        </is>
      </c>
      <c r="E2652" s="2">
        <f>HYPERLINK("https://www.amazon.com/SUSIKEKI-Eyeshadow-Palette-Pigmented-Waterproof/dp/B0C4L34BPX/ref=sr_1_4?keywords=Fire+Mini+Eyeshadow+Palette&amp;qid=1695565810&amp;sr=8-4", "https://www.amazon.com/SUSIKEKI-Eyeshadow-Palette-Pigmented-Waterproof/dp/B0C4L34BPX/ref=sr_1_4?keywords=Fire+Mini+Eyeshadow+Palette&amp;qid=1695565810&amp;sr=8-4")</f>
        <v/>
      </c>
      <c r="F2652" t="inlineStr">
        <is>
          <t>B0C4L34BPX</t>
        </is>
      </c>
      <c r="G2652">
        <f>_xlfn.IMAGE("https://camerareadycosmetics.com/cdn/shop/products/MeltCosmeticsFireMiniEyeshadowPalette_50x.jpg?v=1670434669")</f>
        <v/>
      </c>
      <c r="H2652">
        <f>_xlfn.IMAGE("https://m.media-amazon.com/images/I/81UWP86XXeL._AC_UL320_.jpg")</f>
        <v/>
      </c>
      <c r="K2652" t="inlineStr">
        <is>
          <t>38.0</t>
        </is>
      </c>
      <c r="L2652" t="n">
        <v>7.98</v>
      </c>
      <c r="M2652" s="1" t="inlineStr">
        <is>
          <t>-79.00%</t>
        </is>
      </c>
      <c r="N2652" t="n">
        <v>4.4</v>
      </c>
      <c r="O2652" t="n">
        <v>59</v>
      </c>
      <c r="Q2652" t="inlineStr">
        <is>
          <t>InStock</t>
        </is>
      </c>
      <c r="R2652" t="inlineStr">
        <is>
          <t>undefined</t>
        </is>
      </c>
      <c r="S2652" t="inlineStr">
        <is>
          <t>7514598408377</t>
        </is>
      </c>
    </row>
    <row r="2653" ht="75" customHeight="1">
      <c r="A2653" s="2">
        <f>HYPERLINK("https://camerareadycosmetics.com/products/melt-cosmetics-fire-mini-eyeshadow-palette", "https://camerareadycosmetics.com/products/melt-cosmetics-fire-mini-eyeshadow-palette")</f>
        <v/>
      </c>
      <c r="B2653" s="2">
        <f>HYPERLINK("https://camerareadycosmetics.com/products/melt-cosmetics-fire-mini-eyeshadow-palette", "https://camerareadycosmetics.com/products/melt-cosmetics-fire-mini-eyeshadow-palette")</f>
        <v/>
      </c>
      <c r="C2653" t="inlineStr">
        <is>
          <t>Fire Mini Eyeshadow Palette</t>
        </is>
      </c>
      <c r="D2653" t="inlineStr">
        <is>
          <t>NYX PROFESSIONAL MAKEUP Ultimate Edit Mini Shadow Palette, Eyeshadow Palette - Brights</t>
        </is>
      </c>
      <c r="E2653" s="2">
        <f>HYPERLINK("https://www.amazon.com/NYX-PROFESSIONAL-MAKEUP-Ultimate-Palette/dp/B07KBD7KQY/ref=sr_1_3?keywords=Fire+Mini+Eyeshadow+Palette&amp;qid=1695565810&amp;sr=8-3", "https://www.amazon.com/NYX-PROFESSIONAL-MAKEUP-Ultimate-Palette/dp/B07KBD7KQY/ref=sr_1_3?keywords=Fire+Mini+Eyeshadow+Palette&amp;qid=1695565810&amp;sr=8-3")</f>
        <v/>
      </c>
      <c r="F2653" t="inlineStr">
        <is>
          <t>B07KBD7KQY</t>
        </is>
      </c>
      <c r="G2653">
        <f>_xlfn.IMAGE("https://camerareadycosmetics.com/cdn/shop/products/MeltCosmeticsFireMiniEyeshadowPalette_50x.jpg?v=1670434669")</f>
        <v/>
      </c>
      <c r="H2653">
        <f>_xlfn.IMAGE("https://m.media-amazon.com/images/I/61BF0SrQTjL._AC_UL320_.jpg")</f>
        <v/>
      </c>
      <c r="K2653" t="inlineStr">
        <is>
          <t>38.0</t>
        </is>
      </c>
      <c r="L2653" t="n">
        <v>7.59</v>
      </c>
      <c r="M2653" s="1" t="inlineStr">
        <is>
          <t>-80.03%</t>
        </is>
      </c>
      <c r="N2653" t="n">
        <v>4.5</v>
      </c>
      <c r="O2653" t="n">
        <v>1574</v>
      </c>
      <c r="Q2653" t="inlineStr">
        <is>
          <t>InStock</t>
        </is>
      </c>
      <c r="R2653" t="inlineStr">
        <is>
          <t>undefined</t>
        </is>
      </c>
      <c r="S2653" t="inlineStr">
        <is>
          <t>7514598408377</t>
        </is>
      </c>
    </row>
    <row r="2654" ht="75" customHeight="1">
      <c r="A2654" s="2">
        <f>HYPERLINK("https://camerareadycosmetics.com/products/melt-cosmetics-gemini-palette", "https://camerareadycosmetics.com/products/melt-cosmetics-gemini-palette")</f>
        <v/>
      </c>
      <c r="B2654" s="2">
        <f>HYPERLINK("https://camerareadycosmetics.com/products/melt-cosmetics-gemini-palette", "https://camerareadycosmetics.com/products/melt-cosmetics-gemini-palette")</f>
        <v/>
      </c>
      <c r="C2654" t="inlineStr">
        <is>
          <t>Gemini Palette</t>
        </is>
      </c>
      <c r="D2654" t="inlineStr">
        <is>
          <t>Kara Beauty ZODIAC SIGNS Shadow Palettes - VEGAN (GEMINI)</t>
        </is>
      </c>
      <c r="E2654" s="2">
        <f>HYPERLINK("https://www.amazon.com/Kara-Beauty-ZODIAC-Shadow-Palettes/dp/B0BSB3T9Q6/ref=sr_1_1?keywords=Gemini+Palette&amp;qid=1695565582&amp;sr=8-1", "https://www.amazon.com/Kara-Beauty-ZODIAC-Shadow-Palettes/dp/B0BSB3T9Q6/ref=sr_1_1?keywords=Gemini+Palette&amp;qid=1695565582&amp;sr=8-1")</f>
        <v/>
      </c>
      <c r="F2654" t="inlineStr">
        <is>
          <t>B0BSB3T9Q6</t>
        </is>
      </c>
      <c r="G2654">
        <f>_xlfn.IMAGE("https://camerareadycosmetics.com/cdn/shop/products/MELT_GeminiPalette_WEB_2048x2048_REV_50x.jpg?v=1648658103")</f>
        <v/>
      </c>
      <c r="H2654">
        <f>_xlfn.IMAGE("https://m.media-amazon.com/images/I/61U5QtcNwtL._AC_UL320_.jpg")</f>
        <v/>
      </c>
      <c r="K2654" t="inlineStr">
        <is>
          <t>58.0</t>
        </is>
      </c>
      <c r="L2654" t="n">
        <v>8.5</v>
      </c>
      <c r="M2654" s="1" t="inlineStr">
        <is>
          <t>-85.34%</t>
        </is>
      </c>
      <c r="N2654" t="n">
        <v>4.8</v>
      </c>
      <c r="O2654" t="n">
        <v>7</v>
      </c>
      <c r="Q2654" t="inlineStr">
        <is>
          <t>InStock</t>
        </is>
      </c>
      <c r="R2654" t="inlineStr">
        <is>
          <t>undefined</t>
        </is>
      </c>
      <c r="S2654" t="inlineStr">
        <is>
          <t>1641701408879</t>
        </is>
      </c>
    </row>
    <row r="2655" ht="75" customHeight="1">
      <c r="A2655" s="2">
        <f>HYPERLINK("https://camerareadycosmetics.com/products/melt-cosmetics-gemini-palette", "https://camerareadycosmetics.com/products/melt-cosmetics-gemini-palette")</f>
        <v/>
      </c>
      <c r="B2655" s="2">
        <f>HYPERLINK("https://camerareadycosmetics.com/products/melt-cosmetics-gemini-palette", "https://camerareadycosmetics.com/products/melt-cosmetics-gemini-palette")</f>
        <v/>
      </c>
      <c r="C2655" t="inlineStr">
        <is>
          <t>Gemini Palette</t>
        </is>
      </c>
      <c r="D2655" t="inlineStr">
        <is>
          <t>Kara Beauty ZODIAC SIGNS Shadow Palettes - VEGAN (GEMINI)</t>
        </is>
      </c>
      <c r="E2655" s="2">
        <f>HYPERLINK("https://www.amazon.com/Kara-Beauty-ZODIAC-Shadow-Palettes/dp/B0BSB3T9Q6/ref=sr_1_1?keywords=Gemini+Palette&amp;qid=1695565582&amp;sr=8-1", "https://www.amazon.com/Kara-Beauty-ZODIAC-Shadow-Palettes/dp/B0BSB3T9Q6/ref=sr_1_1?keywords=Gemini+Palette&amp;qid=1695565582&amp;sr=8-1")</f>
        <v/>
      </c>
      <c r="F2655" t="inlineStr">
        <is>
          <t>B0BSB3T9Q6</t>
        </is>
      </c>
      <c r="G2655">
        <f>_xlfn.IMAGE("https://camerareadycosmetics.com/cdn/shop/products/MELT_GeminiPalette_WEB_2048x2048_REV_50x.jpg?v=1648658103")</f>
        <v/>
      </c>
      <c r="H2655">
        <f>_xlfn.IMAGE("https://m.media-amazon.com/images/I/61U5QtcNwtL._AC_UL320_.jpg")</f>
        <v/>
      </c>
      <c r="K2655" t="inlineStr">
        <is>
          <t>58.0</t>
        </is>
      </c>
      <c r="L2655" t="n">
        <v>8.5</v>
      </c>
      <c r="M2655" s="1" t="inlineStr">
        <is>
          <t>-85.34%</t>
        </is>
      </c>
      <c r="N2655" t="n">
        <v>4.8</v>
      </c>
      <c r="O2655" t="n">
        <v>7</v>
      </c>
      <c r="Q2655" t="inlineStr">
        <is>
          <t>InStock</t>
        </is>
      </c>
      <c r="R2655" t="inlineStr">
        <is>
          <t>undefined</t>
        </is>
      </c>
      <c r="S2655" t="inlineStr">
        <is>
          <t>1641701408879</t>
        </is>
      </c>
    </row>
    <row r="2656" ht="75" customHeight="1">
      <c r="A2656" s="2">
        <f>HYPERLINK("https://camerareadycosmetics.com/products/melt-cosmetics-max-hold-brow-gel", "https://camerareadycosmetics.com/products/melt-cosmetics-max-hold-brow-gel")</f>
        <v/>
      </c>
      <c r="B2656" s="2">
        <f>HYPERLINK("https://camerareadycosmetics.com/products/melt-cosmetics-max-hold-brow-gel", "https://camerareadycosmetics.com/products/melt-cosmetics-max-hold-brow-gel")</f>
        <v/>
      </c>
      <c r="C2656" t="inlineStr">
        <is>
          <t>Max Hold Brow Gel</t>
        </is>
      </c>
      <c r="D2656" t="inlineStr">
        <is>
          <t>JOAH Brow Down to Me Brow Super Hold Brow Setter Gel, 1 Fl Oz (Pack of 1)</t>
        </is>
      </c>
      <c r="E2656" s="2">
        <f>HYPERLINK("https://www.amazon.com/JOAH-Brow-Down-Super-Setter/dp/B09V4KSPQR/ref=sr_1_8?keywords=Max+Hold+Brow+Gel&amp;qid=1695565819&amp;sr=8-8", "https://www.amazon.com/JOAH-Brow-Down-Super-Setter/dp/B09V4KSPQR/ref=sr_1_8?keywords=Max+Hold+Brow+Gel&amp;qid=1695565819&amp;sr=8-8")</f>
        <v/>
      </c>
      <c r="F2656" t="inlineStr">
        <is>
          <t>B09V4KSPQR</t>
        </is>
      </c>
      <c r="G2656">
        <f>_xlfn.IMAGE("https://camerareadycosmetics.com/cdn/shop/products/melt-max-hold-brow-gel_50x.jpg?v=1679077194")</f>
        <v/>
      </c>
      <c r="H2656">
        <f>_xlfn.IMAGE("https://m.media-amazon.com/images/I/519Sr7oyHrL._AC_UL320_.jpg")</f>
        <v/>
      </c>
      <c r="K2656" t="inlineStr">
        <is>
          <t>25.0</t>
        </is>
      </c>
      <c r="L2656" t="n">
        <v>8.99</v>
      </c>
      <c r="M2656" s="1" t="inlineStr">
        <is>
          <t>-64.04%</t>
        </is>
      </c>
      <c r="N2656" t="n">
        <v>4.3</v>
      </c>
      <c r="O2656" t="n">
        <v>1051</v>
      </c>
      <c r="Q2656" t="inlineStr">
        <is>
          <t>InStock</t>
        </is>
      </c>
      <c r="R2656" t="inlineStr">
        <is>
          <t>undefined</t>
        </is>
      </c>
      <c r="S2656" t="inlineStr">
        <is>
          <t>7577764167865</t>
        </is>
      </c>
    </row>
    <row r="2657" ht="75" customHeight="1">
      <c r="A2657" s="2">
        <f>HYPERLINK("https://camerareadycosmetics.com/products/melt-cosmetics-max-hold-brow-gel", "https://camerareadycosmetics.com/products/melt-cosmetics-max-hold-brow-gel")</f>
        <v/>
      </c>
      <c r="B2657" s="2">
        <f>HYPERLINK("https://camerareadycosmetics.com/products/melt-cosmetics-max-hold-brow-gel", "https://camerareadycosmetics.com/products/melt-cosmetics-max-hold-brow-gel")</f>
        <v/>
      </c>
      <c r="C2657" t="inlineStr">
        <is>
          <t>Max Hold Brow Gel</t>
        </is>
      </c>
      <c r="D2657" t="inlineStr">
        <is>
          <t>NYX PROFESSIONAL MAKEUP The Brow Glue, Extreme Hold Tinted Eyebrow Gel - Medium Brown</t>
        </is>
      </c>
      <c r="E2657" s="2">
        <f>HYPERLINK("https://www.amazon.com/NYX-PROFESSIONAL-MAKEUP-Extreme-Eyebrow/dp/B0BDPLBKZK/ref=sr_1_3?keywords=Max+Hold+Brow+Gel&amp;qid=1695565819&amp;sr=8-3", "https://www.amazon.com/NYX-PROFESSIONAL-MAKEUP-Extreme-Eyebrow/dp/B0BDPLBKZK/ref=sr_1_3?keywords=Max+Hold+Brow+Gel&amp;qid=1695565819&amp;sr=8-3")</f>
        <v/>
      </c>
      <c r="F2657" t="inlineStr">
        <is>
          <t>B0BDPLBKZK</t>
        </is>
      </c>
      <c r="G2657">
        <f>_xlfn.IMAGE("https://camerareadycosmetics.com/cdn/shop/products/melt-max-hold-brow-gel_50x.jpg?v=1679077194")</f>
        <v/>
      </c>
      <c r="H2657">
        <f>_xlfn.IMAGE("https://m.media-amazon.com/images/I/51zcZzWo+9L._AC_UL320_.jpg")</f>
        <v/>
      </c>
      <c r="K2657" t="inlineStr">
        <is>
          <t>25.0</t>
        </is>
      </c>
      <c r="L2657" t="n">
        <v>8.77</v>
      </c>
      <c r="M2657" s="1" t="inlineStr">
        <is>
          <t>-64.92%</t>
        </is>
      </c>
      <c r="N2657" t="n">
        <v>4.3</v>
      </c>
      <c r="O2657" t="n">
        <v>21951</v>
      </c>
      <c r="Q2657" t="inlineStr">
        <is>
          <t>InStock</t>
        </is>
      </c>
      <c r="R2657" t="inlineStr">
        <is>
          <t>undefined</t>
        </is>
      </c>
      <c r="S2657" t="inlineStr">
        <is>
          <t>7577764167865</t>
        </is>
      </c>
    </row>
    <row r="2658" ht="75" customHeight="1">
      <c r="A2658" s="2">
        <f>HYPERLINK("https://camerareadycosmetics.com/products/melt-cosmetics-max-hold-brow-gel", "https://camerareadycosmetics.com/products/melt-cosmetics-max-hold-brow-gel")</f>
        <v/>
      </c>
      <c r="B2658" s="2">
        <f>HYPERLINK("https://camerareadycosmetics.com/products/melt-cosmetics-max-hold-brow-gel", "https://camerareadycosmetics.com/products/melt-cosmetics-max-hold-brow-gel")</f>
        <v/>
      </c>
      <c r="C2658" t="inlineStr">
        <is>
          <t>Max Hold Brow Gel</t>
        </is>
      </c>
      <c r="D2658" t="inlineStr">
        <is>
          <t>Arches &amp; Halos Water Resistant Firm Hold Brow Gel - Clear - Waterproof Eyebrow Gel for Shaping and Styling - Quick-Setting, Long-Lasting Brow Sculpt - Soft, Lightweight, Non-Sticky Formula - 0.106 oz</t>
        </is>
      </c>
      <c r="E2658" s="2">
        <f>HYPERLINK("https://www.amazon.com/Arches-Halos-Water-Resistant-Firm/dp/B096KWNL6V/ref=sr_1_1?keywords=Max+Hold+Brow+Gel&amp;qid=1695565819&amp;sr=8-1", "https://www.amazon.com/Arches-Halos-Water-Resistant-Firm/dp/B096KWNL6V/ref=sr_1_1?keywords=Max+Hold+Brow+Gel&amp;qid=1695565819&amp;sr=8-1")</f>
        <v/>
      </c>
      <c r="F2658" t="inlineStr">
        <is>
          <t>B096KWNL6V</t>
        </is>
      </c>
      <c r="G2658">
        <f>_xlfn.IMAGE("https://camerareadycosmetics.com/cdn/shop/products/melt-max-hold-brow-gel_50x.jpg?v=1679077194")</f>
        <v/>
      </c>
      <c r="H2658">
        <f>_xlfn.IMAGE("https://m.media-amazon.com/images/I/51eXqdDIvfS._AC_UL320_.jpg")</f>
        <v/>
      </c>
      <c r="K2658" t="inlineStr">
        <is>
          <t>25.0</t>
        </is>
      </c>
      <c r="L2658" t="n">
        <v>5.49</v>
      </c>
      <c r="M2658" s="1" t="inlineStr">
        <is>
          <t>-78.04%</t>
        </is>
      </c>
      <c r="N2658" t="n">
        <v>4.1</v>
      </c>
      <c r="O2658" t="n">
        <v>104</v>
      </c>
      <c r="Q2658" t="inlineStr">
        <is>
          <t>InStock</t>
        </is>
      </c>
      <c r="R2658" t="inlineStr">
        <is>
          <t>undefined</t>
        </is>
      </c>
      <c r="S2658" t="inlineStr">
        <is>
          <t>7577764167865</t>
        </is>
      </c>
    </row>
    <row r="2659" ht="75" customHeight="1">
      <c r="A2659" s="2">
        <f>HYPERLINK("https://camerareadycosmetics.com/products/melt-cosmetics-max-hold-brow-gel", "https://camerareadycosmetics.com/products/melt-cosmetics-max-hold-brow-gel")</f>
        <v/>
      </c>
      <c r="B2659" s="2">
        <f>HYPERLINK("https://camerareadycosmetics.com/products/melt-cosmetics-max-hold-brow-gel", "https://camerareadycosmetics.com/products/melt-cosmetics-max-hold-brow-gel")</f>
        <v/>
      </c>
      <c r="C2659" t="inlineStr">
        <is>
          <t>Max Hold Brow Gel</t>
        </is>
      </c>
      <c r="D2659" t="inlineStr">
        <is>
          <t>JOAH Brow Down to Me Brow Super Hold Brow Setter Gel, 1 Fl Oz (Pack of 1)</t>
        </is>
      </c>
      <c r="E2659" s="2">
        <f>HYPERLINK("https://www.amazon.com/JOAH-Brow-Down-Super-Setter/dp/B09V4KSPQR/ref=sr_1_8?keywords=Max+Hold+Brow+Gel&amp;qid=1695565819&amp;sr=8-8", "https://www.amazon.com/JOAH-Brow-Down-Super-Setter/dp/B09V4KSPQR/ref=sr_1_8?keywords=Max+Hold+Brow+Gel&amp;qid=1695565819&amp;sr=8-8")</f>
        <v/>
      </c>
      <c r="F2659" t="inlineStr">
        <is>
          <t>B09V4KSPQR</t>
        </is>
      </c>
      <c r="G2659">
        <f>_xlfn.IMAGE("https://camerareadycosmetics.com/cdn/shop/products/melt-max-hold-brow-gel_50x.jpg?v=1679077194")</f>
        <v/>
      </c>
      <c r="H2659">
        <f>_xlfn.IMAGE("https://m.media-amazon.com/images/I/519Sr7oyHrL._AC_UL320_.jpg")</f>
        <v/>
      </c>
      <c r="K2659" t="inlineStr">
        <is>
          <t>25.0</t>
        </is>
      </c>
      <c r="L2659" t="n">
        <v>8.99</v>
      </c>
      <c r="M2659" s="1" t="inlineStr">
        <is>
          <t>-64.04%</t>
        </is>
      </c>
      <c r="N2659" t="n">
        <v>4.3</v>
      </c>
      <c r="O2659" t="n">
        <v>1051</v>
      </c>
      <c r="Q2659" t="inlineStr">
        <is>
          <t>InStock</t>
        </is>
      </c>
      <c r="R2659" t="inlineStr">
        <is>
          <t>undefined</t>
        </is>
      </c>
      <c r="S2659" t="inlineStr">
        <is>
          <t>7577764167865</t>
        </is>
      </c>
    </row>
    <row r="2660" ht="75" customHeight="1">
      <c r="A2660" s="2">
        <f>HYPERLINK("https://camerareadycosmetics.com/products/melt-cosmetics-max-hold-brow-gel", "https://camerareadycosmetics.com/products/melt-cosmetics-max-hold-brow-gel")</f>
        <v/>
      </c>
      <c r="B2660" s="2">
        <f>HYPERLINK("https://camerareadycosmetics.com/products/melt-cosmetics-max-hold-brow-gel", "https://camerareadycosmetics.com/products/melt-cosmetics-max-hold-brow-gel")</f>
        <v/>
      </c>
      <c r="C2660" t="inlineStr">
        <is>
          <t>Max Hold Brow Gel</t>
        </is>
      </c>
      <c r="D2660" t="inlineStr">
        <is>
          <t>NYX PROFESSIONAL MAKEUP The Brow Glue, Extreme Hold Tinted Eyebrow Gel - Medium Brown</t>
        </is>
      </c>
      <c r="E2660" s="2">
        <f>HYPERLINK("https://www.amazon.com/NYX-PROFESSIONAL-MAKEUP-Extreme-Eyebrow/dp/B0BDPLBKZK/ref=sr_1_3?keywords=Max+Hold+Brow+Gel&amp;qid=1695565819&amp;sr=8-3", "https://www.amazon.com/NYX-PROFESSIONAL-MAKEUP-Extreme-Eyebrow/dp/B0BDPLBKZK/ref=sr_1_3?keywords=Max+Hold+Brow+Gel&amp;qid=1695565819&amp;sr=8-3")</f>
        <v/>
      </c>
      <c r="F2660" t="inlineStr">
        <is>
          <t>B0BDPLBKZK</t>
        </is>
      </c>
      <c r="G2660">
        <f>_xlfn.IMAGE("https://camerareadycosmetics.com/cdn/shop/products/melt-max-hold-brow-gel_50x.jpg?v=1679077194")</f>
        <v/>
      </c>
      <c r="H2660">
        <f>_xlfn.IMAGE("https://m.media-amazon.com/images/I/51zcZzWo+9L._AC_UL320_.jpg")</f>
        <v/>
      </c>
      <c r="K2660" t="inlineStr">
        <is>
          <t>25.0</t>
        </is>
      </c>
      <c r="L2660" t="n">
        <v>8.77</v>
      </c>
      <c r="M2660" s="1" t="inlineStr">
        <is>
          <t>-64.92%</t>
        </is>
      </c>
      <c r="N2660" t="n">
        <v>4.3</v>
      </c>
      <c r="O2660" t="n">
        <v>21951</v>
      </c>
      <c r="Q2660" t="inlineStr">
        <is>
          <t>InStock</t>
        </is>
      </c>
      <c r="R2660" t="inlineStr">
        <is>
          <t>undefined</t>
        </is>
      </c>
      <c r="S2660" t="inlineStr">
        <is>
          <t>7577764167865</t>
        </is>
      </c>
    </row>
    <row r="2661" ht="75" customHeight="1">
      <c r="A2661" s="2">
        <f>HYPERLINK("https://camerareadycosmetics.com/products/melt-cosmetics-max-hold-brow-gel", "https://camerareadycosmetics.com/products/melt-cosmetics-max-hold-brow-gel")</f>
        <v/>
      </c>
      <c r="B2661" s="2">
        <f>HYPERLINK("https://camerareadycosmetics.com/products/melt-cosmetics-max-hold-brow-gel", "https://camerareadycosmetics.com/products/melt-cosmetics-max-hold-brow-gel")</f>
        <v/>
      </c>
      <c r="C2661" t="inlineStr">
        <is>
          <t>Max Hold Brow Gel</t>
        </is>
      </c>
      <c r="D2661" t="inlineStr">
        <is>
          <t>Arches &amp; Halos Water Resistant Firm Hold Brow Gel - Clear - Waterproof Eyebrow Gel for Shaping and Styling - Quick-Setting, Long-Lasting Brow Sculpt - Soft, Lightweight, Non-Sticky Formula - 0.106 oz</t>
        </is>
      </c>
      <c r="E2661" s="2">
        <f>HYPERLINK("https://www.amazon.com/Arches-Halos-Water-Resistant-Firm/dp/B096KWNL6V/ref=sr_1_1?keywords=Max+Hold+Brow+Gel&amp;qid=1695565819&amp;sr=8-1", "https://www.amazon.com/Arches-Halos-Water-Resistant-Firm/dp/B096KWNL6V/ref=sr_1_1?keywords=Max+Hold+Brow+Gel&amp;qid=1695565819&amp;sr=8-1")</f>
        <v/>
      </c>
      <c r="F2661" t="inlineStr">
        <is>
          <t>B096KWNL6V</t>
        </is>
      </c>
      <c r="G2661">
        <f>_xlfn.IMAGE("https://camerareadycosmetics.com/cdn/shop/products/melt-max-hold-brow-gel_50x.jpg?v=1679077194")</f>
        <v/>
      </c>
      <c r="H2661">
        <f>_xlfn.IMAGE("https://m.media-amazon.com/images/I/51eXqdDIvfS._AC_UL320_.jpg")</f>
        <v/>
      </c>
      <c r="K2661" t="inlineStr">
        <is>
          <t>25.0</t>
        </is>
      </c>
      <c r="L2661" t="n">
        <v>5.49</v>
      </c>
      <c r="M2661" s="1" t="inlineStr">
        <is>
          <t>-78.04%</t>
        </is>
      </c>
      <c r="N2661" t="n">
        <v>4.1</v>
      </c>
      <c r="O2661" t="n">
        <v>104</v>
      </c>
      <c r="Q2661" t="inlineStr">
        <is>
          <t>InStock</t>
        </is>
      </c>
      <c r="R2661" t="inlineStr">
        <is>
          <t>undefined</t>
        </is>
      </c>
      <c r="S2661" t="inlineStr">
        <is>
          <t>7577764167865</t>
        </is>
      </c>
    </row>
    <row r="2662" ht="75" customHeight="1">
      <c r="A2662" s="2">
        <f>HYPERLINK("https://camerareadycosmetics.com/products/melt-cosmetics-perfectionist-brow-ultra-fine-pen", "https://camerareadycosmetics.com/products/melt-cosmetics-perfectionist-brow-ultra-fine-pen")</f>
        <v/>
      </c>
      <c r="B2662" s="2">
        <f>HYPERLINK("https://camerareadycosmetics.com/products/melt-cosmetics-perfectionist-brow-ultra-fine-pen", "https://camerareadycosmetics.com/products/melt-cosmetics-perfectionist-brow-ultra-fine-pen")</f>
        <v/>
      </c>
      <c r="C2662" t="inlineStr">
        <is>
          <t>Perfectionist Brow Ultra Fine Pen</t>
        </is>
      </c>
      <c r="D2662" t="inlineStr">
        <is>
          <t>Liquid Eyebrow Pencil Eyeliner Pen-2Pcs Longlasting Waterproof Smudge-proof Multifunctional Quick Drying Eye Makeup Pen,Ultra-Fine Precision Water Brow Pen,Lift and Snatch Brow Tint Pen-02Dark Brown</t>
        </is>
      </c>
      <c r="E2662" s="2">
        <f>HYPERLINK("https://www.amazon.com/Longlasting-Waterproof-Smudge-proof-Multifunctional-Ultra-Fine/dp/B0C94QFRJ6/ref=sr_1_2?keywords=Perfectionist+Brow+Ultra+Fine+Pen&amp;qid=1695565826&amp;sr=8-2", "https://www.amazon.com/Longlasting-Waterproof-Smudge-proof-Multifunctional-Ultra-Fine/dp/B0C94QFRJ6/ref=sr_1_2?keywords=Perfectionist+Brow+Ultra+Fine+Pen&amp;qid=1695565826&amp;sr=8-2")</f>
        <v/>
      </c>
      <c r="F2662" t="inlineStr">
        <is>
          <t>B0C94QFRJ6</t>
        </is>
      </c>
      <c r="G2662">
        <f>_xlfn.IMAGE("https://camerareadycosmetics.com/cdn/shop/products/s2657815-main-zoom_50x.jpg?v=1679076743")</f>
        <v/>
      </c>
      <c r="H2662">
        <f>_xlfn.IMAGE("https://m.media-amazon.com/images/I/61UP4NAzakL._AC_UL320_.jpg")</f>
        <v/>
      </c>
      <c r="K2662" t="inlineStr">
        <is>
          <t>24.0</t>
        </is>
      </c>
      <c r="L2662" t="n">
        <v>8.99</v>
      </c>
      <c r="M2662" s="1" t="inlineStr">
        <is>
          <t>-62.54%</t>
        </is>
      </c>
      <c r="N2662" t="n">
        <v>5</v>
      </c>
      <c r="O2662" t="n">
        <v>1</v>
      </c>
      <c r="Q2662" t="inlineStr">
        <is>
          <t>InStock</t>
        </is>
      </c>
      <c r="R2662" t="inlineStr">
        <is>
          <t>undefined</t>
        </is>
      </c>
      <c r="S2662" t="inlineStr">
        <is>
          <t>7569104863417</t>
        </is>
      </c>
    </row>
    <row r="2663" ht="75" customHeight="1">
      <c r="A2663" s="2">
        <f>HYPERLINK("https://camerareadycosmetics.com/products/melt-cosmetics-perfectionist-brow-ultra-fine-pen", "https://camerareadycosmetics.com/products/melt-cosmetics-perfectionist-brow-ultra-fine-pen")</f>
        <v/>
      </c>
      <c r="B2663" s="2">
        <f>HYPERLINK("https://camerareadycosmetics.com/products/melt-cosmetics-perfectionist-brow-ultra-fine-pen", "https://camerareadycosmetics.com/products/melt-cosmetics-perfectionist-brow-ultra-fine-pen")</f>
        <v/>
      </c>
      <c r="C2663" t="inlineStr">
        <is>
          <t>Perfectionist Brow Ultra Fine Pen</t>
        </is>
      </c>
      <c r="D2663" t="inlineStr">
        <is>
          <t>Liquid Eyebrow Pencil Eyeliner Pen-2Pcs Longlasting Waterproof Smudge-proof Multifunctional Quick Drying Eye Makeup Pen,Ultra-Fine Precision Water Brow Pen,Lift and Snatch Brow Tint Pen-02Dark Brown</t>
        </is>
      </c>
      <c r="E2663" s="2">
        <f>HYPERLINK("https://www.amazon.com/Longlasting-Waterproof-Smudge-proof-Multifunctional-Ultra-Fine/dp/B0C94QFRJ6/ref=sr_1_2?keywords=Perfectionist+Brow+Ultra+Fine+Pen&amp;qid=1695565826&amp;sr=8-2", "https://www.amazon.com/Longlasting-Waterproof-Smudge-proof-Multifunctional-Ultra-Fine/dp/B0C94QFRJ6/ref=sr_1_2?keywords=Perfectionist+Brow+Ultra+Fine+Pen&amp;qid=1695565826&amp;sr=8-2")</f>
        <v/>
      </c>
      <c r="F2663" t="inlineStr">
        <is>
          <t>B0C94QFRJ6</t>
        </is>
      </c>
      <c r="G2663">
        <f>_xlfn.IMAGE("https://camerareadycosmetics.com/cdn/shop/products/s2657815-main-zoom_50x.jpg?v=1679076743")</f>
        <v/>
      </c>
      <c r="H2663">
        <f>_xlfn.IMAGE("https://m.media-amazon.com/images/I/61UP4NAzakL._AC_UL320_.jpg")</f>
        <v/>
      </c>
      <c r="K2663" t="inlineStr">
        <is>
          <t>24.0</t>
        </is>
      </c>
      <c r="L2663" t="n">
        <v>8.99</v>
      </c>
      <c r="M2663" s="1" t="inlineStr">
        <is>
          <t>-62.54%</t>
        </is>
      </c>
      <c r="N2663" t="n">
        <v>5</v>
      </c>
      <c r="O2663" t="n">
        <v>1</v>
      </c>
      <c r="Q2663" t="inlineStr">
        <is>
          <t>InStock</t>
        </is>
      </c>
      <c r="R2663" t="inlineStr">
        <is>
          <t>undefined</t>
        </is>
      </c>
      <c r="S2663" t="inlineStr">
        <is>
          <t>7569104863417</t>
        </is>
      </c>
    </row>
    <row r="2664" ht="75" customHeight="1">
      <c r="A2664" s="2">
        <f>HYPERLINK("https://camerareadycosmetics.com/products/melt-cosmetics-rust-eyeshadow-palette", "https://camerareadycosmetics.com/products/melt-cosmetics-rust-eyeshadow-palette")</f>
        <v/>
      </c>
      <c r="B2664" s="2">
        <f>HYPERLINK("https://camerareadycosmetics.com/products/melt-cosmetics-rust-eyeshadow-palette", "https://camerareadycosmetics.com/products/melt-cosmetics-rust-eyeshadow-palette")</f>
        <v/>
      </c>
      <c r="C2664" t="inlineStr">
        <is>
          <t>Rust Eyeshadow Palette</t>
        </is>
      </c>
      <c r="D2664" t="inlineStr">
        <is>
          <t>NYX PROFESSIONAL MAKEUP Perfect Filter Shadow Palette, Eyeshadow Palette, Rustic Antique</t>
        </is>
      </c>
      <c r="E2664" s="2">
        <f>HYPERLINK("https://www.amazon.com/NYX-PROFESSIONAL-MAKEUP-Perfect-Palette/dp/B07531HDFM/ref=sr_1_2?keywords=Rust+Eyeshadow+Palette&amp;qid=1695565586&amp;sr=8-2", "https://www.amazon.com/NYX-PROFESSIONAL-MAKEUP-Perfect-Palette/dp/B07531HDFM/ref=sr_1_2?keywords=Rust+Eyeshadow+Palette&amp;qid=1695565586&amp;sr=8-2")</f>
        <v/>
      </c>
      <c r="F2664" t="inlineStr">
        <is>
          <t>B07531HDFM</t>
        </is>
      </c>
      <c r="G2664">
        <f>_xlfn.IMAGE("https://camerareadycosmetics.com/cdn/shop/products/RustPaletteOpen_Swatches_WEB2_1024x1024_d4e23258-9920-4741-a5e8-79ebd215e62f_50x.jpg?v=1599135545")</f>
        <v/>
      </c>
      <c r="H2664">
        <f>_xlfn.IMAGE("https://m.media-amazon.com/images/I/618+BkcMuxL._AC_UL320_.jpg")</f>
        <v/>
      </c>
      <c r="K2664" t="inlineStr">
        <is>
          <t>58.0</t>
        </is>
      </c>
      <c r="L2664" t="n">
        <v>15</v>
      </c>
      <c r="M2664" s="1" t="inlineStr">
        <is>
          <t>-74.14%</t>
        </is>
      </c>
      <c r="N2664" t="n">
        <v>4.3</v>
      </c>
      <c r="O2664" t="n">
        <v>734</v>
      </c>
      <c r="Q2664" t="inlineStr">
        <is>
          <t>InStock</t>
        </is>
      </c>
      <c r="R2664" t="inlineStr">
        <is>
          <t>undefined</t>
        </is>
      </c>
      <c r="S2664" t="inlineStr">
        <is>
          <t>1327354642543</t>
        </is>
      </c>
    </row>
    <row r="2665" ht="75" customHeight="1">
      <c r="A2665" s="2">
        <f>HYPERLINK("https://camerareadycosmetics.com/products/melt-cosmetics-rust-eyeshadow-palette", "https://camerareadycosmetics.com/products/melt-cosmetics-rust-eyeshadow-palette")</f>
        <v/>
      </c>
      <c r="B2665" s="2">
        <f>HYPERLINK("https://camerareadycosmetics.com/products/melt-cosmetics-rust-eyeshadow-palette", "https://camerareadycosmetics.com/products/melt-cosmetics-rust-eyeshadow-palette")</f>
        <v/>
      </c>
      <c r="C2665" t="inlineStr">
        <is>
          <t>Rust Eyeshadow Palette</t>
        </is>
      </c>
      <c r="D2665" t="inlineStr">
        <is>
          <t>NYX PROFESSIONAL MAKEUP Perfect Filter Shadow Palette, Eyeshadow Palette, Rustic Antique</t>
        </is>
      </c>
      <c r="E2665" s="2">
        <f>HYPERLINK("https://www.amazon.com/NYX-PROFESSIONAL-MAKEUP-Perfect-Palette/dp/B07531HDFM/ref=sr_1_2?keywords=Rust+Eyeshadow+Palette&amp;qid=1695565586&amp;sr=8-2", "https://www.amazon.com/NYX-PROFESSIONAL-MAKEUP-Perfect-Palette/dp/B07531HDFM/ref=sr_1_2?keywords=Rust+Eyeshadow+Palette&amp;qid=1695565586&amp;sr=8-2")</f>
        <v/>
      </c>
      <c r="F2665" t="inlineStr">
        <is>
          <t>B07531HDFM</t>
        </is>
      </c>
      <c r="G2665">
        <f>_xlfn.IMAGE("https://camerareadycosmetics.com/cdn/shop/products/RustPaletteOpen_Swatches_WEB2_1024x1024_d4e23258-9920-4741-a5e8-79ebd215e62f_50x.jpg?v=1599135545")</f>
        <v/>
      </c>
      <c r="H2665">
        <f>_xlfn.IMAGE("https://m.media-amazon.com/images/I/618+BkcMuxL._AC_UL320_.jpg")</f>
        <v/>
      </c>
      <c r="K2665" t="inlineStr">
        <is>
          <t>58.0</t>
        </is>
      </c>
      <c r="L2665" t="n">
        <v>15</v>
      </c>
      <c r="M2665" s="1" t="inlineStr">
        <is>
          <t>-74.14%</t>
        </is>
      </c>
      <c r="N2665" t="n">
        <v>4.3</v>
      </c>
      <c r="O2665" t="n">
        <v>734</v>
      </c>
      <c r="Q2665" t="inlineStr">
        <is>
          <t>InStock</t>
        </is>
      </c>
      <c r="R2665" t="inlineStr">
        <is>
          <t>undefined</t>
        </is>
      </c>
      <c r="S2665" t="inlineStr">
        <is>
          <t>1327354642543</t>
        </is>
      </c>
    </row>
    <row r="2666" ht="75" customHeight="1">
      <c r="A2666" s="2">
        <f>HYPERLINK("https://camerareadycosmetics.com/products/melt-cosmetics-slick-waterline-pencil", "https://camerareadycosmetics.com/products/melt-cosmetics-slick-waterline-pencil")</f>
        <v/>
      </c>
      <c r="B2666" s="2">
        <f>HYPERLINK("https://camerareadycosmetics.com/products/melt-cosmetics-slick-waterline-pencil", "https://camerareadycosmetics.com/products/melt-cosmetics-slick-waterline-pencil")</f>
        <v/>
      </c>
      <c r="C2666" t="inlineStr">
        <is>
          <t>Slick Waterline Pencil</t>
        </is>
      </c>
      <c r="D2666" t="inlineStr">
        <is>
          <t>Melt Cosmetics Slick Waterline Eye Pencil - Apricot Cream</t>
        </is>
      </c>
      <c r="E2666" s="2">
        <f>HYPERLINK("https://www.amazon.com/Melt-Cosmetics-Slick-Waterline-Pencil/dp/B0BTJC5W7Y/ref=sr_1_3?keywords=Slick+Waterline+Pencil&amp;qid=1695565579&amp;sr=8-3", "https://www.amazon.com/Melt-Cosmetics-Slick-Waterline-Pencil/dp/B0BTJC5W7Y/ref=sr_1_3?keywords=Slick+Waterline+Pencil&amp;qid=1695565579&amp;sr=8-3")</f>
        <v/>
      </c>
      <c r="F2666" t="inlineStr">
        <is>
          <t>B0BTJC5W7Y</t>
        </is>
      </c>
      <c r="G2666">
        <f>_xlfn.IMAGE("https://camerareadycosmetics.com/cdn/shop/products/cacao-Melt-Cosmetics-Slick-Waterline-Pencil_50x.jpg?v=1646080820")</f>
        <v/>
      </c>
      <c r="H2666">
        <f>_xlfn.IMAGE("https://m.media-amazon.com/images/I/31KFfwD3S2L._AC_UL320_.jpg")</f>
        <v/>
      </c>
      <c r="K2666" t="inlineStr">
        <is>
          <t>19.0</t>
        </is>
      </c>
      <c r="L2666" t="n">
        <v>43</v>
      </c>
      <c r="M2666" s="1" t="inlineStr">
        <is>
          <t>126.32%</t>
        </is>
      </c>
      <c r="N2666" t="n">
        <v>4.3</v>
      </c>
      <c r="O2666" t="n">
        <v>3</v>
      </c>
      <c r="Q2666" t="inlineStr">
        <is>
          <t>InStock</t>
        </is>
      </c>
      <c r="R2666" t="inlineStr">
        <is>
          <t>undefined</t>
        </is>
      </c>
      <c r="S2666" t="inlineStr">
        <is>
          <t>7242037199033</t>
        </is>
      </c>
    </row>
    <row r="2667" ht="75" customHeight="1">
      <c r="A2667" s="2">
        <f>HYPERLINK("https://camerareadycosmetics.com/products/melt-cosmetics-smoke-sessions-eyeshadow-palette", "https://camerareadycosmetics.com/products/melt-cosmetics-smoke-sessions-eyeshadow-palette")</f>
        <v/>
      </c>
      <c r="B2667" s="2">
        <f>HYPERLINK("https://camerareadycosmetics.com/products/melt-cosmetics-smoke-sessions-eyeshadow-palette", "https://camerareadycosmetics.com/products/melt-cosmetics-smoke-sessions-eyeshadow-palette")</f>
        <v/>
      </c>
      <c r="C2667" t="inlineStr">
        <is>
          <t>Smoke Sessions Eyeshadow Palette</t>
        </is>
      </c>
      <c r="D2667" t="inlineStr">
        <is>
          <t>Grey Smokey Eyeshadow Palette, 16 Colors Black White Violet Smoky Eye Shadow Pallet, Matte Shimmer Neutral Sliver Glitter Shades Pallets, High Pigment Cool Tone Eye Makeup Palette Talc Free</t>
        </is>
      </c>
      <c r="E2667" s="2">
        <f>HYPERLINK("https://www.amazon.com/DELANCI-Eyeshadow-Palette-Shimmer-Neutral/dp/B0C1YJFBGX/ref=sr_1_9?keywords=Smoke+Sessions+Eyeshadow+Palette&amp;qid=1695565531&amp;sr=8-9", "https://www.amazon.com/DELANCI-Eyeshadow-Palette-Shimmer-Neutral/dp/B0C1YJFBGX/ref=sr_1_9?keywords=Smoke+Sessions+Eyeshadow+Palette&amp;qid=1695565531&amp;sr=8-9")</f>
        <v/>
      </c>
      <c r="F2667" t="inlineStr">
        <is>
          <t>B0C1YJFBGX</t>
        </is>
      </c>
      <c r="G2667">
        <f>_xlfn.IMAGE("https://camerareadycosmetics.com/cdn/shop/products/smoke_sessions_1024x1024_f56dcf22-b368-476e-87f5-8ab2afa04c16_50x.jpg?v=1591916993")</f>
        <v/>
      </c>
      <c r="H2667">
        <f>_xlfn.IMAGE("https://m.media-amazon.com/images/I/71CTImkjviL._AC_UL320_.jpg")</f>
        <v/>
      </c>
      <c r="K2667" t="inlineStr">
        <is>
          <t>48.0</t>
        </is>
      </c>
      <c r="L2667" t="n">
        <v>9.99</v>
      </c>
      <c r="M2667" s="1" t="inlineStr">
        <is>
          <t>-79.19%</t>
        </is>
      </c>
      <c r="N2667" t="n">
        <v>4.4</v>
      </c>
      <c r="O2667" t="n">
        <v>9</v>
      </c>
      <c r="Q2667" t="inlineStr">
        <is>
          <t>InStock</t>
        </is>
      </c>
      <c r="R2667" t="inlineStr">
        <is>
          <t>undefined</t>
        </is>
      </c>
      <c r="S2667" t="inlineStr">
        <is>
          <t>2115592323183</t>
        </is>
      </c>
    </row>
    <row r="2668" ht="75" customHeight="1">
      <c r="A2668" s="2">
        <f>HYPERLINK("https://camerareadycosmetics.com/products/melt-cosmetics-smoke-sessions-eyeshadow-palette", "https://camerareadycosmetics.com/products/melt-cosmetics-smoke-sessions-eyeshadow-palette")</f>
        <v/>
      </c>
      <c r="B2668" s="2">
        <f>HYPERLINK("https://camerareadycosmetics.com/products/melt-cosmetics-smoke-sessions-eyeshadow-palette", "https://camerareadycosmetics.com/products/melt-cosmetics-smoke-sessions-eyeshadow-palette")</f>
        <v/>
      </c>
      <c r="C2668" t="inlineStr">
        <is>
          <t>Smoke Sessions Eyeshadow Palette</t>
        </is>
      </c>
      <c r="D2668" t="inlineStr">
        <is>
          <t>Black Grey Smoky Eyeshadow Palette, Matte Black White Gray Silver High Pigmented Smokey Eye Shadow, 9 Colors Long Lasting Shimmer Powder Makeup Palette For Goth Look (Black)</t>
        </is>
      </c>
      <c r="E2668" s="2">
        <f>HYPERLINK("https://www.amazon.com/MAKI-YIKA-Eyeshadow-Palette-Pigmented/dp/B0BS95VMKT/ref=sr_1_1?keywords=Smoke+Sessions+Eyeshadow+Palette&amp;qid=1695565531&amp;sr=8-1", "https://www.amazon.com/MAKI-YIKA-Eyeshadow-Palette-Pigmented/dp/B0BS95VMKT/ref=sr_1_1?keywords=Smoke+Sessions+Eyeshadow+Palette&amp;qid=1695565531&amp;sr=8-1")</f>
        <v/>
      </c>
      <c r="F2668" t="inlineStr">
        <is>
          <t>B0BS95VMKT</t>
        </is>
      </c>
      <c r="G2668">
        <f>_xlfn.IMAGE("https://camerareadycosmetics.com/cdn/shop/products/smoke_sessions_1024x1024_f56dcf22-b368-476e-87f5-8ab2afa04c16_50x.jpg?v=1591916993")</f>
        <v/>
      </c>
      <c r="H2668">
        <f>_xlfn.IMAGE("https://m.media-amazon.com/images/I/91oACPzESBL._AC_UL320_.jpg")</f>
        <v/>
      </c>
      <c r="K2668" t="inlineStr">
        <is>
          <t>48.0</t>
        </is>
      </c>
      <c r="L2668" t="n">
        <v>9.99</v>
      </c>
      <c r="M2668" s="1" t="inlineStr">
        <is>
          <t>-79.19%</t>
        </is>
      </c>
      <c r="N2668" t="n">
        <v>4.5</v>
      </c>
      <c r="O2668" t="n">
        <v>294</v>
      </c>
      <c r="Q2668" t="inlineStr">
        <is>
          <t>InStock</t>
        </is>
      </c>
      <c r="R2668" t="inlineStr">
        <is>
          <t>undefined</t>
        </is>
      </c>
      <c r="S2668" t="inlineStr">
        <is>
          <t>2115592323183</t>
        </is>
      </c>
    </row>
    <row r="2669" ht="75" customHeight="1">
      <c r="A2669" s="2">
        <f>HYPERLINK("https://camerareadycosmetics.com/products/melt-cosmetics-smoke-sessions-eyeshadow-palette", "https://camerareadycosmetics.com/products/melt-cosmetics-smoke-sessions-eyeshadow-palette")</f>
        <v/>
      </c>
      <c r="B2669" s="2">
        <f>HYPERLINK("https://camerareadycosmetics.com/products/melt-cosmetics-smoke-sessions-eyeshadow-palette", "https://camerareadycosmetics.com/products/melt-cosmetics-smoke-sessions-eyeshadow-palette")</f>
        <v/>
      </c>
      <c r="C2669" t="inlineStr">
        <is>
          <t>Smoke Sessions Eyeshadow Palette</t>
        </is>
      </c>
      <c r="D2669" t="inlineStr">
        <is>
          <t>Natural Neutral Smokey Eyeshadow Makeup Palette, Pigmented and Blending Earth Pallet Eye Shadow 12 Colors, From Beige Apricot to Soot and Brown Black Tone, for Enigmatic Eye Makeup</t>
        </is>
      </c>
      <c r="E2669" s="2">
        <f>HYPERLINK("https://www.amazon.com/Natural-Eyeshadow-Afflano-Blending-Enigmatic/dp/B08Z76JKJ3/ref=sr_1_7?keywords=Smoke+Sessions+Eyeshadow+Palette&amp;qid=1695565531&amp;sr=8-7", "https://www.amazon.com/Natural-Eyeshadow-Afflano-Blending-Enigmatic/dp/B08Z76JKJ3/ref=sr_1_7?keywords=Smoke+Sessions+Eyeshadow+Palette&amp;qid=1695565531&amp;sr=8-7")</f>
        <v/>
      </c>
      <c r="F2669" t="inlineStr">
        <is>
          <t>B08Z76JKJ3</t>
        </is>
      </c>
      <c r="G2669">
        <f>_xlfn.IMAGE("https://camerareadycosmetics.com/cdn/shop/products/smoke_sessions_1024x1024_f56dcf22-b368-476e-87f5-8ab2afa04c16_50x.jpg?v=1591916993")</f>
        <v/>
      </c>
      <c r="H2669">
        <f>_xlfn.IMAGE("https://m.media-amazon.com/images/I/71iD1712znL._AC_UL320_.jpg")</f>
        <v/>
      </c>
      <c r="K2669" t="inlineStr">
        <is>
          <t>48.0</t>
        </is>
      </c>
      <c r="L2669" t="n">
        <v>9.99</v>
      </c>
      <c r="M2669" s="1" t="inlineStr">
        <is>
          <t>-79.19%</t>
        </is>
      </c>
      <c r="N2669" t="n">
        <v>4.5</v>
      </c>
      <c r="O2669" t="n">
        <v>580</v>
      </c>
      <c r="Q2669" t="inlineStr">
        <is>
          <t>InStock</t>
        </is>
      </c>
      <c r="R2669" t="inlineStr">
        <is>
          <t>undefined</t>
        </is>
      </c>
      <c r="S2669" t="inlineStr">
        <is>
          <t>2115592323183</t>
        </is>
      </c>
    </row>
    <row r="2670" ht="75" customHeight="1">
      <c r="A2670" s="2">
        <f>HYPERLINK("https://camerareadycosmetics.com/products/melt-cosmetics-smoke-sessions-eyeshadow-palette", "https://camerareadycosmetics.com/products/melt-cosmetics-smoke-sessions-eyeshadow-palette")</f>
        <v/>
      </c>
      <c r="B2670" s="2">
        <f>HYPERLINK("https://camerareadycosmetics.com/products/melt-cosmetics-smoke-sessions-eyeshadow-palette", "https://camerareadycosmetics.com/products/melt-cosmetics-smoke-sessions-eyeshadow-palette")</f>
        <v/>
      </c>
      <c r="C2670" t="inlineStr">
        <is>
          <t>Smoke Sessions Eyeshadow Palette</t>
        </is>
      </c>
      <c r="D2670" t="inlineStr">
        <is>
          <t>Black Smoky Eye shadow Palette, DE’LANCI PANDA 9 Colors True Black Dark Grey Smokey Eyeshadow Palette Goth Makeup Pallet, 9 Soft Matte Shimmer High Pigmented Basic Black White Gray Shade for Halloween</t>
        </is>
      </c>
      <c r="E2670" s="2">
        <f>HYPERLINK("https://www.amazon.com/Palette-DELANCI-Eyeshadow-Pigmented-Halloween/dp/B0B3RM6HK4/ref=sr_1_6?keywords=Smoke+Sessions+Eyeshadow+Palette&amp;qid=1695565531&amp;sr=8-6", "https://www.amazon.com/Palette-DELANCI-Eyeshadow-Pigmented-Halloween/dp/B0B3RM6HK4/ref=sr_1_6?keywords=Smoke+Sessions+Eyeshadow+Palette&amp;qid=1695565531&amp;sr=8-6")</f>
        <v/>
      </c>
      <c r="F2670" t="inlineStr">
        <is>
          <t>B0B3RM6HK4</t>
        </is>
      </c>
      <c r="G2670">
        <f>_xlfn.IMAGE("https://camerareadycosmetics.com/cdn/shop/products/smoke_sessions_1024x1024_f56dcf22-b368-476e-87f5-8ab2afa04c16_50x.jpg?v=1591916993")</f>
        <v/>
      </c>
      <c r="H2670">
        <f>_xlfn.IMAGE("https://m.media-amazon.com/images/I/71hYRDyjXdL._AC_UL320_.jpg")</f>
        <v/>
      </c>
      <c r="K2670" t="inlineStr">
        <is>
          <t>48.0</t>
        </is>
      </c>
      <c r="L2670" t="n">
        <v>9.99</v>
      </c>
      <c r="M2670" s="1" t="inlineStr">
        <is>
          <t>-79.19%</t>
        </is>
      </c>
      <c r="N2670" t="n">
        <v>4.7</v>
      </c>
      <c r="O2670" t="n">
        <v>912</v>
      </c>
      <c r="Q2670" t="inlineStr">
        <is>
          <t>InStock</t>
        </is>
      </c>
      <c r="R2670" t="inlineStr">
        <is>
          <t>undefined</t>
        </is>
      </c>
      <c r="S2670" t="inlineStr">
        <is>
          <t>2115592323183</t>
        </is>
      </c>
    </row>
    <row r="2671" ht="75" customHeight="1">
      <c r="A2671" s="2">
        <f>HYPERLINK("https://camerareadycosmetics.com/products/melt-cosmetics-smoke-sessions-eyeshadow-palette", "https://camerareadycosmetics.com/products/melt-cosmetics-smoke-sessions-eyeshadow-palette")</f>
        <v/>
      </c>
      <c r="B2671" s="2">
        <f>HYPERLINK("https://camerareadycosmetics.com/products/melt-cosmetics-smoke-sessions-eyeshadow-palette", "https://camerareadycosmetics.com/products/melt-cosmetics-smoke-sessions-eyeshadow-palette")</f>
        <v/>
      </c>
      <c r="C2671" t="inlineStr">
        <is>
          <t>Smoke Sessions Eyeshadow Palette</t>
        </is>
      </c>
      <c r="D2671" t="inlineStr">
        <is>
          <t>Gray Eyeshadow Palette Black Grey White Silver, Blendable Smokey Eye Eyeshadow Palette, for Halloween SFX Clown Skull Goth Makeup Palette Look, Long Lasting Dark Eye Shadow Pallet- Panda</t>
        </is>
      </c>
      <c r="E2671" s="2">
        <f>HYPERLINK("https://www.amazon.com/Eyeshadow-Palette-Silver-Lasting-Halloween/dp/B0B3RPT9WM/ref=sr_1_5?keywords=Smoke+Sessions+Eyeshadow+Palette&amp;qid=1695565531&amp;sr=8-5", "https://www.amazon.com/Eyeshadow-Palette-Silver-Lasting-Halloween/dp/B0B3RPT9WM/ref=sr_1_5?keywords=Smoke+Sessions+Eyeshadow+Palette&amp;qid=1695565531&amp;sr=8-5")</f>
        <v/>
      </c>
      <c r="F2671" t="inlineStr">
        <is>
          <t>B0B3RPT9WM</t>
        </is>
      </c>
      <c r="G2671">
        <f>_xlfn.IMAGE("https://camerareadycosmetics.com/cdn/shop/products/smoke_sessions_1024x1024_f56dcf22-b368-476e-87f5-8ab2afa04c16_50x.jpg?v=1591916993")</f>
        <v/>
      </c>
      <c r="H2671">
        <f>_xlfn.IMAGE("https://m.media-amazon.com/images/I/81oKhJAHV8L._AC_UL320_.jpg")</f>
        <v/>
      </c>
      <c r="K2671" t="inlineStr">
        <is>
          <t>48.0</t>
        </is>
      </c>
      <c r="L2671" t="n">
        <v>9.98</v>
      </c>
      <c r="M2671" s="1" t="inlineStr">
        <is>
          <t>-79.21%</t>
        </is>
      </c>
      <c r="N2671" t="n">
        <v>4.6</v>
      </c>
      <c r="O2671" t="n">
        <v>251</v>
      </c>
      <c r="Q2671" t="inlineStr">
        <is>
          <t>InStock</t>
        </is>
      </c>
      <c r="R2671" t="inlineStr">
        <is>
          <t>undefined</t>
        </is>
      </c>
      <c r="S2671" t="inlineStr">
        <is>
          <t>2115592323183</t>
        </is>
      </c>
    </row>
    <row r="2672" ht="75" customHeight="1">
      <c r="A2672" s="2">
        <f>HYPERLINK("https://camerareadycosmetics.com/products/melt-cosmetics-smoke-sessions-eyeshadow-palette", "https://camerareadycosmetics.com/products/melt-cosmetics-smoke-sessions-eyeshadow-palette")</f>
        <v/>
      </c>
      <c r="B2672" s="2">
        <f>HYPERLINK("https://camerareadycosmetics.com/products/melt-cosmetics-smoke-sessions-eyeshadow-palette", "https://camerareadycosmetics.com/products/melt-cosmetics-smoke-sessions-eyeshadow-palette")</f>
        <v/>
      </c>
      <c r="C2672" t="inlineStr">
        <is>
          <t>Smoke Sessions Eyeshadow Palette</t>
        </is>
      </c>
      <c r="D2672" t="inlineStr">
        <is>
          <t>Grey Smokey Eyeshadow Palette, 16 Colors Black White Violet Smoky Eye Shadow Pallet, Matte Shimmer Neutral Sliver Glitter Shades Pallets, High Pigment Cool Tone Eye Makeup Palette Talc Free</t>
        </is>
      </c>
      <c r="E2672" s="2">
        <f>HYPERLINK("https://www.amazon.com/DELANCI-Eyeshadow-Palette-Shimmer-Neutral/dp/B0C1YJFBGX/ref=sr_1_9?keywords=Smoke+Sessions+Eyeshadow+Palette&amp;qid=1695565531&amp;sr=8-9", "https://www.amazon.com/DELANCI-Eyeshadow-Palette-Shimmer-Neutral/dp/B0C1YJFBGX/ref=sr_1_9?keywords=Smoke+Sessions+Eyeshadow+Palette&amp;qid=1695565531&amp;sr=8-9")</f>
        <v/>
      </c>
      <c r="F2672" t="inlineStr">
        <is>
          <t>B0C1YJFBGX</t>
        </is>
      </c>
      <c r="G2672">
        <f>_xlfn.IMAGE("https://camerareadycosmetics.com/cdn/shop/products/smoke_sessions_1024x1024_f56dcf22-b368-476e-87f5-8ab2afa04c16_50x.jpg?v=1591916993")</f>
        <v/>
      </c>
      <c r="H2672">
        <f>_xlfn.IMAGE("https://m.media-amazon.com/images/I/71CTImkjviL._AC_UL320_.jpg")</f>
        <v/>
      </c>
      <c r="K2672" t="inlineStr">
        <is>
          <t>48.0</t>
        </is>
      </c>
      <c r="L2672" t="n">
        <v>9.99</v>
      </c>
      <c r="M2672" s="1" t="inlineStr">
        <is>
          <t>-79.19%</t>
        </is>
      </c>
      <c r="N2672" t="n">
        <v>4.4</v>
      </c>
      <c r="O2672" t="n">
        <v>9</v>
      </c>
      <c r="Q2672" t="inlineStr">
        <is>
          <t>InStock</t>
        </is>
      </c>
      <c r="R2672" t="inlineStr">
        <is>
          <t>undefined</t>
        </is>
      </c>
      <c r="S2672" t="inlineStr">
        <is>
          <t>2115592323183</t>
        </is>
      </c>
    </row>
    <row r="2673" ht="75" customHeight="1">
      <c r="A2673" s="2">
        <f>HYPERLINK("https://camerareadycosmetics.com/products/melt-cosmetics-smoke-sessions-eyeshadow-palette", "https://camerareadycosmetics.com/products/melt-cosmetics-smoke-sessions-eyeshadow-palette")</f>
        <v/>
      </c>
      <c r="B2673" s="2">
        <f>HYPERLINK("https://camerareadycosmetics.com/products/melt-cosmetics-smoke-sessions-eyeshadow-palette", "https://camerareadycosmetics.com/products/melt-cosmetics-smoke-sessions-eyeshadow-palette")</f>
        <v/>
      </c>
      <c r="C2673" t="inlineStr">
        <is>
          <t>Smoke Sessions Eyeshadow Palette</t>
        </is>
      </c>
      <c r="D2673" t="inlineStr">
        <is>
          <t>Black Grey Smoky Eyeshadow Palette, Matte Black White Gray Silver High Pigmented Smokey Eye Shadow, 9 Colors Long Lasting Shimmer Powder Makeup Palette For Goth Look (Black)</t>
        </is>
      </c>
      <c r="E2673" s="2">
        <f>HYPERLINK("https://www.amazon.com/MAKI-YIKA-Eyeshadow-Palette-Pigmented/dp/B0BS95VMKT/ref=sr_1_1?keywords=Smoke+Sessions+Eyeshadow+Palette&amp;qid=1695565531&amp;sr=8-1", "https://www.amazon.com/MAKI-YIKA-Eyeshadow-Palette-Pigmented/dp/B0BS95VMKT/ref=sr_1_1?keywords=Smoke+Sessions+Eyeshadow+Palette&amp;qid=1695565531&amp;sr=8-1")</f>
        <v/>
      </c>
      <c r="F2673" t="inlineStr">
        <is>
          <t>B0BS95VMKT</t>
        </is>
      </c>
      <c r="G2673">
        <f>_xlfn.IMAGE("https://camerareadycosmetics.com/cdn/shop/products/smoke_sessions_1024x1024_f56dcf22-b368-476e-87f5-8ab2afa04c16_50x.jpg?v=1591916993")</f>
        <v/>
      </c>
      <c r="H2673">
        <f>_xlfn.IMAGE("https://m.media-amazon.com/images/I/91oACPzESBL._AC_UL320_.jpg")</f>
        <v/>
      </c>
      <c r="K2673" t="inlineStr">
        <is>
          <t>48.0</t>
        </is>
      </c>
      <c r="L2673" t="n">
        <v>9.99</v>
      </c>
      <c r="M2673" s="1" t="inlineStr">
        <is>
          <t>-79.19%</t>
        </is>
      </c>
      <c r="N2673" t="n">
        <v>4.5</v>
      </c>
      <c r="O2673" t="n">
        <v>294</v>
      </c>
      <c r="Q2673" t="inlineStr">
        <is>
          <t>InStock</t>
        </is>
      </c>
      <c r="R2673" t="inlineStr">
        <is>
          <t>undefined</t>
        </is>
      </c>
      <c r="S2673" t="inlineStr">
        <is>
          <t>2115592323183</t>
        </is>
      </c>
    </row>
    <row r="2674" ht="75" customHeight="1">
      <c r="A2674" s="2">
        <f>HYPERLINK("https://camerareadycosmetics.com/products/melt-cosmetics-smoke-sessions-eyeshadow-palette", "https://camerareadycosmetics.com/products/melt-cosmetics-smoke-sessions-eyeshadow-palette")</f>
        <v/>
      </c>
      <c r="B2674" s="2">
        <f>HYPERLINK("https://camerareadycosmetics.com/products/melt-cosmetics-smoke-sessions-eyeshadow-palette", "https://camerareadycosmetics.com/products/melt-cosmetics-smoke-sessions-eyeshadow-palette")</f>
        <v/>
      </c>
      <c r="C2674" t="inlineStr">
        <is>
          <t>Smoke Sessions Eyeshadow Palette</t>
        </is>
      </c>
      <c r="D2674" t="inlineStr">
        <is>
          <t>Natural Neutral Smokey Eyeshadow Makeup Palette, Pigmented and Blending Earth Pallet Eye Shadow 12 Colors, From Beige Apricot to Soot and Brown Black Tone, for Enigmatic Eye Makeup</t>
        </is>
      </c>
      <c r="E2674" s="2">
        <f>HYPERLINK("https://www.amazon.com/Natural-Eyeshadow-Afflano-Blending-Enigmatic/dp/B08Z76JKJ3/ref=sr_1_7?keywords=Smoke+Sessions+Eyeshadow+Palette&amp;qid=1695565531&amp;sr=8-7", "https://www.amazon.com/Natural-Eyeshadow-Afflano-Blending-Enigmatic/dp/B08Z76JKJ3/ref=sr_1_7?keywords=Smoke+Sessions+Eyeshadow+Palette&amp;qid=1695565531&amp;sr=8-7")</f>
        <v/>
      </c>
      <c r="F2674" t="inlineStr">
        <is>
          <t>B08Z76JKJ3</t>
        </is>
      </c>
      <c r="G2674">
        <f>_xlfn.IMAGE("https://camerareadycosmetics.com/cdn/shop/products/smoke_sessions_1024x1024_f56dcf22-b368-476e-87f5-8ab2afa04c16_50x.jpg?v=1591916993")</f>
        <v/>
      </c>
      <c r="H2674">
        <f>_xlfn.IMAGE("https://m.media-amazon.com/images/I/71iD1712znL._AC_UL320_.jpg")</f>
        <v/>
      </c>
      <c r="K2674" t="inlineStr">
        <is>
          <t>48.0</t>
        </is>
      </c>
      <c r="L2674" t="n">
        <v>9.99</v>
      </c>
      <c r="M2674" s="1" t="inlineStr">
        <is>
          <t>-79.19%</t>
        </is>
      </c>
      <c r="N2674" t="n">
        <v>4.5</v>
      </c>
      <c r="O2674" t="n">
        <v>580</v>
      </c>
      <c r="Q2674" t="inlineStr">
        <is>
          <t>InStock</t>
        </is>
      </c>
      <c r="R2674" t="inlineStr">
        <is>
          <t>undefined</t>
        </is>
      </c>
      <c r="S2674" t="inlineStr">
        <is>
          <t>2115592323183</t>
        </is>
      </c>
    </row>
    <row r="2675" ht="75" customHeight="1">
      <c r="A2675" s="2">
        <f>HYPERLINK("https://camerareadycosmetics.com/products/melt-cosmetics-smoke-sessions-eyeshadow-palette", "https://camerareadycosmetics.com/products/melt-cosmetics-smoke-sessions-eyeshadow-palette")</f>
        <v/>
      </c>
      <c r="B2675" s="2">
        <f>HYPERLINK("https://camerareadycosmetics.com/products/melt-cosmetics-smoke-sessions-eyeshadow-palette", "https://camerareadycosmetics.com/products/melt-cosmetics-smoke-sessions-eyeshadow-palette")</f>
        <v/>
      </c>
      <c r="C2675" t="inlineStr">
        <is>
          <t>Smoke Sessions Eyeshadow Palette</t>
        </is>
      </c>
      <c r="D2675" t="inlineStr">
        <is>
          <t>Black Smoky Eye shadow Palette, DE’LANCI PANDA 9 Colors True Black Dark Grey Smokey Eyeshadow Palette Goth Makeup Pallet, 9 Soft Matte Shimmer High Pigmented Basic Black White Gray Shade for Halloween</t>
        </is>
      </c>
      <c r="E2675" s="2">
        <f>HYPERLINK("https://www.amazon.com/Palette-DELANCI-Eyeshadow-Pigmented-Halloween/dp/B0B3RM6HK4/ref=sr_1_6?keywords=Smoke+Sessions+Eyeshadow+Palette&amp;qid=1695565531&amp;sr=8-6", "https://www.amazon.com/Palette-DELANCI-Eyeshadow-Pigmented-Halloween/dp/B0B3RM6HK4/ref=sr_1_6?keywords=Smoke+Sessions+Eyeshadow+Palette&amp;qid=1695565531&amp;sr=8-6")</f>
        <v/>
      </c>
      <c r="F2675" t="inlineStr">
        <is>
          <t>B0B3RM6HK4</t>
        </is>
      </c>
      <c r="G2675">
        <f>_xlfn.IMAGE("https://camerareadycosmetics.com/cdn/shop/products/smoke_sessions_1024x1024_f56dcf22-b368-476e-87f5-8ab2afa04c16_50x.jpg?v=1591916993")</f>
        <v/>
      </c>
      <c r="H2675">
        <f>_xlfn.IMAGE("https://m.media-amazon.com/images/I/71hYRDyjXdL._AC_UL320_.jpg")</f>
        <v/>
      </c>
      <c r="K2675" t="inlineStr">
        <is>
          <t>48.0</t>
        </is>
      </c>
      <c r="L2675" t="n">
        <v>9.99</v>
      </c>
      <c r="M2675" s="1" t="inlineStr">
        <is>
          <t>-79.19%</t>
        </is>
      </c>
      <c r="N2675" t="n">
        <v>4.7</v>
      </c>
      <c r="O2675" t="n">
        <v>912</v>
      </c>
      <c r="Q2675" t="inlineStr">
        <is>
          <t>InStock</t>
        </is>
      </c>
      <c r="R2675" t="inlineStr">
        <is>
          <t>undefined</t>
        </is>
      </c>
      <c r="S2675" t="inlineStr">
        <is>
          <t>2115592323183</t>
        </is>
      </c>
    </row>
    <row r="2676" ht="75" customHeight="1">
      <c r="A2676" s="2">
        <f>HYPERLINK("https://camerareadycosmetics.com/products/melt-cosmetics-smoke-sessions-eyeshadow-palette", "https://camerareadycosmetics.com/products/melt-cosmetics-smoke-sessions-eyeshadow-palette")</f>
        <v/>
      </c>
      <c r="B2676" s="2">
        <f>HYPERLINK("https://camerareadycosmetics.com/products/melt-cosmetics-smoke-sessions-eyeshadow-palette", "https://camerareadycosmetics.com/products/melt-cosmetics-smoke-sessions-eyeshadow-palette")</f>
        <v/>
      </c>
      <c r="C2676" t="inlineStr">
        <is>
          <t>Smoke Sessions Eyeshadow Palette</t>
        </is>
      </c>
      <c r="D2676" t="inlineStr">
        <is>
          <t>Gray Eyeshadow Palette Black Grey White Silver, Blendable Smokey Eye Eyeshadow Palette, for Halloween SFX Clown Skull Goth Makeup Palette Look, Long Lasting Dark Eye Shadow Pallet- Panda</t>
        </is>
      </c>
      <c r="E2676" s="2">
        <f>HYPERLINK("https://www.amazon.com/Eyeshadow-Palette-Silver-Lasting-Halloween/dp/B0B3RPT9WM/ref=sr_1_5?keywords=Smoke+Sessions+Eyeshadow+Palette&amp;qid=1695565531&amp;sr=8-5", "https://www.amazon.com/Eyeshadow-Palette-Silver-Lasting-Halloween/dp/B0B3RPT9WM/ref=sr_1_5?keywords=Smoke+Sessions+Eyeshadow+Palette&amp;qid=1695565531&amp;sr=8-5")</f>
        <v/>
      </c>
      <c r="F2676" t="inlineStr">
        <is>
          <t>B0B3RPT9WM</t>
        </is>
      </c>
      <c r="G2676">
        <f>_xlfn.IMAGE("https://camerareadycosmetics.com/cdn/shop/products/smoke_sessions_1024x1024_f56dcf22-b368-476e-87f5-8ab2afa04c16_50x.jpg?v=1591916993")</f>
        <v/>
      </c>
      <c r="H2676">
        <f>_xlfn.IMAGE("https://m.media-amazon.com/images/I/81oKhJAHV8L._AC_UL320_.jpg")</f>
        <v/>
      </c>
      <c r="K2676" t="inlineStr">
        <is>
          <t>48.0</t>
        </is>
      </c>
      <c r="L2676" t="n">
        <v>9.98</v>
      </c>
      <c r="M2676" s="1" t="inlineStr">
        <is>
          <t>-79.21%</t>
        </is>
      </c>
      <c r="N2676" t="n">
        <v>4.6</v>
      </c>
      <c r="O2676" t="n">
        <v>251</v>
      </c>
      <c r="Q2676" t="inlineStr">
        <is>
          <t>InStock</t>
        </is>
      </c>
      <c r="R2676" t="inlineStr">
        <is>
          <t>undefined</t>
        </is>
      </c>
      <c r="S2676" t="inlineStr">
        <is>
          <t>2115592323183</t>
        </is>
      </c>
    </row>
    <row r="2677" ht="75" customHeight="1">
      <c r="A2677" s="2">
        <f>HYPERLINK("https://camerareadycosmetics.com/products/melt-cosmetics-the-sculpt-stack-bronzer-contour", "https://camerareadycosmetics.com/products/melt-cosmetics-the-sculpt-stack-bronzer-contour")</f>
        <v/>
      </c>
      <c r="B2677" s="2">
        <f>HYPERLINK("https://camerareadycosmetics.com/products/melt-cosmetics-the-sculpt-stack-bronzer-contour", "https://camerareadycosmetics.com/products/melt-cosmetics-the-sculpt-stack-bronzer-contour")</f>
        <v/>
      </c>
      <c r="C2677" t="inlineStr">
        <is>
          <t>The Sculpt Stack Bronzer/Contour</t>
        </is>
      </c>
      <c r="D2677" t="inlineStr">
        <is>
          <t>FOCALLURE 3 Pcs Cream Contour Sticks,Shades with Highlighter &amp; Bronzer &amp; Blush,Non-greasy and Water-resistant Face Contouring Pen,Easy to Sculpt the Face and Create a Lightweight Finishing Makeup (TAN)</t>
        </is>
      </c>
      <c r="E2677" s="2">
        <f>HYPERLINK("https://www.amazon.com/FOCALLURE-Highlighter-Non-greasy-Water-resistant-Lightweight/dp/B0C73CVDHP/ref=sr_1_1?keywords=The+Sculpt+Stack+Bronzer%2FContour&amp;qid=1695565735&amp;sr=8-1", "https://www.amazon.com/FOCALLURE-Highlighter-Non-greasy-Water-resistant-Lightweight/dp/B0C73CVDHP/ref=sr_1_1?keywords=The+Sculpt+Stack+Bronzer%2FContour&amp;qid=1695565735&amp;sr=8-1")</f>
        <v/>
      </c>
      <c r="F2677" t="inlineStr">
        <is>
          <t>B0C73CVDHP</t>
        </is>
      </c>
      <c r="G2677">
        <f>_xlfn.IMAGE("https://camerareadycosmetics.com/cdn/shop/products/melt-cosmetics-blacksculptpowder_50x.jpg?v=1606206381")</f>
        <v/>
      </c>
      <c r="H2677">
        <f>_xlfn.IMAGE("https://m.media-amazon.com/images/I/71fe+FVsDcL._AC_UL320_.jpg")</f>
        <v/>
      </c>
      <c r="K2677" t="inlineStr">
        <is>
          <t>48.0</t>
        </is>
      </c>
      <c r="L2677" t="n">
        <v>17.99</v>
      </c>
      <c r="M2677" s="1" t="inlineStr">
        <is>
          <t>-62.52%</t>
        </is>
      </c>
      <c r="N2677" t="n">
        <v>4.1</v>
      </c>
      <c r="O2677" t="n">
        <v>2025</v>
      </c>
      <c r="Q2677" t="inlineStr">
        <is>
          <t>InStock</t>
        </is>
      </c>
      <c r="R2677" t="inlineStr">
        <is>
          <t>undefined</t>
        </is>
      </c>
      <c r="S2677" t="inlineStr">
        <is>
          <t>6091386126521</t>
        </is>
      </c>
    </row>
    <row r="2678" ht="75" customHeight="1">
      <c r="A2678" s="2">
        <f>HYPERLINK("https://camerareadycosmetics.com/products/melt-cosmetics-the-sculpt-stack-bronzer-contour", "https://camerareadycosmetics.com/products/melt-cosmetics-the-sculpt-stack-bronzer-contour")</f>
        <v/>
      </c>
      <c r="B2678" s="2">
        <f>HYPERLINK("https://camerareadycosmetics.com/products/melt-cosmetics-the-sculpt-stack-bronzer-contour", "https://camerareadycosmetics.com/products/melt-cosmetics-the-sculpt-stack-bronzer-contour")</f>
        <v/>
      </c>
      <c r="C2678" t="inlineStr">
        <is>
          <t>The Sculpt Stack Bronzer/Contour</t>
        </is>
      </c>
      <c r="D2678" t="inlineStr">
        <is>
          <t>FOCALLURE 3 Pcs Cream Contour Sticks,Shades with Highlighter &amp; Bronzer &amp; Blush,Non-greasy and Water-resistant Face Contouring Pen,Easy to Sculpt the Face and Create a Lightweight Finishing Makeup (TAN)</t>
        </is>
      </c>
      <c r="E2678" s="2">
        <f>HYPERLINK("https://www.amazon.com/FOCALLURE-Highlighter-Non-greasy-Water-resistant-Lightweight/dp/B0C73CVDHP/ref=sr_1_1?keywords=The+Sculpt+Stack+Bronzer%2FContour&amp;qid=1695565735&amp;sr=8-1", "https://www.amazon.com/FOCALLURE-Highlighter-Non-greasy-Water-resistant-Lightweight/dp/B0C73CVDHP/ref=sr_1_1?keywords=The+Sculpt+Stack+Bronzer%2FContour&amp;qid=1695565735&amp;sr=8-1")</f>
        <v/>
      </c>
      <c r="F2678" t="inlineStr">
        <is>
          <t>B0C73CVDHP</t>
        </is>
      </c>
      <c r="G2678">
        <f>_xlfn.IMAGE("https://camerareadycosmetics.com/cdn/shop/products/melt-cosmetics-blacksculptpowder_50x.jpg?v=1606206381")</f>
        <v/>
      </c>
      <c r="H2678">
        <f>_xlfn.IMAGE("https://m.media-amazon.com/images/I/71fe+FVsDcL._AC_UL320_.jpg")</f>
        <v/>
      </c>
      <c r="K2678" t="inlineStr">
        <is>
          <t>48.0</t>
        </is>
      </c>
      <c r="L2678" t="n">
        <v>17.99</v>
      </c>
      <c r="M2678" s="1" t="inlineStr">
        <is>
          <t>-62.52%</t>
        </is>
      </c>
      <c r="N2678" t="n">
        <v>4.1</v>
      </c>
      <c r="O2678" t="n">
        <v>2025</v>
      </c>
      <c r="Q2678" t="inlineStr">
        <is>
          <t>InStock</t>
        </is>
      </c>
      <c r="R2678" t="inlineStr">
        <is>
          <t>undefined</t>
        </is>
      </c>
      <c r="S2678" t="inlineStr">
        <is>
          <t>6091386126521</t>
        </is>
      </c>
    </row>
    <row r="2679" ht="75" customHeight="1">
      <c r="A2679" s="2">
        <f>HYPERLINK("https://camerareadycosmetics.com/products/melt-cosmetics-water-mini-eyeshadow-palette", "https://camerareadycosmetics.com/products/melt-cosmetics-water-mini-eyeshadow-palette")</f>
        <v/>
      </c>
      <c r="B2679" s="2">
        <f>HYPERLINK("https://camerareadycosmetics.com/products/melt-cosmetics-water-mini-eyeshadow-palette", "https://camerareadycosmetics.com/products/melt-cosmetics-water-mini-eyeshadow-palette")</f>
        <v/>
      </c>
      <c r="C2679" t="inlineStr">
        <is>
          <t>Water Mini Eyeshadow Palette</t>
        </is>
      </c>
      <c r="D2679" t="inlineStr">
        <is>
          <t>Docolor Eyeshadow Palette 54Colors Gemstone Eye Shadow Palette Highly Pigmented Mattes Glitter Shimmers Naked Smokey Cream Powder Blendable Long Lasting Waterproof Colorful Professional Makeup Palette</t>
        </is>
      </c>
      <c r="E2679" s="2">
        <f>HYPERLINK("https://www.amazon.com/Docolor-Eyeshadow-Pigmented-Waterproof-Professional/dp/B087FDSX7F/ref=sr_1_7?keywords=Water+Mini+Eyeshadow+Palette&amp;qid=1695565772&amp;sr=8-7", "https://www.amazon.com/Docolor-Eyeshadow-Pigmented-Waterproof-Professional/dp/B087FDSX7F/ref=sr_1_7?keywords=Water+Mini+Eyeshadow+Palette&amp;qid=1695565772&amp;sr=8-7")</f>
        <v/>
      </c>
      <c r="F2679" t="inlineStr">
        <is>
          <t>B087FDSX7F</t>
        </is>
      </c>
      <c r="G2679">
        <f>_xlfn.IMAGE("https://camerareadycosmetics.com/cdn/shop/products/MeltCosmeticsWaterMiniEyeshadowPalette_50x.jpg?v=1670434686")</f>
        <v/>
      </c>
      <c r="H2679">
        <f>_xlfn.IMAGE("https://m.media-amazon.com/images/I/714RzApm0ZL._AC_UL320_.jpg")</f>
        <v/>
      </c>
      <c r="K2679" t="inlineStr">
        <is>
          <t>38.0</t>
        </is>
      </c>
      <c r="L2679" t="n">
        <v>34.99</v>
      </c>
      <c r="M2679" s="1" t="inlineStr">
        <is>
          <t>-7.92%</t>
        </is>
      </c>
      <c r="N2679" t="n">
        <v>4.7</v>
      </c>
      <c r="O2679" t="n">
        <v>2691</v>
      </c>
      <c r="Q2679" t="inlineStr">
        <is>
          <t>InStock</t>
        </is>
      </c>
      <c r="R2679" t="inlineStr">
        <is>
          <t>38.0</t>
        </is>
      </c>
      <c r="S2679" t="inlineStr">
        <is>
          <t>7514611613881</t>
        </is>
      </c>
    </row>
    <row r="2680" ht="75" customHeight="1">
      <c r="A2680" s="2">
        <f>HYPERLINK("https://camerareadycosmetics.com/products/melt-cosmetics-water-mini-eyeshadow-palette", "https://camerareadycosmetics.com/products/melt-cosmetics-water-mini-eyeshadow-palette")</f>
        <v/>
      </c>
      <c r="B2680" s="2">
        <f>HYPERLINK("https://camerareadycosmetics.com/products/melt-cosmetics-water-mini-eyeshadow-palette", "https://camerareadycosmetics.com/products/melt-cosmetics-water-mini-eyeshadow-palette")</f>
        <v/>
      </c>
      <c r="C2680" t="inlineStr">
        <is>
          <t>Water Mini Eyeshadow Palette</t>
        </is>
      </c>
      <c r="D2680" t="inlineStr">
        <is>
          <t>Urban Decay Mini Naked3 Eyeshadow Palette</t>
        </is>
      </c>
      <c r="E2680" s="2">
        <f>HYPERLINK("https://www.amazon.com/Urban-Decay-Naked3-Eyeshadow-Palette/dp/B095PSJ7QV/ref=sr_1_5?keywords=Water+Mini+Eyeshadow+Palette&amp;qid=1695565772&amp;sr=8-5", "https://www.amazon.com/Urban-Decay-Naked3-Eyeshadow-Palette/dp/B095PSJ7QV/ref=sr_1_5?keywords=Water+Mini+Eyeshadow+Palette&amp;qid=1695565772&amp;sr=8-5")</f>
        <v/>
      </c>
      <c r="F2680" t="inlineStr">
        <is>
          <t>B095PSJ7QV</t>
        </is>
      </c>
      <c r="G2680">
        <f>_xlfn.IMAGE("https://camerareadycosmetics.com/cdn/shop/products/MeltCosmeticsWaterMiniEyeshadowPalette_50x.jpg?v=1670434686")</f>
        <v/>
      </c>
      <c r="H2680">
        <f>_xlfn.IMAGE("https://m.media-amazon.com/images/I/81-8kyUlQAL._AC_UL320_.jpg")</f>
        <v/>
      </c>
      <c r="K2680" t="inlineStr">
        <is>
          <t>38.0</t>
        </is>
      </c>
      <c r="L2680" t="n">
        <v>28.05</v>
      </c>
      <c r="M2680" s="1" t="inlineStr">
        <is>
          <t>-26.18%</t>
        </is>
      </c>
      <c r="N2680" t="n">
        <v>4.6</v>
      </c>
      <c r="O2680" t="n">
        <v>11007</v>
      </c>
      <c r="Q2680" t="inlineStr">
        <is>
          <t>InStock</t>
        </is>
      </c>
      <c r="R2680" t="inlineStr">
        <is>
          <t>38.0</t>
        </is>
      </c>
      <c r="S2680" t="inlineStr">
        <is>
          <t>7514611613881</t>
        </is>
      </c>
    </row>
    <row r="2681" ht="75" customHeight="1">
      <c r="A2681" s="2">
        <f>HYPERLINK("https://camerareadycosmetics.com/products/melt-cosmetics-water-mini-eyeshadow-palette", "https://camerareadycosmetics.com/products/melt-cosmetics-water-mini-eyeshadow-palette")</f>
        <v/>
      </c>
      <c r="B2681" s="2">
        <f>HYPERLINK("https://camerareadycosmetics.com/products/melt-cosmetics-water-mini-eyeshadow-palette", "https://camerareadycosmetics.com/products/melt-cosmetics-water-mini-eyeshadow-palette")</f>
        <v/>
      </c>
      <c r="C2681" t="inlineStr">
        <is>
          <t>Water Mini Eyeshadow Palette</t>
        </is>
      </c>
      <c r="D2681" t="inlineStr">
        <is>
          <t>LORAC Mini PRO Matte &amp; Glitter Eyeshadow Palette</t>
        </is>
      </c>
      <c r="E2681" s="2">
        <f>HYPERLINK("https://www.amazon.com/LORAC-Mini-Palette-Simmering-0-17/dp/B0921L3BV9/ref=sr_1_9?keywords=Water+Mini+Eyeshadow+Palette&amp;qid=1695565772&amp;sr=8-9", "https://www.amazon.com/LORAC-Mini-Palette-Simmering-0-17/dp/B0921L3BV9/ref=sr_1_9?keywords=Water+Mini+Eyeshadow+Palette&amp;qid=1695565772&amp;sr=8-9")</f>
        <v/>
      </c>
      <c r="F2681" t="inlineStr">
        <is>
          <t>B0921L3BV9</t>
        </is>
      </c>
      <c r="G2681">
        <f>_xlfn.IMAGE("https://camerareadycosmetics.com/cdn/shop/products/MeltCosmeticsWaterMiniEyeshadowPalette_50x.jpg?v=1670434686")</f>
        <v/>
      </c>
      <c r="H2681">
        <f>_xlfn.IMAGE("https://m.media-amazon.com/images/I/81ZDGgpHvhL._AC_UL320_.jpg")</f>
        <v/>
      </c>
      <c r="K2681" t="inlineStr">
        <is>
          <t>38.0</t>
        </is>
      </c>
      <c r="L2681" t="n">
        <v>16</v>
      </c>
      <c r="M2681" s="1" t="inlineStr">
        <is>
          <t>-57.89%</t>
        </is>
      </c>
      <c r="N2681" t="n">
        <v>4.4</v>
      </c>
      <c r="O2681" t="n">
        <v>373</v>
      </c>
      <c r="Q2681" t="inlineStr">
        <is>
          <t>InStock</t>
        </is>
      </c>
      <c r="R2681" t="inlineStr">
        <is>
          <t>38.0</t>
        </is>
      </c>
      <c r="S2681" t="inlineStr">
        <is>
          <t>7514611613881</t>
        </is>
      </c>
    </row>
    <row r="2682" ht="75" customHeight="1">
      <c r="A2682" s="2">
        <f>HYPERLINK("https://camerareadycosmetics.com/products/melt-cosmetics-water-mini-eyeshadow-palette", "https://camerareadycosmetics.com/products/melt-cosmetics-water-mini-eyeshadow-palette")</f>
        <v/>
      </c>
      <c r="B2682" s="2">
        <f>HYPERLINK("https://camerareadycosmetics.com/products/melt-cosmetics-water-mini-eyeshadow-palette", "https://camerareadycosmetics.com/products/melt-cosmetics-water-mini-eyeshadow-palette")</f>
        <v/>
      </c>
      <c r="C2682" t="inlineStr">
        <is>
          <t>Water Mini Eyeshadow Palette</t>
        </is>
      </c>
      <c r="D2682" t="inlineStr">
        <is>
          <t>VERONNI 120 Vivid Colors Mini Eyeshadow Palette Matte and Shimmer - Professional 3 Layers Bright and Warm Colorful Eye Shadow Palette Makeup Set (120 colors)</t>
        </is>
      </c>
      <c r="E2682" s="2">
        <f>HYPERLINK("https://www.amazon.com/Professional-Eyeshadow-Palette-Shimmer-Colorful/dp/B08L8YCBMJ/ref=sr_1_10?keywords=Water+Mini+Eyeshadow+Palette&amp;qid=1695565772&amp;sr=8-10", "https://www.amazon.com/Professional-Eyeshadow-Palette-Shimmer-Colorful/dp/B08L8YCBMJ/ref=sr_1_10?keywords=Water+Mini+Eyeshadow+Palette&amp;qid=1695565772&amp;sr=8-10")</f>
        <v/>
      </c>
      <c r="F2682" t="inlineStr">
        <is>
          <t>B08L8YCBMJ</t>
        </is>
      </c>
      <c r="G2682">
        <f>_xlfn.IMAGE("https://camerareadycosmetics.com/cdn/shop/products/MeltCosmeticsWaterMiniEyeshadowPalette_50x.jpg?v=1670434686")</f>
        <v/>
      </c>
      <c r="H2682">
        <f>_xlfn.IMAGE("https://m.media-amazon.com/images/I/71sstg4Sp2S._AC_UL320_.jpg")</f>
        <v/>
      </c>
      <c r="K2682" t="inlineStr">
        <is>
          <t>38.0</t>
        </is>
      </c>
      <c r="L2682" t="n">
        <v>11.99</v>
      </c>
      <c r="M2682" s="1" t="inlineStr">
        <is>
          <t>-68.45%</t>
        </is>
      </c>
      <c r="N2682" t="n">
        <v>4.1</v>
      </c>
      <c r="O2682" t="n">
        <v>842</v>
      </c>
      <c r="Q2682" t="inlineStr">
        <is>
          <t>InStock</t>
        </is>
      </c>
      <c r="R2682" t="inlineStr">
        <is>
          <t>38.0</t>
        </is>
      </c>
      <c r="S2682" t="inlineStr">
        <is>
          <t>7514611613881</t>
        </is>
      </c>
    </row>
    <row r="2683" ht="75" customHeight="1">
      <c r="A2683" s="2">
        <f>HYPERLINK("https://camerareadycosmetics.com/products/melt-cosmetics-water-mini-eyeshadow-palette", "https://camerareadycosmetics.com/products/melt-cosmetics-water-mini-eyeshadow-palette")</f>
        <v/>
      </c>
      <c r="B2683" s="2">
        <f>HYPERLINK("https://camerareadycosmetics.com/products/melt-cosmetics-water-mini-eyeshadow-palette", "https://camerareadycosmetics.com/products/melt-cosmetics-water-mini-eyeshadow-palette")</f>
        <v/>
      </c>
      <c r="C2683" t="inlineStr">
        <is>
          <t>Water Mini Eyeshadow Palette</t>
        </is>
      </c>
      <c r="D2683" t="inlineStr">
        <is>
          <t>SUSIKEKI 6 Colors Mini Naked Eyeshadow Makeup Palette Rosy Neutral Nude Eye Shadow Shimmer &amp; Matte Make Up Pallet with Mirror Highly Pigmented Long Lasting Waterproof Travel Size Gift Kit 02</t>
        </is>
      </c>
      <c r="E2683" s="2">
        <f>HYPERLINK("https://www.amazon.com/SUSIKEKI-Eyeshadow-Palette-Pigmented-Waterproof/dp/B0C4L34BPX/ref=sr_1_4?keywords=Water+Mini+Eyeshadow+Palette&amp;qid=1695565772&amp;sr=8-4", "https://www.amazon.com/SUSIKEKI-Eyeshadow-Palette-Pigmented-Waterproof/dp/B0C4L34BPX/ref=sr_1_4?keywords=Water+Mini+Eyeshadow+Palette&amp;qid=1695565772&amp;sr=8-4")</f>
        <v/>
      </c>
      <c r="F2683" t="inlineStr">
        <is>
          <t>B0C4L34BPX</t>
        </is>
      </c>
      <c r="G2683">
        <f>_xlfn.IMAGE("https://camerareadycosmetics.com/cdn/shop/products/MeltCosmeticsWaterMiniEyeshadowPalette_50x.jpg?v=1670434686")</f>
        <v/>
      </c>
      <c r="H2683">
        <f>_xlfn.IMAGE("https://m.media-amazon.com/images/I/81UWP86XXeL._AC_UL320_.jpg")</f>
        <v/>
      </c>
      <c r="K2683" t="inlineStr">
        <is>
          <t>38.0</t>
        </is>
      </c>
      <c r="L2683" t="n">
        <v>7.98</v>
      </c>
      <c r="M2683" s="1" t="inlineStr">
        <is>
          <t>-79.00%</t>
        </is>
      </c>
      <c r="N2683" t="n">
        <v>4.4</v>
      </c>
      <c r="O2683" t="n">
        <v>59</v>
      </c>
      <c r="Q2683" t="inlineStr">
        <is>
          <t>InStock</t>
        </is>
      </c>
      <c r="R2683" t="inlineStr">
        <is>
          <t>38.0</t>
        </is>
      </c>
      <c r="S2683" t="inlineStr">
        <is>
          <t>7514611613881</t>
        </is>
      </c>
    </row>
    <row r="2684" ht="75" customHeight="1">
      <c r="A2684" s="2">
        <f>HYPERLINK("https://camerareadycosmetics.com/products/melt-cosmetics-water-mini-eyeshadow-palette", "https://camerareadycosmetics.com/products/melt-cosmetics-water-mini-eyeshadow-palette")</f>
        <v/>
      </c>
      <c r="B2684" s="2">
        <f>HYPERLINK("https://camerareadycosmetics.com/products/melt-cosmetics-water-mini-eyeshadow-palette", "https://camerareadycosmetics.com/products/melt-cosmetics-water-mini-eyeshadow-palette")</f>
        <v/>
      </c>
      <c r="C2684" t="inlineStr">
        <is>
          <t>Water Mini Eyeshadow Palette</t>
        </is>
      </c>
      <c r="D2684" t="inlineStr">
        <is>
          <t>LORAC Mini PRO Matte &amp; Glitter Eyeshadow Palette</t>
        </is>
      </c>
      <c r="E2684" s="2">
        <f>HYPERLINK("https://www.amazon.com/LORAC-Mini-Palette-Simmering-0-17/dp/B0921L3BV9/ref=sr_1_9?keywords=Water+Mini+Eyeshadow+Palette&amp;qid=1695565772&amp;sr=8-9", "https://www.amazon.com/LORAC-Mini-Palette-Simmering-0-17/dp/B0921L3BV9/ref=sr_1_9?keywords=Water+Mini+Eyeshadow+Palette&amp;qid=1695565772&amp;sr=8-9")</f>
        <v/>
      </c>
      <c r="F2684" t="inlineStr">
        <is>
          <t>B0921L3BV9</t>
        </is>
      </c>
      <c r="G2684">
        <f>_xlfn.IMAGE("https://camerareadycosmetics.com/cdn/shop/products/MeltCosmeticsWaterMiniEyeshadowPalette_50x.jpg?v=1670434686")</f>
        <v/>
      </c>
      <c r="H2684">
        <f>_xlfn.IMAGE("https://m.media-amazon.com/images/I/81ZDGgpHvhL._AC_UL320_.jpg")</f>
        <v/>
      </c>
      <c r="K2684" t="inlineStr">
        <is>
          <t>38.0</t>
        </is>
      </c>
      <c r="L2684" t="n">
        <v>16</v>
      </c>
      <c r="M2684" s="1" t="inlineStr">
        <is>
          <t>-57.89%</t>
        </is>
      </c>
      <c r="N2684" t="n">
        <v>4.4</v>
      </c>
      <c r="O2684" t="n">
        <v>373</v>
      </c>
      <c r="Q2684" t="inlineStr">
        <is>
          <t>InStock</t>
        </is>
      </c>
      <c r="R2684" t="inlineStr">
        <is>
          <t>38.0</t>
        </is>
      </c>
      <c r="S2684" t="inlineStr">
        <is>
          <t>7514611613881</t>
        </is>
      </c>
    </row>
    <row r="2685" ht="75" customHeight="1">
      <c r="A2685" s="2">
        <f>HYPERLINK("https://camerareadycosmetics.com/products/melt-cosmetics-water-mini-eyeshadow-palette", "https://camerareadycosmetics.com/products/melt-cosmetics-water-mini-eyeshadow-palette")</f>
        <v/>
      </c>
      <c r="B2685" s="2">
        <f>HYPERLINK("https://camerareadycosmetics.com/products/melt-cosmetics-water-mini-eyeshadow-palette", "https://camerareadycosmetics.com/products/melt-cosmetics-water-mini-eyeshadow-palette")</f>
        <v/>
      </c>
      <c r="C2685" t="inlineStr">
        <is>
          <t>Water Mini Eyeshadow Palette</t>
        </is>
      </c>
      <c r="D2685" t="inlineStr">
        <is>
          <t>VERONNI 120 Vivid Colors Mini Eyeshadow Palette Matte and Shimmer - Professional 3 Layers Bright and Warm Colorful Eye Shadow Palette Makeup Set (120 colors)</t>
        </is>
      </c>
      <c r="E2685" s="2">
        <f>HYPERLINK("https://www.amazon.com/Professional-Eyeshadow-Palette-Shimmer-Colorful/dp/B08L8YCBMJ/ref=sr_1_10?keywords=Water+Mini+Eyeshadow+Palette&amp;qid=1695565772&amp;sr=8-10", "https://www.amazon.com/Professional-Eyeshadow-Palette-Shimmer-Colorful/dp/B08L8YCBMJ/ref=sr_1_10?keywords=Water+Mini+Eyeshadow+Palette&amp;qid=1695565772&amp;sr=8-10")</f>
        <v/>
      </c>
      <c r="F2685" t="inlineStr">
        <is>
          <t>B08L8YCBMJ</t>
        </is>
      </c>
      <c r="G2685">
        <f>_xlfn.IMAGE("https://camerareadycosmetics.com/cdn/shop/products/MeltCosmeticsWaterMiniEyeshadowPalette_50x.jpg?v=1670434686")</f>
        <v/>
      </c>
      <c r="H2685">
        <f>_xlfn.IMAGE("https://m.media-amazon.com/images/I/71sstg4Sp2S._AC_UL320_.jpg")</f>
        <v/>
      </c>
      <c r="K2685" t="inlineStr">
        <is>
          <t>38.0</t>
        </is>
      </c>
      <c r="L2685" t="n">
        <v>11.99</v>
      </c>
      <c r="M2685" s="1" t="inlineStr">
        <is>
          <t>-68.45%</t>
        </is>
      </c>
      <c r="N2685" t="n">
        <v>4.1</v>
      </c>
      <c r="O2685" t="n">
        <v>842</v>
      </c>
      <c r="Q2685" t="inlineStr">
        <is>
          <t>InStock</t>
        </is>
      </c>
      <c r="R2685" t="inlineStr">
        <is>
          <t>38.0</t>
        </is>
      </c>
      <c r="S2685" t="inlineStr">
        <is>
          <t>7514611613881</t>
        </is>
      </c>
    </row>
    <row r="2686" ht="75" customHeight="1">
      <c r="A2686" s="2">
        <f>HYPERLINK("https://camerareadycosmetics.com/products/melt-cosmetics-water-mini-eyeshadow-palette", "https://camerareadycosmetics.com/products/melt-cosmetics-water-mini-eyeshadow-palette")</f>
        <v/>
      </c>
      <c r="B2686" s="2">
        <f>HYPERLINK("https://camerareadycosmetics.com/products/melt-cosmetics-water-mini-eyeshadow-palette", "https://camerareadycosmetics.com/products/melt-cosmetics-water-mini-eyeshadow-palette")</f>
        <v/>
      </c>
      <c r="C2686" t="inlineStr">
        <is>
          <t>Water Mini Eyeshadow Palette</t>
        </is>
      </c>
      <c r="D2686" t="inlineStr">
        <is>
          <t>SUSIKEKI 6 Colors Mini Naked Eyeshadow Makeup Palette Rosy Neutral Nude Eye Shadow Shimmer &amp; Matte Make Up Pallet with Mirror Highly Pigmented Long Lasting Waterproof Travel Size Gift Kit 02</t>
        </is>
      </c>
      <c r="E2686" s="2">
        <f>HYPERLINK("https://www.amazon.com/SUSIKEKI-Eyeshadow-Palette-Pigmented-Waterproof/dp/B0C4L34BPX/ref=sr_1_4?keywords=Water+Mini+Eyeshadow+Palette&amp;qid=1695565772&amp;sr=8-4", "https://www.amazon.com/SUSIKEKI-Eyeshadow-Palette-Pigmented-Waterproof/dp/B0C4L34BPX/ref=sr_1_4?keywords=Water+Mini+Eyeshadow+Palette&amp;qid=1695565772&amp;sr=8-4")</f>
        <v/>
      </c>
      <c r="F2686" t="inlineStr">
        <is>
          <t>B0C4L34BPX</t>
        </is>
      </c>
      <c r="G2686">
        <f>_xlfn.IMAGE("https://camerareadycosmetics.com/cdn/shop/products/MeltCosmeticsWaterMiniEyeshadowPalette_50x.jpg?v=1670434686")</f>
        <v/>
      </c>
      <c r="H2686">
        <f>_xlfn.IMAGE("https://m.media-amazon.com/images/I/81UWP86XXeL._AC_UL320_.jpg")</f>
        <v/>
      </c>
      <c r="K2686" t="inlineStr">
        <is>
          <t>38.0</t>
        </is>
      </c>
      <c r="L2686" t="n">
        <v>7.98</v>
      </c>
      <c r="M2686" s="1" t="inlineStr">
        <is>
          <t>-79.00%</t>
        </is>
      </c>
      <c r="N2686" t="n">
        <v>4.4</v>
      </c>
      <c r="O2686" t="n">
        <v>59</v>
      </c>
      <c r="Q2686" t="inlineStr">
        <is>
          <t>InStock</t>
        </is>
      </c>
      <c r="R2686" t="inlineStr">
        <is>
          <t>38.0</t>
        </is>
      </c>
      <c r="S2686" t="inlineStr">
        <is>
          <t>7514611613881</t>
        </is>
      </c>
    </row>
    <row r="2687" ht="75" customHeight="1">
      <c r="A2687" s="2">
        <f>HYPERLINK("https://camerareadycosmetics.com/products/mob-beauty-blush-compact-refill", "https://camerareadycosmetics.com/products/mob-beauty-blush-compact-refill")</f>
        <v/>
      </c>
      <c r="B2687" s="2">
        <f>HYPERLINK("https://camerareadycosmetics.com/products/mob-beauty-blush-compact-refill", "https://camerareadycosmetics.com/products/mob-beauty-blush-compact-refill")</f>
        <v/>
      </c>
      <c r="C2687" t="inlineStr">
        <is>
          <t>Blush Compact Refill</t>
        </is>
      </c>
      <c r="D2687" t="inlineStr">
        <is>
          <t>Besame Cosmetics - Touch of Pink Blush Refill, Pressed Powder Travel Compact Blush Refill</t>
        </is>
      </c>
      <c r="E2687" s="2">
        <f>HYPERLINK("https://www.amazon.com/Besame-Cosmetics-Refill-Pressed-Compact/dp/B09XTS28YR/ref=sr_1_2?keywords=Blush+Compact+Refill&amp;qid=1695565845&amp;sr=8-2", "https://www.amazon.com/Besame-Cosmetics-Refill-Pressed-Compact/dp/B09XTS28YR/ref=sr_1_2?keywords=Blush+Compact+Refill&amp;qid=1695565845&amp;sr=8-2")</f>
        <v/>
      </c>
      <c r="F2687" t="inlineStr">
        <is>
          <t>B09XTS28YR</t>
        </is>
      </c>
      <c r="G2687">
        <f>_xlfn.IMAGE("https://camerareadycosmetics.com/cdn/shop/products/MOB_PRODUCT_REFILL_BL_M31_1_50x.jpg?v=1681784165")</f>
        <v/>
      </c>
      <c r="H2687">
        <f>_xlfn.IMAGE("https://m.media-amazon.com/images/I/51JG6SpnTwL._AC_UL320_.jpg")</f>
        <v/>
      </c>
      <c r="K2687" t="inlineStr">
        <is>
          <t>23.0</t>
        </is>
      </c>
      <c r="L2687" t="n">
        <v>18.5</v>
      </c>
      <c r="M2687" s="1" t="inlineStr">
        <is>
          <t>-19.57%</t>
        </is>
      </c>
      <c r="N2687" t="n">
        <v>5</v>
      </c>
      <c r="O2687" t="n">
        <v>5</v>
      </c>
      <c r="Q2687" t="inlineStr">
        <is>
          <t>InStock</t>
        </is>
      </c>
      <c r="R2687" t="inlineStr">
        <is>
          <t>undefined</t>
        </is>
      </c>
      <c r="S2687" t="inlineStr">
        <is>
          <t>7583639961785</t>
        </is>
      </c>
    </row>
    <row r="2688" ht="75" customHeight="1">
      <c r="A2688" s="2">
        <f>HYPERLINK("https://camerareadycosmetics.com/products/mob-beauty-blush-compact-refill", "https://camerareadycosmetics.com/products/mob-beauty-blush-compact-refill")</f>
        <v/>
      </c>
      <c r="B2688" s="2">
        <f>HYPERLINK("https://camerareadycosmetics.com/products/mob-beauty-blush-compact-refill", "https://camerareadycosmetics.com/products/mob-beauty-blush-compact-refill")</f>
        <v/>
      </c>
      <c r="C2688" t="inlineStr">
        <is>
          <t>Blush Compact Refill</t>
        </is>
      </c>
      <c r="D2688" t="inlineStr">
        <is>
          <t>Ecco Bella Refillable Paperpack Single Compact Blush, 0.38 Ounce</t>
        </is>
      </c>
      <c r="E2688" s="2">
        <f>HYPERLINK("https://www.amazon.com/Ecco-Bella-Refillable-Paperpack-Compact/dp/B01C1VPZEG/ref=sr_1_6?keywords=Blush+Compact+Refill&amp;qid=1695565845&amp;sr=8-6", "https://www.amazon.com/Ecco-Bella-Refillable-Paperpack-Compact/dp/B01C1VPZEG/ref=sr_1_6?keywords=Blush+Compact+Refill&amp;qid=1695565845&amp;sr=8-6")</f>
        <v/>
      </c>
      <c r="F2688" t="inlineStr">
        <is>
          <t>B01C1VPZEG</t>
        </is>
      </c>
      <c r="G2688">
        <f>_xlfn.IMAGE("https://camerareadycosmetics.com/cdn/shop/products/MOB_PRODUCT_REFILL_BL_M31_1_50x.jpg?v=1681784165")</f>
        <v/>
      </c>
      <c r="H2688">
        <f>_xlfn.IMAGE("https://m.media-amazon.com/images/I/51elD4uT5TL._AC_UL320_.jpg")</f>
        <v/>
      </c>
      <c r="K2688" t="inlineStr">
        <is>
          <t>23.0</t>
        </is>
      </c>
      <c r="L2688" t="n">
        <v>9.83</v>
      </c>
      <c r="M2688" s="1" t="inlineStr">
        <is>
          <t>-57.26%</t>
        </is>
      </c>
      <c r="N2688" t="n">
        <v>4.5</v>
      </c>
      <c r="O2688" t="n">
        <v>9</v>
      </c>
      <c r="Q2688" t="inlineStr">
        <is>
          <t>InStock</t>
        </is>
      </c>
      <c r="R2688" t="inlineStr">
        <is>
          <t>undefined</t>
        </is>
      </c>
      <c r="S2688" t="inlineStr">
        <is>
          <t>7583639961785</t>
        </is>
      </c>
    </row>
    <row r="2689" ht="75" customHeight="1">
      <c r="A2689" s="2">
        <f>HYPERLINK("https://camerareadycosmetics.com/products/mob-beauty-blush-compact-refill", "https://camerareadycosmetics.com/products/mob-beauty-blush-compact-refill")</f>
        <v/>
      </c>
      <c r="B2689" s="2">
        <f>HYPERLINK("https://camerareadycosmetics.com/products/mob-beauty-blush-compact-refill", "https://camerareadycosmetics.com/products/mob-beauty-blush-compact-refill")</f>
        <v/>
      </c>
      <c r="C2689" t="inlineStr">
        <is>
          <t>Blush Compact Refill</t>
        </is>
      </c>
      <c r="D2689" t="inlineStr">
        <is>
          <t>Ecco Bella Refillable Paperpack Single Compact Blush, 0.38 Ounce</t>
        </is>
      </c>
      <c r="E2689" s="2">
        <f>HYPERLINK("https://www.amazon.com/Ecco-Bella-Refillable-Paperpack-Compact/dp/B01C1VPZEG/ref=sr_1_6?keywords=Blush+Compact+Refill&amp;qid=1695565845&amp;sr=8-6", "https://www.amazon.com/Ecco-Bella-Refillable-Paperpack-Compact/dp/B01C1VPZEG/ref=sr_1_6?keywords=Blush+Compact+Refill&amp;qid=1695565845&amp;sr=8-6")</f>
        <v/>
      </c>
      <c r="F2689" t="inlineStr">
        <is>
          <t>B01C1VPZEG</t>
        </is>
      </c>
      <c r="G2689">
        <f>_xlfn.IMAGE("https://camerareadycosmetics.com/cdn/shop/products/MOB_PRODUCT_REFILL_BL_M31_1_50x.jpg?v=1681784165")</f>
        <v/>
      </c>
      <c r="H2689">
        <f>_xlfn.IMAGE("https://m.media-amazon.com/images/I/51elD4uT5TL._AC_UL320_.jpg")</f>
        <v/>
      </c>
      <c r="K2689" t="inlineStr">
        <is>
          <t>23.0</t>
        </is>
      </c>
      <c r="L2689" t="n">
        <v>9.83</v>
      </c>
      <c r="M2689" s="1" t="inlineStr">
        <is>
          <t>-57.26%</t>
        </is>
      </c>
      <c r="N2689" t="n">
        <v>4.5</v>
      </c>
      <c r="O2689" t="n">
        <v>9</v>
      </c>
      <c r="Q2689" t="inlineStr">
        <is>
          <t>InStock</t>
        </is>
      </c>
      <c r="R2689" t="inlineStr">
        <is>
          <t>undefined</t>
        </is>
      </c>
      <c r="S2689" t="inlineStr">
        <is>
          <t>7583639961785</t>
        </is>
      </c>
    </row>
    <row r="2690" ht="75" customHeight="1">
      <c r="A2690" s="2">
        <f>HYPERLINK("https://camerareadycosmetics.com/products/mob-beauty-bronzer-compact", "https://camerareadycosmetics.com/products/mob-beauty-bronzer-compact")</f>
        <v/>
      </c>
      <c r="B2690" s="2">
        <f>HYPERLINK("https://camerareadycosmetics.com/products/mob-beauty-bronzer-compact", "https://camerareadycosmetics.com/products/mob-beauty-bronzer-compact")</f>
        <v/>
      </c>
      <c r="C2690" t="inlineStr">
        <is>
          <t>Bronzer Compact</t>
        </is>
      </c>
      <c r="D2690" t="inlineStr">
        <is>
          <t>Palladio Baked Bronzer, Highly Pigmented and Easy to Blend, Shimmery Bronzed Glow, Use Dry or Wet, Lasts all day long, Provides Rich Tanning Color Finish, Powder Compact, Illuminating Tan</t>
        </is>
      </c>
      <c r="E2690" s="2">
        <f>HYPERLINK("https://www.amazon.com/Palladio-Baked-Bronzer-Illuminating-Tan/dp/B003203BDS/ref=sr_1_8?keywords=Bronzer+Compact&amp;qid=1695565835&amp;sr=8-8", "https://www.amazon.com/Palladio-Baked-Bronzer-Illuminating-Tan/dp/B003203BDS/ref=sr_1_8?keywords=Bronzer+Compact&amp;qid=1695565835&amp;sr=8-8")</f>
        <v/>
      </c>
      <c r="F2690" t="inlineStr">
        <is>
          <t>B003203BDS</t>
        </is>
      </c>
      <c r="G2690">
        <f>_xlfn.IMAGE("https://camerareadycosmetics.com/cdn/shop/products/MOB_PDP_BR_STORY_ONFIG_1_1_50x.jpg?v=1681786170")</f>
        <v/>
      </c>
      <c r="H2690">
        <f>_xlfn.IMAGE("https://m.media-amazon.com/images/I/7159ZKPd2JL._AC_UL320_.jpg")</f>
        <v/>
      </c>
      <c r="K2690" t="inlineStr">
        <is>
          <t>28.0</t>
        </is>
      </c>
      <c r="L2690" t="n">
        <v>9.99</v>
      </c>
      <c r="M2690" s="1" t="inlineStr">
        <is>
          <t>-64.32%</t>
        </is>
      </c>
      <c r="N2690" t="n">
        <v>4.4</v>
      </c>
      <c r="O2690" t="n">
        <v>847</v>
      </c>
      <c r="Q2690" t="inlineStr">
        <is>
          <t>InStock</t>
        </is>
      </c>
      <c r="R2690" t="inlineStr">
        <is>
          <t>undefined</t>
        </is>
      </c>
      <c r="S2690" t="inlineStr">
        <is>
          <t>7583640780985</t>
        </is>
      </c>
    </row>
    <row r="2691" ht="75" customHeight="1">
      <c r="A2691" s="2">
        <f>HYPERLINK("https://camerareadycosmetics.com/products/mob-beauty-bronzer-compact", "https://camerareadycosmetics.com/products/mob-beauty-bronzer-compact")</f>
        <v/>
      </c>
      <c r="B2691" s="2">
        <f>HYPERLINK("https://camerareadycosmetics.com/products/mob-beauty-bronzer-compact", "https://camerareadycosmetics.com/products/mob-beauty-bronzer-compact")</f>
        <v/>
      </c>
      <c r="C2691" t="inlineStr">
        <is>
          <t>Bronzer Compact</t>
        </is>
      </c>
      <c r="D2691" t="inlineStr">
        <is>
          <t>MEICOLY 3-in-1 Compact Powder Blush Highlighter Contour Makeup Set,Silky Smooth Face Blush Cheek Tint,Moisturizing Face Luminizer Bronzer for Women,Trio Eyeshadow Powder Makeup,Medium</t>
        </is>
      </c>
      <c r="E2691" s="2">
        <f>HYPERLINK("https://www.amazon.com/MEICOLY-Highlighter-Moisturizing-Luminizer-Eyeshadow/dp/B0CBTLZ9N4/ref=sr_1_10?keywords=Bronzer+Compact&amp;qid=1695565835&amp;sr=8-10", "https://www.amazon.com/MEICOLY-Highlighter-Moisturizing-Luminizer-Eyeshadow/dp/B0CBTLZ9N4/ref=sr_1_10?keywords=Bronzer+Compact&amp;qid=1695565835&amp;sr=8-10")</f>
        <v/>
      </c>
      <c r="F2691" t="inlineStr">
        <is>
          <t>B0CBTLZ9N4</t>
        </is>
      </c>
      <c r="G2691">
        <f>_xlfn.IMAGE("https://camerareadycosmetics.com/cdn/shop/products/MOB_PDP_BR_STORY_ONFIG_1_1_50x.jpg?v=1681786170")</f>
        <v/>
      </c>
      <c r="H2691">
        <f>_xlfn.IMAGE("https://m.media-amazon.com/images/I/71IeGTnZdBL._AC_UL320_.jpg")</f>
        <v/>
      </c>
      <c r="K2691" t="inlineStr">
        <is>
          <t>28.0</t>
        </is>
      </c>
      <c r="L2691" t="n">
        <v>6.99</v>
      </c>
      <c r="M2691" s="1" t="inlineStr">
        <is>
          <t>-75.04%</t>
        </is>
      </c>
      <c r="N2691" t="n">
        <v>3.5</v>
      </c>
      <c r="O2691" t="n">
        <v>35</v>
      </c>
      <c r="Q2691" t="inlineStr">
        <is>
          <t>InStock</t>
        </is>
      </c>
      <c r="R2691" t="inlineStr">
        <is>
          <t>undefined</t>
        </is>
      </c>
      <c r="S2691" t="inlineStr">
        <is>
          <t>7583640780985</t>
        </is>
      </c>
    </row>
    <row r="2692" ht="75" customHeight="1">
      <c r="A2692" s="2">
        <f>HYPERLINK("https://camerareadycosmetics.com/products/mob-beauty-bronzer-compact", "https://camerareadycosmetics.com/products/mob-beauty-bronzer-compact")</f>
        <v/>
      </c>
      <c r="B2692" s="2">
        <f>HYPERLINK("https://camerareadycosmetics.com/products/mob-beauty-bronzer-compact", "https://camerareadycosmetics.com/products/mob-beauty-bronzer-compact")</f>
        <v/>
      </c>
      <c r="C2692" t="inlineStr">
        <is>
          <t>Bronzer Compact</t>
        </is>
      </c>
      <c r="D2692" t="inlineStr">
        <is>
          <t>Palladio Baked Bronzer, Highly Pigmented and Easy to Blend, Shimmery Bronzed Glow, Use Dry or Wet, Lasts all day long, Provides Rich Tanning Color Finish, Powder Compact, Illuminating Tan</t>
        </is>
      </c>
      <c r="E2692" s="2">
        <f>HYPERLINK("https://www.amazon.com/Palladio-Baked-Bronzer-Illuminating-Tan/dp/B003203BDS/ref=sr_1_8?keywords=Bronzer+Compact&amp;qid=1695565835&amp;sr=8-8", "https://www.amazon.com/Palladio-Baked-Bronzer-Illuminating-Tan/dp/B003203BDS/ref=sr_1_8?keywords=Bronzer+Compact&amp;qid=1695565835&amp;sr=8-8")</f>
        <v/>
      </c>
      <c r="F2692" t="inlineStr">
        <is>
          <t>B003203BDS</t>
        </is>
      </c>
      <c r="G2692">
        <f>_xlfn.IMAGE("https://camerareadycosmetics.com/cdn/shop/products/MOB_PDP_BR_STORY_ONFIG_1_1_50x.jpg?v=1681786170")</f>
        <v/>
      </c>
      <c r="H2692">
        <f>_xlfn.IMAGE("https://m.media-amazon.com/images/I/7159ZKPd2JL._AC_UL320_.jpg")</f>
        <v/>
      </c>
      <c r="K2692" t="inlineStr">
        <is>
          <t>28.0</t>
        </is>
      </c>
      <c r="L2692" t="n">
        <v>9.99</v>
      </c>
      <c r="M2692" s="1" t="inlineStr">
        <is>
          <t>-64.32%</t>
        </is>
      </c>
      <c r="N2692" t="n">
        <v>4.4</v>
      </c>
      <c r="O2692" t="n">
        <v>847</v>
      </c>
      <c r="Q2692" t="inlineStr">
        <is>
          <t>InStock</t>
        </is>
      </c>
      <c r="R2692" t="inlineStr">
        <is>
          <t>undefined</t>
        </is>
      </c>
      <c r="S2692" t="inlineStr">
        <is>
          <t>7583640780985</t>
        </is>
      </c>
    </row>
    <row r="2693" ht="75" customHeight="1">
      <c r="A2693" s="2">
        <f>HYPERLINK("https://camerareadycosmetics.com/products/mob-beauty-bronzer-compact", "https://camerareadycosmetics.com/products/mob-beauty-bronzer-compact")</f>
        <v/>
      </c>
      <c r="B2693" s="2">
        <f>HYPERLINK("https://camerareadycosmetics.com/products/mob-beauty-bronzer-compact", "https://camerareadycosmetics.com/products/mob-beauty-bronzer-compact")</f>
        <v/>
      </c>
      <c r="C2693" t="inlineStr">
        <is>
          <t>Bronzer Compact</t>
        </is>
      </c>
      <c r="D2693" t="inlineStr">
        <is>
          <t>MEICOLY 3-in-1 Compact Powder Blush Highlighter Contour Makeup Set,Silky Smooth Face Blush Cheek Tint,Moisturizing Face Luminizer Bronzer for Women,Trio Eyeshadow Powder Makeup,Medium</t>
        </is>
      </c>
      <c r="E2693" s="2">
        <f>HYPERLINK("https://www.amazon.com/MEICOLY-Highlighter-Moisturizing-Luminizer-Eyeshadow/dp/B0CBTLZ9N4/ref=sr_1_10?keywords=Bronzer+Compact&amp;qid=1695565835&amp;sr=8-10", "https://www.amazon.com/MEICOLY-Highlighter-Moisturizing-Luminizer-Eyeshadow/dp/B0CBTLZ9N4/ref=sr_1_10?keywords=Bronzer+Compact&amp;qid=1695565835&amp;sr=8-10")</f>
        <v/>
      </c>
      <c r="F2693" t="inlineStr">
        <is>
          <t>B0CBTLZ9N4</t>
        </is>
      </c>
      <c r="G2693">
        <f>_xlfn.IMAGE("https://camerareadycosmetics.com/cdn/shop/products/MOB_PDP_BR_STORY_ONFIG_1_1_50x.jpg?v=1681786170")</f>
        <v/>
      </c>
      <c r="H2693">
        <f>_xlfn.IMAGE("https://m.media-amazon.com/images/I/71IeGTnZdBL._AC_UL320_.jpg")</f>
        <v/>
      </c>
      <c r="K2693" t="inlineStr">
        <is>
          <t>28.0</t>
        </is>
      </c>
      <c r="L2693" t="n">
        <v>6.99</v>
      </c>
      <c r="M2693" s="1" t="inlineStr">
        <is>
          <t>-75.04%</t>
        </is>
      </c>
      <c r="N2693" t="n">
        <v>3.5</v>
      </c>
      <c r="O2693" t="n">
        <v>35</v>
      </c>
      <c r="Q2693" t="inlineStr">
        <is>
          <t>InStock</t>
        </is>
      </c>
      <c r="R2693" t="inlineStr">
        <is>
          <t>undefined</t>
        </is>
      </c>
      <c r="S2693" t="inlineStr">
        <is>
          <t>7583640780985</t>
        </is>
      </c>
    </row>
    <row r="2694" ht="75" customHeight="1">
      <c r="A2694" s="2">
        <f>HYPERLINK("https://camerareadycosmetics.com/products/mob-beauty-cake-liner", "https://camerareadycosmetics.com/products/mob-beauty-cake-liner")</f>
        <v/>
      </c>
      <c r="B2694" s="2">
        <f>HYPERLINK("https://camerareadycosmetics.com/products/mob-beauty-cake-liner", "https://camerareadycosmetics.com/products/mob-beauty-cake-liner")</f>
        <v/>
      </c>
      <c r="C2694" t="inlineStr">
        <is>
          <t>Cake Liner</t>
        </is>
      </c>
      <c r="D2694" t="inlineStr">
        <is>
          <t>Silicone Baking Mats, 2 PCS Round Silicone Mats for 9 Inch Cake Pan, Non-Stick Reusable Cookie Sheet Liners for Baking Pans for Cake/Bread/Pizza/Macaron/Pastry/Cookie/Bun/Pie</t>
        </is>
      </c>
      <c r="E2694" s="2">
        <f>HYPERLINK("https://www.amazon.com/Silicone-Baking-Non-Stick-Reusable-Macaron/dp/B09DYGW2QK/ref=sr_1_10?keywords=Cake+Liner&amp;qid=1695565776&amp;sr=8-10", "https://www.amazon.com/Silicone-Baking-Non-Stick-Reusable-Macaron/dp/B09DYGW2QK/ref=sr_1_10?keywords=Cake+Liner&amp;qid=1695565776&amp;sr=8-10")</f>
        <v/>
      </c>
      <c r="F2694" t="inlineStr">
        <is>
          <t>B09DYGW2QK</t>
        </is>
      </c>
      <c r="G2694">
        <f>_xlfn.IMAGE("https://camerareadycosmetics.com/cdn/shop/products/M90-Cake-Liner-compact_50x.jpg?v=1681762473")</f>
        <v/>
      </c>
      <c r="H2694">
        <f>_xlfn.IMAGE("https://m.media-amazon.com/images/I/81HPIXSOasL._AC_UL320_.jpg")</f>
        <v/>
      </c>
      <c r="K2694" t="inlineStr">
        <is>
          <t>19.0</t>
        </is>
      </c>
      <c r="L2694" t="n">
        <v>10.99</v>
      </c>
      <c r="M2694" s="1" t="inlineStr">
        <is>
          <t>-42.16%</t>
        </is>
      </c>
      <c r="N2694" t="n">
        <v>4.6</v>
      </c>
      <c r="O2694" t="n">
        <v>1130</v>
      </c>
      <c r="Q2694" t="inlineStr">
        <is>
          <t>InStock</t>
        </is>
      </c>
      <c r="R2694" t="inlineStr">
        <is>
          <t>19.0</t>
        </is>
      </c>
      <c r="S2694" t="inlineStr">
        <is>
          <t>7583579799737</t>
        </is>
      </c>
    </row>
    <row r="2695" ht="75" customHeight="1">
      <c r="A2695" s="2">
        <f>HYPERLINK("https://camerareadycosmetics.com/products/mob-beauty-cake-liner", "https://camerareadycosmetics.com/products/mob-beauty-cake-liner")</f>
        <v/>
      </c>
      <c r="B2695" s="2">
        <f>HYPERLINK("https://camerareadycosmetics.com/products/mob-beauty-cake-liner", "https://camerareadycosmetics.com/products/mob-beauty-cake-liner")</f>
        <v/>
      </c>
      <c r="C2695" t="inlineStr">
        <is>
          <t>Cake Liner</t>
        </is>
      </c>
      <c r="D2695" t="inlineStr">
        <is>
          <t>Cake Pan Liner, Nonstick Cake Pan Side Liner/Baking Parchment Paper Liner Roll for Cake Pan, Springform Pan (4in x 164ft)</t>
        </is>
      </c>
      <c r="E2695" s="2">
        <f>HYPERLINK("https://www.amazon.com/Liner-Nonstick-Baking-Parchment-Springform/dp/B08CMJ2HX4/ref=sr_1_2?keywords=Cake+Liner&amp;qid=1695565776&amp;sr=8-2", "https://www.amazon.com/Liner-Nonstick-Baking-Parchment-Springform/dp/B08CMJ2HX4/ref=sr_1_2?keywords=Cake+Liner&amp;qid=1695565776&amp;sr=8-2")</f>
        <v/>
      </c>
      <c r="F2695" t="inlineStr">
        <is>
          <t>B08CMJ2HX4</t>
        </is>
      </c>
      <c r="G2695">
        <f>_xlfn.IMAGE("https://camerareadycosmetics.com/cdn/shop/products/M90-Cake-Liner-compact_50x.jpg?v=1681762473")</f>
        <v/>
      </c>
      <c r="H2695">
        <f>_xlfn.IMAGE("https://m.media-amazon.com/images/I/51pdcfkoydL._AC_UL320_.jpg")</f>
        <v/>
      </c>
      <c r="K2695" t="inlineStr">
        <is>
          <t>19.0</t>
        </is>
      </c>
      <c r="L2695" t="n">
        <v>9.890000000000001</v>
      </c>
      <c r="M2695" s="1" t="inlineStr">
        <is>
          <t>-47.95%</t>
        </is>
      </c>
      <c r="N2695" t="n">
        <v>4.6</v>
      </c>
      <c r="O2695" t="n">
        <v>392</v>
      </c>
      <c r="Q2695" t="inlineStr">
        <is>
          <t>InStock</t>
        </is>
      </c>
      <c r="R2695" t="inlineStr">
        <is>
          <t>19.0</t>
        </is>
      </c>
      <c r="S2695" t="inlineStr">
        <is>
          <t>7583579799737</t>
        </is>
      </c>
    </row>
    <row r="2696" ht="75" customHeight="1">
      <c r="A2696" s="2">
        <f>HYPERLINK("https://camerareadycosmetics.com/products/mob-beauty-cake-liner", "https://camerareadycosmetics.com/products/mob-beauty-cake-liner")</f>
        <v/>
      </c>
      <c r="B2696" s="2">
        <f>HYPERLINK("https://camerareadycosmetics.com/products/mob-beauty-cake-liner", "https://camerareadycosmetics.com/products/mob-beauty-cake-liner")</f>
        <v/>
      </c>
      <c r="C2696" t="inlineStr">
        <is>
          <t>Cake Liner</t>
        </is>
      </c>
      <c r="D2696" t="inlineStr">
        <is>
          <t>Katbite Heavy Duty Parchment Rounds 8 Inch 200 Pcs, Parchment Paper Rounds Available, Uses for Cake Baking, Air Fryer Liners</t>
        </is>
      </c>
      <c r="E2696" s="2">
        <f>HYPERLINK("https://www.amazon.com/Parchment-Paper-Rounds-200-Circles-liners/dp/B07L9ZV9Q1/ref=sr_1_1?keywords=Cake+Liner&amp;qid=1695565776&amp;sr=8-1", "https://www.amazon.com/Parchment-Paper-Rounds-200-Circles-liners/dp/B07L9ZV9Q1/ref=sr_1_1?keywords=Cake+Liner&amp;qid=1695565776&amp;sr=8-1")</f>
        <v/>
      </c>
      <c r="F2696" t="inlineStr">
        <is>
          <t>B07L9ZV9Q1</t>
        </is>
      </c>
      <c r="G2696">
        <f>_xlfn.IMAGE("https://camerareadycosmetics.com/cdn/shop/products/M90-Cake-Liner-compact_50x.jpg?v=1681762473")</f>
        <v/>
      </c>
      <c r="H2696">
        <f>_xlfn.IMAGE("https://m.media-amazon.com/images/I/612HzW2qSBL._AC_UL320_.jpg")</f>
        <v/>
      </c>
      <c r="K2696" t="inlineStr">
        <is>
          <t>19.0</t>
        </is>
      </c>
      <c r="L2696" t="n">
        <v>8.99</v>
      </c>
      <c r="M2696" s="1" t="inlineStr">
        <is>
          <t>-52.68%</t>
        </is>
      </c>
      <c r="N2696" t="n">
        <v>4.8</v>
      </c>
      <c r="O2696" t="n">
        <v>7295</v>
      </c>
      <c r="Q2696" t="inlineStr">
        <is>
          <t>InStock</t>
        </is>
      </c>
      <c r="R2696" t="inlineStr">
        <is>
          <t>19.0</t>
        </is>
      </c>
      <c r="S2696" t="inlineStr">
        <is>
          <t>7583579799737</t>
        </is>
      </c>
    </row>
    <row r="2697" ht="75" customHeight="1">
      <c r="A2697" s="2">
        <f>HYPERLINK("https://camerareadycosmetics.com/products/mob-beauty-cake-liner", "https://camerareadycosmetics.com/products/mob-beauty-cake-liner")</f>
        <v/>
      </c>
      <c r="B2697" s="2">
        <f>HYPERLINK("https://camerareadycosmetics.com/products/mob-beauty-cake-liner", "https://camerareadycosmetics.com/products/mob-beauty-cake-liner")</f>
        <v/>
      </c>
      <c r="C2697" t="inlineStr">
        <is>
          <t>Cake Liner</t>
        </is>
      </c>
      <c r="D2697" t="inlineStr">
        <is>
          <t>Cupcake Liners - Standard Size Cupcake Wrappers to use for Pans or carrier or on stand - White Paper Baking Cups Pack of 500</t>
        </is>
      </c>
      <c r="E2697" s="2">
        <f>HYPERLINK("https://www.amazon.com/Green-Direct-Standard-Cupcake-Baking/dp/B00IZGY4DA/ref=sr_1_9?keywords=Cake+Liner&amp;qid=1695565776&amp;sr=8-9", "https://www.amazon.com/Green-Direct-Standard-Cupcake-Baking/dp/B00IZGY4DA/ref=sr_1_9?keywords=Cake+Liner&amp;qid=1695565776&amp;sr=8-9")</f>
        <v/>
      </c>
      <c r="F2697" t="inlineStr">
        <is>
          <t>B00IZGY4DA</t>
        </is>
      </c>
      <c r="G2697">
        <f>_xlfn.IMAGE("https://camerareadycosmetics.com/cdn/shop/products/M90-Cake-Liner-compact_50x.jpg?v=1681762473")</f>
        <v/>
      </c>
      <c r="H2697">
        <f>_xlfn.IMAGE("https://m.media-amazon.com/images/I/715-NY3dtQL._AC_UL320_.jpg")</f>
        <v/>
      </c>
      <c r="K2697" t="inlineStr">
        <is>
          <t>19.0</t>
        </is>
      </c>
      <c r="L2697" t="n">
        <v>8.49</v>
      </c>
      <c r="M2697" s="1" t="inlineStr">
        <is>
          <t>-55.32%</t>
        </is>
      </c>
      <c r="N2697" t="n">
        <v>4.7</v>
      </c>
      <c r="O2697" t="n">
        <v>5130</v>
      </c>
      <c r="Q2697" t="inlineStr">
        <is>
          <t>InStock</t>
        </is>
      </c>
      <c r="R2697" t="inlineStr">
        <is>
          <t>19.0</t>
        </is>
      </c>
      <c r="S2697" t="inlineStr">
        <is>
          <t>7583579799737</t>
        </is>
      </c>
    </row>
    <row r="2698" ht="75" customHeight="1">
      <c r="A2698" s="2">
        <f>HYPERLINK("https://camerareadycosmetics.com/products/mob-beauty-cake-liner", "https://camerareadycosmetics.com/products/mob-beauty-cake-liner")</f>
        <v/>
      </c>
      <c r="B2698" s="2">
        <f>HYPERLINK("https://camerareadycosmetics.com/products/mob-beauty-cake-liner", "https://camerareadycosmetics.com/products/mob-beauty-cake-liner")</f>
        <v/>
      </c>
      <c r="C2698" t="inlineStr">
        <is>
          <t>Cake Liner</t>
        </is>
      </c>
      <c r="D2698" t="inlineStr">
        <is>
          <t>100 Sheets Parchment Paper Rounds 6" and 8" Diameter-Non-Stick Cake Pan Liner Circles,Cookie Baking Sheets,Precut for Cake Baking, White</t>
        </is>
      </c>
      <c r="E2698" s="2">
        <f>HYPERLINK("https://www.amazon.com/Parchment-Diameter-Non-Stick-Cheesecake-Springform-Pan%EF%BC%88white%EF%BC%89/dp/B07PN8BVLM/ref=sr_1_7?keywords=Cake+Liner&amp;qid=1695565776&amp;sr=8-7", "https://www.amazon.com/Parchment-Diameter-Non-Stick-Cheesecake-Springform-Pan%EF%BC%88white%EF%BC%89/dp/B07PN8BVLM/ref=sr_1_7?keywords=Cake+Liner&amp;qid=1695565776&amp;sr=8-7")</f>
        <v/>
      </c>
      <c r="F2698" t="inlineStr">
        <is>
          <t>B07PN8BVLM</t>
        </is>
      </c>
      <c r="G2698">
        <f>_xlfn.IMAGE("https://camerareadycosmetics.com/cdn/shop/products/M90-Cake-Liner-compact_50x.jpg?v=1681762473")</f>
        <v/>
      </c>
      <c r="H2698">
        <f>_xlfn.IMAGE("https://m.media-amazon.com/images/I/51lFUCoZxEL._AC_UL320_.jpg")</f>
        <v/>
      </c>
      <c r="K2698" t="inlineStr">
        <is>
          <t>19.0</t>
        </is>
      </c>
      <c r="L2698" t="n">
        <v>6.95</v>
      </c>
      <c r="M2698" s="1" t="inlineStr">
        <is>
          <t>-63.42%</t>
        </is>
      </c>
      <c r="N2698" t="n">
        <v>4.7</v>
      </c>
      <c r="O2698" t="n">
        <v>468</v>
      </c>
      <c r="Q2698" t="inlineStr">
        <is>
          <t>InStock</t>
        </is>
      </c>
      <c r="R2698" t="inlineStr">
        <is>
          <t>19.0</t>
        </is>
      </c>
      <c r="S2698" t="inlineStr">
        <is>
          <t>7583579799737</t>
        </is>
      </c>
    </row>
    <row r="2699" ht="75" customHeight="1">
      <c r="A2699" s="2">
        <f>HYPERLINK("https://camerareadycosmetics.com/products/mob-beauty-cake-liner", "https://camerareadycosmetics.com/products/mob-beauty-cake-liner")</f>
        <v/>
      </c>
      <c r="B2699" s="2">
        <f>HYPERLINK("https://camerareadycosmetics.com/products/mob-beauty-cake-liner", "https://camerareadycosmetics.com/products/mob-beauty-cake-liner")</f>
        <v/>
      </c>
      <c r="C2699" t="inlineStr">
        <is>
          <t>Cake Liner</t>
        </is>
      </c>
      <c r="D2699" t="inlineStr">
        <is>
          <t>Caperci Standard Natural Cupcake Liners 500 Count, No Smell, Food Grade &amp; Grease-Proof Baking Cups Paper</t>
        </is>
      </c>
      <c r="E2699" s="2">
        <f>HYPERLINK("https://www.amazon.com/Caperci-Standard-Natural-Cupcake-Grease-Proof/dp/B08FSSP2N2/ref=sr_1_6?keywords=Cake+Liner&amp;qid=1695565776&amp;sr=8-6", "https://www.amazon.com/Caperci-Standard-Natural-Cupcake-Grease-Proof/dp/B08FSSP2N2/ref=sr_1_6?keywords=Cake+Liner&amp;qid=1695565776&amp;sr=8-6")</f>
        <v/>
      </c>
      <c r="F2699" t="inlineStr">
        <is>
          <t>B08FSSP2N2</t>
        </is>
      </c>
      <c r="G2699">
        <f>_xlfn.IMAGE("https://camerareadycosmetics.com/cdn/shop/products/M90-Cake-Liner-compact_50x.jpg?v=1681762473")</f>
        <v/>
      </c>
      <c r="H2699">
        <f>_xlfn.IMAGE("https://m.media-amazon.com/images/I/71IGV4uXrqL._AC_UL320_.jpg")</f>
        <v/>
      </c>
      <c r="K2699" t="inlineStr">
        <is>
          <t>19.0</t>
        </is>
      </c>
      <c r="L2699" t="n">
        <v>5.99</v>
      </c>
      <c r="M2699" s="1" t="inlineStr">
        <is>
          <t>-68.47%</t>
        </is>
      </c>
      <c r="N2699" t="n">
        <v>4.6</v>
      </c>
      <c r="O2699" t="n">
        <v>6585</v>
      </c>
      <c r="Q2699" t="inlineStr">
        <is>
          <t>InStock</t>
        </is>
      </c>
      <c r="R2699" t="inlineStr">
        <is>
          <t>19.0</t>
        </is>
      </c>
      <c r="S2699" t="inlineStr">
        <is>
          <t>7583579799737</t>
        </is>
      </c>
    </row>
    <row r="2700" ht="75" customHeight="1">
      <c r="A2700" s="2">
        <f>HYPERLINK("https://camerareadycosmetics.com/products/mob-beauty-cake-liner", "https://camerareadycosmetics.com/products/mob-beauty-cake-liner")</f>
        <v/>
      </c>
      <c r="B2700" s="2">
        <f>HYPERLINK("https://camerareadycosmetics.com/products/mob-beauty-cake-liner", "https://camerareadycosmetics.com/products/mob-beauty-cake-liner")</f>
        <v/>
      </c>
      <c r="C2700" t="inlineStr">
        <is>
          <t>Cake Liner</t>
        </is>
      </c>
      <c r="D2700" t="inlineStr">
        <is>
          <t>Non-Stick Round Parchment Paper- 6 inch - 100 Eco-Friendly Pack - Baking Paper Liners for Round Cake Pans Circle Cheesecake, Cooking, Air Fryer</t>
        </is>
      </c>
      <c r="E2700" s="2">
        <f>HYPERLINK("https://www.amazon.com/Non-Stick-Round-Parchment-Paper-inch/dp/B07QY6VH8F/ref=sr_1_5?keywords=Cake+Liner&amp;qid=1695565776&amp;sr=8-5", "https://www.amazon.com/Non-Stick-Round-Parchment-Paper-inch/dp/B07QY6VH8F/ref=sr_1_5?keywords=Cake+Liner&amp;qid=1695565776&amp;sr=8-5")</f>
        <v/>
      </c>
      <c r="F2700" t="inlineStr">
        <is>
          <t>B07QY6VH8F</t>
        </is>
      </c>
      <c r="G2700">
        <f>_xlfn.IMAGE("https://camerareadycosmetics.com/cdn/shop/products/M90-Cake-Liner-compact_50x.jpg?v=1681762473")</f>
        <v/>
      </c>
      <c r="H2700">
        <f>_xlfn.IMAGE("https://m.media-amazon.com/images/I/61fgP7MdnyL._AC_UL320_.jpg")</f>
        <v/>
      </c>
      <c r="K2700" t="inlineStr">
        <is>
          <t>19.0</t>
        </is>
      </c>
      <c r="L2700" t="n">
        <v>4.99</v>
      </c>
      <c r="M2700" s="1" t="inlineStr">
        <is>
          <t>-73.74%</t>
        </is>
      </c>
      <c r="N2700" t="n">
        <v>4.7</v>
      </c>
      <c r="O2700" t="n">
        <v>1677</v>
      </c>
      <c r="Q2700" t="inlineStr">
        <is>
          <t>InStock</t>
        </is>
      </c>
      <c r="R2700" t="inlineStr">
        <is>
          <t>19.0</t>
        </is>
      </c>
      <c r="S2700" t="inlineStr">
        <is>
          <t>7583579799737</t>
        </is>
      </c>
    </row>
    <row r="2701" ht="75" customHeight="1">
      <c r="A2701" s="2">
        <f>HYPERLINK("https://camerareadycosmetics.com/products/mob-beauty-cake-liner", "https://camerareadycosmetics.com/products/mob-beauty-cake-liner")</f>
        <v/>
      </c>
      <c r="B2701" s="2">
        <f>HYPERLINK("https://camerareadycosmetics.com/products/mob-beauty-cake-liner", "https://camerareadycosmetics.com/products/mob-beauty-cake-liner")</f>
        <v/>
      </c>
      <c r="C2701" t="inlineStr">
        <is>
          <t>Cake Liner</t>
        </is>
      </c>
      <c r="D2701" t="inlineStr">
        <is>
          <t>Cake Pan Liner, Nonstick Cake Pan Side Liner/Baking Parchment Paper Liner Roll for Cake Pan, Springform Pan (4in x 164ft)</t>
        </is>
      </c>
      <c r="E2701" s="2">
        <f>HYPERLINK("https://www.amazon.com/Liner-Nonstick-Baking-Parchment-Springform/dp/B08CMJ2HX4/ref=sr_1_2?keywords=Cake+Liner&amp;qid=1695565776&amp;sr=8-2", "https://www.amazon.com/Liner-Nonstick-Baking-Parchment-Springform/dp/B08CMJ2HX4/ref=sr_1_2?keywords=Cake+Liner&amp;qid=1695565776&amp;sr=8-2")</f>
        <v/>
      </c>
      <c r="F2701" t="inlineStr">
        <is>
          <t>B08CMJ2HX4</t>
        </is>
      </c>
      <c r="G2701">
        <f>_xlfn.IMAGE("https://camerareadycosmetics.com/cdn/shop/products/M90-Cake-Liner-compact_50x.jpg?v=1681762473")</f>
        <v/>
      </c>
      <c r="H2701">
        <f>_xlfn.IMAGE("https://m.media-amazon.com/images/I/51pdcfkoydL._AC_UL320_.jpg")</f>
        <v/>
      </c>
      <c r="K2701" t="inlineStr">
        <is>
          <t>19.0</t>
        </is>
      </c>
      <c r="L2701" t="n">
        <v>9.890000000000001</v>
      </c>
      <c r="M2701" s="1" t="inlineStr">
        <is>
          <t>-47.95%</t>
        </is>
      </c>
      <c r="N2701" t="n">
        <v>4.6</v>
      </c>
      <c r="O2701" t="n">
        <v>392</v>
      </c>
      <c r="Q2701" t="inlineStr">
        <is>
          <t>InStock</t>
        </is>
      </c>
      <c r="R2701" t="inlineStr">
        <is>
          <t>19.0</t>
        </is>
      </c>
      <c r="S2701" t="inlineStr">
        <is>
          <t>7583579799737</t>
        </is>
      </c>
    </row>
    <row r="2702" ht="75" customHeight="1">
      <c r="A2702" s="2">
        <f>HYPERLINK("https://camerareadycosmetics.com/products/mob-beauty-cake-liner", "https://camerareadycosmetics.com/products/mob-beauty-cake-liner")</f>
        <v/>
      </c>
      <c r="B2702" s="2">
        <f>HYPERLINK("https://camerareadycosmetics.com/products/mob-beauty-cake-liner", "https://camerareadycosmetics.com/products/mob-beauty-cake-liner")</f>
        <v/>
      </c>
      <c r="C2702" t="inlineStr">
        <is>
          <t>Cake Liner</t>
        </is>
      </c>
      <c r="D2702" t="inlineStr">
        <is>
          <t>Katbite Heavy Duty Parchment Rounds 8 Inch 200 Pcs, Parchment Paper Rounds Available, Uses for Cake Baking, Air Fryer Liners</t>
        </is>
      </c>
      <c r="E2702" s="2">
        <f>HYPERLINK("https://www.amazon.com/Parchment-Paper-Rounds-200-Circles-liners/dp/B07L9ZV9Q1/ref=sr_1_1?keywords=Cake+Liner&amp;qid=1695565776&amp;sr=8-1", "https://www.amazon.com/Parchment-Paper-Rounds-200-Circles-liners/dp/B07L9ZV9Q1/ref=sr_1_1?keywords=Cake+Liner&amp;qid=1695565776&amp;sr=8-1")</f>
        <v/>
      </c>
      <c r="F2702" t="inlineStr">
        <is>
          <t>B07L9ZV9Q1</t>
        </is>
      </c>
      <c r="G2702">
        <f>_xlfn.IMAGE("https://camerareadycosmetics.com/cdn/shop/products/M90-Cake-Liner-compact_50x.jpg?v=1681762473")</f>
        <v/>
      </c>
      <c r="H2702">
        <f>_xlfn.IMAGE("https://m.media-amazon.com/images/I/612HzW2qSBL._AC_UL320_.jpg")</f>
        <v/>
      </c>
      <c r="K2702" t="inlineStr">
        <is>
          <t>19.0</t>
        </is>
      </c>
      <c r="L2702" t="n">
        <v>8.99</v>
      </c>
      <c r="M2702" s="1" t="inlineStr">
        <is>
          <t>-52.68%</t>
        </is>
      </c>
      <c r="N2702" t="n">
        <v>4.8</v>
      </c>
      <c r="O2702" t="n">
        <v>7295</v>
      </c>
      <c r="Q2702" t="inlineStr">
        <is>
          <t>InStock</t>
        </is>
      </c>
      <c r="R2702" t="inlineStr">
        <is>
          <t>19.0</t>
        </is>
      </c>
      <c r="S2702" t="inlineStr">
        <is>
          <t>7583579799737</t>
        </is>
      </c>
    </row>
    <row r="2703" ht="75" customHeight="1">
      <c r="A2703" s="2">
        <f>HYPERLINK("https://camerareadycosmetics.com/products/mob-beauty-cake-liner", "https://camerareadycosmetics.com/products/mob-beauty-cake-liner")</f>
        <v/>
      </c>
      <c r="B2703" s="2">
        <f>HYPERLINK("https://camerareadycosmetics.com/products/mob-beauty-cake-liner", "https://camerareadycosmetics.com/products/mob-beauty-cake-liner")</f>
        <v/>
      </c>
      <c r="C2703" t="inlineStr">
        <is>
          <t>Cake Liner</t>
        </is>
      </c>
      <c r="D2703" t="inlineStr">
        <is>
          <t>Cupcake Liners - Standard Size Cupcake Wrappers to use for Pans or carrier or on stand - White Paper Baking Cups Pack of 500</t>
        </is>
      </c>
      <c r="E2703" s="2">
        <f>HYPERLINK("https://www.amazon.com/Green-Direct-Standard-Cupcake-Baking/dp/B00IZGY4DA/ref=sr_1_9?keywords=Cake+Liner&amp;qid=1695565776&amp;sr=8-9", "https://www.amazon.com/Green-Direct-Standard-Cupcake-Baking/dp/B00IZGY4DA/ref=sr_1_9?keywords=Cake+Liner&amp;qid=1695565776&amp;sr=8-9")</f>
        <v/>
      </c>
      <c r="F2703" t="inlineStr">
        <is>
          <t>B00IZGY4DA</t>
        </is>
      </c>
      <c r="G2703">
        <f>_xlfn.IMAGE("https://camerareadycosmetics.com/cdn/shop/products/M90-Cake-Liner-compact_50x.jpg?v=1681762473")</f>
        <v/>
      </c>
      <c r="H2703">
        <f>_xlfn.IMAGE("https://m.media-amazon.com/images/I/715-NY3dtQL._AC_UL320_.jpg")</f>
        <v/>
      </c>
      <c r="K2703" t="inlineStr">
        <is>
          <t>19.0</t>
        </is>
      </c>
      <c r="L2703" t="n">
        <v>8.49</v>
      </c>
      <c r="M2703" s="1" t="inlineStr">
        <is>
          <t>-55.32%</t>
        </is>
      </c>
      <c r="N2703" t="n">
        <v>4.7</v>
      </c>
      <c r="O2703" t="n">
        <v>5130</v>
      </c>
      <c r="Q2703" t="inlineStr">
        <is>
          <t>InStock</t>
        </is>
      </c>
      <c r="R2703" t="inlineStr">
        <is>
          <t>19.0</t>
        </is>
      </c>
      <c r="S2703" t="inlineStr">
        <is>
          <t>7583579799737</t>
        </is>
      </c>
    </row>
    <row r="2704" ht="75" customHeight="1">
      <c r="A2704" s="2">
        <f>HYPERLINK("https://camerareadycosmetics.com/products/mob-beauty-cake-liner", "https://camerareadycosmetics.com/products/mob-beauty-cake-liner")</f>
        <v/>
      </c>
      <c r="B2704" s="2">
        <f>HYPERLINK("https://camerareadycosmetics.com/products/mob-beauty-cake-liner", "https://camerareadycosmetics.com/products/mob-beauty-cake-liner")</f>
        <v/>
      </c>
      <c r="C2704" t="inlineStr">
        <is>
          <t>Cake Liner</t>
        </is>
      </c>
      <c r="D2704" t="inlineStr">
        <is>
          <t>100 Sheets Parchment Paper Rounds 6" and 8" Diameter-Non-Stick Cake Pan Liner Circles,Cookie Baking Sheets,Precut for Cake Baking, White</t>
        </is>
      </c>
      <c r="E2704" s="2">
        <f>HYPERLINK("https://www.amazon.com/Parchment-Diameter-Non-Stick-Cheesecake-Springform-Pan%EF%BC%88white%EF%BC%89/dp/B07PN8BVLM/ref=sr_1_7?keywords=Cake+Liner&amp;qid=1695565776&amp;sr=8-7", "https://www.amazon.com/Parchment-Diameter-Non-Stick-Cheesecake-Springform-Pan%EF%BC%88white%EF%BC%89/dp/B07PN8BVLM/ref=sr_1_7?keywords=Cake+Liner&amp;qid=1695565776&amp;sr=8-7")</f>
        <v/>
      </c>
      <c r="F2704" t="inlineStr">
        <is>
          <t>B07PN8BVLM</t>
        </is>
      </c>
      <c r="G2704">
        <f>_xlfn.IMAGE("https://camerareadycosmetics.com/cdn/shop/products/M90-Cake-Liner-compact_50x.jpg?v=1681762473")</f>
        <v/>
      </c>
      <c r="H2704">
        <f>_xlfn.IMAGE("https://m.media-amazon.com/images/I/51lFUCoZxEL._AC_UL320_.jpg")</f>
        <v/>
      </c>
      <c r="K2704" t="inlineStr">
        <is>
          <t>19.0</t>
        </is>
      </c>
      <c r="L2704" t="n">
        <v>6.95</v>
      </c>
      <c r="M2704" s="1" t="inlineStr">
        <is>
          <t>-63.42%</t>
        </is>
      </c>
      <c r="N2704" t="n">
        <v>4.7</v>
      </c>
      <c r="O2704" t="n">
        <v>468</v>
      </c>
      <c r="Q2704" t="inlineStr">
        <is>
          <t>InStock</t>
        </is>
      </c>
      <c r="R2704" t="inlineStr">
        <is>
          <t>19.0</t>
        </is>
      </c>
      <c r="S2704" t="inlineStr">
        <is>
          <t>7583579799737</t>
        </is>
      </c>
    </row>
    <row r="2705" ht="75" customHeight="1">
      <c r="A2705" s="2">
        <f>HYPERLINK("https://camerareadycosmetics.com/products/mob-beauty-cake-liner", "https://camerareadycosmetics.com/products/mob-beauty-cake-liner")</f>
        <v/>
      </c>
      <c r="B2705" s="2">
        <f>HYPERLINK("https://camerareadycosmetics.com/products/mob-beauty-cake-liner", "https://camerareadycosmetics.com/products/mob-beauty-cake-liner")</f>
        <v/>
      </c>
      <c r="C2705" t="inlineStr">
        <is>
          <t>Cake Liner</t>
        </is>
      </c>
      <c r="D2705" t="inlineStr">
        <is>
          <t>Caperci Standard Natural Cupcake Liners 500 Count, No Smell, Food Grade &amp; Grease-Proof Baking Cups Paper</t>
        </is>
      </c>
      <c r="E2705" s="2">
        <f>HYPERLINK("https://www.amazon.com/Caperci-Standard-Natural-Cupcake-Grease-Proof/dp/B08FSSP2N2/ref=sr_1_6?keywords=Cake+Liner&amp;qid=1695565776&amp;sr=8-6", "https://www.amazon.com/Caperci-Standard-Natural-Cupcake-Grease-Proof/dp/B08FSSP2N2/ref=sr_1_6?keywords=Cake+Liner&amp;qid=1695565776&amp;sr=8-6")</f>
        <v/>
      </c>
      <c r="F2705" t="inlineStr">
        <is>
          <t>B08FSSP2N2</t>
        </is>
      </c>
      <c r="G2705">
        <f>_xlfn.IMAGE("https://camerareadycosmetics.com/cdn/shop/products/M90-Cake-Liner-compact_50x.jpg?v=1681762473")</f>
        <v/>
      </c>
      <c r="H2705">
        <f>_xlfn.IMAGE("https://m.media-amazon.com/images/I/71IGV4uXrqL._AC_UL320_.jpg")</f>
        <v/>
      </c>
      <c r="K2705" t="inlineStr">
        <is>
          <t>19.0</t>
        </is>
      </c>
      <c r="L2705" t="n">
        <v>5.99</v>
      </c>
      <c r="M2705" s="1" t="inlineStr">
        <is>
          <t>-68.47%</t>
        </is>
      </c>
      <c r="N2705" t="n">
        <v>4.6</v>
      </c>
      <c r="O2705" t="n">
        <v>6585</v>
      </c>
      <c r="Q2705" t="inlineStr">
        <is>
          <t>InStock</t>
        </is>
      </c>
      <c r="R2705" t="inlineStr">
        <is>
          <t>19.0</t>
        </is>
      </c>
      <c r="S2705" t="inlineStr">
        <is>
          <t>7583579799737</t>
        </is>
      </c>
    </row>
    <row r="2706" ht="75" customHeight="1">
      <c r="A2706" s="2">
        <f>HYPERLINK("https://camerareadycosmetics.com/products/mob-beauty-cake-liner", "https://camerareadycosmetics.com/products/mob-beauty-cake-liner")</f>
        <v/>
      </c>
      <c r="B2706" s="2">
        <f>HYPERLINK("https://camerareadycosmetics.com/products/mob-beauty-cake-liner", "https://camerareadycosmetics.com/products/mob-beauty-cake-liner")</f>
        <v/>
      </c>
      <c r="C2706" t="inlineStr">
        <is>
          <t>Cake Liner</t>
        </is>
      </c>
      <c r="D2706" t="inlineStr">
        <is>
          <t>Non-Stick Round Parchment Paper- 6 inch - 100 Eco-Friendly Pack - Baking Paper Liners for Round Cake Pans Circle Cheesecake, Cooking, Air Fryer</t>
        </is>
      </c>
      <c r="E2706" s="2">
        <f>HYPERLINK("https://www.amazon.com/Non-Stick-Round-Parchment-Paper-inch/dp/B07QY6VH8F/ref=sr_1_5?keywords=Cake+Liner&amp;qid=1695565776&amp;sr=8-5", "https://www.amazon.com/Non-Stick-Round-Parchment-Paper-inch/dp/B07QY6VH8F/ref=sr_1_5?keywords=Cake+Liner&amp;qid=1695565776&amp;sr=8-5")</f>
        <v/>
      </c>
      <c r="F2706" t="inlineStr">
        <is>
          <t>B07QY6VH8F</t>
        </is>
      </c>
      <c r="G2706">
        <f>_xlfn.IMAGE("https://camerareadycosmetics.com/cdn/shop/products/M90-Cake-Liner-compact_50x.jpg?v=1681762473")</f>
        <v/>
      </c>
      <c r="H2706">
        <f>_xlfn.IMAGE("https://m.media-amazon.com/images/I/61fgP7MdnyL._AC_UL320_.jpg")</f>
        <v/>
      </c>
      <c r="K2706" t="inlineStr">
        <is>
          <t>19.0</t>
        </is>
      </c>
      <c r="L2706" t="n">
        <v>4.99</v>
      </c>
      <c r="M2706" s="1" t="inlineStr">
        <is>
          <t>-73.74%</t>
        </is>
      </c>
      <c r="N2706" t="n">
        <v>4.7</v>
      </c>
      <c r="O2706" t="n">
        <v>1677</v>
      </c>
      <c r="Q2706" t="inlineStr">
        <is>
          <t>InStock</t>
        </is>
      </c>
      <c r="R2706" t="inlineStr">
        <is>
          <t>19.0</t>
        </is>
      </c>
      <c r="S2706" t="inlineStr">
        <is>
          <t>7583579799737</t>
        </is>
      </c>
    </row>
    <row r="2707" ht="75" customHeight="1">
      <c r="A2707" s="2">
        <f>HYPERLINK("https://camerareadycosmetics.com/products/mob-beauty-eyeshadow", "https://camerareadycosmetics.com/products/mob-beauty-eyeshadow")</f>
        <v/>
      </c>
      <c r="B2707" s="2">
        <f>HYPERLINK("https://camerareadycosmetics.com/products/mob-beauty-eyeshadow", "https://camerareadycosmetics.com/products/mob-beauty-eyeshadow")</f>
        <v/>
      </c>
      <c r="C2707" t="inlineStr">
        <is>
          <t>Eyeshadow Compact</t>
        </is>
      </c>
      <c r="D2707" t="inlineStr">
        <is>
          <t>PRO Matte &amp; Shimmer Eyeshadow Palette, Metallic High Pigmented, Mirror Compact</t>
        </is>
      </c>
      <c r="E2707" s="2">
        <f>HYPERLINK("https://www.amazon.com/LORAC-Pro-Matte-Shadow-Palette/dp/B00ZZ8XOD2/ref=sr_1_8?keywords=Eyeshadow+Compact&amp;qid=1695565835&amp;sr=8-8", "https://www.amazon.com/LORAC-Pro-Matte-Shadow-Palette/dp/B00ZZ8XOD2/ref=sr_1_8?keywords=Eyeshadow+Compact&amp;qid=1695565835&amp;sr=8-8")</f>
        <v/>
      </c>
      <c r="F2707" t="inlineStr">
        <is>
          <t>B00ZZ8XOD2</t>
        </is>
      </c>
      <c r="G2707">
        <f>_xlfn.IMAGE("https://camerareadycosmetics.com/cdn/shop/products/MOB_PRODUCT_COMPACT1_ES_M8_50x.jpg?v=1681755363")</f>
        <v/>
      </c>
      <c r="H2707">
        <f>_xlfn.IMAGE("https://m.media-amazon.com/images/I/71-8oA15ykL._AC_UL320_.jpg")</f>
        <v/>
      </c>
      <c r="K2707" t="inlineStr">
        <is>
          <t>16.0</t>
        </is>
      </c>
      <c r="L2707" t="n">
        <v>25</v>
      </c>
      <c r="M2707" s="1" t="inlineStr">
        <is>
          <t>56.25%</t>
        </is>
      </c>
      <c r="N2707" t="n">
        <v>4.6</v>
      </c>
      <c r="O2707" t="n">
        <v>1829</v>
      </c>
      <c r="Q2707" t="inlineStr">
        <is>
          <t>InStock</t>
        </is>
      </c>
      <c r="R2707" t="inlineStr">
        <is>
          <t>undefined</t>
        </is>
      </c>
      <c r="S2707" t="inlineStr">
        <is>
          <t>7583551258809</t>
        </is>
      </c>
    </row>
    <row r="2708" ht="75" customHeight="1">
      <c r="A2708" s="2">
        <f>HYPERLINK("https://camerareadycosmetics.com/products/mob-beauty-eyeshadow-compact-refill", "https://camerareadycosmetics.com/products/mob-beauty-eyeshadow-compact-refill")</f>
        <v/>
      </c>
      <c r="B2708" s="2">
        <f>HYPERLINK("https://camerareadycosmetics.com/products/mob-beauty-eyeshadow-compact-refill", "https://camerareadycosmetics.com/products/mob-beauty-eyeshadow-compact-refill")</f>
        <v/>
      </c>
      <c r="C2708" t="inlineStr">
        <is>
          <t>Eyeshadow Compact Refill</t>
        </is>
      </c>
      <c r="D2708" t="inlineStr">
        <is>
          <t>Paul &amp; Joe Eye Color Duo Refill Only, Compact Sold Separately, Two-Tone Eye Shadow Fillers for Eyeshadow Palette, Khaki Brown and Blue Gray Long-Lasting Eye Makeup, 07 Marsh Bird, 0.71 oz</t>
        </is>
      </c>
      <c r="E2708" s="2">
        <f>HYPERLINK("https://www.amazon.com/Paul-Joe-Color-Refill-Marsh/dp/B08C12J3BL/ref=sr_1_4?keywords=Eyeshadow+Compact+Refill&amp;qid=1695565816&amp;sr=8-4", "https://www.amazon.com/Paul-Joe-Color-Refill-Marsh/dp/B08C12J3BL/ref=sr_1_4?keywords=Eyeshadow+Compact+Refill&amp;qid=1695565816&amp;sr=8-4")</f>
        <v/>
      </c>
      <c r="F2708" t="inlineStr">
        <is>
          <t>B08C12J3BL</t>
        </is>
      </c>
      <c r="G2708">
        <f>_xlfn.IMAGE("https://camerareadycosmetics.com/cdn/shop/products/refill-MOB_PRODUCT_COMPACT1_ES_M2_50x.jpg?v=1681758824")</f>
        <v/>
      </c>
      <c r="H2708">
        <f>_xlfn.IMAGE("https://m.media-amazon.com/images/I/81wxBcjF9ML._AC_UL320_.jpg")</f>
        <v/>
      </c>
      <c r="K2708" t="inlineStr">
        <is>
          <t>12.0</t>
        </is>
      </c>
      <c r="L2708" t="n">
        <v>28</v>
      </c>
      <c r="M2708" s="1" t="inlineStr">
        <is>
          <t>133.33%</t>
        </is>
      </c>
      <c r="N2708" t="n">
        <v>4.7</v>
      </c>
      <c r="O2708" t="n">
        <v>11</v>
      </c>
      <c r="Q2708" t="inlineStr">
        <is>
          <t>InStock</t>
        </is>
      </c>
      <c r="R2708" t="inlineStr">
        <is>
          <t>undefined</t>
        </is>
      </c>
      <c r="S2708" t="inlineStr">
        <is>
          <t>7583576195257</t>
        </is>
      </c>
    </row>
    <row r="2709" ht="75" customHeight="1">
      <c r="A2709" s="2">
        <f>HYPERLINK("https://camerareadycosmetics.com/products/mob-beauty-eyeshadow-compact-refill", "https://camerareadycosmetics.com/products/mob-beauty-eyeshadow-compact-refill")</f>
        <v/>
      </c>
      <c r="B2709" s="2">
        <f>HYPERLINK("https://camerareadycosmetics.com/products/mob-beauty-eyeshadow-compact-refill", "https://camerareadycosmetics.com/products/mob-beauty-eyeshadow-compact-refill")</f>
        <v/>
      </c>
      <c r="C2709" t="inlineStr">
        <is>
          <t>Eyeshadow Compact Refill</t>
        </is>
      </c>
      <c r="D2709" t="inlineStr">
        <is>
          <t>Honeybee Gardens 'Skinny Dip' REFILL pack | 4 Single Eyeshadows, No Refillable Compact Included | Vegan | Cruelty Free | Gluten Free</t>
        </is>
      </c>
      <c r="E2709" s="2">
        <f>HYPERLINK("https://www.amazon.com/Honeybee-Gardens-Eyeshadows-Refillable-Included/dp/B09QLMZHDB/ref=sr_1_2?keywords=Eyeshadow+Compact+Refill&amp;qid=1695565816&amp;sr=8-2", "https://www.amazon.com/Honeybee-Gardens-Eyeshadows-Refillable-Included/dp/B09QLMZHDB/ref=sr_1_2?keywords=Eyeshadow+Compact+Refill&amp;qid=1695565816&amp;sr=8-2")</f>
        <v/>
      </c>
      <c r="F2709" t="inlineStr">
        <is>
          <t>B09QLMZHDB</t>
        </is>
      </c>
      <c r="G2709">
        <f>_xlfn.IMAGE("https://camerareadycosmetics.com/cdn/shop/products/refill-MOB_PRODUCT_COMPACT1_ES_M2_50x.jpg?v=1681758824")</f>
        <v/>
      </c>
      <c r="H2709">
        <f>_xlfn.IMAGE("https://m.media-amazon.com/images/I/81dHmZcoj3L._AC_UL320_.jpg")</f>
        <v/>
      </c>
      <c r="K2709" t="inlineStr">
        <is>
          <t>12.0</t>
        </is>
      </c>
      <c r="L2709" t="n">
        <v>22</v>
      </c>
      <c r="M2709" s="1" t="inlineStr">
        <is>
          <t>83.33%</t>
        </is>
      </c>
      <c r="N2709" t="n">
        <v>4.5</v>
      </c>
      <c r="O2709" t="n">
        <v>4</v>
      </c>
      <c r="Q2709" t="inlineStr">
        <is>
          <t>InStock</t>
        </is>
      </c>
      <c r="R2709" t="inlineStr">
        <is>
          <t>undefined</t>
        </is>
      </c>
      <c r="S2709" t="inlineStr">
        <is>
          <t>7583576195257</t>
        </is>
      </c>
    </row>
    <row r="2710" ht="75" customHeight="1">
      <c r="A2710" s="2">
        <f>HYPERLINK("https://camerareadycosmetics.com/products/mob-beauty-eyeshadow-compact-refill", "https://camerareadycosmetics.com/products/mob-beauty-eyeshadow-compact-refill")</f>
        <v/>
      </c>
      <c r="B2710" s="2">
        <f>HYPERLINK("https://camerareadycosmetics.com/products/mob-beauty-eyeshadow-compact-refill", "https://camerareadycosmetics.com/products/mob-beauty-eyeshadow-compact-refill")</f>
        <v/>
      </c>
      <c r="C2710" t="inlineStr">
        <is>
          <t>Eyeshadow Compact Refill</t>
        </is>
      </c>
      <c r="D2710" t="inlineStr">
        <is>
          <t>Diego dalla Palma Customizable Eyeshadow Palette - Practical And Functional Magnetic Compact - Includes A Mirror - 4 Slots For Replaceable Eyeshadows - Comes In Iconic Red Color - Refill System - 1 Pc</t>
        </is>
      </c>
      <c r="E2710" s="2">
        <f>HYPERLINK("https://www.amazon.com/Diego-Customizable-Eyeshadow-Palette-Refill/dp/B085G5CCHG/ref=sr_1_9?keywords=Eyeshadow+Compact+Refill&amp;qid=1695565816&amp;sr=8-9", "https://www.amazon.com/Diego-Customizable-Eyeshadow-Palette-Refill/dp/B085G5CCHG/ref=sr_1_9?keywords=Eyeshadow+Compact+Refill&amp;qid=1695565816&amp;sr=8-9")</f>
        <v/>
      </c>
      <c r="F2710" t="inlineStr">
        <is>
          <t>B085G5CCHG</t>
        </is>
      </c>
      <c r="G2710">
        <f>_xlfn.IMAGE("https://camerareadycosmetics.com/cdn/shop/products/refill-MOB_PRODUCT_COMPACT1_ES_M2_50x.jpg?v=1681758824")</f>
        <v/>
      </c>
      <c r="H2710">
        <f>_xlfn.IMAGE("https://m.media-amazon.com/images/I/51AX3SvMPWL._AC_UL320_.jpg")</f>
        <v/>
      </c>
      <c r="K2710" t="inlineStr">
        <is>
          <t>12.0</t>
        </is>
      </c>
      <c r="L2710" t="n">
        <v>12.69</v>
      </c>
      <c r="M2710" s="1" t="inlineStr">
        <is>
          <t>5.75%</t>
        </is>
      </c>
      <c r="N2710" t="n">
        <v>4.1</v>
      </c>
      <c r="O2710" t="n">
        <v>5</v>
      </c>
      <c r="Q2710" t="inlineStr">
        <is>
          <t>InStock</t>
        </is>
      </c>
      <c r="R2710" t="inlineStr">
        <is>
          <t>undefined</t>
        </is>
      </c>
      <c r="S2710" t="inlineStr">
        <is>
          <t>7583576195257</t>
        </is>
      </c>
    </row>
    <row r="2711" ht="75" customHeight="1">
      <c r="A2711" s="2">
        <f>HYPERLINK("https://camerareadycosmetics.com/products/mob-beauty-eyeshadow-compact-refill", "https://camerareadycosmetics.com/products/mob-beauty-eyeshadow-compact-refill")</f>
        <v/>
      </c>
      <c r="B2711" s="2">
        <f>HYPERLINK("https://camerareadycosmetics.com/products/mob-beauty-eyeshadow-compact-refill", "https://camerareadycosmetics.com/products/mob-beauty-eyeshadow-compact-refill")</f>
        <v/>
      </c>
      <c r="C2711" t="inlineStr">
        <is>
          <t>Eyeshadow Compact Refill</t>
        </is>
      </c>
      <c r="D2711" t="inlineStr">
        <is>
          <t>Honeybee Gardens Pressed Powder Matte Plum Eyeshadow Single REFILL (Canterbury - matte light dusty plum) | PAN ONLY, NO COMPACT | Vegan, Gluten Free, Cruelty Free, 1.3g</t>
        </is>
      </c>
      <c r="E2711" s="2">
        <f>HYPERLINK("https://www.amazon.com/Honeybee-Gardens-Pressed-Powder-Canterbury/dp/B00I3DJQOC/ref=sr_1_10?keywords=Eyeshadow+Compact+Refill&amp;qid=1695565816&amp;sr=8-10", "https://www.amazon.com/Honeybee-Gardens-Pressed-Powder-Canterbury/dp/B00I3DJQOC/ref=sr_1_10?keywords=Eyeshadow+Compact+Refill&amp;qid=1695565816&amp;sr=8-10")</f>
        <v/>
      </c>
      <c r="F2711" t="inlineStr">
        <is>
          <t>B00I3DJQOC</t>
        </is>
      </c>
      <c r="G2711">
        <f>_xlfn.IMAGE("https://camerareadycosmetics.com/cdn/shop/products/refill-MOB_PRODUCT_COMPACT1_ES_M2_50x.jpg?v=1681758824")</f>
        <v/>
      </c>
      <c r="H2711">
        <f>_xlfn.IMAGE("https://m.media-amazon.com/images/I/71xUEdv0ctL._AC_UL320_.jpg")</f>
        <v/>
      </c>
      <c r="K2711" t="inlineStr">
        <is>
          <t>12.0</t>
        </is>
      </c>
      <c r="L2711" t="n">
        <v>9.99</v>
      </c>
      <c r="M2711" s="1" t="inlineStr">
        <is>
          <t>-16.75%</t>
        </is>
      </c>
      <c r="N2711" t="n">
        <v>4.3</v>
      </c>
      <c r="O2711" t="n">
        <v>507</v>
      </c>
      <c r="Q2711" t="inlineStr">
        <is>
          <t>InStock</t>
        </is>
      </c>
      <c r="R2711" t="inlineStr">
        <is>
          <t>undefined</t>
        </is>
      </c>
      <c r="S2711" t="inlineStr">
        <is>
          <t>7583576195257</t>
        </is>
      </c>
    </row>
    <row r="2712" ht="75" customHeight="1">
      <c r="A2712" s="2">
        <f>HYPERLINK("https://camerareadycosmetics.com/products/mob-beauty-eyeshadow-compact-refill", "https://camerareadycosmetics.com/products/mob-beauty-eyeshadow-compact-refill")</f>
        <v/>
      </c>
      <c r="B2712" s="2">
        <f>HYPERLINK("https://camerareadycosmetics.com/products/mob-beauty-eyeshadow-compact-refill", "https://camerareadycosmetics.com/products/mob-beauty-eyeshadow-compact-refill")</f>
        <v/>
      </c>
      <c r="C2712" t="inlineStr">
        <is>
          <t>Eyeshadow Compact Refill</t>
        </is>
      </c>
      <c r="D2712" t="inlineStr">
        <is>
          <t>Honeybee Gardens Pressed Powder Matte Dark Plum Eyeshadow Single REFILL (Galileo - matte dark plum mauve) | PAN ONLY, NO COMPACT | Vegan, Gluten Free, Cruelty Free, 1.3g</t>
        </is>
      </c>
      <c r="E2712" s="2">
        <f>HYPERLINK("https://www.amazon.com/Honeybee-Gardens-Pressed-Cruelty-Ingredients/dp/B07YM2GW16/ref=sr_1_3?keywords=Eyeshadow+Compact+Refill&amp;qid=1695565816&amp;sr=8-3", "https://www.amazon.com/Honeybee-Gardens-Pressed-Cruelty-Ingredients/dp/B07YM2GW16/ref=sr_1_3?keywords=Eyeshadow+Compact+Refill&amp;qid=1695565816&amp;sr=8-3")</f>
        <v/>
      </c>
      <c r="F2712" t="inlineStr">
        <is>
          <t>B07YM2GW16</t>
        </is>
      </c>
      <c r="G2712">
        <f>_xlfn.IMAGE("https://camerareadycosmetics.com/cdn/shop/products/refill-MOB_PRODUCT_COMPACT1_ES_M2_50x.jpg?v=1681758824")</f>
        <v/>
      </c>
      <c r="H2712">
        <f>_xlfn.IMAGE("https://m.media-amazon.com/images/I/71Cm+dHfpVL._AC_UL320_.jpg")</f>
        <v/>
      </c>
      <c r="K2712" t="inlineStr">
        <is>
          <t>12.0</t>
        </is>
      </c>
      <c r="L2712" t="n">
        <v>9.99</v>
      </c>
      <c r="M2712" s="1" t="inlineStr">
        <is>
          <t>-16.75%</t>
        </is>
      </c>
      <c r="N2712" t="n">
        <v>4.3</v>
      </c>
      <c r="O2712" t="n">
        <v>229</v>
      </c>
      <c r="Q2712" t="inlineStr">
        <is>
          <t>InStock</t>
        </is>
      </c>
      <c r="R2712" t="inlineStr">
        <is>
          <t>undefined</t>
        </is>
      </c>
      <c r="S2712" t="inlineStr">
        <is>
          <t>7583576195257</t>
        </is>
      </c>
    </row>
    <row r="2713" ht="75" customHeight="1">
      <c r="A2713" s="2">
        <f>HYPERLINK("https://camerareadycosmetics.com/products/mob-beauty-highlighter-compact", "https://camerareadycosmetics.com/products/mob-beauty-highlighter-compact")</f>
        <v/>
      </c>
      <c r="B2713" s="2">
        <f>HYPERLINK("https://camerareadycosmetics.com/products/mob-beauty-highlighter-compact", "https://camerareadycosmetics.com/products/mob-beauty-highlighter-compact")</f>
        <v/>
      </c>
      <c r="C2713" t="inlineStr">
        <is>
          <t>Highlighter Compact</t>
        </is>
      </c>
      <c r="D2713" t="inlineStr">
        <is>
          <t>Elizabeth Mott Show Me Your Glow Shimmer Shadow and Highlighter Makeup - Natural Face Glow Makeup - Cruelty Free and Paraben Free - Illuminating Pearl Highlight - Compact Powder Highlighter (10g)</t>
        </is>
      </c>
      <c r="E2713" s="2">
        <f>HYPERLINK("https://www.amazon.com/Elizabeth-Mott-Shimmer-Shadow-Highlighter/dp/B01N7U62CC/ref=sr_1_9?keywords=Highlighter+Compact&amp;qid=1695565888&amp;sr=8-9", "https://www.amazon.com/Elizabeth-Mott-Shimmer-Shadow-Highlighter/dp/B01N7U62CC/ref=sr_1_9?keywords=Highlighter+Compact&amp;qid=1695565888&amp;sr=8-9")</f>
        <v/>
      </c>
      <c r="F2713" t="inlineStr">
        <is>
          <t>B01N7U62CC</t>
        </is>
      </c>
      <c r="G2713">
        <f>_xlfn.IMAGE("https://camerareadycosmetics.com/cdn/shop/products/MOB_PRODUCT_COMPACT1__HL_M52_1_50x.jpg?v=1681790833")</f>
        <v/>
      </c>
      <c r="H2713">
        <f>_xlfn.IMAGE("https://m.media-amazon.com/images/I/61K+aIG2MVL._AC_UL320_.jpg")</f>
        <v/>
      </c>
      <c r="K2713" t="inlineStr">
        <is>
          <t>28.0</t>
        </is>
      </c>
      <c r="L2713" t="n">
        <v>13.99</v>
      </c>
      <c r="M2713" s="1" t="inlineStr">
        <is>
          <t>-50.04%</t>
        </is>
      </c>
      <c r="N2713" t="n">
        <v>4.3</v>
      </c>
      <c r="O2713" t="n">
        <v>352</v>
      </c>
      <c r="Q2713" t="inlineStr">
        <is>
          <t>InStock</t>
        </is>
      </c>
      <c r="R2713" t="inlineStr">
        <is>
          <t>undefined</t>
        </is>
      </c>
      <c r="S2713" t="inlineStr">
        <is>
          <t>7583643140281</t>
        </is>
      </c>
    </row>
    <row r="2714" ht="75" customHeight="1">
      <c r="A2714" s="2">
        <f>HYPERLINK("https://camerareadycosmetics.com/products/mob-beauty-volumizing-mascara", "https://camerareadycosmetics.com/products/mob-beauty-volumizing-mascara")</f>
        <v/>
      </c>
      <c r="B2714" s="2">
        <f>HYPERLINK("https://camerareadycosmetics.com/products/mob-beauty-volumizing-mascara", "https://camerareadycosmetics.com/products/mob-beauty-volumizing-mascara")</f>
        <v/>
      </c>
      <c r="C2714" t="inlineStr">
        <is>
          <t>Volumizing Mascara</t>
        </is>
      </c>
      <c r="D2714" t="inlineStr">
        <is>
          <t>Lash Volumizing Mascara</t>
        </is>
      </c>
      <c r="E2714" s="2" t="n"/>
      <c r="F2714" t="inlineStr">
        <is>
          <t>B00K6MHGZY</t>
        </is>
      </c>
      <c r="G2714">
        <f>_xlfn.IMAGE("https://camerareadycosmetics.com/cdn/shop/products/MOB-Beauty-mascara-Refill-in-capsule-_closed_50x.jpg?v=1681750129")</f>
        <v/>
      </c>
      <c r="H2714">
        <f>_xlfn.IMAGE("https://m.media-amazon.com/images/I/61zS0XeyFSL._AC_UL320_.jpg")</f>
        <v/>
      </c>
      <c r="K2714" t="inlineStr">
        <is>
          <t>24.0</t>
        </is>
      </c>
      <c r="L2714" t="n">
        <v>25</v>
      </c>
      <c r="M2714" s="1" t="inlineStr">
        <is>
          <t>4.17%</t>
        </is>
      </c>
      <c r="N2714" t="n">
        <v>4.5</v>
      </c>
      <c r="O2714" t="n">
        <v>2794</v>
      </c>
      <c r="Q2714" t="inlineStr">
        <is>
          <t>InStock</t>
        </is>
      </c>
      <c r="R2714" t="inlineStr">
        <is>
          <t>undefined</t>
        </is>
      </c>
      <c r="S2714" t="inlineStr">
        <is>
          <t>7583536840889</t>
        </is>
      </c>
    </row>
    <row r="2715" ht="75" customHeight="1">
      <c r="A2715" s="2">
        <f>HYPERLINK("https://camerareadycosmetics.com/products/mob-beauty-volumizing-mascara", "https://camerareadycosmetics.com/products/mob-beauty-volumizing-mascara")</f>
        <v/>
      </c>
      <c r="B2715" s="2">
        <f>HYPERLINK("https://camerareadycosmetics.com/products/mob-beauty-volumizing-mascara", "https://camerareadycosmetics.com/products/mob-beauty-volumizing-mascara")</f>
        <v/>
      </c>
      <c r="C2715" t="inlineStr">
        <is>
          <t>Volumizing Mascara</t>
        </is>
      </c>
      <c r="D2715" t="inlineStr">
        <is>
          <t>Honest Beauty 2-in-1 Extreme Length Clean Mascara + Lash Primer | Lengthening + Volumizing | EWG Verified, Vegan + Cruelty Free | Black, .27 fl oz</t>
        </is>
      </c>
      <c r="E2715" s="2" t="n"/>
      <c r="F2715" t="inlineStr">
        <is>
          <t>B07F462B2D</t>
        </is>
      </c>
      <c r="G2715">
        <f>_xlfn.IMAGE("https://camerareadycosmetics.com/cdn/shop/products/MOB-Beauty-mascara-Refill-in-capsule-_closed_50x.jpg?v=1681750129")</f>
        <v/>
      </c>
      <c r="H2715">
        <f>_xlfn.IMAGE("https://m.media-amazon.com/images/I/51Mfuw9z-qL._AC_UL320_.jpg")</f>
        <v/>
      </c>
      <c r="K2715" t="inlineStr">
        <is>
          <t>24.0</t>
        </is>
      </c>
      <c r="L2715" t="n">
        <v>14</v>
      </c>
      <c r="M2715" s="1" t="inlineStr">
        <is>
          <t>-41.67%</t>
        </is>
      </c>
      <c r="N2715" t="n">
        <v>4.2</v>
      </c>
      <c r="O2715" t="n">
        <v>17680</v>
      </c>
      <c r="Q2715" t="inlineStr">
        <is>
          <t>InStock</t>
        </is>
      </c>
      <c r="R2715" t="inlineStr">
        <is>
          <t>undefined</t>
        </is>
      </c>
      <c r="S2715" t="inlineStr">
        <is>
          <t>7583536840889</t>
        </is>
      </c>
    </row>
    <row r="2716" ht="75" customHeight="1">
      <c r="A2716" s="2">
        <f>HYPERLINK("https://camerareadycosmetics.com/products/mob-beauty-volumizing-mascara", "https://camerareadycosmetics.com/products/mob-beauty-volumizing-mascara")</f>
        <v/>
      </c>
      <c r="B2716" s="2">
        <f>HYPERLINK("https://camerareadycosmetics.com/products/mob-beauty-volumizing-mascara", "https://camerareadycosmetics.com/products/mob-beauty-volumizing-mascara")</f>
        <v/>
      </c>
      <c r="C2716" t="inlineStr">
        <is>
          <t>Volumizing Mascara</t>
        </is>
      </c>
      <c r="D2716" t="inlineStr">
        <is>
          <t>Lancôme Monsieur Big Volumizing Mascara for up to 12x More Volume &amp; 24H Wear - False Lash Effect - Black</t>
        </is>
      </c>
      <c r="E2716" s="2" t="n"/>
      <c r="F2716" t="inlineStr">
        <is>
          <t>B074G4J1KK</t>
        </is>
      </c>
      <c r="G2716">
        <f>_xlfn.IMAGE("https://camerareadycosmetics.com/cdn/shop/products/MOB-Beauty-mascara-Refill-in-capsule-_closed_50x.jpg?v=1681750129")</f>
        <v/>
      </c>
      <c r="H2716">
        <f>_xlfn.IMAGE("https://m.media-amazon.com/images/I/615NlKBKD5L._AC_UL320_.jpg")</f>
        <v/>
      </c>
      <c r="K2716" t="inlineStr">
        <is>
          <t>24.0</t>
        </is>
      </c>
      <c r="L2716" t="n">
        <v>13.6</v>
      </c>
      <c r="M2716" s="1" t="inlineStr">
        <is>
          <t>-43.33%</t>
        </is>
      </c>
      <c r="N2716" t="n">
        <v>4.4</v>
      </c>
      <c r="O2716" t="n">
        <v>3821</v>
      </c>
      <c r="Q2716" t="inlineStr">
        <is>
          <t>InStock</t>
        </is>
      </c>
      <c r="R2716" t="inlineStr">
        <is>
          <t>undefined</t>
        </is>
      </c>
      <c r="S2716" t="inlineStr">
        <is>
          <t>7583536840889</t>
        </is>
      </c>
    </row>
    <row r="2717" ht="75" customHeight="1">
      <c r="A2717" s="2">
        <f>HYPERLINK("https://camerareadycosmetics.com/products/mob-beauty-volumizing-mascara", "https://camerareadycosmetics.com/products/mob-beauty-volumizing-mascara")</f>
        <v/>
      </c>
      <c r="B2717" s="2">
        <f>HYPERLINK("https://camerareadycosmetics.com/products/mob-beauty-volumizing-mascara", "https://camerareadycosmetics.com/products/mob-beauty-volumizing-mascara")</f>
        <v/>
      </c>
      <c r="C2717" t="inlineStr">
        <is>
          <t>Volumizing Mascara</t>
        </is>
      </c>
      <c r="D2717" t="inlineStr">
        <is>
          <t>Maybelline New York Lash Sensational Sky High Washable Mascara Makeup, Volumizing, Lengthening, Defining, Curling, Multiplying, Buildable Formula, Very Black, 1 Count</t>
        </is>
      </c>
      <c r="E2717" s="2">
        <f>HYPERLINK("https://www.amazon.com/Maybelline-Volumizing-Buildable-Lengthening-Multiplying/dp/B08H4FSGDW/ref=sr_1_3?keywords=Volumizing+Mascara&amp;qid=1695565858&amp;sr=8-3", "https://www.amazon.com/Maybelline-Volumizing-Buildable-Lengthening-Multiplying/dp/B08H4FSGDW/ref=sr_1_3?keywords=Volumizing+Mascara&amp;qid=1695565858&amp;sr=8-3")</f>
        <v/>
      </c>
      <c r="F2717" t="inlineStr">
        <is>
          <t>B08H4FSGDW</t>
        </is>
      </c>
      <c r="G2717">
        <f>_xlfn.IMAGE("https://camerareadycosmetics.com/cdn/shop/products/MOB-Beauty-mascara-Refill-in-capsule-_closed_50x.jpg?v=1681750129")</f>
        <v/>
      </c>
      <c r="H2717">
        <f>_xlfn.IMAGE("https://m.media-amazon.com/images/I/71N3I6ocElL._AC_UL320_.jpg")</f>
        <v/>
      </c>
      <c r="K2717" t="inlineStr">
        <is>
          <t>24.0</t>
        </is>
      </c>
      <c r="L2717" t="n">
        <v>9.98</v>
      </c>
      <c r="M2717" s="1" t="inlineStr">
        <is>
          <t>-58.42%</t>
        </is>
      </c>
      <c r="N2717" t="n">
        <v>4.5</v>
      </c>
      <c r="O2717" t="n">
        <v>124941</v>
      </c>
      <c r="Q2717" t="inlineStr">
        <is>
          <t>InStock</t>
        </is>
      </c>
      <c r="R2717" t="inlineStr">
        <is>
          <t>undefined</t>
        </is>
      </c>
      <c r="S2717" t="inlineStr">
        <is>
          <t>7583536840889</t>
        </is>
      </c>
    </row>
    <row r="2718" ht="75" customHeight="1">
      <c r="A2718" s="2">
        <f>HYPERLINK("https://camerareadycosmetics.com/products/mob-beauty-volumizing-mascara", "https://camerareadycosmetics.com/products/mob-beauty-volumizing-mascara")</f>
        <v/>
      </c>
      <c r="B2718" s="2">
        <f>HYPERLINK("https://camerareadycosmetics.com/products/mob-beauty-volumizing-mascara", "https://camerareadycosmetics.com/products/mob-beauty-volumizing-mascara")</f>
        <v/>
      </c>
      <c r="C2718" t="inlineStr">
        <is>
          <t>Volumizing Mascara</t>
        </is>
      </c>
      <c r="D2718" t="inlineStr">
        <is>
          <t>Maybelline New York Lash Sensational Sky High Washable Mascara Makeup, Volumizing, Lengthening, Defining, Curling, Multiplying, Buildable Formula, Very Black, 1 Count</t>
        </is>
      </c>
      <c r="E2718" s="2" t="n"/>
      <c r="F2718" t="inlineStr">
        <is>
          <t>B08H4FSGDW</t>
        </is>
      </c>
      <c r="G2718">
        <f>_xlfn.IMAGE("https://camerareadycosmetics.com/cdn/shop/products/MOB-Beauty-mascara-Refill-in-capsule-_closed_50x.jpg?v=1681750129")</f>
        <v/>
      </c>
      <c r="H2718">
        <f>_xlfn.IMAGE("https://m.media-amazon.com/images/I/71N3I6ocElL._AC_UL320_.jpg")</f>
        <v/>
      </c>
      <c r="K2718" t="inlineStr">
        <is>
          <t>24.0</t>
        </is>
      </c>
      <c r="L2718" t="n">
        <v>9.98</v>
      </c>
      <c r="M2718" s="1" t="inlineStr">
        <is>
          <t>-58.42%</t>
        </is>
      </c>
      <c r="N2718" t="n">
        <v>4.5</v>
      </c>
      <c r="O2718" t="n">
        <v>124941</v>
      </c>
      <c r="Q2718" t="inlineStr">
        <is>
          <t>InStock</t>
        </is>
      </c>
      <c r="R2718" t="inlineStr">
        <is>
          <t>undefined</t>
        </is>
      </c>
      <c r="S2718" t="inlineStr">
        <is>
          <t>7583536840889</t>
        </is>
      </c>
    </row>
    <row r="2719" ht="75" customHeight="1">
      <c r="A2719" s="2">
        <f>HYPERLINK("https://camerareadycosmetics.com/products/mob-beauty-volumizing-mascara", "https://camerareadycosmetics.com/products/mob-beauty-volumizing-mascara")</f>
        <v/>
      </c>
      <c r="B2719" s="2">
        <f>HYPERLINK("https://camerareadycosmetics.com/products/mob-beauty-volumizing-mascara", "https://camerareadycosmetics.com/products/mob-beauty-volumizing-mascara")</f>
        <v/>
      </c>
      <c r="C2719" t="inlineStr">
        <is>
          <t>Volumizing Mascara</t>
        </is>
      </c>
      <c r="D2719" t="inlineStr">
        <is>
          <t>Maybelline New York Lash Sensational Washable Mascara, Lengthening and Volumizing for a Full Fan Effect, Blackest Black, 1 Count</t>
        </is>
      </c>
      <c r="E2719" s="2">
        <f>HYPERLINK("https://www.amazon.com/Maybelline-Sensational-Washable-Mascara-Blackest/dp/B00PFCT2R0/ref=sr_1_5?keywords=Volumizing+Mascara&amp;qid=1695565858&amp;sr=8-5", "https://www.amazon.com/Maybelline-Sensational-Washable-Mascara-Blackest/dp/B00PFCT2R0/ref=sr_1_5?keywords=Volumizing+Mascara&amp;qid=1695565858&amp;sr=8-5")</f>
        <v/>
      </c>
      <c r="F2719" t="inlineStr">
        <is>
          <t>B00PFCT2R0</t>
        </is>
      </c>
      <c r="G2719">
        <f>_xlfn.IMAGE("https://camerareadycosmetics.com/cdn/shop/products/MOB-Beauty-mascara-Refill-in-capsule-_closed_50x.jpg?v=1681750129")</f>
        <v/>
      </c>
      <c r="H2719">
        <f>_xlfn.IMAGE("https://m.media-amazon.com/images/I/41Ie2x68ebL._AC_UL320_.jpg")</f>
        <v/>
      </c>
      <c r="K2719" t="inlineStr">
        <is>
          <t>24.0</t>
        </is>
      </c>
      <c r="L2719" t="n">
        <v>8.390000000000001</v>
      </c>
      <c r="M2719" s="1" t="inlineStr">
        <is>
          <t>-65.04%</t>
        </is>
      </c>
      <c r="N2719" t="n">
        <v>4.5</v>
      </c>
      <c r="O2719" t="n">
        <v>119937</v>
      </c>
      <c r="Q2719" t="inlineStr">
        <is>
          <t>InStock</t>
        </is>
      </c>
      <c r="R2719" t="inlineStr">
        <is>
          <t>undefined</t>
        </is>
      </c>
      <c r="S2719" t="inlineStr">
        <is>
          <t>7583536840889</t>
        </is>
      </c>
    </row>
    <row r="2720" ht="75" customHeight="1">
      <c r="A2720" s="2">
        <f>HYPERLINK("https://camerareadycosmetics.com/products/mob-beauty-volumizing-mascara", "https://camerareadycosmetics.com/products/mob-beauty-volumizing-mascara")</f>
        <v/>
      </c>
      <c r="B2720" s="2">
        <f>HYPERLINK("https://camerareadycosmetics.com/products/mob-beauty-volumizing-mascara", "https://camerareadycosmetics.com/products/mob-beauty-volumizing-mascara")</f>
        <v/>
      </c>
      <c r="C2720" t="inlineStr">
        <is>
          <t>Volumizing Mascara</t>
        </is>
      </c>
      <c r="D2720" t="inlineStr">
        <is>
          <t>Maybelline New York Lash Sensational Sky High Washable Mascara Makeup, Volumizing, Lengthening, Defining, Curling, Multiplying, Buildable Formula, Very Black, 1 Count</t>
        </is>
      </c>
      <c r="E2720" s="2">
        <f>HYPERLINK("https://www.amazon.com/Maybelline-Volumizing-Buildable-Lengthening-Multiplying/dp/B08H4FSGDW/ref=sr_1_3?keywords=Volumizing+Mascara&amp;qid=1695565858&amp;sr=8-3", "https://www.amazon.com/Maybelline-Volumizing-Buildable-Lengthening-Multiplying/dp/B08H4FSGDW/ref=sr_1_3?keywords=Volumizing+Mascara&amp;qid=1695565858&amp;sr=8-3")</f>
        <v/>
      </c>
      <c r="F2720" t="inlineStr">
        <is>
          <t>B08H4FSGDW</t>
        </is>
      </c>
      <c r="G2720">
        <f>_xlfn.IMAGE("https://camerareadycosmetics.com/cdn/shop/products/MOB-Beauty-mascara-Refill-in-capsule-_closed_50x.jpg?v=1681750129")</f>
        <v/>
      </c>
      <c r="H2720">
        <f>_xlfn.IMAGE("https://m.media-amazon.com/images/I/71N3I6ocElL._AC_UL320_.jpg")</f>
        <v/>
      </c>
      <c r="K2720" t="inlineStr">
        <is>
          <t>24.0</t>
        </is>
      </c>
      <c r="L2720" t="n">
        <v>9.98</v>
      </c>
      <c r="M2720" s="1" t="inlineStr">
        <is>
          <t>-58.42%</t>
        </is>
      </c>
      <c r="N2720" t="n">
        <v>4.5</v>
      </c>
      <c r="O2720" t="n">
        <v>124941</v>
      </c>
      <c r="Q2720" t="inlineStr">
        <is>
          <t>InStock</t>
        </is>
      </c>
      <c r="R2720" t="inlineStr">
        <is>
          <t>undefined</t>
        </is>
      </c>
      <c r="S2720" t="inlineStr">
        <is>
          <t>7583536840889</t>
        </is>
      </c>
    </row>
    <row r="2721" ht="75" customHeight="1">
      <c r="A2721" s="2">
        <f>HYPERLINK("https://camerareadycosmetics.com/products/mob-beauty-volumizing-mascara", "https://camerareadycosmetics.com/products/mob-beauty-volumizing-mascara")</f>
        <v/>
      </c>
      <c r="B2721" s="2">
        <f>HYPERLINK("https://camerareadycosmetics.com/products/mob-beauty-volumizing-mascara", "https://camerareadycosmetics.com/products/mob-beauty-volumizing-mascara")</f>
        <v/>
      </c>
      <c r="C2721" t="inlineStr">
        <is>
          <t>Volumizing Mascara</t>
        </is>
      </c>
      <c r="D2721" t="inlineStr">
        <is>
          <t>Maybelline New York Lash Sensational Sky High Washable Mascara Makeup, Volumizing, Lengthening, Defining, Curling, Multiplying, Buildable Formula, Very Black, 1 Count</t>
        </is>
      </c>
      <c r="E2721" s="2" t="n"/>
      <c r="F2721" t="inlineStr">
        <is>
          <t>B08H4FSGDW</t>
        </is>
      </c>
      <c r="G2721">
        <f>_xlfn.IMAGE("https://camerareadycosmetics.com/cdn/shop/products/MOB-Beauty-mascara-Refill-in-capsule-_closed_50x.jpg?v=1681750129")</f>
        <v/>
      </c>
      <c r="H2721">
        <f>_xlfn.IMAGE("https://m.media-amazon.com/images/I/71N3I6ocElL._AC_UL320_.jpg")</f>
        <v/>
      </c>
      <c r="K2721" t="inlineStr">
        <is>
          <t>24.0</t>
        </is>
      </c>
      <c r="L2721" t="n">
        <v>9.98</v>
      </c>
      <c r="M2721" s="1" t="inlineStr">
        <is>
          <t>-58.42%</t>
        </is>
      </c>
      <c r="N2721" t="n">
        <v>4.5</v>
      </c>
      <c r="O2721" t="n">
        <v>124941</v>
      </c>
      <c r="Q2721" t="inlineStr">
        <is>
          <t>InStock</t>
        </is>
      </c>
      <c r="R2721" t="inlineStr">
        <is>
          <t>undefined</t>
        </is>
      </c>
      <c r="S2721" t="inlineStr">
        <is>
          <t>7583536840889</t>
        </is>
      </c>
    </row>
    <row r="2722" ht="75" customHeight="1">
      <c r="A2722" s="2">
        <f>HYPERLINK("https://camerareadycosmetics.com/products/mob-beauty-volumizing-mascara", "https://camerareadycosmetics.com/products/mob-beauty-volumizing-mascara")</f>
        <v/>
      </c>
      <c r="B2722" s="2">
        <f>HYPERLINK("https://camerareadycosmetics.com/products/mob-beauty-volumizing-mascara", "https://camerareadycosmetics.com/products/mob-beauty-volumizing-mascara")</f>
        <v/>
      </c>
      <c r="C2722" t="inlineStr">
        <is>
          <t>Volumizing Mascara</t>
        </is>
      </c>
      <c r="D2722" t="inlineStr">
        <is>
          <t>Maybelline New York Lash Sensational Washable Mascara, Lengthening and Volumizing for a Full Fan Effect, Blackest Black, 1 Count</t>
        </is>
      </c>
      <c r="E2722" s="2">
        <f>HYPERLINK("https://www.amazon.com/Maybelline-Sensational-Washable-Mascara-Blackest/dp/B00PFCT2R0/ref=sr_1_5?keywords=Volumizing+Mascara&amp;qid=1695565858&amp;sr=8-5", "https://www.amazon.com/Maybelline-Sensational-Washable-Mascara-Blackest/dp/B00PFCT2R0/ref=sr_1_5?keywords=Volumizing+Mascara&amp;qid=1695565858&amp;sr=8-5")</f>
        <v/>
      </c>
      <c r="F2722" t="inlineStr">
        <is>
          <t>B00PFCT2R0</t>
        </is>
      </c>
      <c r="G2722">
        <f>_xlfn.IMAGE("https://camerareadycosmetics.com/cdn/shop/products/MOB-Beauty-mascara-Refill-in-capsule-_closed_50x.jpg?v=1681750129")</f>
        <v/>
      </c>
      <c r="H2722">
        <f>_xlfn.IMAGE("https://m.media-amazon.com/images/I/41Ie2x68ebL._AC_UL320_.jpg")</f>
        <v/>
      </c>
      <c r="K2722" t="inlineStr">
        <is>
          <t>24.0</t>
        </is>
      </c>
      <c r="L2722" t="n">
        <v>8.390000000000001</v>
      </c>
      <c r="M2722" s="1" t="inlineStr">
        <is>
          <t>-65.04%</t>
        </is>
      </c>
      <c r="N2722" t="n">
        <v>4.5</v>
      </c>
      <c r="O2722" t="n">
        <v>119937</v>
      </c>
      <c r="Q2722" t="inlineStr">
        <is>
          <t>InStock</t>
        </is>
      </c>
      <c r="R2722" t="inlineStr">
        <is>
          <t>undefined</t>
        </is>
      </c>
      <c r="S2722" t="inlineStr">
        <is>
          <t>7583536840889</t>
        </is>
      </c>
    </row>
    <row r="2723" ht="75" customHeight="1">
      <c r="A2723" s="2">
        <f>HYPERLINK("https://camerareadycosmetics.com/products/mustaev-10-shade-lip-pro-palette", "https://camerareadycosmetics.com/products/mustaev-10-shade-lip-pro-palette")</f>
        <v/>
      </c>
      <c r="B2723" s="2">
        <f>HYPERLINK("https://camerareadycosmetics.com/products/mustaev-10-shade-lip-pro-palette", "https://camerareadycosmetics.com/products/mustaev-10-shade-lip-pro-palette")</f>
        <v/>
      </c>
      <c r="C2723" t="inlineStr">
        <is>
          <t>10 Shade Lip Pro Palette</t>
        </is>
      </c>
      <c r="D2723" t="inlineStr">
        <is>
          <t>NYX PROFESSIONAL MAKEUP Nude On Nude Palette, 20 Eyeshadows, 10 Lip Colors, Applicator/Mirror</t>
        </is>
      </c>
      <c r="E2723" s="2">
        <f>HYPERLINK("https://www.amazon.com/NYX-Professional-Palette-Eyeshadows-Applicator/dp/B004MGAGP2/ref=sr_1_4?keywords=10+Shade+Lip+Pro+Palette&amp;qid=1695565701&amp;sr=8-4", "https://www.amazon.com/NYX-Professional-Palette-Eyeshadows-Applicator/dp/B004MGAGP2/ref=sr_1_4?keywords=10+Shade+Lip+Pro+Palette&amp;qid=1695565701&amp;sr=8-4")</f>
        <v/>
      </c>
      <c r="F2723" t="inlineStr">
        <is>
          <t>B004MGAGP2</t>
        </is>
      </c>
      <c r="G2723">
        <f>_xlfn.IMAGE("https://camerareadycosmetics.com/cdn/shop/products/q13_50x.jpg?v=1691124128")</f>
        <v/>
      </c>
      <c r="H2723">
        <f>_xlfn.IMAGE("https://m.media-amazon.com/images/I/51l-Bm8IbdL._AC_UL320_.jpg")</f>
        <v/>
      </c>
      <c r="K2723" t="inlineStr">
        <is>
          <t>45.0</t>
        </is>
      </c>
      <c r="L2723" t="n">
        <v>14.99</v>
      </c>
      <c r="M2723" s="1" t="inlineStr">
        <is>
          <t>-66.69%</t>
        </is>
      </c>
      <c r="N2723" t="n">
        <v>4.3</v>
      </c>
      <c r="O2723" t="n">
        <v>189</v>
      </c>
      <c r="Q2723" t="inlineStr">
        <is>
          <t>InStock</t>
        </is>
      </c>
      <c r="R2723" t="inlineStr">
        <is>
          <t>undefined</t>
        </is>
      </c>
      <c r="S2723" t="inlineStr">
        <is>
          <t>9330853450</t>
        </is>
      </c>
    </row>
    <row r="2724" ht="75" customHeight="1">
      <c r="A2724" s="2">
        <f>HYPERLINK("https://camerareadycosmetics.com/products/mustaev-10-shade-lip-pro-palette", "https://camerareadycosmetics.com/products/mustaev-10-shade-lip-pro-palette")</f>
        <v/>
      </c>
      <c r="B2724" s="2">
        <f>HYPERLINK("https://camerareadycosmetics.com/products/mustaev-10-shade-lip-pro-palette", "https://camerareadycosmetics.com/products/mustaev-10-shade-lip-pro-palette")</f>
        <v/>
      </c>
      <c r="C2724" t="inlineStr">
        <is>
          <t>10 Shade Lip Pro Palette</t>
        </is>
      </c>
      <c r="D2724" t="inlineStr">
        <is>
          <t>NYX PROFESSIONAL MAKEUP Nude On Nude Palette, 20 Eyeshadows, 10 Lip Colors, Applicator/Mirror</t>
        </is>
      </c>
      <c r="E2724" s="2">
        <f>HYPERLINK("https://www.amazon.com/NYX-Professional-Palette-Eyeshadows-Applicator/dp/B004MGAGP2/ref=sr_1_4?keywords=10+Shade+Lip+Pro+Palette&amp;qid=1695565701&amp;sr=8-4", "https://www.amazon.com/NYX-Professional-Palette-Eyeshadows-Applicator/dp/B004MGAGP2/ref=sr_1_4?keywords=10+Shade+Lip+Pro+Palette&amp;qid=1695565701&amp;sr=8-4")</f>
        <v/>
      </c>
      <c r="F2724" t="inlineStr">
        <is>
          <t>B004MGAGP2</t>
        </is>
      </c>
      <c r="G2724">
        <f>_xlfn.IMAGE("https://camerareadycosmetics.com/cdn/shop/products/q13_50x.jpg?v=1691124128")</f>
        <v/>
      </c>
      <c r="H2724">
        <f>_xlfn.IMAGE("https://m.media-amazon.com/images/I/51l-Bm8IbdL._AC_UL320_.jpg")</f>
        <v/>
      </c>
      <c r="K2724" t="inlineStr">
        <is>
          <t>45.0</t>
        </is>
      </c>
      <c r="L2724" t="n">
        <v>14.99</v>
      </c>
      <c r="M2724" s="1" t="inlineStr">
        <is>
          <t>-66.69%</t>
        </is>
      </c>
      <c r="N2724" t="n">
        <v>4.3</v>
      </c>
      <c r="O2724" t="n">
        <v>189</v>
      </c>
      <c r="Q2724" t="inlineStr">
        <is>
          <t>InStock</t>
        </is>
      </c>
      <c r="R2724" t="inlineStr">
        <is>
          <t>undefined</t>
        </is>
      </c>
      <c r="S2724" t="inlineStr">
        <is>
          <t>9330853450</t>
        </is>
      </c>
    </row>
    <row r="2725" ht="75" customHeight="1">
      <c r="A2725" s="2">
        <f>HYPERLINK("https://camerareadycosmetics.com/products/mustaev-silky-cotton-loose-powder", "https://camerareadycosmetics.com/products/mustaev-silky-cotton-loose-powder")</f>
        <v/>
      </c>
      <c r="B2725" s="2">
        <f>HYPERLINK("https://camerareadycosmetics.com/products/mustaev-silky-cotton-loose-powder", "https://camerareadycosmetics.com/products/mustaev-silky-cotton-loose-powder")</f>
        <v/>
      </c>
      <c r="C2725" t="inlineStr">
        <is>
          <t>Silky Cotton Loose Powder</t>
        </is>
      </c>
      <c r="D2725" t="inlineStr">
        <is>
          <t>Silky Cotton Loose Powder - Translucent</t>
        </is>
      </c>
      <c r="E2725" s="2">
        <f>HYPERLINK("https://www.amazon.com/MustaeV-Silky-Cotton-Powder-Translucent/dp/B0149DTAMW/ref=sr_1_1?keywords=Silky+Cotton+Loose+Powder&amp;qid=1695565747&amp;sr=8-1", "https://www.amazon.com/MustaeV-Silky-Cotton-Powder-Translucent/dp/B0149DTAMW/ref=sr_1_1?keywords=Silky+Cotton+Loose+Powder&amp;qid=1695565747&amp;sr=8-1")</f>
        <v/>
      </c>
      <c r="F2725" t="inlineStr">
        <is>
          <t>B0149DTAMW</t>
        </is>
      </c>
      <c r="G2725">
        <f>_xlfn.IMAGE("https://camerareadycosmetics.com/cdn/shop/products/q6_50x.jpg?v=1691124116")</f>
        <v/>
      </c>
      <c r="H2725">
        <f>_xlfn.IMAGE("https://m.media-amazon.com/images/I/611WUIwqZ+L._AC_UL320_.jpg")</f>
        <v/>
      </c>
      <c r="K2725" t="inlineStr">
        <is>
          <t>25.0</t>
        </is>
      </c>
      <c r="L2725" t="n">
        <v>25</v>
      </c>
      <c r="M2725" s="1" t="inlineStr">
        <is>
          <t>0.00%</t>
        </is>
      </c>
      <c r="N2725" t="n">
        <v>5</v>
      </c>
      <c r="O2725" t="n">
        <v>1</v>
      </c>
      <c r="Q2725" t="inlineStr">
        <is>
          <t>InStock</t>
        </is>
      </c>
      <c r="R2725" t="inlineStr">
        <is>
          <t>undefined</t>
        </is>
      </c>
      <c r="S2725" t="inlineStr">
        <is>
          <t>9330739530</t>
        </is>
      </c>
    </row>
    <row r="2726" ht="75" customHeight="1">
      <c r="A2726" s="2">
        <f>HYPERLINK("https://camerareadycosmetics.com/products/mustaev-silky-cotton-loose-powder", "https://camerareadycosmetics.com/products/mustaev-silky-cotton-loose-powder")</f>
        <v/>
      </c>
      <c r="B2726" s="2">
        <f>HYPERLINK("https://camerareadycosmetics.com/products/mustaev-silky-cotton-loose-powder", "https://camerareadycosmetics.com/products/mustaev-silky-cotton-loose-powder")</f>
        <v/>
      </c>
      <c r="C2726" t="inlineStr">
        <is>
          <t>Silky Cotton Loose Powder</t>
        </is>
      </c>
      <c r="D2726" t="inlineStr">
        <is>
          <t>SKINFOOD Peach Cotton Multi Finish Powder 5g - Korean Peach Extract &amp; Calamin Sebum Control Face Powder - Silky Setting Powder - Setting Powder for Oily Skin - Sweet Peach Scent for Soft Skin</t>
        </is>
      </c>
      <c r="E2726" s="2">
        <f>HYPERLINK("https://www.amazon.com/SKINFOOD-Peach-Cotton-Finish-Powder/dp/B07J58HB6D/ref=sr_1_2?keywords=Silky+Cotton+Loose+Powder&amp;qid=1695565747&amp;sr=8-2", "https://www.amazon.com/SKINFOOD-Peach-Cotton-Finish-Powder/dp/B07J58HB6D/ref=sr_1_2?keywords=Silky+Cotton+Loose+Powder&amp;qid=1695565747&amp;sr=8-2")</f>
        <v/>
      </c>
      <c r="F2726" t="inlineStr">
        <is>
          <t>B07J58HB6D</t>
        </is>
      </c>
      <c r="G2726">
        <f>_xlfn.IMAGE("https://camerareadycosmetics.com/cdn/shop/products/q6_50x.jpg?v=1691124116")</f>
        <v/>
      </c>
      <c r="H2726">
        <f>_xlfn.IMAGE("https://m.media-amazon.com/images/I/61q+s0UnabL._AC_UL320_.jpg")</f>
        <v/>
      </c>
      <c r="K2726" t="inlineStr">
        <is>
          <t>25.0</t>
        </is>
      </c>
      <c r="L2726" t="n">
        <v>12.99</v>
      </c>
      <c r="M2726" s="1" t="inlineStr">
        <is>
          <t>-48.04%</t>
        </is>
      </c>
      <c r="N2726" t="n">
        <v>4.5</v>
      </c>
      <c r="O2726" t="n">
        <v>2617</v>
      </c>
      <c r="Q2726" t="inlineStr">
        <is>
          <t>InStock</t>
        </is>
      </c>
      <c r="R2726" t="inlineStr">
        <is>
          <t>undefined</t>
        </is>
      </c>
      <c r="S2726" t="inlineStr">
        <is>
          <t>9330739530</t>
        </is>
      </c>
    </row>
    <row r="2727" ht="75" customHeight="1">
      <c r="A2727" s="2">
        <f>HYPERLINK("https://camerareadycosmetics.com/products/mustaev-silky-cotton-loose-powder", "https://camerareadycosmetics.com/products/mustaev-silky-cotton-loose-powder")</f>
        <v/>
      </c>
      <c r="B2727" s="2">
        <f>HYPERLINK("https://camerareadycosmetics.com/products/mustaev-silky-cotton-loose-powder", "https://camerareadycosmetics.com/products/mustaev-silky-cotton-loose-powder")</f>
        <v/>
      </c>
      <c r="C2727" t="inlineStr">
        <is>
          <t>Silky Cotton Loose Powder</t>
        </is>
      </c>
      <c r="D2727" t="inlineStr">
        <is>
          <t>SKINFOOD Peach Cotton Pore Blur Pact - Sebum Control Pack with Silky Texture - Long Lasting Makeup Fixing - Pore Primer with Mineral Powder for Oily Skin - Pore Quick Minimizer (4g)</t>
        </is>
      </c>
      <c r="E2727" s="2">
        <f>HYPERLINK("https://www.amazon.com/SKIN-FOOD-Peach-Cotton-Blur/dp/B07YBQ76YW/ref=sr_1_3?keywords=Silky+Cotton+Loose+Powder&amp;qid=1695565747&amp;sr=8-3", "https://www.amazon.com/SKIN-FOOD-Peach-Cotton-Blur/dp/B07YBQ76YW/ref=sr_1_3?keywords=Silky+Cotton+Loose+Powder&amp;qid=1695565747&amp;sr=8-3")</f>
        <v/>
      </c>
      <c r="F2727" t="inlineStr">
        <is>
          <t>B07YBQ76YW</t>
        </is>
      </c>
      <c r="G2727">
        <f>_xlfn.IMAGE("https://camerareadycosmetics.com/cdn/shop/products/q6_50x.jpg?v=1691124116")</f>
        <v/>
      </c>
      <c r="H2727">
        <f>_xlfn.IMAGE("https://m.media-amazon.com/images/I/61Rpwcf-HKL._AC_UL320_.jpg")</f>
        <v/>
      </c>
      <c r="K2727" t="inlineStr">
        <is>
          <t>25.0</t>
        </is>
      </c>
      <c r="L2727" t="n">
        <v>9</v>
      </c>
      <c r="M2727" s="1" t="inlineStr">
        <is>
          <t>-64.00%</t>
        </is>
      </c>
      <c r="N2727" t="n">
        <v>4.3</v>
      </c>
      <c r="O2727" t="n">
        <v>1039</v>
      </c>
      <c r="Q2727" t="inlineStr">
        <is>
          <t>InStock</t>
        </is>
      </c>
      <c r="R2727" t="inlineStr">
        <is>
          <t>undefined</t>
        </is>
      </c>
      <c r="S2727" t="inlineStr">
        <is>
          <t>9330739530</t>
        </is>
      </c>
    </row>
    <row r="2728" ht="75" customHeight="1">
      <c r="A2728" s="2">
        <f>HYPERLINK("https://camerareadycosmetics.com/products/mustaev-silky-cotton-loose-powder", "https://camerareadycosmetics.com/products/mustaev-silky-cotton-loose-powder")</f>
        <v/>
      </c>
      <c r="B2728" s="2">
        <f>HYPERLINK("https://camerareadycosmetics.com/products/mustaev-silky-cotton-loose-powder", "https://camerareadycosmetics.com/products/mustaev-silky-cotton-loose-powder")</f>
        <v/>
      </c>
      <c r="C2728" t="inlineStr">
        <is>
          <t>Silky Cotton Loose Powder</t>
        </is>
      </c>
      <c r="D2728" t="inlineStr">
        <is>
          <t>12 PCS Cotton Powder Puff Face Makeup Powder Puff Pads 2.36 Inch, Velour Round Fluffy Powder Puff for Loose Powder Foundation (White)</t>
        </is>
      </c>
      <c r="E2728" s="2">
        <f>HYPERLINK("https://www.amazon.com/Cotton-Powder-Makeup-Velour-Foundation/dp/B09NW1P7K8/ref=sr_1_7?keywords=Silky+Cotton+Loose+Powder&amp;qid=1695565747&amp;sr=8-7", "https://www.amazon.com/Cotton-Powder-Makeup-Velour-Foundation/dp/B09NW1P7K8/ref=sr_1_7?keywords=Silky+Cotton+Loose+Powder&amp;qid=1695565747&amp;sr=8-7")</f>
        <v/>
      </c>
      <c r="F2728" t="inlineStr">
        <is>
          <t>B09NW1P7K8</t>
        </is>
      </c>
      <c r="G2728">
        <f>_xlfn.IMAGE("https://camerareadycosmetics.com/cdn/shop/products/q6_50x.jpg?v=1691124116")</f>
        <v/>
      </c>
      <c r="H2728">
        <f>_xlfn.IMAGE("https://m.media-amazon.com/images/I/51P22DKNOtL._AC_UL320_.jpg")</f>
        <v/>
      </c>
      <c r="K2728" t="inlineStr">
        <is>
          <t>25.0</t>
        </is>
      </c>
      <c r="L2728" t="n">
        <v>8.99</v>
      </c>
      <c r="M2728" s="1" t="inlineStr">
        <is>
          <t>-64.04%</t>
        </is>
      </c>
      <c r="N2728" t="n">
        <v>4.3</v>
      </c>
      <c r="O2728" t="n">
        <v>44</v>
      </c>
      <c r="Q2728" t="inlineStr">
        <is>
          <t>InStock</t>
        </is>
      </c>
      <c r="R2728" t="inlineStr">
        <is>
          <t>undefined</t>
        </is>
      </c>
      <c r="S2728" t="inlineStr">
        <is>
          <t>9330739530</t>
        </is>
      </c>
    </row>
    <row r="2729" ht="75" customHeight="1">
      <c r="A2729" s="2">
        <f>HYPERLINK("https://camerareadycosmetics.com/products/mustaev-silky-cotton-loose-powder", "https://camerareadycosmetics.com/products/mustaev-silky-cotton-loose-powder")</f>
        <v/>
      </c>
      <c r="B2729" s="2">
        <f>HYPERLINK("https://camerareadycosmetics.com/products/mustaev-silky-cotton-loose-powder", "https://camerareadycosmetics.com/products/mustaev-silky-cotton-loose-powder")</f>
        <v/>
      </c>
      <c r="C2729" t="inlineStr">
        <is>
          <t>Silky Cotton Loose Powder</t>
        </is>
      </c>
      <c r="D2729" t="inlineStr">
        <is>
          <t>10 Pieces Pure Cotton Powder Puff, Makeup Puff for Powder Foundation, 3.15-inch Normal Size with Strap, Blending for Loose Powder Mineral Powder Body Powder Wet Dry Makeup Tool</t>
        </is>
      </c>
      <c r="E2729" s="2">
        <f>HYPERLINK("https://www.amazon.com/Powder-Puff-Foundation-Blending-Mineral/dp/B01IJ8Q6KC/ref=sr_1_8?keywords=Silky+Cotton+Loose+Powder&amp;qid=1695565747&amp;sr=8-8", "https://www.amazon.com/Powder-Puff-Foundation-Blending-Mineral/dp/B01IJ8Q6KC/ref=sr_1_8?keywords=Silky+Cotton+Loose+Powder&amp;qid=1695565747&amp;sr=8-8")</f>
        <v/>
      </c>
      <c r="F2729" t="inlineStr">
        <is>
          <t>B01IJ8Q6KC</t>
        </is>
      </c>
      <c r="G2729">
        <f>_xlfn.IMAGE("https://camerareadycosmetics.com/cdn/shop/products/q6_50x.jpg?v=1691124116")</f>
        <v/>
      </c>
      <c r="H2729">
        <f>_xlfn.IMAGE("https://m.media-amazon.com/images/I/71jnDDq+AqL._AC_UL320_.jpg")</f>
        <v/>
      </c>
      <c r="K2729" t="inlineStr">
        <is>
          <t>25.0</t>
        </is>
      </c>
      <c r="L2729" t="n">
        <v>7.99</v>
      </c>
      <c r="M2729" s="1" t="inlineStr">
        <is>
          <t>-68.04%</t>
        </is>
      </c>
      <c r="N2729" t="n">
        <v>4.5</v>
      </c>
      <c r="O2729" t="n">
        <v>2706</v>
      </c>
      <c r="Q2729" t="inlineStr">
        <is>
          <t>InStock</t>
        </is>
      </c>
      <c r="R2729" t="inlineStr">
        <is>
          <t>undefined</t>
        </is>
      </c>
      <c r="S2729" t="inlineStr">
        <is>
          <t>9330739530</t>
        </is>
      </c>
    </row>
    <row r="2730" ht="75" customHeight="1">
      <c r="A2730" s="2">
        <f>HYPERLINK("https://camerareadycosmetics.com/products/mustaev-silky-cotton-loose-powder", "https://camerareadycosmetics.com/products/mustaev-silky-cotton-loose-powder")</f>
        <v/>
      </c>
      <c r="B2730" s="2">
        <f>HYPERLINK("https://camerareadycosmetics.com/products/mustaev-silky-cotton-loose-powder", "https://camerareadycosmetics.com/products/mustaev-silky-cotton-loose-powder")</f>
        <v/>
      </c>
      <c r="C2730" t="inlineStr">
        <is>
          <t>Silky Cotton Loose Powder</t>
        </is>
      </c>
      <c r="D2730" t="inlineStr">
        <is>
          <t>AKOAK 5 Pcs 3.15" Pure Cotton Professional Round Body Face Loose Powder Puffs for Makeup or Baby Powder</t>
        </is>
      </c>
      <c r="E2730" s="2">
        <f>HYPERLINK("https://www.amazon.com/AKOAK-Cotton-Professional-Powder-Makeup/dp/B01G85CRGA/ref=sr_1_6?keywords=Silky+Cotton+Loose+Powder&amp;qid=1695565747&amp;sr=8-6", "https://www.amazon.com/AKOAK-Cotton-Professional-Powder-Makeup/dp/B01G85CRGA/ref=sr_1_6?keywords=Silky+Cotton+Loose+Powder&amp;qid=1695565747&amp;sr=8-6")</f>
        <v/>
      </c>
      <c r="F2730" t="inlineStr">
        <is>
          <t>B01G85CRGA</t>
        </is>
      </c>
      <c r="G2730">
        <f>_xlfn.IMAGE("https://camerareadycosmetics.com/cdn/shop/products/q6_50x.jpg?v=1691124116")</f>
        <v/>
      </c>
      <c r="H2730">
        <f>_xlfn.IMAGE("https://m.media-amazon.com/images/I/61yycWjyKYL._AC_UL320_.jpg")</f>
        <v/>
      </c>
      <c r="K2730" t="inlineStr">
        <is>
          <t>25.0</t>
        </is>
      </c>
      <c r="L2730" t="n">
        <v>6.98</v>
      </c>
      <c r="M2730" s="1" t="inlineStr">
        <is>
          <t>-72.08%</t>
        </is>
      </c>
      <c r="N2730" t="n">
        <v>4.7</v>
      </c>
      <c r="O2730" t="n">
        <v>16</v>
      </c>
      <c r="Q2730" t="inlineStr">
        <is>
          <t>InStock</t>
        </is>
      </c>
      <c r="R2730" t="inlineStr">
        <is>
          <t>undefined</t>
        </is>
      </c>
      <c r="S2730" t="inlineStr">
        <is>
          <t>9330739530</t>
        </is>
      </c>
    </row>
    <row r="2731" ht="75" customHeight="1">
      <c r="A2731" s="2">
        <f>HYPERLINK("https://camerareadycosmetics.com/products/mustaev-silky-cotton-loose-powder", "https://camerareadycosmetics.com/products/mustaev-silky-cotton-loose-powder")</f>
        <v/>
      </c>
      <c r="B2731" s="2">
        <f>HYPERLINK("https://camerareadycosmetics.com/products/mustaev-silky-cotton-loose-powder", "https://camerareadycosmetics.com/products/mustaev-silky-cotton-loose-powder")</f>
        <v/>
      </c>
      <c r="C2731" t="inlineStr">
        <is>
          <t>Silky Cotton Loose Powder</t>
        </is>
      </c>
      <c r="D2731" t="inlineStr">
        <is>
          <t>WLLHYF 12PCS Makeup Powder Puffs Pink Cotton Powder Puffs Round Powder Puff for Makeup Face Powder Velour Puffs for Loose Powder Washable(white</t>
        </is>
      </c>
      <c r="E2731" s="2">
        <f>HYPERLINK("https://www.amazon.com/WLLHYF-Makeup-Powder-Cotton-Washable/dp/B0C1SXKMSV/ref=sr_1_5?keywords=Silky+Cotton+Loose+Powder&amp;qid=1695565747&amp;sr=8-5", "https://www.amazon.com/WLLHYF-Makeup-Powder-Cotton-Washable/dp/B0C1SXKMSV/ref=sr_1_5?keywords=Silky+Cotton+Loose+Powder&amp;qid=1695565747&amp;sr=8-5")</f>
        <v/>
      </c>
      <c r="F2731" t="inlineStr">
        <is>
          <t>B0C1SXKMSV</t>
        </is>
      </c>
      <c r="G2731">
        <f>_xlfn.IMAGE("https://camerareadycosmetics.com/cdn/shop/products/q6_50x.jpg?v=1691124116")</f>
        <v/>
      </c>
      <c r="H2731">
        <f>_xlfn.IMAGE("https://m.media-amazon.com/images/I/71j20VjQRsL._AC_UL320_.jpg")</f>
        <v/>
      </c>
      <c r="K2731" t="inlineStr">
        <is>
          <t>25.0</t>
        </is>
      </c>
      <c r="L2731" t="n">
        <v>5.68</v>
      </c>
      <c r="M2731" s="1" t="inlineStr">
        <is>
          <t>-77.28%</t>
        </is>
      </c>
      <c r="N2731" t="n">
        <v>4.5</v>
      </c>
      <c r="O2731" t="n">
        <v>113</v>
      </c>
      <c r="Q2731" t="inlineStr">
        <is>
          <t>InStock</t>
        </is>
      </c>
      <c r="R2731" t="inlineStr">
        <is>
          <t>undefined</t>
        </is>
      </c>
      <c r="S2731" t="inlineStr">
        <is>
          <t>9330739530</t>
        </is>
      </c>
    </row>
    <row r="2732" ht="75" customHeight="1">
      <c r="A2732" s="2">
        <f>HYPERLINK("https://camerareadycosmetics.com/products/mustaev-silky-cotton-loose-powder", "https://camerareadycosmetics.com/products/mustaev-silky-cotton-loose-powder")</f>
        <v/>
      </c>
      <c r="B2732" s="2">
        <f>HYPERLINK("https://camerareadycosmetics.com/products/mustaev-silky-cotton-loose-powder", "https://camerareadycosmetics.com/products/mustaev-silky-cotton-loose-powder")</f>
        <v/>
      </c>
      <c r="C2732" t="inlineStr">
        <is>
          <t>Silky Cotton Loose Powder</t>
        </is>
      </c>
      <c r="D2732" t="inlineStr">
        <is>
          <t>8 Pcs Cotton Powder Puff Face,JASSINS Triangle super soft Both dry and wet Makeup Setting Puff,For Concealer/Loose Powder/Body Powder/Foundation/Blush Makeup Sponge Set (Black,pink)</t>
        </is>
      </c>
      <c r="E2732" s="2">
        <f>HYPERLINK("https://www.amazon.com/JASSINS-Triangle-Setting-Concealer-Foundation/dp/B0B4NN37ZL/ref=sr_1_4?keywords=Silky+Cotton+Loose+Powder&amp;qid=1695565747&amp;sr=8-4", "https://www.amazon.com/JASSINS-Triangle-Setting-Concealer-Foundation/dp/B0B4NN37ZL/ref=sr_1_4?keywords=Silky+Cotton+Loose+Powder&amp;qid=1695565747&amp;sr=8-4")</f>
        <v/>
      </c>
      <c r="F2732" t="inlineStr">
        <is>
          <t>B0B4NN37ZL</t>
        </is>
      </c>
      <c r="G2732">
        <f>_xlfn.IMAGE("https://camerareadycosmetics.com/cdn/shop/products/q6_50x.jpg?v=1691124116")</f>
        <v/>
      </c>
      <c r="H2732">
        <f>_xlfn.IMAGE("https://m.media-amazon.com/images/I/51HKLllsQ+L._AC_UL320_.jpg")</f>
        <v/>
      </c>
      <c r="K2732" t="inlineStr">
        <is>
          <t>25.0</t>
        </is>
      </c>
      <c r="L2732" t="n">
        <v>4.94</v>
      </c>
      <c r="M2732" s="1" t="inlineStr">
        <is>
          <t>-80.24%</t>
        </is>
      </c>
      <c r="N2732" t="n">
        <v>4.7</v>
      </c>
      <c r="O2732" t="n">
        <v>2061</v>
      </c>
      <c r="Q2732" t="inlineStr">
        <is>
          <t>InStock</t>
        </is>
      </c>
      <c r="R2732" t="inlineStr">
        <is>
          <t>undefined</t>
        </is>
      </c>
      <c r="S2732" t="inlineStr">
        <is>
          <t>9330739530</t>
        </is>
      </c>
    </row>
    <row r="2733" ht="75" customHeight="1">
      <c r="A2733" s="2">
        <f>HYPERLINK("https://camerareadycosmetics.com/products/mustaev-silky-cotton-loose-powder", "https://camerareadycosmetics.com/products/mustaev-silky-cotton-loose-powder")</f>
        <v/>
      </c>
      <c r="B2733" s="2">
        <f>HYPERLINK("https://camerareadycosmetics.com/products/mustaev-silky-cotton-loose-powder", "https://camerareadycosmetics.com/products/mustaev-silky-cotton-loose-powder")</f>
        <v/>
      </c>
      <c r="C2733" t="inlineStr">
        <is>
          <t>Silky Cotton Loose Powder</t>
        </is>
      </c>
      <c r="D2733" t="inlineStr">
        <is>
          <t>SKINFOOD Peach Cotton Multi Finish Powder 5g - Korean Peach Extract &amp; Calamin Sebum Control Face Powder - Silky Setting Powder - Setting Powder for Oily Skin - Sweet Peach Scent for Soft Skin</t>
        </is>
      </c>
      <c r="E2733" s="2">
        <f>HYPERLINK("https://www.amazon.com/SKINFOOD-Peach-Cotton-Finish-Powder/dp/B07J58HB6D/ref=sr_1_2?keywords=Silky+Cotton+Loose+Powder&amp;qid=1695565747&amp;sr=8-2", "https://www.amazon.com/SKINFOOD-Peach-Cotton-Finish-Powder/dp/B07J58HB6D/ref=sr_1_2?keywords=Silky+Cotton+Loose+Powder&amp;qid=1695565747&amp;sr=8-2")</f>
        <v/>
      </c>
      <c r="F2733" t="inlineStr">
        <is>
          <t>B07J58HB6D</t>
        </is>
      </c>
      <c r="G2733">
        <f>_xlfn.IMAGE("https://camerareadycosmetics.com/cdn/shop/products/q6_50x.jpg?v=1691124116")</f>
        <v/>
      </c>
      <c r="H2733">
        <f>_xlfn.IMAGE("https://m.media-amazon.com/images/I/61q+s0UnabL._AC_UL320_.jpg")</f>
        <v/>
      </c>
      <c r="K2733" t="inlineStr">
        <is>
          <t>25.0</t>
        </is>
      </c>
      <c r="L2733" t="n">
        <v>12.99</v>
      </c>
      <c r="M2733" s="1" t="inlineStr">
        <is>
          <t>-48.04%</t>
        </is>
      </c>
      <c r="N2733" t="n">
        <v>4.5</v>
      </c>
      <c r="O2733" t="n">
        <v>2617</v>
      </c>
      <c r="Q2733" t="inlineStr">
        <is>
          <t>InStock</t>
        </is>
      </c>
      <c r="R2733" t="inlineStr">
        <is>
          <t>undefined</t>
        </is>
      </c>
      <c r="S2733" t="inlineStr">
        <is>
          <t>9330739530</t>
        </is>
      </c>
    </row>
    <row r="2734" ht="75" customHeight="1">
      <c r="A2734" s="2">
        <f>HYPERLINK("https://camerareadycosmetics.com/products/mustaev-silky-cotton-loose-powder", "https://camerareadycosmetics.com/products/mustaev-silky-cotton-loose-powder")</f>
        <v/>
      </c>
      <c r="B2734" s="2">
        <f>HYPERLINK("https://camerareadycosmetics.com/products/mustaev-silky-cotton-loose-powder", "https://camerareadycosmetics.com/products/mustaev-silky-cotton-loose-powder")</f>
        <v/>
      </c>
      <c r="C2734" t="inlineStr">
        <is>
          <t>Silky Cotton Loose Powder</t>
        </is>
      </c>
      <c r="D2734" t="inlineStr">
        <is>
          <t>SKINFOOD Peach Cotton Pore Blur Pact - Sebum Control Pack with Silky Texture - Long Lasting Makeup Fixing - Pore Primer with Mineral Powder for Oily Skin - Pore Quick Minimizer (4g)</t>
        </is>
      </c>
      <c r="E2734" s="2">
        <f>HYPERLINK("https://www.amazon.com/SKIN-FOOD-Peach-Cotton-Blur/dp/B07YBQ76YW/ref=sr_1_3?keywords=Silky+Cotton+Loose+Powder&amp;qid=1695565747&amp;sr=8-3", "https://www.amazon.com/SKIN-FOOD-Peach-Cotton-Blur/dp/B07YBQ76YW/ref=sr_1_3?keywords=Silky+Cotton+Loose+Powder&amp;qid=1695565747&amp;sr=8-3")</f>
        <v/>
      </c>
      <c r="F2734" t="inlineStr">
        <is>
          <t>B07YBQ76YW</t>
        </is>
      </c>
      <c r="G2734">
        <f>_xlfn.IMAGE("https://camerareadycosmetics.com/cdn/shop/products/q6_50x.jpg?v=1691124116")</f>
        <v/>
      </c>
      <c r="H2734">
        <f>_xlfn.IMAGE("https://m.media-amazon.com/images/I/61Rpwcf-HKL._AC_UL320_.jpg")</f>
        <v/>
      </c>
      <c r="K2734" t="inlineStr">
        <is>
          <t>25.0</t>
        </is>
      </c>
      <c r="L2734" t="n">
        <v>9</v>
      </c>
      <c r="M2734" s="1" t="inlineStr">
        <is>
          <t>-64.00%</t>
        </is>
      </c>
      <c r="N2734" t="n">
        <v>4.3</v>
      </c>
      <c r="O2734" t="n">
        <v>1039</v>
      </c>
      <c r="Q2734" t="inlineStr">
        <is>
          <t>InStock</t>
        </is>
      </c>
      <c r="R2734" t="inlineStr">
        <is>
          <t>undefined</t>
        </is>
      </c>
      <c r="S2734" t="inlineStr">
        <is>
          <t>9330739530</t>
        </is>
      </c>
    </row>
    <row r="2735" ht="75" customHeight="1">
      <c r="A2735" s="2">
        <f>HYPERLINK("https://camerareadycosmetics.com/products/mustaev-silky-cotton-loose-powder", "https://camerareadycosmetics.com/products/mustaev-silky-cotton-loose-powder")</f>
        <v/>
      </c>
      <c r="B2735" s="2">
        <f>HYPERLINK("https://camerareadycosmetics.com/products/mustaev-silky-cotton-loose-powder", "https://camerareadycosmetics.com/products/mustaev-silky-cotton-loose-powder")</f>
        <v/>
      </c>
      <c r="C2735" t="inlineStr">
        <is>
          <t>Silky Cotton Loose Powder</t>
        </is>
      </c>
      <c r="D2735" t="inlineStr">
        <is>
          <t>12 PCS Cotton Powder Puff Face Makeup Powder Puff Pads 2.36 Inch, Velour Round Fluffy Powder Puff for Loose Powder Foundation (White)</t>
        </is>
      </c>
      <c r="E2735" s="2">
        <f>HYPERLINK("https://www.amazon.com/Cotton-Powder-Makeup-Velour-Foundation/dp/B09NW1P7K8/ref=sr_1_7?keywords=Silky+Cotton+Loose+Powder&amp;qid=1695565747&amp;sr=8-7", "https://www.amazon.com/Cotton-Powder-Makeup-Velour-Foundation/dp/B09NW1P7K8/ref=sr_1_7?keywords=Silky+Cotton+Loose+Powder&amp;qid=1695565747&amp;sr=8-7")</f>
        <v/>
      </c>
      <c r="F2735" t="inlineStr">
        <is>
          <t>B09NW1P7K8</t>
        </is>
      </c>
      <c r="G2735">
        <f>_xlfn.IMAGE("https://camerareadycosmetics.com/cdn/shop/products/q6_50x.jpg?v=1691124116")</f>
        <v/>
      </c>
      <c r="H2735">
        <f>_xlfn.IMAGE("https://m.media-amazon.com/images/I/51P22DKNOtL._AC_UL320_.jpg")</f>
        <v/>
      </c>
      <c r="K2735" t="inlineStr">
        <is>
          <t>25.0</t>
        </is>
      </c>
      <c r="L2735" t="n">
        <v>8.99</v>
      </c>
      <c r="M2735" s="1" t="inlineStr">
        <is>
          <t>-64.04%</t>
        </is>
      </c>
      <c r="N2735" t="n">
        <v>4.3</v>
      </c>
      <c r="O2735" t="n">
        <v>44</v>
      </c>
      <c r="Q2735" t="inlineStr">
        <is>
          <t>InStock</t>
        </is>
      </c>
      <c r="R2735" t="inlineStr">
        <is>
          <t>undefined</t>
        </is>
      </c>
      <c r="S2735" t="inlineStr">
        <is>
          <t>9330739530</t>
        </is>
      </c>
    </row>
    <row r="2736" ht="75" customHeight="1">
      <c r="A2736" s="2">
        <f>HYPERLINK("https://camerareadycosmetics.com/products/mustaev-silky-cotton-loose-powder", "https://camerareadycosmetics.com/products/mustaev-silky-cotton-loose-powder")</f>
        <v/>
      </c>
      <c r="B2736" s="2">
        <f>HYPERLINK("https://camerareadycosmetics.com/products/mustaev-silky-cotton-loose-powder", "https://camerareadycosmetics.com/products/mustaev-silky-cotton-loose-powder")</f>
        <v/>
      </c>
      <c r="C2736" t="inlineStr">
        <is>
          <t>Silky Cotton Loose Powder</t>
        </is>
      </c>
      <c r="D2736" t="inlineStr">
        <is>
          <t>10 Pieces Pure Cotton Powder Puff, Makeup Puff for Powder Foundation, 3.15-inch Normal Size with Strap, Blending for Loose Powder Mineral Powder Body Powder Wet Dry Makeup Tool</t>
        </is>
      </c>
      <c r="E2736" s="2">
        <f>HYPERLINK("https://www.amazon.com/Powder-Puff-Foundation-Blending-Mineral/dp/B01IJ8Q6KC/ref=sr_1_8?keywords=Silky+Cotton+Loose+Powder&amp;qid=1695565747&amp;sr=8-8", "https://www.amazon.com/Powder-Puff-Foundation-Blending-Mineral/dp/B01IJ8Q6KC/ref=sr_1_8?keywords=Silky+Cotton+Loose+Powder&amp;qid=1695565747&amp;sr=8-8")</f>
        <v/>
      </c>
      <c r="F2736" t="inlineStr">
        <is>
          <t>B01IJ8Q6KC</t>
        </is>
      </c>
      <c r="G2736">
        <f>_xlfn.IMAGE("https://camerareadycosmetics.com/cdn/shop/products/q6_50x.jpg?v=1691124116")</f>
        <v/>
      </c>
      <c r="H2736">
        <f>_xlfn.IMAGE("https://m.media-amazon.com/images/I/71jnDDq+AqL._AC_UL320_.jpg")</f>
        <v/>
      </c>
      <c r="K2736" t="inlineStr">
        <is>
          <t>25.0</t>
        </is>
      </c>
      <c r="L2736" t="n">
        <v>7.99</v>
      </c>
      <c r="M2736" s="1" t="inlineStr">
        <is>
          <t>-68.04%</t>
        </is>
      </c>
      <c r="N2736" t="n">
        <v>4.5</v>
      </c>
      <c r="O2736" t="n">
        <v>2706</v>
      </c>
      <c r="Q2736" t="inlineStr">
        <is>
          <t>InStock</t>
        </is>
      </c>
      <c r="R2736" t="inlineStr">
        <is>
          <t>undefined</t>
        </is>
      </c>
      <c r="S2736" t="inlineStr">
        <is>
          <t>9330739530</t>
        </is>
      </c>
    </row>
    <row r="2737" ht="75" customHeight="1">
      <c r="A2737" s="2">
        <f>HYPERLINK("https://camerareadycosmetics.com/products/mustaev-silky-cotton-loose-powder", "https://camerareadycosmetics.com/products/mustaev-silky-cotton-loose-powder")</f>
        <v/>
      </c>
      <c r="B2737" s="2">
        <f>HYPERLINK("https://camerareadycosmetics.com/products/mustaev-silky-cotton-loose-powder", "https://camerareadycosmetics.com/products/mustaev-silky-cotton-loose-powder")</f>
        <v/>
      </c>
      <c r="C2737" t="inlineStr">
        <is>
          <t>Silky Cotton Loose Powder</t>
        </is>
      </c>
      <c r="D2737" t="inlineStr">
        <is>
          <t>AKOAK 5 Pcs 3.15" Pure Cotton Professional Round Body Face Loose Powder Puffs for Makeup or Baby Powder</t>
        </is>
      </c>
      <c r="E2737" s="2">
        <f>HYPERLINK("https://www.amazon.com/AKOAK-Cotton-Professional-Powder-Makeup/dp/B01G85CRGA/ref=sr_1_6?keywords=Silky+Cotton+Loose+Powder&amp;qid=1695565747&amp;sr=8-6", "https://www.amazon.com/AKOAK-Cotton-Professional-Powder-Makeup/dp/B01G85CRGA/ref=sr_1_6?keywords=Silky+Cotton+Loose+Powder&amp;qid=1695565747&amp;sr=8-6")</f>
        <v/>
      </c>
      <c r="F2737" t="inlineStr">
        <is>
          <t>B01G85CRGA</t>
        </is>
      </c>
      <c r="G2737">
        <f>_xlfn.IMAGE("https://camerareadycosmetics.com/cdn/shop/products/q6_50x.jpg?v=1691124116")</f>
        <v/>
      </c>
      <c r="H2737">
        <f>_xlfn.IMAGE("https://m.media-amazon.com/images/I/61yycWjyKYL._AC_UL320_.jpg")</f>
        <v/>
      </c>
      <c r="K2737" t="inlineStr">
        <is>
          <t>25.0</t>
        </is>
      </c>
      <c r="L2737" t="n">
        <v>6.98</v>
      </c>
      <c r="M2737" s="1" t="inlineStr">
        <is>
          <t>-72.08%</t>
        </is>
      </c>
      <c r="N2737" t="n">
        <v>4.7</v>
      </c>
      <c r="O2737" t="n">
        <v>16</v>
      </c>
      <c r="Q2737" t="inlineStr">
        <is>
          <t>InStock</t>
        </is>
      </c>
      <c r="R2737" t="inlineStr">
        <is>
          <t>undefined</t>
        </is>
      </c>
      <c r="S2737" t="inlineStr">
        <is>
          <t>9330739530</t>
        </is>
      </c>
    </row>
    <row r="2738" ht="75" customHeight="1">
      <c r="A2738" s="2">
        <f>HYPERLINK("https://camerareadycosmetics.com/products/mustaev-silky-cotton-loose-powder", "https://camerareadycosmetics.com/products/mustaev-silky-cotton-loose-powder")</f>
        <v/>
      </c>
      <c r="B2738" s="2">
        <f>HYPERLINK("https://camerareadycosmetics.com/products/mustaev-silky-cotton-loose-powder", "https://camerareadycosmetics.com/products/mustaev-silky-cotton-loose-powder")</f>
        <v/>
      </c>
      <c r="C2738" t="inlineStr">
        <is>
          <t>Silky Cotton Loose Powder</t>
        </is>
      </c>
      <c r="D2738" t="inlineStr">
        <is>
          <t>WLLHYF 12PCS Makeup Powder Puffs Pink Cotton Powder Puffs Round Powder Puff for Makeup Face Powder Velour Puffs for Loose Powder Washable(white</t>
        </is>
      </c>
      <c r="E2738" s="2">
        <f>HYPERLINK("https://www.amazon.com/WLLHYF-Makeup-Powder-Cotton-Washable/dp/B0C1SXKMSV/ref=sr_1_5?keywords=Silky+Cotton+Loose+Powder&amp;qid=1695565747&amp;sr=8-5", "https://www.amazon.com/WLLHYF-Makeup-Powder-Cotton-Washable/dp/B0C1SXKMSV/ref=sr_1_5?keywords=Silky+Cotton+Loose+Powder&amp;qid=1695565747&amp;sr=8-5")</f>
        <v/>
      </c>
      <c r="F2738" t="inlineStr">
        <is>
          <t>B0C1SXKMSV</t>
        </is>
      </c>
      <c r="G2738">
        <f>_xlfn.IMAGE("https://camerareadycosmetics.com/cdn/shop/products/q6_50x.jpg?v=1691124116")</f>
        <v/>
      </c>
      <c r="H2738">
        <f>_xlfn.IMAGE("https://m.media-amazon.com/images/I/71j20VjQRsL._AC_UL320_.jpg")</f>
        <v/>
      </c>
      <c r="K2738" t="inlineStr">
        <is>
          <t>25.0</t>
        </is>
      </c>
      <c r="L2738" t="n">
        <v>5.68</v>
      </c>
      <c r="M2738" s="1" t="inlineStr">
        <is>
          <t>-77.28%</t>
        </is>
      </c>
      <c r="N2738" t="n">
        <v>4.5</v>
      </c>
      <c r="O2738" t="n">
        <v>113</v>
      </c>
      <c r="Q2738" t="inlineStr">
        <is>
          <t>InStock</t>
        </is>
      </c>
      <c r="R2738" t="inlineStr">
        <is>
          <t>undefined</t>
        </is>
      </c>
      <c r="S2738" t="inlineStr">
        <is>
          <t>9330739530</t>
        </is>
      </c>
    </row>
    <row r="2739" ht="75" customHeight="1">
      <c r="A2739" s="2">
        <f>HYPERLINK("https://camerareadycosmetics.com/products/mustaev-silky-cotton-loose-powder", "https://camerareadycosmetics.com/products/mustaev-silky-cotton-loose-powder")</f>
        <v/>
      </c>
      <c r="B2739" s="2">
        <f>HYPERLINK("https://camerareadycosmetics.com/products/mustaev-silky-cotton-loose-powder", "https://camerareadycosmetics.com/products/mustaev-silky-cotton-loose-powder")</f>
        <v/>
      </c>
      <c r="C2739" t="inlineStr">
        <is>
          <t>Silky Cotton Loose Powder</t>
        </is>
      </c>
      <c r="D2739" t="inlineStr">
        <is>
          <t>8 Pcs Cotton Powder Puff Face,JASSINS Triangle super soft Both dry and wet Makeup Setting Puff,For Concealer/Loose Powder/Body Powder/Foundation/Blush Makeup Sponge Set (Black,pink)</t>
        </is>
      </c>
      <c r="E2739" s="2">
        <f>HYPERLINK("https://www.amazon.com/JASSINS-Triangle-Setting-Concealer-Foundation/dp/B0B4NN37ZL/ref=sr_1_4?keywords=Silky+Cotton+Loose+Powder&amp;qid=1695565747&amp;sr=8-4", "https://www.amazon.com/JASSINS-Triangle-Setting-Concealer-Foundation/dp/B0B4NN37ZL/ref=sr_1_4?keywords=Silky+Cotton+Loose+Powder&amp;qid=1695565747&amp;sr=8-4")</f>
        <v/>
      </c>
      <c r="F2739" t="inlineStr">
        <is>
          <t>B0B4NN37ZL</t>
        </is>
      </c>
      <c r="G2739">
        <f>_xlfn.IMAGE("https://camerareadycosmetics.com/cdn/shop/products/q6_50x.jpg?v=1691124116")</f>
        <v/>
      </c>
      <c r="H2739">
        <f>_xlfn.IMAGE("https://m.media-amazon.com/images/I/51HKLllsQ+L._AC_UL320_.jpg")</f>
        <v/>
      </c>
      <c r="K2739" t="inlineStr">
        <is>
          <t>25.0</t>
        </is>
      </c>
      <c r="L2739" t="n">
        <v>4.94</v>
      </c>
      <c r="M2739" s="1" t="inlineStr">
        <is>
          <t>-80.24%</t>
        </is>
      </c>
      <c r="N2739" t="n">
        <v>4.7</v>
      </c>
      <c r="O2739" t="n">
        <v>2061</v>
      </c>
      <c r="Q2739" t="inlineStr">
        <is>
          <t>InStock</t>
        </is>
      </c>
      <c r="R2739" t="inlineStr">
        <is>
          <t>undefined</t>
        </is>
      </c>
      <c r="S2739" t="inlineStr">
        <is>
          <t>9330739530</t>
        </is>
      </c>
    </row>
    <row r="2740" ht="75" customHeight="1">
      <c r="A2740" s="2">
        <f>HYPERLINK("https://camerareadycosmetics.com/products/mustaev-smudge-proof-catwalk-gel-liner", "https://camerareadycosmetics.com/products/mustaev-smudge-proof-catwalk-gel-liner")</f>
        <v/>
      </c>
      <c r="B2740" s="2">
        <f>HYPERLINK("https://camerareadycosmetics.com/products/mustaev-smudge-proof-catwalk-gel-liner", "https://camerareadycosmetics.com/products/mustaev-smudge-proof-catwalk-gel-liner")</f>
        <v/>
      </c>
      <c r="C2740" t="inlineStr">
        <is>
          <t>Smudge Proof Catwalk Gel Liner</t>
        </is>
      </c>
      <c r="D2740" t="inlineStr">
        <is>
          <t>Boobeen Eyeliner Waterproof Gel Eyeliner Smudge-proof Eye Liner Gel Makeup High Pigment Eye Makeup Set Easy to Apply Long-lasting For All Day</t>
        </is>
      </c>
      <c r="E2740" s="2">
        <f>HYPERLINK("https://www.amazon.com/Boobeen-Eyeliner-Waterproof-Smudge-proof-Long-lasting/dp/B09JWLMRGC/ref=sr_1_6?keywords=Smudge+Proof+Catwalk+Gel+Liner&amp;qid=1695565648&amp;sr=8-6", "https://www.amazon.com/Boobeen-Eyeliner-Waterproof-Smudge-proof-Long-lasting/dp/B09JWLMRGC/ref=sr_1_6?keywords=Smudge+Proof+Catwalk+Gel+Liner&amp;qid=1695565648&amp;sr=8-6")</f>
        <v/>
      </c>
      <c r="F2740" t="inlineStr">
        <is>
          <t>B09JWLMRGC</t>
        </is>
      </c>
      <c r="G2740">
        <f>_xlfn.IMAGE("https://camerareadycosmetics.com/cdn/shop/products/must-liner_50x.jpg?v=1691124915")</f>
        <v/>
      </c>
      <c r="H2740">
        <f>_xlfn.IMAGE("https://m.media-amazon.com/images/I/71kfP3c5VNL._AC_UL320_.jpg")</f>
        <v/>
      </c>
      <c r="K2740" t="inlineStr">
        <is>
          <t>21.0</t>
        </is>
      </c>
      <c r="L2740" t="n">
        <v>9.99</v>
      </c>
      <c r="M2740" s="1" t="inlineStr">
        <is>
          <t>-52.43%</t>
        </is>
      </c>
      <c r="N2740" t="n">
        <v>4.1</v>
      </c>
      <c r="O2740" t="n">
        <v>866</v>
      </c>
      <c r="Q2740" t="inlineStr">
        <is>
          <t>InStock</t>
        </is>
      </c>
      <c r="R2740" t="inlineStr">
        <is>
          <t>undefined</t>
        </is>
      </c>
      <c r="S2740" t="inlineStr">
        <is>
          <t>9683184586</t>
        </is>
      </c>
    </row>
    <row r="2741" ht="75" customHeight="1">
      <c r="A2741" s="2">
        <f>HYPERLINK("https://camerareadycosmetics.com/products/mustaev-smudge-proof-catwalk-gel-liner", "https://camerareadycosmetics.com/products/mustaev-smudge-proof-catwalk-gel-liner")</f>
        <v/>
      </c>
      <c r="B2741" s="2">
        <f>HYPERLINK("https://camerareadycosmetics.com/products/mustaev-smudge-proof-catwalk-gel-liner", "https://camerareadycosmetics.com/products/mustaev-smudge-proof-catwalk-gel-liner")</f>
        <v/>
      </c>
      <c r="C2741" t="inlineStr">
        <is>
          <t>Smudge Proof Catwalk Gel Liner</t>
        </is>
      </c>
      <c r="D2741" t="inlineStr">
        <is>
          <t>Gel Eyeliner Pencil - Black &amp; Brown Waterproof Smudge-proof Matte Gel Eyeliner Pencil, Fade-Proof Eye Liner Smooth Tattoo Eyeliner Pencil for Women Cat Eye/Smoky Eye Makeup with Sharpener</t>
        </is>
      </c>
      <c r="E2741" s="2">
        <f>HYPERLINK("https://www.amazon.com/LYSdefeu-Gel-Eyeliner-Pencil-Smudge-proof/dp/B0C9DTK3K4/ref=sr_1_2?keywords=Smudge+Proof+Catwalk+Gel+Liner&amp;qid=1695565648&amp;sr=8-2", "https://www.amazon.com/LYSdefeu-Gel-Eyeliner-Pencil-Smudge-proof/dp/B0C9DTK3K4/ref=sr_1_2?keywords=Smudge+Proof+Catwalk+Gel+Liner&amp;qid=1695565648&amp;sr=8-2")</f>
        <v/>
      </c>
      <c r="F2741" t="inlineStr">
        <is>
          <t>B0C9DTK3K4</t>
        </is>
      </c>
      <c r="G2741">
        <f>_xlfn.IMAGE("https://camerareadycosmetics.com/cdn/shop/products/must-liner_50x.jpg?v=1691124915")</f>
        <v/>
      </c>
      <c r="H2741">
        <f>_xlfn.IMAGE("https://m.media-amazon.com/images/I/71YVIaV+cWL._AC_UL320_.jpg")</f>
        <v/>
      </c>
      <c r="K2741" t="inlineStr">
        <is>
          <t>21.0</t>
        </is>
      </c>
      <c r="L2741" t="n">
        <v>9.58</v>
      </c>
      <c r="M2741" s="1" t="inlineStr">
        <is>
          <t>-54.38%</t>
        </is>
      </c>
      <c r="N2741" t="n">
        <v>5</v>
      </c>
      <c r="O2741" t="n">
        <v>1</v>
      </c>
      <c r="Q2741" t="inlineStr">
        <is>
          <t>InStock</t>
        </is>
      </c>
      <c r="R2741" t="inlineStr">
        <is>
          <t>undefined</t>
        </is>
      </c>
      <c r="S2741" t="inlineStr">
        <is>
          <t>9683184586</t>
        </is>
      </c>
    </row>
    <row r="2742" ht="75" customHeight="1">
      <c r="A2742" s="2">
        <f>HYPERLINK("https://camerareadycosmetics.com/products/mustaev-smudge-proof-catwalk-gel-liner", "https://camerareadycosmetics.com/products/mustaev-smudge-proof-catwalk-gel-liner")</f>
        <v/>
      </c>
      <c r="B2742" s="2">
        <f>HYPERLINK("https://camerareadycosmetics.com/products/mustaev-smudge-proof-catwalk-gel-liner", "https://camerareadycosmetics.com/products/mustaev-smudge-proof-catwalk-gel-liner")</f>
        <v/>
      </c>
      <c r="C2742" t="inlineStr">
        <is>
          <t>Smudge Proof Catwalk Gel Liner</t>
        </is>
      </c>
      <c r="D2742" t="inlineStr">
        <is>
          <t>Erinde Black Gel Eyeliner, Waterproof Long Lasting Cream Eyeliner Gel, High-Intensity Pigments Smudge-Proof Eye Liner Eyebrow Makeup, Water-Resistant Eyeliner with 2PCS Brushes, 02# Balck</t>
        </is>
      </c>
      <c r="E2742" s="2">
        <f>HYPERLINK("https://www.amazon.com/Erinde-Waterproof-High-Intensity-Smudge-Proof-Water-Resistant/dp/B09TFG713T/ref=sr_1_7?keywords=Smudge+Proof+Catwalk+Gel+Liner&amp;qid=1695565648&amp;sr=8-7", "https://www.amazon.com/Erinde-Waterproof-High-Intensity-Smudge-Proof-Water-Resistant/dp/B09TFG713T/ref=sr_1_7?keywords=Smudge+Proof+Catwalk+Gel+Liner&amp;qid=1695565648&amp;sr=8-7")</f>
        <v/>
      </c>
      <c r="F2742" t="inlineStr">
        <is>
          <t>B09TFG713T</t>
        </is>
      </c>
      <c r="G2742">
        <f>_xlfn.IMAGE("https://camerareadycosmetics.com/cdn/shop/products/must-liner_50x.jpg?v=1691124915")</f>
        <v/>
      </c>
      <c r="H2742">
        <f>_xlfn.IMAGE("https://m.media-amazon.com/images/I/61mYAZZp1-L._AC_UL320_.jpg")</f>
        <v/>
      </c>
      <c r="K2742" t="inlineStr">
        <is>
          <t>21.0</t>
        </is>
      </c>
      <c r="L2742" t="n">
        <v>8.99</v>
      </c>
      <c r="M2742" s="1" t="inlineStr">
        <is>
          <t>-57.19%</t>
        </is>
      </c>
      <c r="N2742" t="n">
        <v>4</v>
      </c>
      <c r="O2742" t="n">
        <v>917</v>
      </c>
      <c r="Q2742" t="inlineStr">
        <is>
          <t>InStock</t>
        </is>
      </c>
      <c r="R2742" t="inlineStr">
        <is>
          <t>undefined</t>
        </is>
      </c>
      <c r="S2742" t="inlineStr">
        <is>
          <t>9683184586</t>
        </is>
      </c>
    </row>
    <row r="2743" ht="75" customHeight="1">
      <c r="A2743" s="2">
        <f>HYPERLINK("https://camerareadycosmetics.com/products/mustaev-smudge-proof-catwalk-gel-liner", "https://camerareadycosmetics.com/products/mustaev-smudge-proof-catwalk-gel-liner")</f>
        <v/>
      </c>
      <c r="B2743" s="2">
        <f>HYPERLINK("https://camerareadycosmetics.com/products/mustaev-smudge-proof-catwalk-gel-liner", "https://camerareadycosmetics.com/products/mustaev-smudge-proof-catwalk-gel-liner")</f>
        <v/>
      </c>
      <c r="C2743" t="inlineStr">
        <is>
          <t>Smudge Proof Catwalk Gel Liner</t>
        </is>
      </c>
      <c r="D2743" t="inlineStr">
        <is>
          <t>Gel Eyeliner, Black and Brown Eyeliner Waterproof Long Lasting Smudge Proof Gel Liner with 2 Brushes, Easy to Apply Eye Makeup 3 g, Pack of 2</t>
        </is>
      </c>
      <c r="E2743" s="2">
        <f>HYPERLINK("https://www.amazon.com/Music-Flower-Waterproof-Long-lasting-Smudge-proof/dp/B07K1ZZB4W/ref=sr_1_10?keywords=Smudge+Proof+Catwalk+Gel+Liner&amp;qid=1695565648&amp;sr=8-10", "https://www.amazon.com/Music-Flower-Waterproof-Long-lasting-Smudge-proof/dp/B07K1ZZB4W/ref=sr_1_10?keywords=Smudge+Proof+Catwalk+Gel+Liner&amp;qid=1695565648&amp;sr=8-10")</f>
        <v/>
      </c>
      <c r="F2743" t="inlineStr">
        <is>
          <t>B07K1ZZB4W</t>
        </is>
      </c>
      <c r="G2743">
        <f>_xlfn.IMAGE("https://camerareadycosmetics.com/cdn/shop/products/must-liner_50x.jpg?v=1691124915")</f>
        <v/>
      </c>
      <c r="H2743">
        <f>_xlfn.IMAGE("https://m.media-amazon.com/images/I/517hfHPy7EL._AC_UL320_.jpg")</f>
        <v/>
      </c>
      <c r="K2743" t="inlineStr">
        <is>
          <t>21.0</t>
        </is>
      </c>
      <c r="L2743" t="n">
        <v>7.99</v>
      </c>
      <c r="M2743" s="1" t="inlineStr">
        <is>
          <t>-61.95%</t>
        </is>
      </c>
      <c r="N2743" t="n">
        <v>4.2</v>
      </c>
      <c r="O2743" t="n">
        <v>478</v>
      </c>
      <c r="Q2743" t="inlineStr">
        <is>
          <t>InStock</t>
        </is>
      </c>
      <c r="R2743" t="inlineStr">
        <is>
          <t>undefined</t>
        </is>
      </c>
      <c r="S2743" t="inlineStr">
        <is>
          <t>9683184586</t>
        </is>
      </c>
    </row>
    <row r="2744" ht="75" customHeight="1">
      <c r="A2744" s="2">
        <f>HYPERLINK("https://camerareadycosmetics.com/products/mustaev-smudge-proof-catwalk-gel-liner", "https://camerareadycosmetics.com/products/mustaev-smudge-proof-catwalk-gel-liner")</f>
        <v/>
      </c>
      <c r="B2744" s="2">
        <f>HYPERLINK("https://camerareadycosmetics.com/products/mustaev-smudge-proof-catwalk-gel-liner", "https://camerareadycosmetics.com/products/mustaev-smudge-proof-catwalk-gel-liner")</f>
        <v/>
      </c>
      <c r="C2744" t="inlineStr">
        <is>
          <t>Smudge Proof Catwalk Gel Liner</t>
        </is>
      </c>
      <c r="D2744" t="inlineStr">
        <is>
          <t>MISS ROSE M Gel/Cream Eyeliner Tool Smudge Proof Matte Black Eye-liner Pencil Tattoo Eyeliner Pen, Eyeliner Gel Stick Makeup Eye-liners for Women Girls (Black)</t>
        </is>
      </c>
      <c r="E2744" s="2">
        <f>HYPERLINK("https://www.amazon.com/MISS-ROSE-Waterproof-Eye-liner-Eye-liners/dp/B09D3MLMLZ/ref=sr_1_5?keywords=Smudge+Proof+Catwalk+Gel+Liner&amp;qid=1695565648&amp;sr=8-5", "https://www.amazon.com/MISS-ROSE-Waterproof-Eye-liner-Eye-liners/dp/B09D3MLMLZ/ref=sr_1_5?keywords=Smudge+Proof+Catwalk+Gel+Liner&amp;qid=1695565648&amp;sr=8-5")</f>
        <v/>
      </c>
      <c r="F2744" t="inlineStr">
        <is>
          <t>B09D3MLMLZ</t>
        </is>
      </c>
      <c r="G2744">
        <f>_xlfn.IMAGE("https://camerareadycosmetics.com/cdn/shop/products/must-liner_50x.jpg?v=1691124915")</f>
        <v/>
      </c>
      <c r="H2744">
        <f>_xlfn.IMAGE("https://m.media-amazon.com/images/I/61zBxEYvtWL._AC_UL320_.jpg")</f>
        <v/>
      </c>
      <c r="K2744" t="inlineStr">
        <is>
          <t>21.0</t>
        </is>
      </c>
      <c r="L2744" t="n">
        <v>6.99</v>
      </c>
      <c r="M2744" s="1" t="inlineStr">
        <is>
          <t>-66.71%</t>
        </is>
      </c>
      <c r="N2744" t="n">
        <v>3.9</v>
      </c>
      <c r="O2744" t="n">
        <v>1428</v>
      </c>
      <c r="Q2744" t="inlineStr">
        <is>
          <t>InStock</t>
        </is>
      </c>
      <c r="R2744" t="inlineStr">
        <is>
          <t>undefined</t>
        </is>
      </c>
      <c r="S2744" t="inlineStr">
        <is>
          <t>9683184586</t>
        </is>
      </c>
    </row>
    <row r="2745" ht="75" customHeight="1">
      <c r="A2745" s="2">
        <f>HYPERLINK("https://camerareadycosmetics.com/products/mustaev-smudge-proof-catwalk-gel-liner", "https://camerareadycosmetics.com/products/mustaev-smudge-proof-catwalk-gel-liner")</f>
        <v/>
      </c>
      <c r="B2745" s="2">
        <f>HYPERLINK("https://camerareadycosmetics.com/products/mustaev-smudge-proof-catwalk-gel-liner", "https://camerareadycosmetics.com/products/mustaev-smudge-proof-catwalk-gel-liner")</f>
        <v/>
      </c>
      <c r="C2745" t="inlineStr">
        <is>
          <t>Smudge Proof Catwalk Gel Liner</t>
        </is>
      </c>
      <c r="D2745" t="inlineStr">
        <is>
          <t>wet n wild Mega Last Breakup Proof Liquid Waterproof Eyeliner, Blackest Black, Quick Drying Retractable Gel Eyeliner, Smudge Resistant, Long Lasting 16 Hour Wear, Ultra Fine Brush Tip Pen</t>
        </is>
      </c>
      <c r="E2745" s="2">
        <f>HYPERLINK("https://www.amazon.com/wet-wild-Waterproof-Retractable-Resistant/dp/B0BV62J1X1/ref=sr_1_9?keywords=Smudge+Proof+Catwalk+Gel+Liner&amp;qid=1695565648&amp;sr=8-9", "https://www.amazon.com/wet-wild-Waterproof-Retractable-Resistant/dp/B0BV62J1X1/ref=sr_1_9?keywords=Smudge+Proof+Catwalk+Gel+Liner&amp;qid=1695565648&amp;sr=8-9")</f>
        <v/>
      </c>
      <c r="F2745" t="inlineStr">
        <is>
          <t>B0BV62J1X1</t>
        </is>
      </c>
      <c r="G2745">
        <f>_xlfn.IMAGE("https://camerareadycosmetics.com/cdn/shop/products/must-liner_50x.jpg?v=1691124915")</f>
        <v/>
      </c>
      <c r="H2745">
        <f>_xlfn.IMAGE("https://m.media-amazon.com/images/I/41apd6si6eL._AC_UL320_.jpg")</f>
        <v/>
      </c>
      <c r="K2745" t="inlineStr">
        <is>
          <t>21.0</t>
        </is>
      </c>
      <c r="L2745" t="n">
        <v>6.84</v>
      </c>
      <c r="M2745" s="1" t="inlineStr">
        <is>
          <t>-67.43%</t>
        </is>
      </c>
      <c r="N2745" t="n">
        <v>4.4</v>
      </c>
      <c r="O2745" t="n">
        <v>21882</v>
      </c>
      <c r="Q2745" t="inlineStr">
        <is>
          <t>InStock</t>
        </is>
      </c>
      <c r="R2745" t="inlineStr">
        <is>
          <t>undefined</t>
        </is>
      </c>
      <c r="S2745" t="inlineStr">
        <is>
          <t>9683184586</t>
        </is>
      </c>
    </row>
    <row r="2746" ht="75" customHeight="1">
      <c r="A2746" s="2">
        <f>HYPERLINK("https://camerareadycosmetics.com/products/mustaev-smudge-proof-catwalk-gel-liner", "https://camerareadycosmetics.com/products/mustaev-smudge-proof-catwalk-gel-liner")</f>
        <v/>
      </c>
      <c r="B2746" s="2">
        <f>HYPERLINK("https://camerareadycosmetics.com/products/mustaev-smudge-proof-catwalk-gel-liner", "https://camerareadycosmetics.com/products/mustaev-smudge-proof-catwalk-gel-liner")</f>
        <v/>
      </c>
      <c r="C2746" t="inlineStr">
        <is>
          <t>Smudge Proof Catwalk Gel Liner</t>
        </is>
      </c>
      <c r="D2746" t="inlineStr">
        <is>
          <t>2 In 1 Long-wear Gel Eyeliner Smudge-proof &amp; Waterproof, Last for All Day Long, 2 Pieces Eye Makeup Brushes Included (5# Black+Black)</t>
        </is>
      </c>
      <c r="E2746" s="2">
        <f>HYPERLINK("https://www.amazon.com/Frola-Long-wear-Eyeliner-Smudge-proof-Waterproof/dp/B07RG49LZ2/ref=sr_1_4?keywords=Smudge+Proof+Catwalk+Gel+Liner&amp;qid=1695565648&amp;sr=8-4", "https://www.amazon.com/Frola-Long-wear-Eyeliner-Smudge-proof-Waterproof/dp/B07RG49LZ2/ref=sr_1_4?keywords=Smudge+Proof+Catwalk+Gel+Liner&amp;qid=1695565648&amp;sr=8-4")</f>
        <v/>
      </c>
      <c r="F2746" t="inlineStr">
        <is>
          <t>B07RG49LZ2</t>
        </is>
      </c>
      <c r="G2746">
        <f>_xlfn.IMAGE("https://camerareadycosmetics.com/cdn/shop/products/must-liner_50x.jpg?v=1691124915")</f>
        <v/>
      </c>
      <c r="H2746">
        <f>_xlfn.IMAGE("https://m.media-amazon.com/images/I/61nX6eSNIHL._AC_UL320_.jpg")</f>
        <v/>
      </c>
      <c r="K2746" t="inlineStr">
        <is>
          <t>21.0</t>
        </is>
      </c>
      <c r="L2746" t="n">
        <v>5.99</v>
      </c>
      <c r="M2746" s="1" t="inlineStr">
        <is>
          <t>-71.48%</t>
        </is>
      </c>
      <c r="N2746" t="n">
        <v>4.2</v>
      </c>
      <c r="O2746" t="n">
        <v>812</v>
      </c>
      <c r="Q2746" t="inlineStr">
        <is>
          <t>InStock</t>
        </is>
      </c>
      <c r="R2746" t="inlineStr">
        <is>
          <t>undefined</t>
        </is>
      </c>
      <c r="S2746" t="inlineStr">
        <is>
          <t>9683184586</t>
        </is>
      </c>
    </row>
    <row r="2747" ht="75" customHeight="1">
      <c r="A2747" s="2">
        <f>HYPERLINK("https://camerareadycosmetics.com/products/mustaev-smudge-proof-catwalk-gel-liner", "https://camerareadycosmetics.com/products/mustaev-smudge-proof-catwalk-gel-liner")</f>
        <v/>
      </c>
      <c r="B2747" s="2">
        <f>HYPERLINK("https://camerareadycosmetics.com/products/mustaev-smudge-proof-catwalk-gel-liner", "https://camerareadycosmetics.com/products/mustaev-smudge-proof-catwalk-gel-liner")</f>
        <v/>
      </c>
      <c r="C2747" t="inlineStr">
        <is>
          <t>Smudge Proof Catwalk Gel Liner</t>
        </is>
      </c>
      <c r="D2747" t="inlineStr">
        <is>
          <t>Boobeen Eyeliner Waterproof Gel Eyeliner Smudge-proof Eye Liner Gel Makeup High Pigment Eye Makeup Set Easy to Apply Long-lasting For All Day</t>
        </is>
      </c>
      <c r="E2747" s="2">
        <f>HYPERLINK("https://www.amazon.com/Boobeen-Eyeliner-Waterproof-Smudge-proof-Long-lasting/dp/B09JWLMRGC/ref=sr_1_6?keywords=Smudge+Proof+Catwalk+Gel+Liner&amp;qid=1695565648&amp;sr=8-6", "https://www.amazon.com/Boobeen-Eyeliner-Waterproof-Smudge-proof-Long-lasting/dp/B09JWLMRGC/ref=sr_1_6?keywords=Smudge+Proof+Catwalk+Gel+Liner&amp;qid=1695565648&amp;sr=8-6")</f>
        <v/>
      </c>
      <c r="F2747" t="inlineStr">
        <is>
          <t>B09JWLMRGC</t>
        </is>
      </c>
      <c r="G2747">
        <f>_xlfn.IMAGE("https://camerareadycosmetics.com/cdn/shop/products/must-liner_50x.jpg?v=1691124915")</f>
        <v/>
      </c>
      <c r="H2747">
        <f>_xlfn.IMAGE("https://m.media-amazon.com/images/I/71kfP3c5VNL._AC_UL320_.jpg")</f>
        <v/>
      </c>
      <c r="K2747" t="inlineStr">
        <is>
          <t>21.0</t>
        </is>
      </c>
      <c r="L2747" t="n">
        <v>9.99</v>
      </c>
      <c r="M2747" s="1" t="inlineStr">
        <is>
          <t>-52.43%</t>
        </is>
      </c>
      <c r="N2747" t="n">
        <v>4.1</v>
      </c>
      <c r="O2747" t="n">
        <v>866</v>
      </c>
      <c r="Q2747" t="inlineStr">
        <is>
          <t>InStock</t>
        </is>
      </c>
      <c r="R2747" t="inlineStr">
        <is>
          <t>undefined</t>
        </is>
      </c>
      <c r="S2747" t="inlineStr">
        <is>
          <t>9683184586</t>
        </is>
      </c>
    </row>
    <row r="2748" ht="75" customHeight="1">
      <c r="A2748" s="2">
        <f>HYPERLINK("https://camerareadycosmetics.com/products/mustaev-smudge-proof-catwalk-gel-liner", "https://camerareadycosmetics.com/products/mustaev-smudge-proof-catwalk-gel-liner")</f>
        <v/>
      </c>
      <c r="B2748" s="2">
        <f>HYPERLINK("https://camerareadycosmetics.com/products/mustaev-smudge-proof-catwalk-gel-liner", "https://camerareadycosmetics.com/products/mustaev-smudge-proof-catwalk-gel-liner")</f>
        <v/>
      </c>
      <c r="C2748" t="inlineStr">
        <is>
          <t>Smudge Proof Catwalk Gel Liner</t>
        </is>
      </c>
      <c r="D2748" t="inlineStr">
        <is>
          <t>Gel Eyeliner Pencil - Black &amp; Brown Waterproof Smudge-proof Matte Gel Eyeliner Pencil, Fade-Proof Eye Liner Smooth Tattoo Eyeliner Pencil for Women Cat Eye/Smoky Eye Makeup with Sharpener</t>
        </is>
      </c>
      <c r="E2748" s="2">
        <f>HYPERLINK("https://www.amazon.com/LYSdefeu-Gel-Eyeliner-Pencil-Smudge-proof/dp/B0C9DTK3K4/ref=sr_1_2?keywords=Smudge+Proof+Catwalk+Gel+Liner&amp;qid=1695565648&amp;sr=8-2", "https://www.amazon.com/LYSdefeu-Gel-Eyeliner-Pencil-Smudge-proof/dp/B0C9DTK3K4/ref=sr_1_2?keywords=Smudge+Proof+Catwalk+Gel+Liner&amp;qid=1695565648&amp;sr=8-2")</f>
        <v/>
      </c>
      <c r="F2748" t="inlineStr">
        <is>
          <t>B0C9DTK3K4</t>
        </is>
      </c>
      <c r="G2748">
        <f>_xlfn.IMAGE("https://camerareadycosmetics.com/cdn/shop/products/must-liner_50x.jpg?v=1691124915")</f>
        <v/>
      </c>
      <c r="H2748">
        <f>_xlfn.IMAGE("https://m.media-amazon.com/images/I/71YVIaV+cWL._AC_UL320_.jpg")</f>
        <v/>
      </c>
      <c r="K2748" t="inlineStr">
        <is>
          <t>21.0</t>
        </is>
      </c>
      <c r="L2748" t="n">
        <v>9.58</v>
      </c>
      <c r="M2748" s="1" t="inlineStr">
        <is>
          <t>-54.38%</t>
        </is>
      </c>
      <c r="N2748" t="n">
        <v>5</v>
      </c>
      <c r="O2748" t="n">
        <v>1</v>
      </c>
      <c r="Q2748" t="inlineStr">
        <is>
          <t>InStock</t>
        </is>
      </c>
      <c r="R2748" t="inlineStr">
        <is>
          <t>undefined</t>
        </is>
      </c>
      <c r="S2748" t="inlineStr">
        <is>
          <t>9683184586</t>
        </is>
      </c>
    </row>
    <row r="2749" ht="75" customHeight="1">
      <c r="A2749" s="2">
        <f>HYPERLINK("https://camerareadycosmetics.com/products/mustaev-smudge-proof-catwalk-gel-liner", "https://camerareadycosmetics.com/products/mustaev-smudge-proof-catwalk-gel-liner")</f>
        <v/>
      </c>
      <c r="B2749" s="2">
        <f>HYPERLINK("https://camerareadycosmetics.com/products/mustaev-smudge-proof-catwalk-gel-liner", "https://camerareadycosmetics.com/products/mustaev-smudge-proof-catwalk-gel-liner")</f>
        <v/>
      </c>
      <c r="C2749" t="inlineStr">
        <is>
          <t>Smudge Proof Catwalk Gel Liner</t>
        </is>
      </c>
      <c r="D2749" t="inlineStr">
        <is>
          <t>Erinde Black Gel Eyeliner, Waterproof Long Lasting Cream Eyeliner Gel, High-Intensity Pigments Smudge-Proof Eye Liner Eyebrow Makeup, Water-Resistant Eyeliner with 2PCS Brushes, 02# Balck</t>
        </is>
      </c>
      <c r="E2749" s="2">
        <f>HYPERLINK("https://www.amazon.com/Erinde-Waterproof-High-Intensity-Smudge-Proof-Water-Resistant/dp/B09TFG713T/ref=sr_1_7?keywords=Smudge+Proof+Catwalk+Gel+Liner&amp;qid=1695565648&amp;sr=8-7", "https://www.amazon.com/Erinde-Waterproof-High-Intensity-Smudge-Proof-Water-Resistant/dp/B09TFG713T/ref=sr_1_7?keywords=Smudge+Proof+Catwalk+Gel+Liner&amp;qid=1695565648&amp;sr=8-7")</f>
        <v/>
      </c>
      <c r="F2749" t="inlineStr">
        <is>
          <t>B09TFG713T</t>
        </is>
      </c>
      <c r="G2749">
        <f>_xlfn.IMAGE("https://camerareadycosmetics.com/cdn/shop/products/must-liner_50x.jpg?v=1691124915")</f>
        <v/>
      </c>
      <c r="H2749">
        <f>_xlfn.IMAGE("https://m.media-amazon.com/images/I/61mYAZZp1-L._AC_UL320_.jpg")</f>
        <v/>
      </c>
      <c r="K2749" t="inlineStr">
        <is>
          <t>21.0</t>
        </is>
      </c>
      <c r="L2749" t="n">
        <v>8.99</v>
      </c>
      <c r="M2749" s="1" t="inlineStr">
        <is>
          <t>-57.19%</t>
        </is>
      </c>
      <c r="N2749" t="n">
        <v>4</v>
      </c>
      <c r="O2749" t="n">
        <v>917</v>
      </c>
      <c r="Q2749" t="inlineStr">
        <is>
          <t>InStock</t>
        </is>
      </c>
      <c r="R2749" t="inlineStr">
        <is>
          <t>undefined</t>
        </is>
      </c>
      <c r="S2749" t="inlineStr">
        <is>
          <t>9683184586</t>
        </is>
      </c>
    </row>
    <row r="2750" ht="75" customHeight="1">
      <c r="A2750" s="2">
        <f>HYPERLINK("https://camerareadycosmetics.com/products/mustaev-smudge-proof-catwalk-gel-liner", "https://camerareadycosmetics.com/products/mustaev-smudge-proof-catwalk-gel-liner")</f>
        <v/>
      </c>
      <c r="B2750" s="2">
        <f>HYPERLINK("https://camerareadycosmetics.com/products/mustaev-smudge-proof-catwalk-gel-liner", "https://camerareadycosmetics.com/products/mustaev-smudge-proof-catwalk-gel-liner")</f>
        <v/>
      </c>
      <c r="C2750" t="inlineStr">
        <is>
          <t>Smudge Proof Catwalk Gel Liner</t>
        </is>
      </c>
      <c r="D2750" t="inlineStr">
        <is>
          <t>Gel Eyeliner, Black and Brown Eyeliner Waterproof Long Lasting Smudge Proof Gel Liner with 2 Brushes, Easy to Apply Eye Makeup 3 g, Pack of 2</t>
        </is>
      </c>
      <c r="E2750" s="2">
        <f>HYPERLINK("https://www.amazon.com/Music-Flower-Waterproof-Long-lasting-Smudge-proof/dp/B07K1ZZB4W/ref=sr_1_10?keywords=Smudge+Proof+Catwalk+Gel+Liner&amp;qid=1695565648&amp;sr=8-10", "https://www.amazon.com/Music-Flower-Waterproof-Long-lasting-Smudge-proof/dp/B07K1ZZB4W/ref=sr_1_10?keywords=Smudge+Proof+Catwalk+Gel+Liner&amp;qid=1695565648&amp;sr=8-10")</f>
        <v/>
      </c>
      <c r="F2750" t="inlineStr">
        <is>
          <t>B07K1ZZB4W</t>
        </is>
      </c>
      <c r="G2750">
        <f>_xlfn.IMAGE("https://camerareadycosmetics.com/cdn/shop/products/must-liner_50x.jpg?v=1691124915")</f>
        <v/>
      </c>
      <c r="H2750">
        <f>_xlfn.IMAGE("https://m.media-amazon.com/images/I/517hfHPy7EL._AC_UL320_.jpg")</f>
        <v/>
      </c>
      <c r="K2750" t="inlineStr">
        <is>
          <t>21.0</t>
        </is>
      </c>
      <c r="L2750" t="n">
        <v>7.99</v>
      </c>
      <c r="M2750" s="1" t="inlineStr">
        <is>
          <t>-61.95%</t>
        </is>
      </c>
      <c r="N2750" t="n">
        <v>4.2</v>
      </c>
      <c r="O2750" t="n">
        <v>478</v>
      </c>
      <c r="Q2750" t="inlineStr">
        <is>
          <t>InStock</t>
        </is>
      </c>
      <c r="R2750" t="inlineStr">
        <is>
          <t>undefined</t>
        </is>
      </c>
      <c r="S2750" t="inlineStr">
        <is>
          <t>9683184586</t>
        </is>
      </c>
    </row>
    <row r="2751" ht="75" customHeight="1">
      <c r="A2751" s="2">
        <f>HYPERLINK("https://camerareadycosmetics.com/products/mustaev-smudge-proof-catwalk-gel-liner", "https://camerareadycosmetics.com/products/mustaev-smudge-proof-catwalk-gel-liner")</f>
        <v/>
      </c>
      <c r="B2751" s="2">
        <f>HYPERLINK("https://camerareadycosmetics.com/products/mustaev-smudge-proof-catwalk-gel-liner", "https://camerareadycosmetics.com/products/mustaev-smudge-proof-catwalk-gel-liner")</f>
        <v/>
      </c>
      <c r="C2751" t="inlineStr">
        <is>
          <t>Smudge Proof Catwalk Gel Liner</t>
        </is>
      </c>
      <c r="D2751" t="inlineStr">
        <is>
          <t>MISS ROSE M Gel/Cream Eyeliner Tool Smudge Proof Matte Black Eye-liner Pencil Tattoo Eyeliner Pen, Eyeliner Gel Stick Makeup Eye-liners for Women Girls (Black)</t>
        </is>
      </c>
      <c r="E2751" s="2">
        <f>HYPERLINK("https://www.amazon.com/MISS-ROSE-Waterproof-Eye-liner-Eye-liners/dp/B09D3MLMLZ/ref=sr_1_5?keywords=Smudge+Proof+Catwalk+Gel+Liner&amp;qid=1695565648&amp;sr=8-5", "https://www.amazon.com/MISS-ROSE-Waterproof-Eye-liner-Eye-liners/dp/B09D3MLMLZ/ref=sr_1_5?keywords=Smudge+Proof+Catwalk+Gel+Liner&amp;qid=1695565648&amp;sr=8-5")</f>
        <v/>
      </c>
      <c r="F2751" t="inlineStr">
        <is>
          <t>B09D3MLMLZ</t>
        </is>
      </c>
      <c r="G2751">
        <f>_xlfn.IMAGE("https://camerareadycosmetics.com/cdn/shop/products/must-liner_50x.jpg?v=1691124915")</f>
        <v/>
      </c>
      <c r="H2751">
        <f>_xlfn.IMAGE("https://m.media-amazon.com/images/I/61zBxEYvtWL._AC_UL320_.jpg")</f>
        <v/>
      </c>
      <c r="K2751" t="inlineStr">
        <is>
          <t>21.0</t>
        </is>
      </c>
      <c r="L2751" t="n">
        <v>6.99</v>
      </c>
      <c r="M2751" s="1" t="inlineStr">
        <is>
          <t>-66.71%</t>
        </is>
      </c>
      <c r="N2751" t="n">
        <v>3.9</v>
      </c>
      <c r="O2751" t="n">
        <v>1428</v>
      </c>
      <c r="Q2751" t="inlineStr">
        <is>
          <t>InStock</t>
        </is>
      </c>
      <c r="R2751" t="inlineStr">
        <is>
          <t>undefined</t>
        </is>
      </c>
      <c r="S2751" t="inlineStr">
        <is>
          <t>9683184586</t>
        </is>
      </c>
    </row>
    <row r="2752" ht="75" customHeight="1">
      <c r="A2752" s="2">
        <f>HYPERLINK("https://camerareadycosmetics.com/products/mustaev-smudge-proof-catwalk-gel-liner", "https://camerareadycosmetics.com/products/mustaev-smudge-proof-catwalk-gel-liner")</f>
        <v/>
      </c>
      <c r="B2752" s="2">
        <f>HYPERLINK("https://camerareadycosmetics.com/products/mustaev-smudge-proof-catwalk-gel-liner", "https://camerareadycosmetics.com/products/mustaev-smudge-proof-catwalk-gel-liner")</f>
        <v/>
      </c>
      <c r="C2752" t="inlineStr">
        <is>
          <t>Smudge Proof Catwalk Gel Liner</t>
        </is>
      </c>
      <c r="D2752" t="inlineStr">
        <is>
          <t>wet n wild Mega Last Breakup Proof Liquid Waterproof Eyeliner, Blackest Black, Quick Drying Retractable Gel Eyeliner, Smudge Resistant, Long Lasting 16 Hour Wear, Ultra Fine Brush Tip Pen</t>
        </is>
      </c>
      <c r="E2752" s="2">
        <f>HYPERLINK("https://www.amazon.com/wet-wild-Waterproof-Retractable-Resistant/dp/B0BV62J1X1/ref=sr_1_9?keywords=Smudge+Proof+Catwalk+Gel+Liner&amp;qid=1695565648&amp;sr=8-9", "https://www.amazon.com/wet-wild-Waterproof-Retractable-Resistant/dp/B0BV62J1X1/ref=sr_1_9?keywords=Smudge+Proof+Catwalk+Gel+Liner&amp;qid=1695565648&amp;sr=8-9")</f>
        <v/>
      </c>
      <c r="F2752" t="inlineStr">
        <is>
          <t>B0BV62J1X1</t>
        </is>
      </c>
      <c r="G2752">
        <f>_xlfn.IMAGE("https://camerareadycosmetics.com/cdn/shop/products/must-liner_50x.jpg?v=1691124915")</f>
        <v/>
      </c>
      <c r="H2752">
        <f>_xlfn.IMAGE("https://m.media-amazon.com/images/I/41apd6si6eL._AC_UL320_.jpg")</f>
        <v/>
      </c>
      <c r="K2752" t="inlineStr">
        <is>
          <t>21.0</t>
        </is>
      </c>
      <c r="L2752" t="n">
        <v>6.84</v>
      </c>
      <c r="M2752" s="1" t="inlineStr">
        <is>
          <t>-67.43%</t>
        </is>
      </c>
      <c r="N2752" t="n">
        <v>4.4</v>
      </c>
      <c r="O2752" t="n">
        <v>21882</v>
      </c>
      <c r="Q2752" t="inlineStr">
        <is>
          <t>InStock</t>
        </is>
      </c>
      <c r="R2752" t="inlineStr">
        <is>
          <t>undefined</t>
        </is>
      </c>
      <c r="S2752" t="inlineStr">
        <is>
          <t>9683184586</t>
        </is>
      </c>
    </row>
    <row r="2753" ht="75" customHeight="1">
      <c r="A2753" s="2">
        <f>HYPERLINK("https://camerareadycosmetics.com/products/mustaev-smudge-proof-catwalk-gel-liner", "https://camerareadycosmetics.com/products/mustaev-smudge-proof-catwalk-gel-liner")</f>
        <v/>
      </c>
      <c r="B2753" s="2">
        <f>HYPERLINK("https://camerareadycosmetics.com/products/mustaev-smudge-proof-catwalk-gel-liner", "https://camerareadycosmetics.com/products/mustaev-smudge-proof-catwalk-gel-liner")</f>
        <v/>
      </c>
      <c r="C2753" t="inlineStr">
        <is>
          <t>Smudge Proof Catwalk Gel Liner</t>
        </is>
      </c>
      <c r="D2753" t="inlineStr">
        <is>
          <t>2 In 1 Long-wear Gel Eyeliner Smudge-proof &amp; Waterproof, Last for All Day Long, 2 Pieces Eye Makeup Brushes Included (5# Black+Black)</t>
        </is>
      </c>
      <c r="E2753" s="2">
        <f>HYPERLINK("https://www.amazon.com/Frola-Long-wear-Eyeliner-Smudge-proof-Waterproof/dp/B07RG49LZ2/ref=sr_1_4?keywords=Smudge+Proof+Catwalk+Gel+Liner&amp;qid=1695565648&amp;sr=8-4", "https://www.amazon.com/Frola-Long-wear-Eyeliner-Smudge-proof-Waterproof/dp/B07RG49LZ2/ref=sr_1_4?keywords=Smudge+Proof+Catwalk+Gel+Liner&amp;qid=1695565648&amp;sr=8-4")</f>
        <v/>
      </c>
      <c r="F2753" t="inlineStr">
        <is>
          <t>B07RG49LZ2</t>
        </is>
      </c>
      <c r="G2753">
        <f>_xlfn.IMAGE("https://camerareadycosmetics.com/cdn/shop/products/must-liner_50x.jpg?v=1691124915")</f>
        <v/>
      </c>
      <c r="H2753">
        <f>_xlfn.IMAGE("https://m.media-amazon.com/images/I/61nX6eSNIHL._AC_UL320_.jpg")</f>
        <v/>
      </c>
      <c r="K2753" t="inlineStr">
        <is>
          <t>21.0</t>
        </is>
      </c>
      <c r="L2753" t="n">
        <v>5.99</v>
      </c>
      <c r="M2753" s="1" t="inlineStr">
        <is>
          <t>-71.48%</t>
        </is>
      </c>
      <c r="N2753" t="n">
        <v>4.2</v>
      </c>
      <c r="O2753" t="n">
        <v>812</v>
      </c>
      <c r="Q2753" t="inlineStr">
        <is>
          <t>InStock</t>
        </is>
      </c>
      <c r="R2753" t="inlineStr">
        <is>
          <t>undefined</t>
        </is>
      </c>
      <c r="S2753" t="inlineStr">
        <is>
          <t>9683184586</t>
        </is>
      </c>
    </row>
    <row r="2754" ht="75" customHeight="1">
      <c r="A2754" s="2">
        <f>HYPERLINK("https://camerareadycosmetics.com/products/mustaev-spot-eraser-concealer-pencil", "https://camerareadycosmetics.com/products/mustaev-spot-eraser-concealer-pencil")</f>
        <v/>
      </c>
      <c r="B2754" s="2">
        <f>HYPERLINK("https://camerareadycosmetics.com/products/mustaev-spot-eraser-concealer-pencil", "https://camerareadycosmetics.com/products/mustaev-spot-eraser-concealer-pencil")</f>
        <v/>
      </c>
      <c r="C2754" t="inlineStr">
        <is>
          <t>Spot Eraser Concealer Pencil</t>
        </is>
      </c>
      <c r="D2754" t="inlineStr">
        <is>
          <t>MustaeV - Spot Eraser Concealer Pencil - No. 00 Snow Beige</t>
        </is>
      </c>
      <c r="E2754" s="2">
        <f>HYPERLINK("https://www.amazon.com/MustaeV-Eraser-Concealer-Pencil-Beige/dp/B0BQLL17V2/ref=sr_1_10?keywords=Spot+Eraser+Concealer+Pencil&amp;qid=1695565645&amp;sr=8-10", "https://www.amazon.com/MustaeV-Eraser-Concealer-Pencil-Beige/dp/B0BQLL17V2/ref=sr_1_10?keywords=Spot+Eraser+Concealer+Pencil&amp;qid=1695565645&amp;sr=8-10")</f>
        <v/>
      </c>
      <c r="F2754" t="inlineStr">
        <is>
          <t>B0BQLL17V2</t>
        </is>
      </c>
      <c r="G2754">
        <f>_xlfn.IMAGE("https://camerareadycosmetics.com/cdn/shop/products/131-451-thickbox_50x.jpg?v=1691124092")</f>
        <v/>
      </c>
      <c r="H2754">
        <f>_xlfn.IMAGE("https://m.media-amazon.com/images/I/413oY8+mSZL._AC_UL320_.jpg")</f>
        <v/>
      </c>
      <c r="K2754" t="inlineStr">
        <is>
          <t>13.0</t>
        </is>
      </c>
      <c r="L2754" t="n">
        <v>13</v>
      </c>
      <c r="M2754" s="1" t="inlineStr">
        <is>
          <t>0.00%</t>
        </is>
      </c>
      <c r="N2754" t="n">
        <v>5</v>
      </c>
      <c r="O2754" t="n">
        <v>2</v>
      </c>
      <c r="Q2754" t="inlineStr">
        <is>
          <t>InStock</t>
        </is>
      </c>
      <c r="R2754" t="inlineStr">
        <is>
          <t>undefined</t>
        </is>
      </c>
      <c r="S2754" t="inlineStr">
        <is>
          <t>9330555914</t>
        </is>
      </c>
    </row>
    <row r="2755" ht="75" customHeight="1">
      <c r="A2755" s="2">
        <f>HYPERLINK("https://camerareadycosmetics.com/products/mustaev-spot-eraser-concealer-pencil", "https://camerareadycosmetics.com/products/mustaev-spot-eraser-concealer-pencil")</f>
        <v/>
      </c>
      <c r="B2755" s="2">
        <f>HYPERLINK("https://camerareadycosmetics.com/products/mustaev-spot-eraser-concealer-pencil", "https://camerareadycosmetics.com/products/mustaev-spot-eraser-concealer-pencil")</f>
        <v/>
      </c>
      <c r="C2755" t="inlineStr">
        <is>
          <t>Spot Eraser Concealer Pencil</t>
        </is>
      </c>
      <c r="D2755" t="inlineStr">
        <is>
          <t>MustaeV - Spot Eraser Concealer Pencil - No. 13 Peach Beige</t>
        </is>
      </c>
      <c r="E2755" s="2">
        <f>HYPERLINK("https://www.amazon.com/MustaeV-Eraser-Concealer-Pencil-Peach/dp/B0BQLM431L/ref=sr_1_8?keywords=Spot+Eraser+Concealer+Pencil&amp;qid=1695565645&amp;sr=8-8", "https://www.amazon.com/MustaeV-Eraser-Concealer-Pencil-Peach/dp/B0BQLM431L/ref=sr_1_8?keywords=Spot+Eraser+Concealer+Pencil&amp;qid=1695565645&amp;sr=8-8")</f>
        <v/>
      </c>
      <c r="F2755" t="inlineStr">
        <is>
          <t>B0BQLM431L</t>
        </is>
      </c>
      <c r="G2755">
        <f>_xlfn.IMAGE("https://camerareadycosmetics.com/cdn/shop/products/131-451-thickbox_50x.jpg?v=1691124092")</f>
        <v/>
      </c>
      <c r="H2755">
        <f>_xlfn.IMAGE("https://m.media-amazon.com/images/I/413FQ86Yd8L._AC_UL320_.jpg")</f>
        <v/>
      </c>
      <c r="K2755" t="inlineStr">
        <is>
          <t>13.0</t>
        </is>
      </c>
      <c r="L2755" t="n">
        <v>13</v>
      </c>
      <c r="M2755" s="1" t="inlineStr">
        <is>
          <t>0.00%</t>
        </is>
      </c>
      <c r="N2755" t="n">
        <v>5</v>
      </c>
      <c r="O2755" t="n">
        <v>1</v>
      </c>
      <c r="Q2755" t="inlineStr">
        <is>
          <t>InStock</t>
        </is>
      </c>
      <c r="R2755" t="inlineStr">
        <is>
          <t>undefined</t>
        </is>
      </c>
      <c r="S2755" t="inlineStr">
        <is>
          <t>9330555914</t>
        </is>
      </c>
    </row>
    <row r="2756" ht="75" customHeight="1">
      <c r="A2756" s="2">
        <f>HYPERLINK("https://camerareadycosmetics.com/products/mustaev-spot-eraser-concealer-pencil", "https://camerareadycosmetics.com/products/mustaev-spot-eraser-concealer-pencil")</f>
        <v/>
      </c>
      <c r="B2756" s="2">
        <f>HYPERLINK("https://camerareadycosmetics.com/products/mustaev-spot-eraser-concealer-pencil", "https://camerareadycosmetics.com/products/mustaev-spot-eraser-concealer-pencil")</f>
        <v/>
      </c>
      <c r="C2756" t="inlineStr">
        <is>
          <t>Spot Eraser Concealer Pencil</t>
        </is>
      </c>
      <c r="D2756" t="inlineStr">
        <is>
          <t>MustaeV - Spot Eraser Concealer Pencil - No. 03 Light Beige</t>
        </is>
      </c>
      <c r="E2756" s="2">
        <f>HYPERLINK("https://www.amazon.com/MustaeV-Eraser-Concealer-Pencil-Brightener/dp/B0153YDST2/ref=sr_1_7?keywords=Spot+Eraser+Concealer+Pencil&amp;qid=1695565645&amp;sr=8-7", "https://www.amazon.com/MustaeV-Eraser-Concealer-Pencil-Brightener/dp/B0153YDST2/ref=sr_1_7?keywords=Spot+Eraser+Concealer+Pencil&amp;qid=1695565645&amp;sr=8-7")</f>
        <v/>
      </c>
      <c r="F2756" t="inlineStr">
        <is>
          <t>B0153YDST2</t>
        </is>
      </c>
      <c r="G2756">
        <f>_xlfn.IMAGE("https://camerareadycosmetics.com/cdn/shop/products/131-451-thickbox_50x.jpg?v=1691124092")</f>
        <v/>
      </c>
      <c r="H2756">
        <f>_xlfn.IMAGE("https://m.media-amazon.com/images/I/61S6PgaTzCL._AC_UL320_.jpg")</f>
        <v/>
      </c>
      <c r="K2756" t="inlineStr">
        <is>
          <t>13.0</t>
        </is>
      </c>
      <c r="L2756" t="n">
        <v>13</v>
      </c>
      <c r="M2756" s="1" t="inlineStr">
        <is>
          <t>0.00%</t>
        </is>
      </c>
      <c r="N2756" t="n">
        <v>4.2</v>
      </c>
      <c r="O2756" t="n">
        <v>29</v>
      </c>
      <c r="Q2756" t="inlineStr">
        <is>
          <t>InStock</t>
        </is>
      </c>
      <c r="R2756" t="inlineStr">
        <is>
          <t>undefined</t>
        </is>
      </c>
      <c r="S2756" t="inlineStr">
        <is>
          <t>9330555914</t>
        </is>
      </c>
    </row>
    <row r="2757" ht="75" customHeight="1">
      <c r="A2757" s="2">
        <f>HYPERLINK("https://camerareadycosmetics.com/products/mustaev-spot-eraser-concealer-pencil", "https://camerareadycosmetics.com/products/mustaev-spot-eraser-concealer-pencil")</f>
        <v/>
      </c>
      <c r="B2757" s="2">
        <f>HYPERLINK("https://camerareadycosmetics.com/products/mustaev-spot-eraser-concealer-pencil", "https://camerareadycosmetics.com/products/mustaev-spot-eraser-concealer-pencil")</f>
        <v/>
      </c>
      <c r="C2757" t="inlineStr">
        <is>
          <t>Spot Eraser Concealer Pencil</t>
        </is>
      </c>
      <c r="D2757" t="inlineStr">
        <is>
          <t>MustaeV - Spot Eraser Concealer Pencil - No. 05 Neutral Beige</t>
        </is>
      </c>
      <c r="E2757" s="2">
        <f>HYPERLINK("https://www.amazon.com/MustaeV-Eraser-Concealer-Pencil-Natural/dp/B0153Y8YWS/ref=sr_1_6?keywords=Spot+Eraser+Concealer+Pencil&amp;qid=1695565645&amp;sr=8-6", "https://www.amazon.com/MustaeV-Eraser-Concealer-Pencil-Natural/dp/B0153Y8YWS/ref=sr_1_6?keywords=Spot+Eraser+Concealer+Pencil&amp;qid=1695565645&amp;sr=8-6")</f>
        <v/>
      </c>
      <c r="F2757" t="inlineStr">
        <is>
          <t>B0153Y8YWS</t>
        </is>
      </c>
      <c r="G2757">
        <f>_xlfn.IMAGE("https://camerareadycosmetics.com/cdn/shop/products/131-451-thickbox_50x.jpg?v=1691124092")</f>
        <v/>
      </c>
      <c r="H2757">
        <f>_xlfn.IMAGE("https://m.media-amazon.com/images/I/61S6PgaTzCL._AC_UL320_.jpg")</f>
        <v/>
      </c>
      <c r="K2757" t="inlineStr">
        <is>
          <t>13.0</t>
        </is>
      </c>
      <c r="L2757" t="n">
        <v>13</v>
      </c>
      <c r="M2757" s="1" t="inlineStr">
        <is>
          <t>0.00%</t>
        </is>
      </c>
      <c r="N2757" t="n">
        <v>4</v>
      </c>
      <c r="O2757" t="n">
        <v>21</v>
      </c>
      <c r="Q2757" t="inlineStr">
        <is>
          <t>InStock</t>
        </is>
      </c>
      <c r="R2757" t="inlineStr">
        <is>
          <t>undefined</t>
        </is>
      </c>
      <c r="S2757" t="inlineStr">
        <is>
          <t>9330555914</t>
        </is>
      </c>
    </row>
    <row r="2758" ht="75" customHeight="1">
      <c r="A2758" s="2">
        <f>HYPERLINK("https://camerareadycosmetics.com/products/mustaev-spot-eraser-concealer-pencil", "https://camerareadycosmetics.com/products/mustaev-spot-eraser-concealer-pencil")</f>
        <v/>
      </c>
      <c r="B2758" s="2">
        <f>HYPERLINK("https://camerareadycosmetics.com/products/mustaev-spot-eraser-concealer-pencil", "https://camerareadycosmetics.com/products/mustaev-spot-eraser-concealer-pencil")</f>
        <v/>
      </c>
      <c r="C2758" t="inlineStr">
        <is>
          <t>Spot Eraser Concealer Pencil</t>
        </is>
      </c>
      <c r="D2758" t="inlineStr">
        <is>
          <t>MustaeV - Spot Eraser Concealer Pencil - No. 01 Pure Beige</t>
        </is>
      </c>
      <c r="E2758" s="2">
        <f>HYPERLINK("https://www.amazon.com/MustaeV-Eraser-Concealer-Pencil-Beige/dp/B085DFVH9H/ref=sr_1_5?keywords=Spot+Eraser+Concealer+Pencil&amp;qid=1695565645&amp;sr=8-5", "https://www.amazon.com/MustaeV-Eraser-Concealer-Pencil-Beige/dp/B085DFVH9H/ref=sr_1_5?keywords=Spot+Eraser+Concealer+Pencil&amp;qid=1695565645&amp;sr=8-5")</f>
        <v/>
      </c>
      <c r="F2758" t="inlineStr">
        <is>
          <t>B085DFVH9H</t>
        </is>
      </c>
      <c r="G2758">
        <f>_xlfn.IMAGE("https://camerareadycosmetics.com/cdn/shop/products/131-451-thickbox_50x.jpg?v=1691124092")</f>
        <v/>
      </c>
      <c r="H2758">
        <f>_xlfn.IMAGE("https://m.media-amazon.com/images/I/61S6PgaTzCL._AC_UL320_.jpg")</f>
        <v/>
      </c>
      <c r="K2758" t="inlineStr">
        <is>
          <t>13.0</t>
        </is>
      </c>
      <c r="L2758" t="n">
        <v>13</v>
      </c>
      <c r="M2758" s="1" t="inlineStr">
        <is>
          <t>0.00%</t>
        </is>
      </c>
      <c r="N2758" t="n">
        <v>4.4</v>
      </c>
      <c r="O2758" t="n">
        <v>13</v>
      </c>
      <c r="Q2758" t="inlineStr">
        <is>
          <t>InStock</t>
        </is>
      </c>
      <c r="R2758" t="inlineStr">
        <is>
          <t>undefined</t>
        </is>
      </c>
      <c r="S2758" t="inlineStr">
        <is>
          <t>9330555914</t>
        </is>
      </c>
    </row>
    <row r="2759" ht="75" customHeight="1">
      <c r="A2759" s="2">
        <f>HYPERLINK("https://camerareadycosmetics.com/products/mustaev-spot-eraser-concealer-pencil", "https://camerareadycosmetics.com/products/mustaev-spot-eraser-concealer-pencil")</f>
        <v/>
      </c>
      <c r="B2759" s="2">
        <f>HYPERLINK("https://camerareadycosmetics.com/products/mustaev-spot-eraser-concealer-pencil", "https://camerareadycosmetics.com/products/mustaev-spot-eraser-concealer-pencil")</f>
        <v/>
      </c>
      <c r="C2759" t="inlineStr">
        <is>
          <t>Spot Eraser Concealer Pencil</t>
        </is>
      </c>
      <c r="D2759" t="inlineStr">
        <is>
          <t>THESAEM Cover Perfection Concealer Pencil with Sharpner – Non Comedogenic spot Eraser - Conceal Blemishes, Aging Spots, Acne and Freckles – Multi Use Under Eye Concealer for Dark Circles, 1.4g (2.0 Rich Beige)</t>
        </is>
      </c>
      <c r="E2759" s="2" t="n"/>
      <c r="F2759" t="inlineStr">
        <is>
          <t>B0BLGH6TQT</t>
        </is>
      </c>
      <c r="G2759">
        <f>_xlfn.IMAGE("https://camerareadycosmetics.com/cdn/shop/products/131-451-thickbox_50x.jpg?v=1691124092")</f>
        <v/>
      </c>
      <c r="H2759">
        <f>_xlfn.IMAGE("https://m.media-amazon.com/images/I/61yglY+2PEL._AC_UL320_.jpg")</f>
        <v/>
      </c>
      <c r="K2759" t="inlineStr">
        <is>
          <t>13.0</t>
        </is>
      </c>
      <c r="L2759" t="n">
        <v>9</v>
      </c>
      <c r="M2759" s="1" t="inlineStr">
        <is>
          <t>-30.77%</t>
        </is>
      </c>
      <c r="N2759" t="n">
        <v>4.2</v>
      </c>
      <c r="O2759" t="n">
        <v>122</v>
      </c>
      <c r="Q2759" t="inlineStr">
        <is>
          <t>InStock</t>
        </is>
      </c>
      <c r="R2759" t="inlineStr">
        <is>
          <t>undefined</t>
        </is>
      </c>
      <c r="S2759" t="inlineStr">
        <is>
          <t>9330555914</t>
        </is>
      </c>
    </row>
    <row r="2760" ht="75" customHeight="1">
      <c r="A2760" s="2">
        <f>HYPERLINK("https://camerareadycosmetics.com/products/mustaev-spot-eraser-concealer-pencil", "https://camerareadycosmetics.com/products/mustaev-spot-eraser-concealer-pencil")</f>
        <v/>
      </c>
      <c r="B2760" s="2">
        <f>HYPERLINK("https://camerareadycosmetics.com/products/mustaev-spot-eraser-concealer-pencil", "https://camerareadycosmetics.com/products/mustaev-spot-eraser-concealer-pencil")</f>
        <v/>
      </c>
      <c r="C2760" t="inlineStr">
        <is>
          <t>Spot Eraser Concealer Pencil</t>
        </is>
      </c>
      <c r="D2760" t="inlineStr">
        <is>
          <t>THESAEM Cover Perfection Concealer Pencil with Sharpner (0.5 Ice Beige) – Non Comedogenic spot Eraser - Conceal Blemishes, Aging Spots, Acne and Freckles – Multi Use Under Eye Concealer for Dark Circles, 1.4g</t>
        </is>
      </c>
      <c r="E2760" s="2">
        <f>HYPERLINK("https://www.amazon.com/THESAEM-Perfection-Concealer-Pencil-Sharpner/dp/B0CBM18FRR/ref=sr_1_9?keywords=Spot+Eraser+Concealer+Pencil&amp;qid=1695565645&amp;sr=8-9", "https://www.amazon.com/THESAEM-Perfection-Concealer-Pencil-Sharpner/dp/B0CBM18FRR/ref=sr_1_9?keywords=Spot+Eraser+Concealer+Pencil&amp;qid=1695565645&amp;sr=8-9")</f>
        <v/>
      </c>
      <c r="F2760" t="inlineStr">
        <is>
          <t>B0CBM18FRR</t>
        </is>
      </c>
      <c r="G2760">
        <f>_xlfn.IMAGE("https://camerareadycosmetics.com/cdn/shop/products/131-451-thickbox_50x.jpg?v=1691124092")</f>
        <v/>
      </c>
      <c r="H2760">
        <f>_xlfn.IMAGE("https://m.media-amazon.com/images/I/51ybaEH2AzL._AC_UL320_.jpg")</f>
        <v/>
      </c>
      <c r="K2760" t="inlineStr">
        <is>
          <t>13.0</t>
        </is>
      </c>
      <c r="L2760" t="n">
        <v>9</v>
      </c>
      <c r="M2760" s="1" t="inlineStr">
        <is>
          <t>-30.77%</t>
        </is>
      </c>
      <c r="N2760" t="n">
        <v>4.2</v>
      </c>
      <c r="O2760" t="n">
        <v>122</v>
      </c>
      <c r="Q2760" t="inlineStr">
        <is>
          <t>InStock</t>
        </is>
      </c>
      <c r="R2760" t="inlineStr">
        <is>
          <t>undefined</t>
        </is>
      </c>
      <c r="S2760" t="inlineStr">
        <is>
          <t>9330555914</t>
        </is>
      </c>
    </row>
    <row r="2761" ht="75" customHeight="1">
      <c r="A2761" s="2">
        <f>HYPERLINK("https://camerareadycosmetics.com/products/nyx-angel-veil-skin-perfecting-primer", "https://camerareadycosmetics.com/products/nyx-angel-veil-skin-perfecting-primer")</f>
        <v/>
      </c>
      <c r="B2761" s="2">
        <f>HYPERLINK("https://camerareadycosmetics.com/products/nyx-angel-veil-skin-perfecting-primer", "https://camerareadycosmetics.com/products/nyx-angel-veil-skin-perfecting-primer")</f>
        <v/>
      </c>
      <c r="C2761" t="inlineStr">
        <is>
          <t>Angel Veil Skin Perfecting Primer</t>
        </is>
      </c>
      <c r="D2761" t="inlineStr">
        <is>
          <t>NYX PROFESSIONAL MAKEUP Angel Veil Skin Perfecting Primer, Satin Finish (Pack of 2)</t>
        </is>
      </c>
      <c r="E2761" s="2">
        <f>HYPERLINK("https://www.amazon.com/NYX-PROFESSIONAL-MAKEUP-Perfecting-Primer/dp/B0BV6DQ3PN/ref=sr_1_3?keywords=Angel+Veil+Skin+Perfecting+Primer&amp;qid=1695565788&amp;sr=8-3", "https://www.amazon.com/NYX-PROFESSIONAL-MAKEUP-Perfecting-Primer/dp/B0BV6DQ3PN/ref=sr_1_3?keywords=Angel+Veil+Skin+Perfecting+Primer&amp;qid=1695565788&amp;sr=8-3")</f>
        <v/>
      </c>
      <c r="F2761" t="inlineStr">
        <is>
          <t>B0BV6DQ3PN</t>
        </is>
      </c>
      <c r="G2761">
        <f>_xlfn.IMAGE("https://camerareadycosmetics.com/cdn/shop/products/angelveilskingperfectingprimer_main_50x.jpg?v=1625438618")</f>
        <v/>
      </c>
      <c r="H2761">
        <f>_xlfn.IMAGE("https://m.media-amazon.com/images/I/41HfOI7us6L._AC_UL320_.jpg")</f>
        <v/>
      </c>
      <c r="K2761" t="inlineStr">
        <is>
          <t>17.0</t>
        </is>
      </c>
      <c r="L2761" t="n">
        <v>24.9</v>
      </c>
      <c r="M2761" s="1" t="inlineStr">
        <is>
          <t>46.47%</t>
        </is>
      </c>
      <c r="N2761" t="n">
        <v>1</v>
      </c>
      <c r="O2761" t="n">
        <v>1</v>
      </c>
      <c r="Q2761" t="inlineStr">
        <is>
          <t>InStock</t>
        </is>
      </c>
      <c r="R2761" t="inlineStr">
        <is>
          <t>undefined</t>
        </is>
      </c>
      <c r="S2761" t="inlineStr">
        <is>
          <t>6814374494393</t>
        </is>
      </c>
    </row>
    <row r="2762" ht="75" customHeight="1">
      <c r="A2762" s="2">
        <f>HYPERLINK("https://camerareadycosmetics.com/products/nyx-angel-veil-skin-perfecting-primer", "https://camerareadycosmetics.com/products/nyx-angel-veil-skin-perfecting-primer")</f>
        <v/>
      </c>
      <c r="B2762" s="2">
        <f>HYPERLINK("https://camerareadycosmetics.com/products/nyx-angel-veil-skin-perfecting-primer", "https://camerareadycosmetics.com/products/nyx-angel-veil-skin-perfecting-primer")</f>
        <v/>
      </c>
      <c r="C2762" t="inlineStr">
        <is>
          <t>Angel Veil Skin Perfecting Primer</t>
        </is>
      </c>
      <c r="D2762" t="inlineStr">
        <is>
          <t>Angel Veil Skin Perfecting Primer Mini</t>
        </is>
      </c>
      <c r="E2762" s="2">
        <f>HYPERLINK("https://www.amazon.com/NYX-Professional-Makeup-Perfecting-Primer/dp/B09R1B8H7W/ref=sr_1_2?keywords=Angel+Veil+Skin+Perfecting+Primer&amp;qid=1695565788&amp;sr=8-2", "https://www.amazon.com/NYX-Professional-Makeup-Perfecting-Primer/dp/B09R1B8H7W/ref=sr_1_2?keywords=Angel+Veil+Skin+Perfecting+Primer&amp;qid=1695565788&amp;sr=8-2")</f>
        <v/>
      </c>
      <c r="F2762" t="inlineStr">
        <is>
          <t>B09R1B8H7W</t>
        </is>
      </c>
      <c r="G2762">
        <f>_xlfn.IMAGE("https://camerareadycosmetics.com/cdn/shop/products/angelveilskingperfectingprimer_main_50x.jpg?v=1625438618")</f>
        <v/>
      </c>
      <c r="H2762">
        <f>_xlfn.IMAGE("https://m.media-amazon.com/images/I/51K-uOPo7DL._AC_UL320_.jpg")</f>
        <v/>
      </c>
      <c r="K2762" t="inlineStr">
        <is>
          <t>17.0</t>
        </is>
      </c>
      <c r="L2762" t="n">
        <v>7.99</v>
      </c>
      <c r="M2762" s="1" t="inlineStr">
        <is>
          <t>-53.00%</t>
        </is>
      </c>
      <c r="N2762" t="n">
        <v>4.3</v>
      </c>
      <c r="O2762" t="n">
        <v>27</v>
      </c>
      <c r="Q2762" t="inlineStr">
        <is>
          <t>InStock</t>
        </is>
      </c>
      <c r="R2762" t="inlineStr">
        <is>
          <t>undefined</t>
        </is>
      </c>
      <c r="S2762" t="inlineStr">
        <is>
          <t>6814374494393</t>
        </is>
      </c>
    </row>
    <row r="2763" ht="75" customHeight="1">
      <c r="A2763" s="2">
        <f>HYPERLINK("https://camerareadycosmetics.com/products/nyx-angel-veil-skin-perfecting-primer", "https://camerareadycosmetics.com/products/nyx-angel-veil-skin-perfecting-primer")</f>
        <v/>
      </c>
      <c r="B2763" s="2">
        <f>HYPERLINK("https://camerareadycosmetics.com/products/nyx-angel-veil-skin-perfecting-primer", "https://camerareadycosmetics.com/products/nyx-angel-veil-skin-perfecting-primer")</f>
        <v/>
      </c>
      <c r="C2763" t="inlineStr">
        <is>
          <t>Angel Veil Skin Perfecting Primer</t>
        </is>
      </c>
      <c r="D2763" t="inlineStr">
        <is>
          <t>Angel Veil Skin Perfecting Primer Mini</t>
        </is>
      </c>
      <c r="E2763" s="2">
        <f>HYPERLINK("https://www.amazon.com/NYX-Professional-Makeup-Perfecting-Primer/dp/B09R1B8H7W/ref=sr_1_2?keywords=Angel+Veil+Skin+Perfecting+Primer&amp;qid=1695565788&amp;sr=8-2", "https://www.amazon.com/NYX-Professional-Makeup-Perfecting-Primer/dp/B09R1B8H7W/ref=sr_1_2?keywords=Angel+Veil+Skin+Perfecting+Primer&amp;qid=1695565788&amp;sr=8-2")</f>
        <v/>
      </c>
      <c r="F2763" t="inlineStr">
        <is>
          <t>B09R1B8H7W</t>
        </is>
      </c>
      <c r="G2763">
        <f>_xlfn.IMAGE("https://camerareadycosmetics.com/cdn/shop/products/angelveilskingperfectingprimer_main_50x.jpg?v=1625438618")</f>
        <v/>
      </c>
      <c r="H2763">
        <f>_xlfn.IMAGE("https://m.media-amazon.com/images/I/51K-uOPo7DL._AC_UL320_.jpg")</f>
        <v/>
      </c>
      <c r="K2763" t="inlineStr">
        <is>
          <t>17.0</t>
        </is>
      </c>
      <c r="L2763" t="n">
        <v>7.99</v>
      </c>
      <c r="M2763" s="1" t="inlineStr">
        <is>
          <t>-53.00%</t>
        </is>
      </c>
      <c r="N2763" t="n">
        <v>4.3</v>
      </c>
      <c r="O2763" t="n">
        <v>27</v>
      </c>
      <c r="Q2763" t="inlineStr">
        <is>
          <t>InStock</t>
        </is>
      </c>
      <c r="R2763" t="inlineStr">
        <is>
          <t>undefined</t>
        </is>
      </c>
      <c r="S2763" t="inlineStr">
        <is>
          <t>6814374494393</t>
        </is>
      </c>
    </row>
    <row r="2764" ht="75" customHeight="1">
      <c r="A2764" s="2">
        <f>HYPERLINK("https://camerareadycosmetics.com/products/nyx-bare-with-me-concealer-serum", "https://camerareadycosmetics.com/products/nyx-bare-with-me-concealer-serum")</f>
        <v/>
      </c>
      <c r="B2764" s="2">
        <f>HYPERLINK("https://camerareadycosmetics.com/products/nyx-bare-with-me-concealer-serum", "https://camerareadycosmetics.com/products/nyx-bare-with-me-concealer-serum")</f>
        <v/>
      </c>
      <c r="C2764" t="inlineStr">
        <is>
          <t>Bare with Me Concealer Serum</t>
        </is>
      </c>
      <c r="D2764" t="inlineStr">
        <is>
          <t>NYX PROFESSIONAL MAKEUP Bare With Me Concealer Serum, Up To 24Hr Hydration - Medium Golden</t>
        </is>
      </c>
      <c r="E2764" s="2">
        <f>HYPERLINK("https://www.amazon.com/NYX-PROFESSIONAL-MAKEUP-Concealer-Hydration/dp/B0BRR22FJ3/ref=sr_1_4?keywords=Bare+with+Me+Concealer+Serum&amp;qid=1695565623&amp;sr=8-4", "https://www.amazon.com/NYX-PROFESSIONAL-MAKEUP-Concealer-Hydration/dp/B0BRR22FJ3/ref=sr_1_4?keywords=Bare+with+Me+Concealer+Serum&amp;qid=1695565623&amp;sr=8-4")</f>
        <v/>
      </c>
      <c r="F2764" t="inlineStr">
        <is>
          <t>B0BRR22FJ3</t>
        </is>
      </c>
      <c r="G2764">
        <f>_xlfn.IMAGE("https://camerareadycosmetics.com/cdn/shop/products/NYX-PMU-Makeup-Face-Concealer-BARE-WITH-ME-CONCEALER-SERUM-BWMCCS06-TAN-0800897129811-Front_50x.jpg?v=1653338360")</f>
        <v/>
      </c>
      <c r="H2764">
        <f>_xlfn.IMAGE("https://m.media-amazon.com/images/I/61txctXiNcL._AC_UL320_.jpg")</f>
        <v/>
      </c>
      <c r="K2764" t="inlineStr">
        <is>
          <t>11.0</t>
        </is>
      </c>
      <c r="L2764" t="n">
        <v>12</v>
      </c>
      <c r="M2764" s="1" t="inlineStr">
        <is>
          <t>9.09%</t>
        </is>
      </c>
      <c r="N2764" t="n">
        <v>5</v>
      </c>
      <c r="O2764" t="n">
        <v>2</v>
      </c>
      <c r="Q2764" t="inlineStr">
        <is>
          <t>InStock</t>
        </is>
      </c>
      <c r="R2764" t="inlineStr">
        <is>
          <t>undefined</t>
        </is>
      </c>
      <c r="S2764" t="inlineStr">
        <is>
          <t>7330436546745</t>
        </is>
      </c>
    </row>
    <row r="2765" ht="75" customHeight="1">
      <c r="A2765" s="2">
        <f>HYPERLINK("https://camerareadycosmetics.com/products/nyx-bare-with-me-concealer-serum", "https://camerareadycosmetics.com/products/nyx-bare-with-me-concealer-serum")</f>
        <v/>
      </c>
      <c r="B2765" s="2">
        <f>HYPERLINK("https://camerareadycosmetics.com/products/nyx-bare-with-me-concealer-serum", "https://camerareadycosmetics.com/products/nyx-bare-with-me-concealer-serum")</f>
        <v/>
      </c>
      <c r="C2765" t="inlineStr">
        <is>
          <t>Bare with Me Concealer Serum</t>
        </is>
      </c>
      <c r="D2765" t="inlineStr">
        <is>
          <t>NYX PROFESSIONAL MAKEUP Bare With Me Concealer Serum, Up To 24Hr Hydration - Fair</t>
        </is>
      </c>
      <c r="E2765" s="2">
        <f>HYPERLINK("https://www.amazon.com/NYX-PROFESSIONAL-MAKEUP-Concealer-Hydration/dp/B09F749ZPR/ref=sr_1_1?keywords=Bare+with+Me+Concealer+Serum&amp;qid=1695565623&amp;sr=8-1", "https://www.amazon.com/NYX-PROFESSIONAL-MAKEUP-Concealer-Hydration/dp/B09F749ZPR/ref=sr_1_1?keywords=Bare+with+Me+Concealer+Serum&amp;qid=1695565623&amp;sr=8-1")</f>
        <v/>
      </c>
      <c r="F2765" t="inlineStr">
        <is>
          <t>B09F749ZPR</t>
        </is>
      </c>
      <c r="G2765">
        <f>_xlfn.IMAGE("https://camerareadycosmetics.com/cdn/shop/products/NYX-PMU-Makeup-Face-Concealer-BARE-WITH-ME-CONCEALER-SERUM-BWMCCS06-TAN-0800897129811-Front_50x.jpg?v=1653338360")</f>
        <v/>
      </c>
      <c r="H2765">
        <f>_xlfn.IMAGE("https://m.media-amazon.com/images/I/61FIvmgOoWL._AC_UL320_.jpg")</f>
        <v/>
      </c>
      <c r="K2765" t="inlineStr">
        <is>
          <t>11.0</t>
        </is>
      </c>
      <c r="L2765" t="n">
        <v>12</v>
      </c>
      <c r="M2765" s="1" t="inlineStr">
        <is>
          <t>9.09%</t>
        </is>
      </c>
      <c r="N2765" t="n">
        <v>4.4</v>
      </c>
      <c r="O2765" t="n">
        <v>12268</v>
      </c>
      <c r="Q2765" t="inlineStr">
        <is>
          <t>InStock</t>
        </is>
      </c>
      <c r="R2765" t="inlineStr">
        <is>
          <t>undefined</t>
        </is>
      </c>
      <c r="S2765" t="inlineStr">
        <is>
          <t>7330436546745</t>
        </is>
      </c>
    </row>
    <row r="2766" ht="75" customHeight="1">
      <c r="A2766" s="2">
        <f>HYPERLINK("https://camerareadycosmetics.com/products/nyx-bare-with-me-concealer-serum", "https://camerareadycosmetics.com/products/nyx-bare-with-me-concealer-serum")</f>
        <v/>
      </c>
      <c r="B2766" s="2">
        <f>HYPERLINK("https://camerareadycosmetics.com/products/nyx-bare-with-me-concealer-serum", "https://camerareadycosmetics.com/products/nyx-bare-with-me-concealer-serum")</f>
        <v/>
      </c>
      <c r="C2766" t="inlineStr">
        <is>
          <t>Bare with Me Concealer Serum</t>
        </is>
      </c>
      <c r="D2766" t="inlineStr">
        <is>
          <t>NYX PROFESSIONAL MAKEUP Bare With Me Concealer Serum, Up To 24Hr Hydration - Medium Vanilla</t>
        </is>
      </c>
      <c r="E2766" s="2">
        <f>HYPERLINK("https://www.amazon.com/NYX-PROFESSIONAL-MAKEUP-Concealer-Hydration/dp/B0BRQZYH2B/ref=sr_1_2?keywords=Bare+with+Me+Concealer+Serum&amp;qid=1695565623&amp;sr=8-2", "https://www.amazon.com/NYX-PROFESSIONAL-MAKEUP-Concealer-Hydration/dp/B0BRQZYH2B/ref=sr_1_2?keywords=Bare+with+Me+Concealer+Serum&amp;qid=1695565623&amp;sr=8-2")</f>
        <v/>
      </c>
      <c r="F2766" t="inlineStr">
        <is>
          <t>B0BRQZYH2B</t>
        </is>
      </c>
      <c r="G2766">
        <f>_xlfn.IMAGE("https://camerareadycosmetics.com/cdn/shop/products/NYX-PMU-Makeup-Face-Concealer-BARE-WITH-ME-CONCEALER-SERUM-BWMCCS06-TAN-0800897129811-Front_50x.jpg?v=1653338360")</f>
        <v/>
      </c>
      <c r="H2766">
        <f>_xlfn.IMAGE("https://m.media-amazon.com/images/I/61HA8Xt-iKL._AC_UL320_.jpg")</f>
        <v/>
      </c>
      <c r="K2766" t="inlineStr">
        <is>
          <t>11.0</t>
        </is>
      </c>
      <c r="L2766" t="n">
        <v>10.23</v>
      </c>
      <c r="M2766" s="1" t="inlineStr">
        <is>
          <t>-7.00%</t>
        </is>
      </c>
      <c r="N2766" t="n">
        <v>3.7</v>
      </c>
      <c r="O2766" t="n">
        <v>6</v>
      </c>
      <c r="Q2766" t="inlineStr">
        <is>
          <t>InStock</t>
        </is>
      </c>
      <c r="R2766" t="inlineStr">
        <is>
          <t>undefined</t>
        </is>
      </c>
      <c r="S2766" t="inlineStr">
        <is>
          <t>7330436546745</t>
        </is>
      </c>
    </row>
    <row r="2767" ht="75" customHeight="1">
      <c r="A2767" s="2">
        <f>HYPERLINK("https://camerareadycosmetics.com/products/nyx-bare-with-me-hydrating-jelly-primer", "https://camerareadycosmetics.com/products/nyx-bare-with-me-hydrating-jelly-primer")</f>
        <v/>
      </c>
      <c r="B2767" s="2">
        <f>HYPERLINK("https://camerareadycosmetics.com/products/nyx-bare-with-me-hydrating-jelly-primer", "https://camerareadycosmetics.com/products/nyx-bare-with-me-hydrating-jelly-primer")</f>
        <v/>
      </c>
      <c r="C2767" t="inlineStr">
        <is>
          <t>Bare With Me Hydrating Jelly Primer</t>
        </is>
      </c>
      <c r="D2767" t="inlineStr">
        <is>
          <t>Bare With Me Hydrating Jelly Primer Mini</t>
        </is>
      </c>
      <c r="E2767" s="2">
        <f>HYPERLINK("https://www.amazon.com/NYX-Professional-Makeup-Gripping-Primer/dp/B09R19XV4X/ref=sr_1_2?keywords=Bare+With+Me+Hydrating+Jelly+Primer&amp;qid=1695565811&amp;sr=8-2", "https://www.amazon.com/NYX-Professional-Makeup-Gripping-Primer/dp/B09R19XV4X/ref=sr_1_2?keywords=Bare+With+Me+Hydrating+Jelly+Primer&amp;qid=1695565811&amp;sr=8-2")</f>
        <v/>
      </c>
      <c r="F2767" t="inlineStr">
        <is>
          <t>B09R19XV4X</t>
        </is>
      </c>
      <c r="G2767">
        <f>_xlfn.IMAGE("https://camerareadycosmetics.com/cdn/shop/products/barewithmehydratingjellyprimer_main_50x.jpg?v=1625438615")</f>
        <v/>
      </c>
      <c r="H2767">
        <f>_xlfn.IMAGE("https://m.media-amazon.com/images/I/51Qv42MsZuL._AC_UL320_.jpg")</f>
        <v/>
      </c>
      <c r="K2767" t="inlineStr">
        <is>
          <t>17.0</t>
        </is>
      </c>
      <c r="L2767" t="n">
        <v>6.87</v>
      </c>
      <c r="M2767" s="1" t="inlineStr">
        <is>
          <t>-59.59%</t>
        </is>
      </c>
      <c r="N2767" t="n">
        <v>3.8</v>
      </c>
      <c r="O2767" t="n">
        <v>22</v>
      </c>
      <c r="Q2767" t="inlineStr">
        <is>
          <t>InStock</t>
        </is>
      </c>
      <c r="R2767" t="inlineStr">
        <is>
          <t>undefined</t>
        </is>
      </c>
      <c r="S2767" t="inlineStr">
        <is>
          <t>6814338023609</t>
        </is>
      </c>
    </row>
    <row r="2768" ht="75" customHeight="1">
      <c r="A2768" s="2">
        <f>HYPERLINK("https://camerareadycosmetics.com/products/nyx-bare-with-me-hydrating-jelly-primer", "https://camerareadycosmetics.com/products/nyx-bare-with-me-hydrating-jelly-primer")</f>
        <v/>
      </c>
      <c r="B2768" s="2">
        <f>HYPERLINK("https://camerareadycosmetics.com/products/nyx-bare-with-me-hydrating-jelly-primer", "https://camerareadycosmetics.com/products/nyx-bare-with-me-hydrating-jelly-primer")</f>
        <v/>
      </c>
      <c r="C2768" t="inlineStr">
        <is>
          <t>Bare With Me Hydrating Jelly Primer</t>
        </is>
      </c>
      <c r="D2768" t="inlineStr">
        <is>
          <t>Bare With Me Hydrating Jelly Primer Mini</t>
        </is>
      </c>
      <c r="E2768" s="2">
        <f>HYPERLINK("https://www.amazon.com/NYX-Professional-Makeup-Gripping-Primer/dp/B09R19XV4X/ref=sr_1_2?keywords=Bare+With+Me+Hydrating+Jelly+Primer&amp;qid=1695565811&amp;sr=8-2", "https://www.amazon.com/NYX-Professional-Makeup-Gripping-Primer/dp/B09R19XV4X/ref=sr_1_2?keywords=Bare+With+Me+Hydrating+Jelly+Primer&amp;qid=1695565811&amp;sr=8-2")</f>
        <v/>
      </c>
      <c r="F2768" t="inlineStr">
        <is>
          <t>B09R19XV4X</t>
        </is>
      </c>
      <c r="G2768">
        <f>_xlfn.IMAGE("https://camerareadycosmetics.com/cdn/shop/products/barewithmehydratingjellyprimer_main_50x.jpg?v=1625438615")</f>
        <v/>
      </c>
      <c r="H2768">
        <f>_xlfn.IMAGE("https://m.media-amazon.com/images/I/51Qv42MsZuL._AC_UL320_.jpg")</f>
        <v/>
      </c>
      <c r="K2768" t="inlineStr">
        <is>
          <t>17.0</t>
        </is>
      </c>
      <c r="L2768" t="n">
        <v>6.87</v>
      </c>
      <c r="M2768" s="1" t="inlineStr">
        <is>
          <t>-59.59%</t>
        </is>
      </c>
      <c r="N2768" t="n">
        <v>3.8</v>
      </c>
      <c r="O2768" t="n">
        <v>22</v>
      </c>
      <c r="Q2768" t="inlineStr">
        <is>
          <t>InStock</t>
        </is>
      </c>
      <c r="R2768" t="inlineStr">
        <is>
          <t>undefined</t>
        </is>
      </c>
      <c r="S2768" t="inlineStr">
        <is>
          <t>6814338023609</t>
        </is>
      </c>
    </row>
    <row r="2769" ht="75" customHeight="1">
      <c r="A2769" s="2">
        <f>HYPERLINK("https://camerareadycosmetics.com/products/nyx-born-to-glow-liquid-illuminator", "https://camerareadycosmetics.com/products/nyx-born-to-glow-liquid-illuminator")</f>
        <v/>
      </c>
      <c r="B2769" s="2">
        <f>HYPERLINK("https://camerareadycosmetics.com/products/nyx-born-to-glow-liquid-illuminator", "https://camerareadycosmetics.com/products/nyx-born-to-glow-liquid-illuminator")</f>
        <v/>
      </c>
      <c r="C2769" t="inlineStr">
        <is>
          <t>Born To Glow Liquid Illuminator</t>
        </is>
      </c>
      <c r="D2769" t="inlineStr">
        <is>
          <t>L’Oréal Paris True Match Liquid Glow Illuminator, Ice, 0.67 fl; oz.</t>
        </is>
      </c>
      <c r="E2769" s="2">
        <f>HYPERLINK("https://www.amazon.com/LOr%C3%A9al-Paris-Match-Liquid-Illuminator/dp/B00WSWFF12/ref=sr_1_3?keywords=Born+To+Glow+Liquid+Illuminator&amp;qid=1695565519&amp;sr=8-3", "https://www.amazon.com/LOr%C3%A9al-Paris-Match-Liquid-Illuminator/dp/B00WSWFF12/ref=sr_1_3?keywords=Born+To+Glow+Liquid+Illuminator&amp;qid=1695565519&amp;sr=8-3")</f>
        <v/>
      </c>
      <c r="F2769" t="inlineStr">
        <is>
          <t>B00WSWFF12</t>
        </is>
      </c>
      <c r="G2769">
        <f>_xlfn.IMAGE("https://camerareadycosmetics.com/cdn/shop/products/800897848279_borntoglowliquidilluminator_sungoddess_main_50x.jpg?v=1691126700")</f>
        <v/>
      </c>
      <c r="H2769">
        <f>_xlfn.IMAGE("https://m.media-amazon.com/images/I/61arnaA4XTL._AC_UL320_.jpg")</f>
        <v/>
      </c>
      <c r="K2769" t="inlineStr">
        <is>
          <t>7.5</t>
        </is>
      </c>
      <c r="L2769" t="n">
        <v>9.52</v>
      </c>
      <c r="M2769" s="1" t="inlineStr">
        <is>
          <t>26.93%</t>
        </is>
      </c>
      <c r="N2769" t="n">
        <v>4.3</v>
      </c>
      <c r="O2769" t="n">
        <v>1806</v>
      </c>
      <c r="Q2769" t="inlineStr">
        <is>
          <t>InStock</t>
        </is>
      </c>
      <c r="R2769" t="inlineStr">
        <is>
          <t>undefined</t>
        </is>
      </c>
      <c r="S2769" t="inlineStr">
        <is>
          <t>10083476554</t>
        </is>
      </c>
    </row>
    <row r="2770" ht="75" customHeight="1">
      <c r="A2770" s="2">
        <f>HYPERLINK("https://camerareadycosmetics.com/products/nyx-born-to-glow-liquid-illuminator", "https://camerareadycosmetics.com/products/nyx-born-to-glow-liquid-illuminator")</f>
        <v/>
      </c>
      <c r="B2770" s="2">
        <f>HYPERLINK("https://camerareadycosmetics.com/products/nyx-born-to-glow-liquid-illuminator", "https://camerareadycosmetics.com/products/nyx-born-to-glow-liquid-illuminator")</f>
        <v/>
      </c>
      <c r="C2770" t="inlineStr">
        <is>
          <t>Born To Glow Liquid Illuminator</t>
        </is>
      </c>
      <c r="D2770" t="inlineStr">
        <is>
          <t>NYX PROFESSIONAL MAKEUP Born To Glow Liquid Illuminator - Gleam</t>
        </is>
      </c>
      <c r="E2770" s="2">
        <f>HYPERLINK("https://www.amazon.com/NYX-Professional-Makeup-Liquid-Illuminator/dp/B00BJSAJNA/ref=sr_1_1?keywords=Born+To+Glow+Liquid+Illuminator&amp;qid=1695565519&amp;sr=8-1", "https://www.amazon.com/NYX-Professional-Makeup-Liquid-Illuminator/dp/B00BJSAJNA/ref=sr_1_1?keywords=Born+To+Glow+Liquid+Illuminator&amp;qid=1695565519&amp;sr=8-1")</f>
        <v/>
      </c>
      <c r="F2770" t="inlineStr">
        <is>
          <t>B00BJSAJNA</t>
        </is>
      </c>
      <c r="G2770">
        <f>_xlfn.IMAGE("https://camerareadycosmetics.com/cdn/shop/products/800897848279_borntoglowliquidilluminator_sungoddess_main_50x.jpg?v=1691126700")</f>
        <v/>
      </c>
      <c r="H2770">
        <f>_xlfn.IMAGE("https://m.media-amazon.com/images/I/61utlPm-tvL._AC_UL320_.jpg")</f>
        <v/>
      </c>
      <c r="K2770" t="inlineStr">
        <is>
          <t>7.5</t>
        </is>
      </c>
      <c r="L2770" t="n">
        <v>8.84</v>
      </c>
      <c r="M2770" s="1" t="inlineStr">
        <is>
          <t>17.87%</t>
        </is>
      </c>
      <c r="N2770" t="n">
        <v>4.3</v>
      </c>
      <c r="O2770" t="n">
        <v>7289</v>
      </c>
      <c r="Q2770" t="inlineStr">
        <is>
          <t>InStock</t>
        </is>
      </c>
      <c r="R2770" t="inlineStr">
        <is>
          <t>undefined</t>
        </is>
      </c>
      <c r="S2770" t="inlineStr">
        <is>
          <t>10083476554</t>
        </is>
      </c>
    </row>
    <row r="2771" ht="75" customHeight="1">
      <c r="A2771" s="2">
        <f>HYPERLINK("https://camerareadycosmetics.com/products/nyx-butter-gloss", "https://camerareadycosmetics.com/products/nyx-butter-gloss")</f>
        <v/>
      </c>
      <c r="B2771" s="2">
        <f>HYPERLINK("https://camerareadycosmetics.com/products/nyx-butter-gloss", "https://camerareadycosmetics.com/products/nyx-butter-gloss")</f>
        <v/>
      </c>
      <c r="C2771" t="inlineStr">
        <is>
          <t>Butter Gloss</t>
        </is>
      </c>
      <c r="D2771" t="inlineStr">
        <is>
          <t>butter LONDON Plush Rush Lip Gloss</t>
        </is>
      </c>
      <c r="E2771" s="2">
        <f>HYPERLINK("https://www.amazon.com/butter-LONDON-Plush-Gloss-Sparkling/dp/B074CQJ4BQ/ref=sr_1_5?keywords=Butter+Gloss&amp;qid=1695565429&amp;sr=8-5", "https://www.amazon.com/butter-LONDON-Plush-Gloss-Sparkling/dp/B074CQJ4BQ/ref=sr_1_5?keywords=Butter+Gloss&amp;qid=1695565429&amp;sr=8-5")</f>
        <v/>
      </c>
      <c r="F2771" t="inlineStr">
        <is>
          <t>B074CQJ4BQ</t>
        </is>
      </c>
      <c r="G2771">
        <f>_xlfn.IMAGE("https://camerareadycosmetics.com/cdn/shop/products/16917_zoom_1458073676_50x.jpg?v=1689658658")</f>
        <v/>
      </c>
      <c r="H2771">
        <f>_xlfn.IMAGE("https://m.media-amazon.com/images/I/61KwWmHC6ZL._AC_UL320_.jpg")</f>
        <v/>
      </c>
      <c r="K2771" t="inlineStr">
        <is>
          <t>6.0</t>
        </is>
      </c>
      <c r="L2771" t="n">
        <v>20</v>
      </c>
      <c r="M2771" s="1" t="inlineStr">
        <is>
          <t>233.33%</t>
        </is>
      </c>
      <c r="N2771" t="n">
        <v>4.4</v>
      </c>
      <c r="O2771" t="n">
        <v>649</v>
      </c>
      <c r="Q2771" t="inlineStr">
        <is>
          <t>InStock</t>
        </is>
      </c>
      <c r="R2771" t="inlineStr">
        <is>
          <t>undefined</t>
        </is>
      </c>
      <c r="S2771" t="inlineStr">
        <is>
          <t>7050238599</t>
        </is>
      </c>
    </row>
    <row r="2772" ht="75" customHeight="1">
      <c r="A2772" s="2">
        <f>HYPERLINK("https://camerareadycosmetics.com/products/nyx-butter-gloss", "https://camerareadycosmetics.com/products/nyx-butter-gloss")</f>
        <v/>
      </c>
      <c r="B2772" s="2">
        <f>HYPERLINK("https://camerareadycosmetics.com/products/nyx-butter-gloss", "https://camerareadycosmetics.com/products/nyx-butter-gloss")</f>
        <v/>
      </c>
      <c r="C2772" t="inlineStr">
        <is>
          <t>Butter Gloss</t>
        </is>
      </c>
      <c r="D2772" t="inlineStr">
        <is>
          <t>NYX PROFESSIONAL MAKEUP Intense Butter Gloss, Cinnamon Roll, 0.27 Fluid Ounce</t>
        </is>
      </c>
      <c r="E2772" s="2">
        <f>HYPERLINK("https://www.amazon.com/NYX-PROFESSIONAL-MAKEUP-Intense-Cinnamon/dp/B008BAZ7SQ/ref=sr_1_4?keywords=Butter+Gloss&amp;qid=1695565429&amp;sr=8-4", "https://www.amazon.com/NYX-PROFESSIONAL-MAKEUP-Intense-Cinnamon/dp/B008BAZ7SQ/ref=sr_1_4?keywords=Butter+Gloss&amp;qid=1695565429&amp;sr=8-4")</f>
        <v/>
      </c>
      <c r="F2772" t="inlineStr">
        <is>
          <t>B008BAZ7SQ</t>
        </is>
      </c>
      <c r="G2772">
        <f>_xlfn.IMAGE("https://camerareadycosmetics.com/cdn/shop/products/16917_zoom_1458073676_50x.jpg?v=1689658658")</f>
        <v/>
      </c>
      <c r="H2772">
        <f>_xlfn.IMAGE("https://m.media-amazon.com/images/I/61QLHDQJ0yL._AC_UL320_.jpg")</f>
        <v/>
      </c>
      <c r="K2772" t="inlineStr">
        <is>
          <t>6.0</t>
        </is>
      </c>
      <c r="L2772" t="n">
        <v>13.4</v>
      </c>
      <c r="M2772" s="1" t="inlineStr">
        <is>
          <t>123.33%</t>
        </is>
      </c>
      <c r="N2772" t="n">
        <v>4.3</v>
      </c>
      <c r="O2772" t="n">
        <v>1099</v>
      </c>
      <c r="Q2772" t="inlineStr">
        <is>
          <t>InStock</t>
        </is>
      </c>
      <c r="R2772" t="inlineStr">
        <is>
          <t>undefined</t>
        </is>
      </c>
      <c r="S2772" t="inlineStr">
        <is>
          <t>7050238599</t>
        </is>
      </c>
    </row>
    <row r="2773" ht="75" customHeight="1">
      <c r="A2773" s="2">
        <f>HYPERLINK("https://camerareadycosmetics.com/products/nyx-butter-gloss", "https://camerareadycosmetics.com/products/nyx-butter-gloss")</f>
        <v/>
      </c>
      <c r="B2773" s="2">
        <f>HYPERLINK("https://camerareadycosmetics.com/products/nyx-butter-gloss", "https://camerareadycosmetics.com/products/nyx-butter-gloss")</f>
        <v/>
      </c>
      <c r="C2773" t="inlineStr">
        <is>
          <t>Butter Gloss</t>
        </is>
      </c>
      <c r="D2773" t="inlineStr">
        <is>
          <t>NYX Butter Gloss Lip Gloss BLG 1 Color# PRALINE BLG16</t>
        </is>
      </c>
      <c r="E2773" s="2">
        <f>HYPERLINK("https://www.amazon.com/NYX-Butter-Gloss-Color-PRALINE/dp/B01BJLPM0G/ref=sr_1_10?keywords=Butter+Gloss&amp;qid=1695565429&amp;sr=8-10", "https://www.amazon.com/NYX-Butter-Gloss-Color-PRALINE/dp/B01BJLPM0G/ref=sr_1_10?keywords=Butter+Gloss&amp;qid=1695565429&amp;sr=8-10")</f>
        <v/>
      </c>
      <c r="F2773" t="inlineStr">
        <is>
          <t>B01BJLPM0G</t>
        </is>
      </c>
      <c r="G2773">
        <f>_xlfn.IMAGE("https://camerareadycosmetics.com/cdn/shop/products/16917_zoom_1458073676_50x.jpg?v=1689658658")</f>
        <v/>
      </c>
      <c r="H2773">
        <f>_xlfn.IMAGE("https://m.media-amazon.com/images/I/51Cq2nxWzvL._AC_UL320_.jpg")</f>
        <v/>
      </c>
      <c r="K2773" t="inlineStr">
        <is>
          <t>6.0</t>
        </is>
      </c>
      <c r="L2773" t="n">
        <v>5.99</v>
      </c>
      <c r="M2773" s="1" t="inlineStr">
        <is>
          <t>-0.17%</t>
        </is>
      </c>
      <c r="N2773" t="n">
        <v>5</v>
      </c>
      <c r="O2773" t="n">
        <v>5</v>
      </c>
      <c r="Q2773" t="inlineStr">
        <is>
          <t>InStock</t>
        </is>
      </c>
      <c r="R2773" t="inlineStr">
        <is>
          <t>undefined</t>
        </is>
      </c>
      <c r="S2773" t="inlineStr">
        <is>
          <t>7050238599</t>
        </is>
      </c>
    </row>
    <row r="2774" ht="75" customHeight="1">
      <c r="A2774" s="2">
        <f>HYPERLINK("https://camerareadycosmetics.com/products/nyx-butter-gloss", "https://camerareadycosmetics.com/products/nyx-butter-gloss")</f>
        <v/>
      </c>
      <c r="B2774" s="2">
        <f>HYPERLINK("https://camerareadycosmetics.com/products/nyx-butter-gloss", "https://camerareadycosmetics.com/products/nyx-butter-gloss")</f>
        <v/>
      </c>
      <c r="C2774" t="inlineStr">
        <is>
          <t>Butter Gloss</t>
        </is>
      </c>
      <c r="D2774" t="inlineStr">
        <is>
          <t>NYX Professional Makeup Butter Gloss, Peach Crisp, 0.27 Fluid Ounce</t>
        </is>
      </c>
      <c r="E2774" s="2">
        <f>HYPERLINK("https://www.amazon.com/NYX-Professional-Makeup-Butter-Gloss/dp/B01J57HCKE/ref=sr_1_7?keywords=Butter+Gloss&amp;qid=1695565429&amp;sr=8-7", "https://www.amazon.com/NYX-Professional-Makeup-Butter-Gloss/dp/B01J57HCKE/ref=sr_1_7?keywords=Butter+Gloss&amp;qid=1695565429&amp;sr=8-7")</f>
        <v/>
      </c>
      <c r="F2774" t="inlineStr">
        <is>
          <t>B01J57HCKE</t>
        </is>
      </c>
      <c r="G2774">
        <f>_xlfn.IMAGE("https://camerareadycosmetics.com/cdn/shop/products/16917_zoom_1458073676_50x.jpg?v=1689658658")</f>
        <v/>
      </c>
      <c r="H2774">
        <f>_xlfn.IMAGE("https://m.media-amazon.com/images/I/71nTLqrFVjL._AC_UL320_.jpg")</f>
        <v/>
      </c>
      <c r="K2774" t="inlineStr">
        <is>
          <t>6.0</t>
        </is>
      </c>
      <c r="L2774" t="n">
        <v>5.97</v>
      </c>
      <c r="M2774" s="1" t="inlineStr">
        <is>
          <t>-0.50%</t>
        </is>
      </c>
      <c r="N2774" t="n">
        <v>4.4</v>
      </c>
      <c r="O2774" t="n">
        <v>1863</v>
      </c>
      <c r="Q2774" t="inlineStr">
        <is>
          <t>InStock</t>
        </is>
      </c>
      <c r="R2774" t="inlineStr">
        <is>
          <t>undefined</t>
        </is>
      </c>
      <c r="S2774" t="inlineStr">
        <is>
          <t>7050238599</t>
        </is>
      </c>
    </row>
    <row r="2775" ht="75" customHeight="1">
      <c r="A2775" s="2">
        <f>HYPERLINK("https://camerareadycosmetics.com/products/nyx-butter-gloss", "https://camerareadycosmetics.com/products/nyx-butter-gloss")</f>
        <v/>
      </c>
      <c r="B2775" s="2">
        <f>HYPERLINK("https://camerareadycosmetics.com/products/nyx-butter-gloss", "https://camerareadycosmetics.com/products/nyx-butter-gloss")</f>
        <v/>
      </c>
      <c r="C2775" t="inlineStr">
        <is>
          <t>Butter Gloss</t>
        </is>
      </c>
      <c r="D2775" t="inlineStr">
        <is>
          <t>6 PACK Broadway Vita-Lip Gloss 2 Honey + 2 SHEA BUTTER + 2 Vitamin E Oil by Kiss Cosmetics</t>
        </is>
      </c>
      <c r="E2775" s="2">
        <f>HYPERLINK("https://www.amazon.com/Broadway-Vita-Lip-BUTTER-Vitamin-Cosmetics/dp/B07QMTYNKM/ref=sr_1_8?keywords=Butter+Gloss&amp;qid=1695565429&amp;sr=8-8", "https://www.amazon.com/Broadway-Vita-Lip-BUTTER-Vitamin-Cosmetics/dp/B07QMTYNKM/ref=sr_1_8?keywords=Butter+Gloss&amp;qid=1695565429&amp;sr=8-8")</f>
        <v/>
      </c>
      <c r="F2775" t="inlineStr">
        <is>
          <t>B07QMTYNKM</t>
        </is>
      </c>
      <c r="G2775">
        <f>_xlfn.IMAGE("https://camerareadycosmetics.com/cdn/shop/products/16917_zoom_1458073676_50x.jpg?v=1689658658")</f>
        <v/>
      </c>
      <c r="H2775">
        <f>_xlfn.IMAGE("https://m.media-amazon.com/images/I/81TOOji-5lL._AC_UL320_.jpg")</f>
        <v/>
      </c>
      <c r="K2775" t="inlineStr">
        <is>
          <t>6.0</t>
        </is>
      </c>
      <c r="L2775" t="n">
        <v>5.19</v>
      </c>
      <c r="M2775" s="1" t="inlineStr">
        <is>
          <t>-13.50%</t>
        </is>
      </c>
      <c r="N2775" t="n">
        <v>4.7</v>
      </c>
      <c r="O2775" t="n">
        <v>496</v>
      </c>
      <c r="Q2775" t="inlineStr">
        <is>
          <t>InStock</t>
        </is>
      </c>
      <c r="R2775" t="inlineStr">
        <is>
          <t>undefined</t>
        </is>
      </c>
      <c r="S2775" t="inlineStr">
        <is>
          <t>7050238599</t>
        </is>
      </c>
    </row>
    <row r="2776" ht="75" customHeight="1">
      <c r="A2776" s="2">
        <f>HYPERLINK("https://camerareadycosmetics.com/products/nyx-butter-gloss", "https://camerareadycosmetics.com/products/nyx-butter-gloss")</f>
        <v/>
      </c>
      <c r="B2776" s="2">
        <f>HYPERLINK("https://camerareadycosmetics.com/products/nyx-butter-gloss", "https://camerareadycosmetics.com/products/nyx-butter-gloss")</f>
        <v/>
      </c>
      <c r="C2776" t="inlineStr">
        <is>
          <t>Butter Gloss</t>
        </is>
      </c>
      <c r="D2776" t="inlineStr">
        <is>
          <t>NYX PROFESSIONAL MAKEUP Butter Gloss, Non-Sticky Lip Gloss - Praline (Deep Nude)</t>
        </is>
      </c>
      <c r="E2776" s="2">
        <f>HYPERLINK("https://www.amazon.com/NYX-PROFESSIONAL-MAKEUP-Butter-Praline/dp/B00ICU1JIC/ref=sr_1_1?keywords=Butter+Gloss&amp;qid=1695565429&amp;sr=8-1", "https://www.amazon.com/NYX-PROFESSIONAL-MAKEUP-Butter-Praline/dp/B00ICU1JIC/ref=sr_1_1?keywords=Butter+Gloss&amp;qid=1695565429&amp;sr=8-1")</f>
        <v/>
      </c>
      <c r="F2776" t="inlineStr">
        <is>
          <t>B00ICU1JIC</t>
        </is>
      </c>
      <c r="G2776">
        <f>_xlfn.IMAGE("https://camerareadycosmetics.com/cdn/shop/products/16917_zoom_1458073676_50x.jpg?v=1689658658")</f>
        <v/>
      </c>
      <c r="H2776">
        <f>_xlfn.IMAGE("https://m.media-amazon.com/images/I/51di5VLBFnL._AC_UL320_.jpg")</f>
        <v/>
      </c>
      <c r="K2776" t="inlineStr">
        <is>
          <t>6.0</t>
        </is>
      </c>
      <c r="L2776" t="n">
        <v>4.99</v>
      </c>
      <c r="M2776" s="1" t="inlineStr">
        <is>
          <t>-16.83%</t>
        </is>
      </c>
      <c r="N2776" t="n">
        <v>4.5</v>
      </c>
      <c r="O2776" t="n">
        <v>98660</v>
      </c>
      <c r="Q2776" t="inlineStr">
        <is>
          <t>InStock</t>
        </is>
      </c>
      <c r="R2776" t="inlineStr">
        <is>
          <t>undefined</t>
        </is>
      </c>
      <c r="S2776" t="inlineStr">
        <is>
          <t>7050238599</t>
        </is>
      </c>
    </row>
    <row r="2777" ht="75" customHeight="1">
      <c r="A2777" s="2">
        <f>HYPERLINK("https://camerareadycosmetics.com/products/nyx-butter-gloss", "https://camerareadycosmetics.com/products/nyx-butter-gloss")</f>
        <v/>
      </c>
      <c r="B2777" s="2">
        <f>HYPERLINK("https://camerareadycosmetics.com/products/nyx-butter-gloss", "https://camerareadycosmetics.com/products/nyx-butter-gloss")</f>
        <v/>
      </c>
      <c r="C2777" t="inlineStr">
        <is>
          <t>Butter Gloss</t>
        </is>
      </c>
      <c r="D2777" t="inlineStr">
        <is>
          <t>Ruby Kisses Lip Gloss Butter Bomb Gloss Non-Sticky Lip Gloss Vitamin E Natural Nude Lip Makeup - 7.8mL (0.26 US fl.oz) (White Lie)</t>
        </is>
      </c>
      <c r="E2777" s="2">
        <f>HYPERLINK("https://www.amazon.com/Ruby-Kisses-Non-Sticky-Vitamin-Natural/dp/B0B26X1X7Y/ref=sr_1_2?keywords=Butter+Gloss&amp;qid=1695565429&amp;sr=8-2", "https://www.amazon.com/Ruby-Kisses-Non-Sticky-Vitamin-Natural/dp/B0B26X1X7Y/ref=sr_1_2?keywords=Butter+Gloss&amp;qid=1695565429&amp;sr=8-2")</f>
        <v/>
      </c>
      <c r="F2777" t="inlineStr">
        <is>
          <t>B0B26X1X7Y</t>
        </is>
      </c>
      <c r="G2777">
        <f>_xlfn.IMAGE("https://camerareadycosmetics.com/cdn/shop/products/16917_zoom_1458073676_50x.jpg?v=1689658658")</f>
        <v/>
      </c>
      <c r="H2777">
        <f>_xlfn.IMAGE("https://m.media-amazon.com/images/I/612rzMlypfL._AC_UL320_.jpg")</f>
        <v/>
      </c>
      <c r="K2777" t="inlineStr">
        <is>
          <t>6.0</t>
        </is>
      </c>
      <c r="L2777" t="n">
        <v>3.99</v>
      </c>
      <c r="M2777" s="1" t="inlineStr">
        <is>
          <t>-33.50%</t>
        </is>
      </c>
      <c r="N2777" t="n">
        <v>4.5</v>
      </c>
      <c r="O2777" t="n">
        <v>673</v>
      </c>
      <c r="Q2777" t="inlineStr">
        <is>
          <t>InStock</t>
        </is>
      </c>
      <c r="R2777" t="inlineStr">
        <is>
          <t>undefined</t>
        </is>
      </c>
      <c r="S2777" t="inlineStr">
        <is>
          <t>7050238599</t>
        </is>
      </c>
    </row>
    <row r="2778" ht="75" customHeight="1">
      <c r="A2778" s="2">
        <f>HYPERLINK("https://camerareadycosmetics.com/products/nyx-butter-gloss", "https://camerareadycosmetics.com/products/nyx-butter-gloss")</f>
        <v/>
      </c>
      <c r="B2778" s="2">
        <f>HYPERLINK("https://camerareadycosmetics.com/products/nyx-butter-gloss", "https://camerareadycosmetics.com/products/nyx-butter-gloss")</f>
        <v/>
      </c>
      <c r="C2778" t="inlineStr">
        <is>
          <t>Butter Gloss</t>
        </is>
      </c>
      <c r="D2778" t="inlineStr">
        <is>
          <t>L.A. Colors High Shine Shea Butter Lip Gloss, Clear, 0.14 Ounce</t>
        </is>
      </c>
      <c r="E2778" s="2">
        <f>HYPERLINK("https://www.amazon.com/L-Colors-Shine-Butter/dp/B015RPE14S/ref=sr_1_3?keywords=Butter+Gloss&amp;qid=1695565429&amp;sr=8-3", "https://www.amazon.com/L-Colors-Shine-Butter/dp/B015RPE14S/ref=sr_1_3?keywords=Butter+Gloss&amp;qid=1695565429&amp;sr=8-3")</f>
        <v/>
      </c>
      <c r="F2778" t="inlineStr">
        <is>
          <t>B015RPE14S</t>
        </is>
      </c>
      <c r="G2778">
        <f>_xlfn.IMAGE("https://camerareadycosmetics.com/cdn/shop/products/16917_zoom_1458073676_50x.jpg?v=1689658658")</f>
        <v/>
      </c>
      <c r="H2778">
        <f>_xlfn.IMAGE("https://m.media-amazon.com/images/I/71uH7YW8RlL._AC_UL320_.jpg")</f>
        <v/>
      </c>
      <c r="K2778" t="inlineStr">
        <is>
          <t>6.0</t>
        </is>
      </c>
      <c r="L2778" t="n">
        <v>1.98</v>
      </c>
      <c r="M2778" s="1" t="inlineStr">
        <is>
          <t>-67.00%</t>
        </is>
      </c>
      <c r="N2778" t="n">
        <v>4.5</v>
      </c>
      <c r="O2778" t="n">
        <v>12510</v>
      </c>
      <c r="Q2778" t="inlineStr">
        <is>
          <t>InStock</t>
        </is>
      </c>
      <c r="R2778" t="inlineStr">
        <is>
          <t>undefined</t>
        </is>
      </c>
      <c r="S2778" t="inlineStr">
        <is>
          <t>7050238599</t>
        </is>
      </c>
    </row>
    <row r="2779" ht="75" customHeight="1">
      <c r="A2779" s="2">
        <f>HYPERLINK("https://camerareadycosmetics.com/products/nyx-butter-gloss", "https://camerareadycosmetics.com/products/nyx-butter-gloss")</f>
        <v/>
      </c>
      <c r="B2779" s="2">
        <f>HYPERLINK("https://camerareadycosmetics.com/products/nyx-butter-gloss", "https://camerareadycosmetics.com/products/nyx-butter-gloss")</f>
        <v/>
      </c>
      <c r="C2779" t="inlineStr">
        <is>
          <t>Butter Gloss</t>
        </is>
      </c>
      <c r="D2779" t="inlineStr">
        <is>
          <t>L.A. Colors High Shine Shea Butter Lip Gloss, Clear, 0.14 Ounce</t>
        </is>
      </c>
      <c r="E2779" s="2">
        <f>HYPERLINK("https://www.amazon.com/L-Colors-Shine-Butter/dp/B015RPE14S/ref=sr_1_3?keywords=Butter+Gloss&amp;qid=1695565429&amp;sr=8-3", "https://www.amazon.com/L-Colors-Shine-Butter/dp/B015RPE14S/ref=sr_1_3?keywords=Butter+Gloss&amp;qid=1695565429&amp;sr=8-3")</f>
        <v/>
      </c>
      <c r="F2779" t="inlineStr">
        <is>
          <t>B015RPE14S</t>
        </is>
      </c>
      <c r="G2779">
        <f>_xlfn.IMAGE("https://camerareadycosmetics.com/cdn/shop/products/16917_zoom_1458073676_50x.jpg?v=1689658658")</f>
        <v/>
      </c>
      <c r="H2779">
        <f>_xlfn.IMAGE("https://m.media-amazon.com/images/I/71uH7YW8RlL._AC_UL320_.jpg")</f>
        <v/>
      </c>
      <c r="K2779" t="inlineStr">
        <is>
          <t>6.0</t>
        </is>
      </c>
      <c r="L2779" t="n">
        <v>1.98</v>
      </c>
      <c r="M2779" s="1" t="inlineStr">
        <is>
          <t>-67.00%</t>
        </is>
      </c>
      <c r="N2779" t="n">
        <v>4.5</v>
      </c>
      <c r="O2779" t="n">
        <v>12510</v>
      </c>
      <c r="Q2779" t="inlineStr">
        <is>
          <t>InStock</t>
        </is>
      </c>
      <c r="R2779" t="inlineStr">
        <is>
          <t>undefined</t>
        </is>
      </c>
      <c r="S2779" t="inlineStr">
        <is>
          <t>7050238599</t>
        </is>
      </c>
    </row>
    <row r="2780" ht="75" customHeight="1">
      <c r="A2780" s="2">
        <f>HYPERLINK("https://camerareadycosmetics.com/products/nyx-epic-ink-liner", "https://camerareadycosmetics.com/products/nyx-epic-ink-liner")</f>
        <v/>
      </c>
      <c r="B2780" s="2">
        <f>HYPERLINK("https://camerareadycosmetics.com/products/nyx-epic-ink-liner", "https://camerareadycosmetics.com/products/nyx-epic-ink-liner")</f>
        <v/>
      </c>
      <c r="C2780" t="inlineStr">
        <is>
          <t>Epic Ink Liner</t>
        </is>
      </c>
      <c r="D2780" t="inlineStr">
        <is>
          <t>NYX PROFESSIONAL MAKEUP Epic Ink Liner, Waterproof Liquid Eyeliner (Black) + Fill &amp; Fluff Eyebrow Pomade Pencil (Espresso)</t>
        </is>
      </c>
      <c r="E2780" s="2">
        <f>HYPERLINK("https://www.amazon.com/NYX-PROFESSIONAL-MAKEUP-Waterproof-Eyeliner/dp/B07Y1WWGGH/ref=sr_1_2?keywords=Epic+Ink+Liner&amp;qid=1695565491&amp;sr=8-2", "https://www.amazon.com/NYX-PROFESSIONAL-MAKEUP-Waterproof-Eyeliner/dp/B07Y1WWGGH/ref=sr_1_2?keywords=Epic+Ink+Liner&amp;qid=1695565491&amp;sr=8-2")</f>
        <v/>
      </c>
      <c r="F2780" t="inlineStr">
        <is>
          <t>B07Y1WWGGH</t>
        </is>
      </c>
      <c r="G2780">
        <f>_xlfn.IMAGE("https://camerareadycosmetics.com/cdn/shop/products/800897085605_epicinkliner_alt1_50x.jpg?v=1512864549")</f>
        <v/>
      </c>
      <c r="H2780">
        <f>_xlfn.IMAGE("https://m.media-amazon.com/images/I/61si6uQ3LfL._AC_UL320_.jpg")</f>
        <v/>
      </c>
      <c r="K2780" t="inlineStr">
        <is>
          <t>10.0</t>
        </is>
      </c>
      <c r="L2780" t="n">
        <v>34.99</v>
      </c>
      <c r="M2780" s="1" t="inlineStr">
        <is>
          <t>249.90%</t>
        </is>
      </c>
      <c r="N2780" t="n">
        <v>4.5</v>
      </c>
      <c r="O2780" t="n">
        <v>93</v>
      </c>
      <c r="Q2780" t="inlineStr">
        <is>
          <t>InStock</t>
        </is>
      </c>
      <c r="R2780" t="inlineStr">
        <is>
          <t>undefined</t>
        </is>
      </c>
      <c r="S2780" t="inlineStr">
        <is>
          <t>367955345418</t>
        </is>
      </c>
    </row>
    <row r="2781" ht="75" customHeight="1">
      <c r="A2781" s="2">
        <f>HYPERLINK("https://camerareadycosmetics.com/products/nyx-epic-ink-liner", "https://camerareadycosmetics.com/products/nyx-epic-ink-liner")</f>
        <v/>
      </c>
      <c r="B2781" s="2">
        <f>HYPERLINK("https://camerareadycosmetics.com/products/nyx-epic-ink-liner", "https://camerareadycosmetics.com/products/nyx-epic-ink-liner")</f>
        <v/>
      </c>
      <c r="C2781" t="inlineStr">
        <is>
          <t>Epic Ink Liner</t>
        </is>
      </c>
      <c r="D2781" t="inlineStr">
        <is>
          <t>NYX PROFESSIONAL MAKEUP Epic Ink Liner, Waterproof Liquid Eyeliner - Black, Vegan Formula</t>
        </is>
      </c>
      <c r="E2781" s="2">
        <f>HYPERLINK("https://www.amazon.com/NYX-PROFESSIONAL-MAKEUP-Waterproof-Eyeliner/dp/B074Y8LM6T/ref=sr_1_1?keywords=Epic+Ink+Liner&amp;qid=1695565491&amp;sr=8-1", "https://www.amazon.com/NYX-PROFESSIONAL-MAKEUP-Waterproof-Eyeliner/dp/B074Y8LM6T/ref=sr_1_1?keywords=Epic+Ink+Liner&amp;qid=1695565491&amp;sr=8-1")</f>
        <v/>
      </c>
      <c r="F2781" t="inlineStr">
        <is>
          <t>B074Y8LM6T</t>
        </is>
      </c>
      <c r="G2781">
        <f>_xlfn.IMAGE("https://camerareadycosmetics.com/cdn/shop/products/800897085605_epicinkliner_alt1_50x.jpg?v=1512864549")</f>
        <v/>
      </c>
      <c r="H2781">
        <f>_xlfn.IMAGE("https://m.media-amazon.com/images/I/41U9-GGNO0L._AC_UL320_.jpg")</f>
        <v/>
      </c>
      <c r="K2781" t="inlineStr">
        <is>
          <t>10.0</t>
        </is>
      </c>
      <c r="L2781" t="n">
        <v>8.44</v>
      </c>
      <c r="M2781" s="1" t="inlineStr">
        <is>
          <t>-15.60%</t>
        </is>
      </c>
      <c r="N2781" t="n">
        <v>4.5</v>
      </c>
      <c r="O2781" t="n">
        <v>83591</v>
      </c>
      <c r="Q2781" t="inlineStr">
        <is>
          <t>InStock</t>
        </is>
      </c>
      <c r="R2781" t="inlineStr">
        <is>
          <t>undefined</t>
        </is>
      </c>
      <c r="S2781" t="inlineStr">
        <is>
          <t>367955345418</t>
        </is>
      </c>
    </row>
    <row r="2782" ht="75" customHeight="1">
      <c r="A2782" s="2">
        <f>HYPERLINK("https://camerareadycosmetics.com/products/nyx-eyebrow-gel", "https://camerareadycosmetics.com/products/nyx-eyebrow-gel")</f>
        <v/>
      </c>
      <c r="B2782" s="2">
        <f>HYPERLINK("https://camerareadycosmetics.com/products/nyx-eyebrow-gel", "https://camerareadycosmetics.com/products/nyx-eyebrow-gel")</f>
        <v/>
      </c>
      <c r="C2782" t="inlineStr">
        <is>
          <t>Eyebrow Gel</t>
        </is>
      </c>
      <c r="D2782" t="inlineStr">
        <is>
          <t>got2b glue 4 brows &amp; edges, 2in1 brow gel &amp; hair mascara, with practical, two-sided eyebrow brush for styling and fixing baby hair, vegan formula, 16 ml</t>
        </is>
      </c>
      <c r="E2782" s="2">
        <f>HYPERLINK("https://www.amazon.com/got2b-mascara-practical-two-sided-eyebrow/dp/B09BP93DP8/ref=sr_1_9?keywords=Eyebrow+Gel&amp;qid=1695565457&amp;sr=8-9", "https://www.amazon.com/got2b-mascara-practical-two-sided-eyebrow/dp/B09BP93DP8/ref=sr_1_9?keywords=Eyebrow+Gel&amp;qid=1695565457&amp;sr=8-9")</f>
        <v/>
      </c>
      <c r="F2782" t="inlineStr">
        <is>
          <t>B09BP93DP8</t>
        </is>
      </c>
      <c r="G2782">
        <f>_xlfn.IMAGE("https://camerareadycosmetics.com/cdn/shop/files/BLACK_EYEBROW_GEL_1_50x.jpg?v=1687198745")</f>
        <v/>
      </c>
      <c r="H2782">
        <f>_xlfn.IMAGE("https://m.media-amazon.com/images/I/714+rL23KZL._AC_UL320_.jpg")</f>
        <v/>
      </c>
      <c r="K2782" t="inlineStr">
        <is>
          <t>8.0</t>
        </is>
      </c>
      <c r="L2782" t="n">
        <v>9.279999999999999</v>
      </c>
      <c r="M2782" s="1" t="inlineStr">
        <is>
          <t>16.00%</t>
        </is>
      </c>
      <c r="N2782" t="n">
        <v>4.1</v>
      </c>
      <c r="O2782" t="n">
        <v>1406</v>
      </c>
      <c r="Q2782" t="inlineStr">
        <is>
          <t>InStock</t>
        </is>
      </c>
      <c r="R2782" t="inlineStr">
        <is>
          <t>undefined</t>
        </is>
      </c>
      <c r="S2782" t="inlineStr">
        <is>
          <t>10199074442</t>
        </is>
      </c>
    </row>
    <row r="2783" ht="75" customHeight="1">
      <c r="A2783" s="2">
        <f>HYPERLINK("https://camerareadycosmetics.com/products/nyx-eyebrow-gel", "https://camerareadycosmetics.com/products/nyx-eyebrow-gel")</f>
        <v/>
      </c>
      <c r="B2783" s="2">
        <f>HYPERLINK("https://camerareadycosmetics.com/products/nyx-eyebrow-gel", "https://camerareadycosmetics.com/products/nyx-eyebrow-gel")</f>
        <v/>
      </c>
      <c r="C2783" t="inlineStr">
        <is>
          <t>Eyebrow Gel</t>
        </is>
      </c>
      <c r="D2783" t="inlineStr">
        <is>
          <t>NYX PROFESSIONAL MAKEUP Control Freak Eyebrow Gel - Clear</t>
        </is>
      </c>
      <c r="E2783" s="2">
        <f>HYPERLINK("https://www.amazon.com/NYX-PROFESSIONAL-MAKEUP-Control-Eyebrow/dp/B00INCDKDQ/ref=sr_1_4?keywords=Eyebrow+Gel&amp;qid=1695565457&amp;sr=8-4", "https://www.amazon.com/NYX-PROFESSIONAL-MAKEUP-Control-Eyebrow/dp/B00INCDKDQ/ref=sr_1_4?keywords=Eyebrow+Gel&amp;qid=1695565457&amp;sr=8-4")</f>
        <v/>
      </c>
      <c r="F2783" t="inlineStr">
        <is>
          <t>B00INCDKDQ</t>
        </is>
      </c>
      <c r="G2783">
        <f>_xlfn.IMAGE("https://camerareadycosmetics.com/cdn/shop/files/BLACK_EYEBROW_GEL_1_50x.jpg?v=1687198745")</f>
        <v/>
      </c>
      <c r="H2783">
        <f>_xlfn.IMAGE("https://m.media-amazon.com/images/I/61A86Lb7wuL._AC_UL320_.jpg")</f>
        <v/>
      </c>
      <c r="K2783" t="inlineStr">
        <is>
          <t>8.0</t>
        </is>
      </c>
      <c r="L2783" t="n">
        <v>6.89</v>
      </c>
      <c r="M2783" s="1" t="inlineStr">
        <is>
          <t>-13.88%</t>
        </is>
      </c>
      <c r="N2783" t="n">
        <v>4.2</v>
      </c>
      <c r="O2783" t="n">
        <v>39327</v>
      </c>
      <c r="Q2783" t="inlineStr">
        <is>
          <t>InStock</t>
        </is>
      </c>
      <c r="R2783" t="inlineStr">
        <is>
          <t>undefined</t>
        </is>
      </c>
      <c r="S2783" t="inlineStr">
        <is>
          <t>10199074442</t>
        </is>
      </c>
    </row>
    <row r="2784" ht="75" customHeight="1">
      <c r="A2784" s="2">
        <f>HYPERLINK("https://camerareadycosmetics.com/products/nyx-highlight-and-contour-pro-palette", "https://camerareadycosmetics.com/products/nyx-highlight-and-contour-pro-palette")</f>
        <v/>
      </c>
      <c r="B2784" s="2">
        <f>HYPERLINK("https://camerareadycosmetics.com/products/nyx-highlight-and-contour-pro-palette", "https://camerareadycosmetics.com/products/nyx-highlight-and-contour-pro-palette")</f>
        <v/>
      </c>
      <c r="C2784" t="inlineStr">
        <is>
          <t>Highlight and Contour Pro Palette</t>
        </is>
      </c>
      <c r="D2784" t="inlineStr">
        <is>
          <t>tarteist PRO glow highlight contour palette</t>
        </is>
      </c>
      <c r="E2784" s="2">
        <f>HYPERLINK("https://www.amazon.com/tarteist-glow-highlight-contour-palette/dp/B01M70BKO6/ref=sr_1_5?keywords=Highlight+and+Contour+Pro+Palette&amp;qid=1695565465&amp;sr=8-5", "https://www.amazon.com/tarteist-glow-highlight-contour-palette/dp/B01M70BKO6/ref=sr_1_5?keywords=Highlight+and+Contour+Pro+Palette&amp;qid=1695565465&amp;sr=8-5")</f>
        <v/>
      </c>
      <c r="F2784" t="inlineStr">
        <is>
          <t>B01M70BKO6</t>
        </is>
      </c>
      <c r="G2784">
        <f>_xlfn.IMAGE("https://camerareadycosmetics.com/cdn/shop/products/800897836245_highlightcontourpalette_main_1_50x.jpg?v=1689657681")</f>
        <v/>
      </c>
      <c r="H2784">
        <f>_xlfn.IMAGE("https://m.media-amazon.com/images/I/81Pqwps+dLL._AC_UL320_.jpg")</f>
        <v/>
      </c>
      <c r="K2784" t="inlineStr">
        <is>
          <t>24.99</t>
        </is>
      </c>
      <c r="L2784" t="n">
        <v>110.03</v>
      </c>
      <c r="M2784" s="1" t="inlineStr">
        <is>
          <t>340.30%</t>
        </is>
      </c>
      <c r="N2784" t="n">
        <v>4.5</v>
      </c>
      <c r="O2784" t="n">
        <v>545</v>
      </c>
      <c r="Q2784" t="inlineStr">
        <is>
          <t>OutOfStock</t>
        </is>
      </c>
      <c r="R2784" t="inlineStr">
        <is>
          <t>undefined</t>
        </is>
      </c>
      <c r="S2784" t="inlineStr">
        <is>
          <t>7050020615</t>
        </is>
      </c>
    </row>
    <row r="2785" ht="75" customHeight="1">
      <c r="A2785" s="2">
        <f>HYPERLINK("https://camerareadycosmetics.com/products/nyx-highlight-and-contour-pro-palette", "https://camerareadycosmetics.com/products/nyx-highlight-and-contour-pro-palette")</f>
        <v/>
      </c>
      <c r="B2785" s="2">
        <f>HYPERLINK("https://camerareadycosmetics.com/products/nyx-highlight-and-contour-pro-palette", "https://camerareadycosmetics.com/products/nyx-highlight-and-contour-pro-palette")</f>
        <v/>
      </c>
      <c r="C2785" t="inlineStr">
        <is>
          <t>Highlight and Contour Pro Palette</t>
        </is>
      </c>
      <c r="D2785" t="inlineStr">
        <is>
          <t>tarte Tarteist™ PRO Glow to Go Highlight &amp; Contour Palette</t>
        </is>
      </c>
      <c r="E2785" s="2">
        <f>HYPERLINK("https://www.amazon.com/tarte-TarteistTM-Highlight-Contour-Palette/dp/B01NAIPSTA/ref=sr_1_2?keywords=Highlight+and+Contour+Pro+Palette&amp;qid=1695565465&amp;sr=8-2", "https://www.amazon.com/tarte-TarteistTM-Highlight-Contour-Palette/dp/B01NAIPSTA/ref=sr_1_2?keywords=Highlight+and+Contour+Pro+Palette&amp;qid=1695565465&amp;sr=8-2")</f>
        <v/>
      </c>
      <c r="F2785" t="inlineStr">
        <is>
          <t>B01NAIPSTA</t>
        </is>
      </c>
      <c r="G2785">
        <f>_xlfn.IMAGE("https://camerareadycosmetics.com/cdn/shop/products/800897836245_highlightcontourpalette_main_1_50x.jpg?v=1689657681")</f>
        <v/>
      </c>
      <c r="H2785">
        <f>_xlfn.IMAGE("https://m.media-amazon.com/images/I/511T-S3t5vL._AC_UL320_.jpg")</f>
        <v/>
      </c>
      <c r="K2785" t="inlineStr">
        <is>
          <t>24.99</t>
        </is>
      </c>
      <c r="L2785" t="n">
        <v>36.45</v>
      </c>
      <c r="M2785" s="1" t="inlineStr">
        <is>
          <t>45.86%</t>
        </is>
      </c>
      <c r="N2785" t="n">
        <v>4.7</v>
      </c>
      <c r="O2785" t="n">
        <v>328</v>
      </c>
      <c r="Q2785" t="inlineStr">
        <is>
          <t>OutOfStock</t>
        </is>
      </c>
      <c r="R2785" t="inlineStr">
        <is>
          <t>undefined</t>
        </is>
      </c>
      <c r="S2785" t="inlineStr">
        <is>
          <t>7050020615</t>
        </is>
      </c>
    </row>
    <row r="2786" ht="75" customHeight="1">
      <c r="A2786" s="2">
        <f>HYPERLINK("https://camerareadycosmetics.com/products/nyx-highlight-and-contour-pro-palette", "https://camerareadycosmetics.com/products/nyx-highlight-and-contour-pro-palette")</f>
        <v/>
      </c>
      <c r="B2786" s="2">
        <f>HYPERLINK("https://camerareadycosmetics.com/products/nyx-highlight-and-contour-pro-palette", "https://camerareadycosmetics.com/products/nyx-highlight-and-contour-pro-palette")</f>
        <v/>
      </c>
      <c r="C2786" t="inlineStr">
        <is>
          <t>Highlight and Contour Pro Palette</t>
        </is>
      </c>
      <c r="D2786" t="inlineStr">
        <is>
          <t>NYX HCPP01 Highlight &amp; Contour Pro Palette 8 Colors x 0.09 oz Full SizeBCS_INPF</t>
        </is>
      </c>
      <c r="E2786" s="2">
        <f>HYPERLINK("https://www.amazon.com/NYX-Highlight-Contour-Palette-BCS_INPF/dp/B017WET2BO/ref=sr_1_7?keywords=Highlight+and+Contour+Pro+Palette&amp;qid=1695565465&amp;sr=8-7", "https://www.amazon.com/NYX-Highlight-Contour-Palette-BCS_INPF/dp/B017WET2BO/ref=sr_1_7?keywords=Highlight+and+Contour+Pro+Palette&amp;qid=1695565465&amp;sr=8-7")</f>
        <v/>
      </c>
      <c r="F2786" t="inlineStr">
        <is>
          <t>B017WET2BO</t>
        </is>
      </c>
      <c r="G2786">
        <f>_xlfn.IMAGE("https://camerareadycosmetics.com/cdn/shop/products/800897836245_highlightcontourpalette_main_1_50x.jpg?v=1689657681")</f>
        <v/>
      </c>
      <c r="H2786">
        <f>_xlfn.IMAGE("https://m.media-amazon.com/images/I/410UfEMGR2L._AC_UL320_.jpg")</f>
        <v/>
      </c>
      <c r="K2786" t="inlineStr">
        <is>
          <t>24.99</t>
        </is>
      </c>
      <c r="L2786" t="n">
        <v>25</v>
      </c>
      <c r="M2786" s="1" t="inlineStr">
        <is>
          <t>0.04%</t>
        </is>
      </c>
      <c r="N2786" t="n">
        <v>4.6</v>
      </c>
      <c r="O2786" t="n">
        <v>22</v>
      </c>
      <c r="Q2786" t="inlineStr">
        <is>
          <t>OutOfStock</t>
        </is>
      </c>
      <c r="R2786" t="inlineStr">
        <is>
          <t>undefined</t>
        </is>
      </c>
      <c r="S2786" t="inlineStr">
        <is>
          <t>7050020615</t>
        </is>
      </c>
    </row>
    <row r="2787" ht="75" customHeight="1">
      <c r="A2787" s="2">
        <f>HYPERLINK("https://camerareadycosmetics.com/products/nyx-highlight-and-contour-pro-palette", "https://camerareadycosmetics.com/products/nyx-highlight-and-contour-pro-palette")</f>
        <v/>
      </c>
      <c r="B2787" s="2">
        <f>HYPERLINK("https://camerareadycosmetics.com/products/nyx-highlight-and-contour-pro-palette", "https://camerareadycosmetics.com/products/nyx-highlight-and-contour-pro-palette")</f>
        <v/>
      </c>
      <c r="C2787" t="inlineStr">
        <is>
          <t>Highlight and Contour Pro Palette</t>
        </is>
      </c>
      <c r="D2787" t="inlineStr">
        <is>
          <t>Palladio Definer Contour and Highlight Palette, Perfect for Sculpting Facial Features, Blendable Satin Finish Colors, 6 shades for Contouring and Highlighting, Compact Powder with Mirror</t>
        </is>
      </c>
      <c r="E2787" s="2">
        <f>HYPERLINK("https://www.amazon.com/Palladio-Definer-Contour-Highlight-Luminous/dp/B0751KWBT6/ref=sr_1_4?keywords=Highlight+and+Contour+Pro+Palette&amp;qid=1695565465&amp;sr=8-4", "https://www.amazon.com/Palladio-Definer-Contour-Highlight-Luminous/dp/B0751KWBT6/ref=sr_1_4?keywords=Highlight+and+Contour+Pro+Palette&amp;qid=1695565465&amp;sr=8-4")</f>
        <v/>
      </c>
      <c r="F2787" t="inlineStr">
        <is>
          <t>B0751KWBT6</t>
        </is>
      </c>
      <c r="G2787">
        <f>_xlfn.IMAGE("https://camerareadycosmetics.com/cdn/shop/products/800897836245_highlightcontourpalette_main_1_50x.jpg?v=1689657681")</f>
        <v/>
      </c>
      <c r="H2787">
        <f>_xlfn.IMAGE("https://m.media-amazon.com/images/I/619rsZPctnL._AC_UL320_.jpg")</f>
        <v/>
      </c>
      <c r="K2787" t="inlineStr">
        <is>
          <t>24.99</t>
        </is>
      </c>
      <c r="L2787" t="n">
        <v>14.99</v>
      </c>
      <c r="M2787" s="1" t="inlineStr">
        <is>
          <t>-40.02%</t>
        </is>
      </c>
      <c r="N2787" t="n">
        <v>4.1</v>
      </c>
      <c r="O2787" t="n">
        <v>256</v>
      </c>
      <c r="Q2787" t="inlineStr">
        <is>
          <t>OutOfStock</t>
        </is>
      </c>
      <c r="R2787" t="inlineStr">
        <is>
          <t>undefined</t>
        </is>
      </c>
      <c r="S2787" t="inlineStr">
        <is>
          <t>7050020615</t>
        </is>
      </c>
    </row>
    <row r="2788" ht="75" customHeight="1">
      <c r="A2788" s="2">
        <f>HYPERLINK("https://camerareadycosmetics.com/products/nyx-highlight-and-contour-pro-palette", "https://camerareadycosmetics.com/products/nyx-highlight-and-contour-pro-palette")</f>
        <v/>
      </c>
      <c r="B2788" s="2">
        <f>HYPERLINK("https://camerareadycosmetics.com/products/nyx-highlight-and-contour-pro-palette", "https://camerareadycosmetics.com/products/nyx-highlight-and-contour-pro-palette")</f>
        <v/>
      </c>
      <c r="C2788" t="inlineStr">
        <is>
          <t>Highlight and Contour Pro Palette</t>
        </is>
      </c>
      <c r="D2788" t="inlineStr">
        <is>
          <t>Profusion Cosmetics Mini Artistry Highlight &amp; Contour I Palette Makeup Kit, Long Lasting and Soft Powder Formula - Light Medium</t>
        </is>
      </c>
      <c r="E2788" s="2">
        <f>HYPERLINK("https://www.amazon.com/Profusion-Cosmetics-Artistry-Highlight-Contour/dp/B07N864Q64/ref=sr_1_8?keywords=Highlight+and+Contour+Pro+Palette&amp;qid=1695565465&amp;sr=8-8", "https://www.amazon.com/Profusion-Cosmetics-Artistry-Highlight-Contour/dp/B07N864Q64/ref=sr_1_8?keywords=Highlight+and+Contour+Pro+Palette&amp;qid=1695565465&amp;sr=8-8")</f>
        <v/>
      </c>
      <c r="F2788" t="inlineStr">
        <is>
          <t>B07N864Q64</t>
        </is>
      </c>
      <c r="G2788">
        <f>_xlfn.IMAGE("https://camerareadycosmetics.com/cdn/shop/products/800897836245_highlightcontourpalette_main_1_50x.jpg?v=1689657681")</f>
        <v/>
      </c>
      <c r="H2788">
        <f>_xlfn.IMAGE("https://m.media-amazon.com/images/I/81453VTxS1L._AC_UL320_.jpg")</f>
        <v/>
      </c>
      <c r="K2788" t="inlineStr">
        <is>
          <t>24.99</t>
        </is>
      </c>
      <c r="L2788" t="n">
        <v>11.82</v>
      </c>
      <c r="M2788" s="1" t="inlineStr">
        <is>
          <t>-52.70%</t>
        </is>
      </c>
      <c r="N2788" t="n">
        <v>4.4</v>
      </c>
      <c r="O2788" t="n">
        <v>571</v>
      </c>
      <c r="Q2788" t="inlineStr">
        <is>
          <t>OutOfStock</t>
        </is>
      </c>
      <c r="R2788" t="inlineStr">
        <is>
          <t>undefined</t>
        </is>
      </c>
      <c r="S2788" t="inlineStr">
        <is>
          <t>7050020615</t>
        </is>
      </c>
    </row>
    <row r="2789" ht="75" customHeight="1">
      <c r="A2789" s="2">
        <f>HYPERLINK("https://camerareadycosmetics.com/products/nyx-highlight-and-contour-pro-palette", "https://camerareadycosmetics.com/products/nyx-highlight-and-contour-pro-palette")</f>
        <v/>
      </c>
      <c r="B2789" s="2">
        <f>HYPERLINK("https://camerareadycosmetics.com/products/nyx-highlight-and-contour-pro-palette", "https://camerareadycosmetics.com/products/nyx-highlight-and-contour-pro-palette")</f>
        <v/>
      </c>
      <c r="C2789" t="inlineStr">
        <is>
          <t>Highlight and Contour Pro Palette</t>
        </is>
      </c>
      <c r="D2789" t="inlineStr">
        <is>
          <t>Pro Cream Contour and Highlight Palette Kit with Mirror &amp; Brush for Beginners. White Silver Gold Highlight Brown Face Correcting Concealer Palette for Dark Circles Redness Acne Etc.corrector de ojeras</t>
        </is>
      </c>
      <c r="E2789" s="2">
        <f>HYPERLINK("https://www.amazon.com/Highlight-Beginners-Correcting-Concealer-Etc-corrector/dp/B0BZHX95JK/ref=sr_1_6?keywords=Highlight+and+Contour+Pro+Palette&amp;qid=1695565465&amp;sr=8-6", "https://www.amazon.com/Highlight-Beginners-Correcting-Concealer-Etc-corrector/dp/B0BZHX95JK/ref=sr_1_6?keywords=Highlight+and+Contour+Pro+Palette&amp;qid=1695565465&amp;sr=8-6")</f>
        <v/>
      </c>
      <c r="F2789" t="inlineStr">
        <is>
          <t>B0BZHX95JK</t>
        </is>
      </c>
      <c r="G2789">
        <f>_xlfn.IMAGE("https://camerareadycosmetics.com/cdn/shop/products/800897836245_highlightcontourpalette_main_1_50x.jpg?v=1689657681")</f>
        <v/>
      </c>
      <c r="H2789">
        <f>_xlfn.IMAGE("https://m.media-amazon.com/images/I/61jDTQpsp6L._AC_UL320_.jpg")</f>
        <v/>
      </c>
      <c r="K2789" t="inlineStr">
        <is>
          <t>24.99</t>
        </is>
      </c>
      <c r="L2789" t="n">
        <v>9.99</v>
      </c>
      <c r="M2789" s="1" t="inlineStr">
        <is>
          <t>-60.02%</t>
        </is>
      </c>
      <c r="N2789" t="n">
        <v>3.7</v>
      </c>
      <c r="O2789" t="n">
        <v>231</v>
      </c>
      <c r="Q2789" t="inlineStr">
        <is>
          <t>OutOfStock</t>
        </is>
      </c>
      <c r="R2789" t="inlineStr">
        <is>
          <t>undefined</t>
        </is>
      </c>
      <c r="S2789" t="inlineStr">
        <is>
          <t>7050020615</t>
        </is>
      </c>
    </row>
    <row r="2790" ht="75" customHeight="1">
      <c r="A2790" s="2">
        <f>HYPERLINK("https://camerareadycosmetics.com/products/nyx-highlight-and-contour-pro-palette", "https://camerareadycosmetics.com/products/nyx-highlight-and-contour-pro-palette")</f>
        <v/>
      </c>
      <c r="B2790" s="2">
        <f>HYPERLINK("https://camerareadycosmetics.com/products/nyx-highlight-and-contour-pro-palette", "https://camerareadycosmetics.com/products/nyx-highlight-and-contour-pro-palette")</f>
        <v/>
      </c>
      <c r="C2790" t="inlineStr">
        <is>
          <t>Highlight and Contour Pro Palette</t>
        </is>
      </c>
      <c r="D2790" t="inlineStr">
        <is>
          <t>Profusion Cosmetics Pro Contour Palette - Portable, Thin and Lightweight Professional 3 Bronze &amp; 3 Matte Highlight Colors With Full Length Mirror</t>
        </is>
      </c>
      <c r="E2790" s="2">
        <f>HYPERLINK("https://www.amazon.com/Profusion-Cosmetics-Contour-Professional-Highlight/dp/B07NNVWH86/ref=sr_1_3?keywords=Highlight+and+Contour+Pro+Palette&amp;qid=1695565465&amp;sr=8-3", "https://www.amazon.com/Profusion-Cosmetics-Contour-Professional-Highlight/dp/B07NNVWH86/ref=sr_1_3?keywords=Highlight+and+Contour+Pro+Palette&amp;qid=1695565465&amp;sr=8-3")</f>
        <v/>
      </c>
      <c r="F2790" t="inlineStr">
        <is>
          <t>B07NNVWH86</t>
        </is>
      </c>
      <c r="G2790">
        <f>_xlfn.IMAGE("https://camerareadycosmetics.com/cdn/shop/products/800897836245_highlightcontourpalette_main_1_50x.jpg?v=1689657681")</f>
        <v/>
      </c>
      <c r="H2790">
        <f>_xlfn.IMAGE("https://m.media-amazon.com/images/I/61qOFy-CUwL._AC_UL320_.jpg")</f>
        <v/>
      </c>
      <c r="K2790" t="inlineStr">
        <is>
          <t>24.99</t>
        </is>
      </c>
      <c r="L2790" t="n">
        <v>9</v>
      </c>
      <c r="M2790" s="1" t="inlineStr">
        <is>
          <t>-63.99%</t>
        </is>
      </c>
      <c r="N2790" t="n">
        <v>4.3</v>
      </c>
      <c r="O2790" t="n">
        <v>215</v>
      </c>
      <c r="Q2790" t="inlineStr">
        <is>
          <t>OutOfStock</t>
        </is>
      </c>
      <c r="R2790" t="inlineStr">
        <is>
          <t>undefined</t>
        </is>
      </c>
      <c r="S2790" t="inlineStr">
        <is>
          <t>7050020615</t>
        </is>
      </c>
    </row>
    <row r="2791" ht="75" customHeight="1">
      <c r="A2791" s="2">
        <f>HYPERLINK("https://camerareadycosmetics.com/products/nyx-highlight-and-contour-pro-palette", "https://camerareadycosmetics.com/products/nyx-highlight-and-contour-pro-palette")</f>
        <v/>
      </c>
      <c r="B2791" s="2">
        <f>HYPERLINK("https://camerareadycosmetics.com/products/nyx-highlight-and-contour-pro-palette", "https://camerareadycosmetics.com/products/nyx-highlight-and-contour-pro-palette")</f>
        <v/>
      </c>
      <c r="C2791" t="inlineStr">
        <is>
          <t>Highlight and Contour Pro Palette</t>
        </is>
      </c>
      <c r="D2791" t="inlineStr">
        <is>
          <t>Profusion Cosmetics Rich Ingredients Long Lasting and Bendability Lightweight Mini Artistry Highlight &amp; Contour II Palette - Medium Dark</t>
        </is>
      </c>
      <c r="E2791" s="2">
        <f>HYPERLINK("https://www.amazon.com/Profusion-Cosmetics-Artistry-Highlight-Contour/dp/B07N7J4YBV/ref=sr_1_10?keywords=Highlight+and+Contour+Pro+Palette&amp;qid=1695565465&amp;sr=8-10", "https://www.amazon.com/Profusion-Cosmetics-Artistry-Highlight-Contour/dp/B07N7J4YBV/ref=sr_1_10?keywords=Highlight+and+Contour+Pro+Palette&amp;qid=1695565465&amp;sr=8-10")</f>
        <v/>
      </c>
      <c r="F2791" t="inlineStr">
        <is>
          <t>B07N7J4YBV</t>
        </is>
      </c>
      <c r="G2791">
        <f>_xlfn.IMAGE("https://camerareadycosmetics.com/cdn/shop/products/800897836245_highlightcontourpalette_main_1_50x.jpg?v=1689657681")</f>
        <v/>
      </c>
      <c r="H2791">
        <f>_xlfn.IMAGE("https://m.media-amazon.com/images/I/81U1itkYmaL._AC_UL320_.jpg")</f>
        <v/>
      </c>
      <c r="K2791" t="inlineStr">
        <is>
          <t>24.99</t>
        </is>
      </c>
      <c r="L2791" t="n">
        <v>6.98</v>
      </c>
      <c r="M2791" s="1" t="inlineStr">
        <is>
          <t>-72.07%</t>
        </is>
      </c>
      <c r="N2791" t="n">
        <v>4.1</v>
      </c>
      <c r="O2791" t="n">
        <v>163</v>
      </c>
      <c r="Q2791" t="inlineStr">
        <is>
          <t>OutOfStock</t>
        </is>
      </c>
      <c r="R2791" t="inlineStr">
        <is>
          <t>undefined</t>
        </is>
      </c>
      <c r="S2791" t="inlineStr">
        <is>
          <t>7050020615</t>
        </is>
      </c>
    </row>
    <row r="2792" ht="75" customHeight="1">
      <c r="A2792" s="2">
        <f>HYPERLINK("https://camerareadycosmetics.com/products/nyx-highlight-and-contour-pro-palette", "https://camerareadycosmetics.com/products/nyx-highlight-and-contour-pro-palette")</f>
        <v/>
      </c>
      <c r="B2792" s="2">
        <f>HYPERLINK("https://camerareadycosmetics.com/products/nyx-highlight-and-contour-pro-palette", "https://camerareadycosmetics.com/products/nyx-highlight-and-contour-pro-palette")</f>
        <v/>
      </c>
      <c r="C2792" t="inlineStr">
        <is>
          <t>Highlight and Contour Pro Palette</t>
        </is>
      </c>
      <c r="D2792" t="inlineStr">
        <is>
          <t>Profusion Cosmetics Mini Artistry Highlight &amp; Contour I Palette Makeup Kit, Long Lasting and Soft Powder Formula - Light Medium</t>
        </is>
      </c>
      <c r="E2792" s="2">
        <f>HYPERLINK("https://www.amazon.com/Profusion-Cosmetics-Artistry-Highlight-Contour/dp/B07N864Q64/ref=sr_1_8?keywords=Highlight+and+Contour+Pro+Palette&amp;qid=1695565465&amp;sr=8-8", "https://www.amazon.com/Profusion-Cosmetics-Artistry-Highlight-Contour/dp/B07N864Q64/ref=sr_1_8?keywords=Highlight+and+Contour+Pro+Palette&amp;qid=1695565465&amp;sr=8-8")</f>
        <v/>
      </c>
      <c r="F2792" t="inlineStr">
        <is>
          <t>B07N864Q64</t>
        </is>
      </c>
      <c r="G2792">
        <f>_xlfn.IMAGE("https://camerareadycosmetics.com/cdn/shop/products/800897836245_highlightcontourpalette_main_1_50x.jpg?v=1689657681")</f>
        <v/>
      </c>
      <c r="H2792">
        <f>_xlfn.IMAGE("https://m.media-amazon.com/images/I/81453VTxS1L._AC_UL320_.jpg")</f>
        <v/>
      </c>
      <c r="K2792" t="inlineStr">
        <is>
          <t>24.99</t>
        </is>
      </c>
      <c r="L2792" t="n">
        <v>11.82</v>
      </c>
      <c r="M2792" s="1" t="inlineStr">
        <is>
          <t>-52.70%</t>
        </is>
      </c>
      <c r="N2792" t="n">
        <v>4.4</v>
      </c>
      <c r="O2792" t="n">
        <v>571</v>
      </c>
      <c r="Q2792" t="inlineStr">
        <is>
          <t>OutOfStock</t>
        </is>
      </c>
      <c r="R2792" t="inlineStr">
        <is>
          <t>undefined</t>
        </is>
      </c>
      <c r="S2792" t="inlineStr">
        <is>
          <t>7050020615</t>
        </is>
      </c>
    </row>
    <row r="2793" ht="75" customHeight="1">
      <c r="A2793" s="2">
        <f>HYPERLINK("https://camerareadycosmetics.com/products/nyx-highlight-and-contour-pro-palette", "https://camerareadycosmetics.com/products/nyx-highlight-and-contour-pro-palette")</f>
        <v/>
      </c>
      <c r="B2793" s="2">
        <f>HYPERLINK("https://camerareadycosmetics.com/products/nyx-highlight-and-contour-pro-palette", "https://camerareadycosmetics.com/products/nyx-highlight-and-contour-pro-palette")</f>
        <v/>
      </c>
      <c r="C2793" t="inlineStr">
        <is>
          <t>Highlight and Contour Pro Palette</t>
        </is>
      </c>
      <c r="D2793" t="inlineStr">
        <is>
          <t>Pro Cream Contour and Highlight Palette Kit with Mirror &amp; Brush for Beginners. White Silver Gold Highlight Brown Face Correcting Concealer Palette for Dark Circles Redness Acne Etc.corrector de ojeras</t>
        </is>
      </c>
      <c r="E2793" s="2">
        <f>HYPERLINK("https://www.amazon.com/Highlight-Beginners-Correcting-Concealer-Etc-corrector/dp/B0BZHX95JK/ref=sr_1_6?keywords=Highlight+and+Contour+Pro+Palette&amp;qid=1695565465&amp;sr=8-6", "https://www.amazon.com/Highlight-Beginners-Correcting-Concealer-Etc-corrector/dp/B0BZHX95JK/ref=sr_1_6?keywords=Highlight+and+Contour+Pro+Palette&amp;qid=1695565465&amp;sr=8-6")</f>
        <v/>
      </c>
      <c r="F2793" t="inlineStr">
        <is>
          <t>B0BZHX95JK</t>
        </is>
      </c>
      <c r="G2793">
        <f>_xlfn.IMAGE("https://camerareadycosmetics.com/cdn/shop/products/800897836245_highlightcontourpalette_main_1_50x.jpg?v=1689657681")</f>
        <v/>
      </c>
      <c r="H2793">
        <f>_xlfn.IMAGE("https://m.media-amazon.com/images/I/61jDTQpsp6L._AC_UL320_.jpg")</f>
        <v/>
      </c>
      <c r="K2793" t="inlineStr">
        <is>
          <t>24.99</t>
        </is>
      </c>
      <c r="L2793" t="n">
        <v>9.99</v>
      </c>
      <c r="M2793" s="1" t="inlineStr">
        <is>
          <t>-60.02%</t>
        </is>
      </c>
      <c r="N2793" t="n">
        <v>3.7</v>
      </c>
      <c r="O2793" t="n">
        <v>231</v>
      </c>
      <c r="Q2793" t="inlineStr">
        <is>
          <t>OutOfStock</t>
        </is>
      </c>
      <c r="R2793" t="inlineStr">
        <is>
          <t>undefined</t>
        </is>
      </c>
      <c r="S2793" t="inlineStr">
        <is>
          <t>7050020615</t>
        </is>
      </c>
    </row>
    <row r="2794" ht="75" customHeight="1">
      <c r="A2794" s="2">
        <f>HYPERLINK("https://camerareadycosmetics.com/products/nyx-highlight-and-contour-pro-palette", "https://camerareadycosmetics.com/products/nyx-highlight-and-contour-pro-palette")</f>
        <v/>
      </c>
      <c r="B2794" s="2">
        <f>HYPERLINK("https://camerareadycosmetics.com/products/nyx-highlight-and-contour-pro-palette", "https://camerareadycosmetics.com/products/nyx-highlight-and-contour-pro-palette")</f>
        <v/>
      </c>
      <c r="C2794" t="inlineStr">
        <is>
          <t>Highlight and Contour Pro Palette</t>
        </is>
      </c>
      <c r="D2794" t="inlineStr">
        <is>
          <t>Profusion Cosmetics Pro Contour Palette - Portable, Thin and Lightweight Professional 3 Bronze &amp; 3 Matte Highlight Colors With Full Length Mirror</t>
        </is>
      </c>
      <c r="E2794" s="2">
        <f>HYPERLINK("https://www.amazon.com/Profusion-Cosmetics-Contour-Professional-Highlight/dp/B07NNVWH86/ref=sr_1_3?keywords=Highlight+and+Contour+Pro+Palette&amp;qid=1695565465&amp;sr=8-3", "https://www.amazon.com/Profusion-Cosmetics-Contour-Professional-Highlight/dp/B07NNVWH86/ref=sr_1_3?keywords=Highlight+and+Contour+Pro+Palette&amp;qid=1695565465&amp;sr=8-3")</f>
        <v/>
      </c>
      <c r="F2794" t="inlineStr">
        <is>
          <t>B07NNVWH86</t>
        </is>
      </c>
      <c r="G2794">
        <f>_xlfn.IMAGE("https://camerareadycosmetics.com/cdn/shop/products/800897836245_highlightcontourpalette_main_1_50x.jpg?v=1689657681")</f>
        <v/>
      </c>
      <c r="H2794">
        <f>_xlfn.IMAGE("https://m.media-amazon.com/images/I/61qOFy-CUwL._AC_UL320_.jpg")</f>
        <v/>
      </c>
      <c r="K2794" t="inlineStr">
        <is>
          <t>24.99</t>
        </is>
      </c>
      <c r="L2794" t="n">
        <v>9</v>
      </c>
      <c r="M2794" s="1" t="inlineStr">
        <is>
          <t>-63.99%</t>
        </is>
      </c>
      <c r="N2794" t="n">
        <v>4.3</v>
      </c>
      <c r="O2794" t="n">
        <v>215</v>
      </c>
      <c r="Q2794" t="inlineStr">
        <is>
          <t>OutOfStock</t>
        </is>
      </c>
      <c r="R2794" t="inlineStr">
        <is>
          <t>undefined</t>
        </is>
      </c>
      <c r="S2794" t="inlineStr">
        <is>
          <t>7050020615</t>
        </is>
      </c>
    </row>
    <row r="2795" ht="75" customHeight="1">
      <c r="A2795" s="2">
        <f>HYPERLINK("https://camerareadycosmetics.com/products/nyx-highlight-and-contour-pro-palette", "https://camerareadycosmetics.com/products/nyx-highlight-and-contour-pro-palette")</f>
        <v/>
      </c>
      <c r="B2795" s="2">
        <f>HYPERLINK("https://camerareadycosmetics.com/products/nyx-highlight-and-contour-pro-palette", "https://camerareadycosmetics.com/products/nyx-highlight-and-contour-pro-palette")</f>
        <v/>
      </c>
      <c r="C2795" t="inlineStr">
        <is>
          <t>Highlight and Contour Pro Palette</t>
        </is>
      </c>
      <c r="D2795" t="inlineStr">
        <is>
          <t>Profusion Cosmetics Rich Ingredients Long Lasting and Bendability Lightweight Mini Artistry Highlight &amp; Contour II Palette - Medium Dark</t>
        </is>
      </c>
      <c r="E2795" s="2">
        <f>HYPERLINK("https://www.amazon.com/Profusion-Cosmetics-Artistry-Highlight-Contour/dp/B07N7J4YBV/ref=sr_1_10?keywords=Highlight+and+Contour+Pro+Palette&amp;qid=1695565465&amp;sr=8-10", "https://www.amazon.com/Profusion-Cosmetics-Artistry-Highlight-Contour/dp/B07N7J4YBV/ref=sr_1_10?keywords=Highlight+and+Contour+Pro+Palette&amp;qid=1695565465&amp;sr=8-10")</f>
        <v/>
      </c>
      <c r="F2795" t="inlineStr">
        <is>
          <t>B07N7J4YBV</t>
        </is>
      </c>
      <c r="G2795">
        <f>_xlfn.IMAGE("https://camerareadycosmetics.com/cdn/shop/products/800897836245_highlightcontourpalette_main_1_50x.jpg?v=1689657681")</f>
        <v/>
      </c>
      <c r="H2795">
        <f>_xlfn.IMAGE("https://m.media-amazon.com/images/I/81U1itkYmaL._AC_UL320_.jpg")</f>
        <v/>
      </c>
      <c r="K2795" t="inlineStr">
        <is>
          <t>24.99</t>
        </is>
      </c>
      <c r="L2795" t="n">
        <v>6.98</v>
      </c>
      <c r="M2795" s="1" t="inlineStr">
        <is>
          <t>-72.07%</t>
        </is>
      </c>
      <c r="N2795" t="n">
        <v>4.1</v>
      </c>
      <c r="O2795" t="n">
        <v>163</v>
      </c>
      <c r="Q2795" t="inlineStr">
        <is>
          <t>OutOfStock</t>
        </is>
      </c>
      <c r="R2795" t="inlineStr">
        <is>
          <t>undefined</t>
        </is>
      </c>
      <c r="S2795" t="inlineStr">
        <is>
          <t>7050020615</t>
        </is>
      </c>
    </row>
    <row r="2796" ht="75" customHeight="1">
      <c r="A2796" s="2">
        <f>HYPERLINK("https://camerareadycosmetics.com/products/nyx-hydra-touch-primer", "https://camerareadycosmetics.com/products/nyx-hydra-touch-primer")</f>
        <v/>
      </c>
      <c r="B2796" s="2">
        <f>HYPERLINK("https://camerareadycosmetics.com/products/nyx-hydra-touch-primer", "https://camerareadycosmetics.com/products/nyx-hydra-touch-primer")</f>
        <v/>
      </c>
      <c r="C2796" t="inlineStr">
        <is>
          <t>Hydra Touch Primer</t>
        </is>
      </c>
      <c r="D2796" t="inlineStr">
        <is>
          <t>NYX PROFESSIONAL MAKEUP Hydra Touch Hydrating Primer, Vegan Face Primer</t>
        </is>
      </c>
      <c r="E2796" s="2">
        <f>HYPERLINK("https://www.amazon.com/NYX-PROFESSIONAL-MAKEUP-Hydra-Primer/dp/B01IE1OUY8/ref=sr_1_1?keywords=Hydra+Touch+Primer&amp;qid=1695565806&amp;sr=8-1", "https://www.amazon.com/NYX-PROFESSIONAL-MAKEUP-Hydra-Primer/dp/B01IE1OUY8/ref=sr_1_1?keywords=Hydra+Touch+Primer&amp;qid=1695565806&amp;sr=8-1")</f>
        <v/>
      </c>
      <c r="F2796" t="inlineStr">
        <is>
          <t>B01IE1OUY8</t>
        </is>
      </c>
      <c r="G2796">
        <f>_xlfn.IMAGE("https://camerareadycosmetics.com/cdn/shop/products/NYX-PMU-Makeup-Face-Primer-HYDRA-TOUCH-PRIMER-HTPR01-01-000-0800897005191-ClosedSwatch_20_1_50x.jpg?v=1625438616")</f>
        <v/>
      </c>
      <c r="H2796">
        <f>_xlfn.IMAGE("https://m.media-amazon.com/images/I/61wkSDiSc+L._AC_UL320_.jpg")</f>
        <v/>
      </c>
      <c r="K2796" t="inlineStr">
        <is>
          <t>15.0</t>
        </is>
      </c>
      <c r="L2796" t="n">
        <v>12.61</v>
      </c>
      <c r="M2796" s="1" t="inlineStr">
        <is>
          <t>-15.93%</t>
        </is>
      </c>
      <c r="N2796" t="n">
        <v>4.4</v>
      </c>
      <c r="O2796" t="n">
        <v>2325</v>
      </c>
      <c r="Q2796" t="inlineStr">
        <is>
          <t>InStock</t>
        </is>
      </c>
      <c r="R2796" t="inlineStr">
        <is>
          <t>undefined</t>
        </is>
      </c>
      <c r="S2796" t="inlineStr">
        <is>
          <t>6814350573753</t>
        </is>
      </c>
    </row>
    <row r="2797" ht="75" customHeight="1">
      <c r="A2797" s="2">
        <f>HYPERLINK("https://camerareadycosmetics.com/products/nyx-hydra-touch-primer", "https://camerareadycosmetics.com/products/nyx-hydra-touch-primer")</f>
        <v/>
      </c>
      <c r="B2797" s="2">
        <f>HYPERLINK("https://camerareadycosmetics.com/products/nyx-hydra-touch-primer", "https://camerareadycosmetics.com/products/nyx-hydra-touch-primer")</f>
        <v/>
      </c>
      <c r="C2797" t="inlineStr">
        <is>
          <t>Hydra Touch Primer</t>
        </is>
      </c>
      <c r="D2797" t="inlineStr">
        <is>
          <t>Hydra Touch Primer Mini</t>
        </is>
      </c>
      <c r="E2797" s="2">
        <f>HYPERLINK("https://www.amazon.com/NYX-Professional-Makeup-Hydra-Primer/dp/B09R81TH9D/ref=sr_1_2?keywords=Hydra+Touch+Primer&amp;qid=1695565806&amp;sr=8-2", "https://www.amazon.com/NYX-Professional-Makeup-Hydra-Primer/dp/B09R81TH9D/ref=sr_1_2?keywords=Hydra+Touch+Primer&amp;qid=1695565806&amp;sr=8-2")</f>
        <v/>
      </c>
      <c r="F2797" t="inlineStr">
        <is>
          <t>B09R81TH9D</t>
        </is>
      </c>
      <c r="G2797">
        <f>_xlfn.IMAGE("https://camerareadycosmetics.com/cdn/shop/products/NYX-PMU-Makeup-Face-Primer-HYDRA-TOUCH-PRIMER-HTPR01-01-000-0800897005191-ClosedSwatch_20_1_50x.jpg?v=1625438616")</f>
        <v/>
      </c>
      <c r="H2797">
        <f>_xlfn.IMAGE("https://m.media-amazon.com/images/I/51dKUdOU1KL._AC_UL320_.jpg")</f>
        <v/>
      </c>
      <c r="K2797" t="inlineStr">
        <is>
          <t>15.0</t>
        </is>
      </c>
      <c r="L2797" t="n">
        <v>6.35</v>
      </c>
      <c r="M2797" s="1" t="inlineStr">
        <is>
          <t>-57.67%</t>
        </is>
      </c>
      <c r="N2797" t="n">
        <v>3.5</v>
      </c>
      <c r="O2797" t="n">
        <v>18</v>
      </c>
      <c r="Q2797" t="inlineStr">
        <is>
          <t>InStock</t>
        </is>
      </c>
      <c r="R2797" t="inlineStr">
        <is>
          <t>undefined</t>
        </is>
      </c>
      <c r="S2797" t="inlineStr">
        <is>
          <t>6814350573753</t>
        </is>
      </c>
    </row>
    <row r="2798" ht="75" customHeight="1">
      <c r="A2798" s="2">
        <f>HYPERLINK("https://camerareadycosmetics.com/products/nyx-hydra-touch-primer", "https://camerareadycosmetics.com/products/nyx-hydra-touch-primer")</f>
        <v/>
      </c>
      <c r="B2798" s="2">
        <f>HYPERLINK("https://camerareadycosmetics.com/products/nyx-hydra-touch-primer", "https://camerareadycosmetics.com/products/nyx-hydra-touch-primer")</f>
        <v/>
      </c>
      <c r="C2798" t="inlineStr">
        <is>
          <t>Hydra Touch Primer</t>
        </is>
      </c>
      <c r="D2798" t="inlineStr">
        <is>
          <t>Hydra Touch Primer Mini</t>
        </is>
      </c>
      <c r="E2798" s="2">
        <f>HYPERLINK("https://www.amazon.com/NYX-Professional-Makeup-Hydra-Primer/dp/B09R81TH9D/ref=sr_1_2?keywords=Hydra+Touch+Primer&amp;qid=1695565806&amp;sr=8-2", "https://www.amazon.com/NYX-Professional-Makeup-Hydra-Primer/dp/B09R81TH9D/ref=sr_1_2?keywords=Hydra+Touch+Primer&amp;qid=1695565806&amp;sr=8-2")</f>
        <v/>
      </c>
      <c r="F2798" t="inlineStr">
        <is>
          <t>B09R81TH9D</t>
        </is>
      </c>
      <c r="G2798">
        <f>_xlfn.IMAGE("https://camerareadycosmetics.com/cdn/shop/products/NYX-PMU-Makeup-Face-Primer-HYDRA-TOUCH-PRIMER-HTPR01-01-000-0800897005191-ClosedSwatch_20_1_50x.jpg?v=1625438616")</f>
        <v/>
      </c>
      <c r="H2798">
        <f>_xlfn.IMAGE("https://m.media-amazon.com/images/I/51dKUdOU1KL._AC_UL320_.jpg")</f>
        <v/>
      </c>
      <c r="K2798" t="inlineStr">
        <is>
          <t>15.0</t>
        </is>
      </c>
      <c r="L2798" t="n">
        <v>6.35</v>
      </c>
      <c r="M2798" s="1" t="inlineStr">
        <is>
          <t>-57.67%</t>
        </is>
      </c>
      <c r="N2798" t="n">
        <v>3.5</v>
      </c>
      <c r="O2798" t="n">
        <v>18</v>
      </c>
      <c r="Q2798" t="inlineStr">
        <is>
          <t>InStock</t>
        </is>
      </c>
      <c r="R2798" t="inlineStr">
        <is>
          <t>undefined</t>
        </is>
      </c>
      <c r="S2798" t="inlineStr">
        <is>
          <t>6814350573753</t>
        </is>
      </c>
    </row>
    <row r="2799" ht="75" customHeight="1">
      <c r="A2799" s="2">
        <f>HYPERLINK("https://camerareadycosmetics.com/products/nyx-jumbo-eye-pencil", "https://camerareadycosmetics.com/products/nyx-jumbo-eye-pencil")</f>
        <v/>
      </c>
      <c r="B2799" s="2">
        <f>HYPERLINK("https://camerareadycosmetics.com/products/nyx-jumbo-eye-pencil", "https://camerareadycosmetics.com/products/nyx-jumbo-eye-pencil")</f>
        <v/>
      </c>
      <c r="C2799" t="inlineStr">
        <is>
          <t>Jumbo Eye Pencil</t>
        </is>
      </c>
      <c r="D2799" t="inlineStr">
        <is>
          <t>Beauty Velvet Jumbo Eyeliner Pencil - Smokey Eyes in 3 Minutes - Water-Proof Smudge-Proof, Long-Lasting - Age-Defying Essential Oils - Seduction (Shade: Chocolate Brown) (Dark Chocolate Brown)</t>
        </is>
      </c>
      <c r="E2799" s="2">
        <f>HYPERLINK("https://www.amazon.com/Artisan-Luxe-Beauty-Velvet-Eyeliner/dp/B098TZDM57/ref=sr_1_10?keywords=Jumbo+Eye+Pencil&amp;qid=1695565433&amp;sr=8-10", "https://www.amazon.com/Artisan-Luxe-Beauty-Velvet-Eyeliner/dp/B098TZDM57/ref=sr_1_10?keywords=Jumbo+Eye+Pencil&amp;qid=1695565433&amp;sr=8-10")</f>
        <v/>
      </c>
      <c r="F2799" t="inlineStr">
        <is>
          <t>B098TZDM57</t>
        </is>
      </c>
      <c r="G2799">
        <f>_xlfn.IMAGE("https://camerareadycosmetics.com/cdn/shop/products/800897141158_jumboeyepencil_rockymountaingreen_main_50x.jpg?v=1694444542")</f>
        <v/>
      </c>
      <c r="H2799">
        <f>_xlfn.IMAGE("https://m.media-amazon.com/images/I/71mkp48kWUL._AC_UL320_.jpg")</f>
        <v/>
      </c>
      <c r="K2799" t="inlineStr">
        <is>
          <t>6.0</t>
        </is>
      </c>
      <c r="L2799" t="n">
        <v>19.99</v>
      </c>
      <c r="M2799" s="1" t="inlineStr">
        <is>
          <t>233.17%</t>
        </is>
      </c>
      <c r="N2799" t="n">
        <v>4.1</v>
      </c>
      <c r="O2799" t="n">
        <v>2822</v>
      </c>
      <c r="Q2799" t="inlineStr">
        <is>
          <t>InStock</t>
        </is>
      </c>
      <c r="R2799" t="inlineStr">
        <is>
          <t>undefined</t>
        </is>
      </c>
      <c r="S2799" t="inlineStr">
        <is>
          <t>10221988682</t>
        </is>
      </c>
    </row>
    <row r="2800" ht="75" customHeight="1">
      <c r="A2800" s="2">
        <f>HYPERLINK("https://camerareadycosmetics.com/products/nyx-jumbo-eye-pencil", "https://camerareadycosmetics.com/products/nyx-jumbo-eye-pencil")</f>
        <v/>
      </c>
      <c r="B2800" s="2">
        <f>HYPERLINK("https://camerareadycosmetics.com/products/nyx-jumbo-eye-pencil", "https://camerareadycosmetics.com/products/nyx-jumbo-eye-pencil")</f>
        <v/>
      </c>
      <c r="C2800" t="inlineStr">
        <is>
          <t>Jumbo Eye Pencil</t>
        </is>
      </c>
      <c r="D2800" t="inlineStr">
        <is>
          <t>2 NYX Jumbo Eye Pencil - Set (604,601)Milk,Black Bean</t>
        </is>
      </c>
      <c r="E2800" s="2">
        <f>HYPERLINK("https://www.amazon.com/NYX-Jumbo-Eye-Pencil-Black/dp/B009HMZG9C/ref=sr_1_7?keywords=Jumbo+Eye+Pencil&amp;qid=1695565433&amp;sr=8-7", "https://www.amazon.com/NYX-Jumbo-Eye-Pencil-Black/dp/B009HMZG9C/ref=sr_1_7?keywords=Jumbo+Eye+Pencil&amp;qid=1695565433&amp;sr=8-7")</f>
        <v/>
      </c>
      <c r="F2800" t="inlineStr">
        <is>
          <t>B009HMZG9C</t>
        </is>
      </c>
      <c r="G2800">
        <f>_xlfn.IMAGE("https://camerareadycosmetics.com/cdn/shop/products/800897141158_jumboeyepencil_rockymountaingreen_main_50x.jpg?v=1694444542")</f>
        <v/>
      </c>
      <c r="H2800">
        <f>_xlfn.IMAGE("https://m.media-amazon.com/images/I/51wOPtVucBL._AC_UL320_.jpg")</f>
        <v/>
      </c>
      <c r="K2800" t="inlineStr">
        <is>
          <t>6.0</t>
        </is>
      </c>
      <c r="L2800" t="n">
        <v>13.45</v>
      </c>
      <c r="M2800" s="1" t="inlineStr">
        <is>
          <t>124.17%</t>
        </is>
      </c>
      <c r="N2800" t="n">
        <v>4</v>
      </c>
      <c r="O2800" t="n">
        <v>193</v>
      </c>
      <c r="Q2800" t="inlineStr">
        <is>
          <t>InStock</t>
        </is>
      </c>
      <c r="R2800" t="inlineStr">
        <is>
          <t>undefined</t>
        </is>
      </c>
      <c r="S2800" t="inlineStr">
        <is>
          <t>10221988682</t>
        </is>
      </c>
    </row>
    <row r="2801" ht="75" customHeight="1">
      <c r="A2801" s="2">
        <f>HYPERLINK("https://camerareadycosmetics.com/products/nyx-jumbo-eye-pencil", "https://camerareadycosmetics.com/products/nyx-jumbo-eye-pencil")</f>
        <v/>
      </c>
      <c r="B2801" s="2">
        <f>HYPERLINK("https://camerareadycosmetics.com/products/nyx-jumbo-eye-pencil", "https://camerareadycosmetics.com/products/nyx-jumbo-eye-pencil")</f>
        <v/>
      </c>
      <c r="C2801" t="inlineStr">
        <is>
          <t>Jumbo Eye Pencil</t>
        </is>
      </c>
      <c r="D2801" t="inlineStr">
        <is>
          <t>Jumbo Glitter Eyeliner Pencils - 12 Metallic Colors Eyeliners &amp; Eyeshadow Pencil Set, Natural Long Lasting Hypoallergenic Eye Makeup</t>
        </is>
      </c>
      <c r="E2801" s="2">
        <f>HYPERLINK("https://www.amazon.com/Glitter-Eyeliner-Pencils-Eyeliners-Hypoallergenic/dp/B08XNLQ1TR/ref=sr_1_9?keywords=Jumbo+Eye+Pencil&amp;qid=1695565433&amp;sr=8-9", "https://www.amazon.com/Glitter-Eyeliner-Pencils-Eyeliners-Hypoallergenic/dp/B08XNLQ1TR/ref=sr_1_9?keywords=Jumbo+Eye+Pencil&amp;qid=1695565433&amp;sr=8-9")</f>
        <v/>
      </c>
      <c r="F2801" t="inlineStr">
        <is>
          <t>B08XNLQ1TR</t>
        </is>
      </c>
      <c r="G2801">
        <f>_xlfn.IMAGE("https://camerareadycosmetics.com/cdn/shop/products/800897141158_jumboeyepencil_rockymountaingreen_main_50x.jpg?v=1694444542")</f>
        <v/>
      </c>
      <c r="H2801">
        <f>_xlfn.IMAGE("https://m.media-amazon.com/images/I/61XoQg-MMeL._AC_UL320_.jpg")</f>
        <v/>
      </c>
      <c r="K2801" t="inlineStr">
        <is>
          <t>6.0</t>
        </is>
      </c>
      <c r="L2801" t="n">
        <v>8.44</v>
      </c>
      <c r="M2801" s="1" t="inlineStr">
        <is>
          <t>40.67%</t>
        </is>
      </c>
      <c r="N2801" t="n">
        <v>4.1</v>
      </c>
      <c r="O2801" t="n">
        <v>171</v>
      </c>
      <c r="Q2801" t="inlineStr">
        <is>
          <t>InStock</t>
        </is>
      </c>
      <c r="R2801" t="inlineStr">
        <is>
          <t>undefined</t>
        </is>
      </c>
      <c r="S2801" t="inlineStr">
        <is>
          <t>10221988682</t>
        </is>
      </c>
    </row>
    <row r="2802" ht="75" customHeight="1">
      <c r="A2802" s="2">
        <f>HYPERLINK("https://camerareadycosmetics.com/products/nyx-jumbo-eye-pencil", "https://camerareadycosmetics.com/products/nyx-jumbo-eye-pencil")</f>
        <v/>
      </c>
      <c r="B2802" s="2">
        <f>HYPERLINK("https://camerareadycosmetics.com/products/nyx-jumbo-eye-pencil", "https://camerareadycosmetics.com/products/nyx-jumbo-eye-pencil")</f>
        <v/>
      </c>
      <c r="C2802" t="inlineStr">
        <is>
          <t>Jumbo Eye Pencil</t>
        </is>
      </c>
      <c r="D2802" t="inlineStr">
        <is>
          <t>NYX PROFESSIONAL MAKEUP Jumbo Eye Pencil, Eyeshadow &amp; Eyeliner Pencil - Eggplant (Violet)</t>
        </is>
      </c>
      <c r="E2802" s="2">
        <f>HYPERLINK("https://www.amazon.com/NYX-Professional-Makeup-Pencil-Eggplant/dp/B002QI6KYE/ref=sr_1_4?keywords=Jumbo+Eye+Pencil&amp;qid=1695565433&amp;sr=8-4", "https://www.amazon.com/NYX-Professional-Makeup-Pencil-Eggplant/dp/B002QI6KYE/ref=sr_1_4?keywords=Jumbo+Eye+Pencil&amp;qid=1695565433&amp;sr=8-4")</f>
        <v/>
      </c>
      <c r="F2802" t="inlineStr">
        <is>
          <t>B002QI6KYE</t>
        </is>
      </c>
      <c r="G2802">
        <f>_xlfn.IMAGE("https://camerareadycosmetics.com/cdn/shop/products/800897141158_jumboeyepencil_rockymountaingreen_main_50x.jpg?v=1694444542")</f>
        <v/>
      </c>
      <c r="H2802">
        <f>_xlfn.IMAGE("https://m.media-amazon.com/images/I/71uvljGFDJL._AC_UL320_.jpg")</f>
        <v/>
      </c>
      <c r="K2802" t="inlineStr">
        <is>
          <t>6.0</t>
        </is>
      </c>
      <c r="L2802" t="n">
        <v>5.49</v>
      </c>
      <c r="M2802" s="1" t="inlineStr">
        <is>
          <t>-8.50%</t>
        </is>
      </c>
      <c r="N2802" t="n">
        <v>4.1</v>
      </c>
      <c r="O2802" t="n">
        <v>944</v>
      </c>
      <c r="Q2802" t="inlineStr">
        <is>
          <t>InStock</t>
        </is>
      </c>
      <c r="R2802" t="inlineStr">
        <is>
          <t>undefined</t>
        </is>
      </c>
      <c r="S2802" t="inlineStr">
        <is>
          <t>10221988682</t>
        </is>
      </c>
    </row>
    <row r="2803" ht="75" customHeight="1">
      <c r="A2803" s="2">
        <f>HYPERLINK("https://camerareadycosmetics.com/products/nyx-jumbo-eye-pencil", "https://camerareadycosmetics.com/products/nyx-jumbo-eye-pencil")</f>
        <v/>
      </c>
      <c r="B2803" s="2">
        <f>HYPERLINK("https://camerareadycosmetics.com/products/nyx-jumbo-eye-pencil", "https://camerareadycosmetics.com/products/nyx-jumbo-eye-pencil")</f>
        <v/>
      </c>
      <c r="C2803" t="inlineStr">
        <is>
          <t>Jumbo Eye Pencil</t>
        </is>
      </c>
      <c r="D2803" t="inlineStr">
        <is>
          <t>NYX PROFESSIONAL MAKEUP Jumbo Eye Pencil, Eyeshadow &amp; Eyeliner Pencil - Blueberry Pop (Blue)</t>
        </is>
      </c>
      <c r="E2803" s="2">
        <f>HYPERLINK("https://www.amazon.com/NYX-Cosmetics-Diamond-Sparkle-Lipgloss/dp/B002QI4SW0/ref=sr_1_3?keywords=Jumbo+Eye+Pencil&amp;qid=1695565433&amp;sr=8-3", "https://www.amazon.com/NYX-Cosmetics-Diamond-Sparkle-Lipgloss/dp/B002QI4SW0/ref=sr_1_3?keywords=Jumbo+Eye+Pencil&amp;qid=1695565433&amp;sr=8-3")</f>
        <v/>
      </c>
      <c r="F2803" t="inlineStr">
        <is>
          <t>B002QI4SW0</t>
        </is>
      </c>
      <c r="G2803">
        <f>_xlfn.IMAGE("https://camerareadycosmetics.com/cdn/shop/products/800897141158_jumboeyepencil_rockymountaingreen_main_50x.jpg?v=1694444542")</f>
        <v/>
      </c>
      <c r="H2803">
        <f>_xlfn.IMAGE("https://m.media-amazon.com/images/I/814w4nbrUxL._AC_UL320_.jpg")</f>
        <v/>
      </c>
      <c r="K2803" t="inlineStr">
        <is>
          <t>6.0</t>
        </is>
      </c>
      <c r="L2803" t="n">
        <v>5.49</v>
      </c>
      <c r="M2803" s="1" t="inlineStr">
        <is>
          <t>-8.50%</t>
        </is>
      </c>
      <c r="N2803" t="n">
        <v>4.1</v>
      </c>
      <c r="O2803" t="n">
        <v>889</v>
      </c>
      <c r="Q2803" t="inlineStr">
        <is>
          <t>InStock</t>
        </is>
      </c>
      <c r="R2803" t="inlineStr">
        <is>
          <t>undefined</t>
        </is>
      </c>
      <c r="S2803" t="inlineStr">
        <is>
          <t>10221988682</t>
        </is>
      </c>
    </row>
    <row r="2804" ht="75" customHeight="1">
      <c r="A2804" s="2">
        <f>HYPERLINK("https://camerareadycosmetics.com/products/nyx-jumbo-eye-pencil", "https://camerareadycosmetics.com/products/nyx-jumbo-eye-pencil")</f>
        <v/>
      </c>
      <c r="B2804" s="2">
        <f>HYPERLINK("https://camerareadycosmetics.com/products/nyx-jumbo-eye-pencil", "https://camerareadycosmetics.com/products/nyx-jumbo-eye-pencil")</f>
        <v/>
      </c>
      <c r="C2804" t="inlineStr">
        <is>
          <t>Jumbo Eye Pencil</t>
        </is>
      </c>
      <c r="D2804" t="inlineStr">
        <is>
          <t>NYX PROFESSIONAL MAKEUP Jumbo Eye Pencil, Eyeshadow &amp; Eyeliner Pencil - Milk</t>
        </is>
      </c>
      <c r="E2804" s="2">
        <f>HYPERLINK("https://www.amazon.com/NYX-PROFESSIONAL-MAKEUP-Jumbo-Pencil/dp/B001TK4LM8/ref=sr_1_1?keywords=Jumbo+Eye+Pencil&amp;qid=1695565433&amp;sr=8-1", "https://www.amazon.com/NYX-PROFESSIONAL-MAKEUP-Jumbo-Pencil/dp/B001TK4LM8/ref=sr_1_1?keywords=Jumbo+Eye+Pencil&amp;qid=1695565433&amp;sr=8-1")</f>
        <v/>
      </c>
      <c r="F2804" t="inlineStr">
        <is>
          <t>B001TK4LM8</t>
        </is>
      </c>
      <c r="G2804">
        <f>_xlfn.IMAGE("https://camerareadycosmetics.com/cdn/shop/products/800897141158_jumboeyepencil_rockymountaingreen_main_50x.jpg?v=1694444542")</f>
        <v/>
      </c>
      <c r="H2804">
        <f>_xlfn.IMAGE("https://m.media-amazon.com/images/I/61V2aPexbvL._AC_UL320_.jpg")</f>
        <v/>
      </c>
      <c r="K2804" t="inlineStr">
        <is>
          <t>6.0</t>
        </is>
      </c>
      <c r="L2804" t="n">
        <v>5.47</v>
      </c>
      <c r="M2804" s="1" t="inlineStr">
        <is>
          <t>-8.83%</t>
        </is>
      </c>
      <c r="N2804" t="n">
        <v>4.4</v>
      </c>
      <c r="O2804" t="n">
        <v>69779</v>
      </c>
      <c r="Q2804" t="inlineStr">
        <is>
          <t>InStock</t>
        </is>
      </c>
      <c r="R2804" t="inlineStr">
        <is>
          <t>undefined</t>
        </is>
      </c>
      <c r="S2804" t="inlineStr">
        <is>
          <t>10221988682</t>
        </is>
      </c>
    </row>
    <row r="2805" ht="75" customHeight="1">
      <c r="A2805" s="2">
        <f>HYPERLINK("https://camerareadycosmetics.com/products/nyx-jumbo-eye-pencil", "https://camerareadycosmetics.com/products/nyx-jumbo-eye-pencil")</f>
        <v/>
      </c>
      <c r="B2805" s="2">
        <f>HYPERLINK("https://camerareadycosmetics.com/products/nyx-jumbo-eye-pencil", "https://camerareadycosmetics.com/products/nyx-jumbo-eye-pencil")</f>
        <v/>
      </c>
      <c r="C2805" t="inlineStr">
        <is>
          <t>Jumbo Eye Pencil</t>
        </is>
      </c>
      <c r="D2805" t="inlineStr">
        <is>
          <t>NYX PROFESSIONAL MAKEUP Jumbo Eyeliner Pencil - Strawberry Milk (Pearly Pink)</t>
        </is>
      </c>
      <c r="E2805" s="2">
        <f>HYPERLINK("https://www.amazon.com/NYX-PROFESSIONAL-MAKEUP-Pencil-Strawberry/dp/B001TJXI6E/ref=sr_1_2?keywords=Jumbo+Eye+Pencil&amp;qid=1695565433&amp;sr=8-2", "https://www.amazon.com/NYX-PROFESSIONAL-MAKEUP-Pencil-Strawberry/dp/B001TJXI6E/ref=sr_1_2?keywords=Jumbo+Eye+Pencil&amp;qid=1695565433&amp;sr=8-2")</f>
        <v/>
      </c>
      <c r="F2805" t="inlineStr">
        <is>
          <t>B001TJXI6E</t>
        </is>
      </c>
      <c r="G2805">
        <f>_xlfn.IMAGE("https://camerareadycosmetics.com/cdn/shop/products/800897141158_jumboeyepencil_rockymountaingreen_main_50x.jpg?v=1694444542")</f>
        <v/>
      </c>
      <c r="H2805">
        <f>_xlfn.IMAGE("https://m.media-amazon.com/images/I/61Xh8BiyfoL._AC_UL320_.jpg")</f>
        <v/>
      </c>
      <c r="K2805" t="inlineStr">
        <is>
          <t>6.0</t>
        </is>
      </c>
      <c r="L2805" t="n">
        <v>4.99</v>
      </c>
      <c r="M2805" s="1" t="inlineStr">
        <is>
          <t>-16.83%</t>
        </is>
      </c>
      <c r="N2805" t="n">
        <v>4.3</v>
      </c>
      <c r="O2805" t="n">
        <v>4720</v>
      </c>
      <c r="Q2805" t="inlineStr">
        <is>
          <t>InStock</t>
        </is>
      </c>
      <c r="R2805" t="inlineStr">
        <is>
          <t>undefined</t>
        </is>
      </c>
      <c r="S2805" t="inlineStr">
        <is>
          <t>10221988682</t>
        </is>
      </c>
    </row>
    <row r="2806" ht="75" customHeight="1">
      <c r="A2806" s="2">
        <f>HYPERLINK("https://camerareadycosmetics.com/products/nyx-jumbo-eye-pencil", "https://camerareadycosmetics.com/products/nyx-jumbo-eye-pencil")</f>
        <v/>
      </c>
      <c r="B2806" s="2">
        <f>HYPERLINK("https://camerareadycosmetics.com/products/nyx-jumbo-eye-pencil", "https://camerareadycosmetics.com/products/nyx-jumbo-eye-pencil")</f>
        <v/>
      </c>
      <c r="C2806" t="inlineStr">
        <is>
          <t>Jumbo Eye Pencil</t>
        </is>
      </c>
      <c r="D2806" t="inlineStr">
        <is>
          <t>NYX PROFESSIONAL MAKEUP Jumbo Eye Pencil, Eyeshadow &amp; Eyeliner Pencil - Cashmere (Shimmery Champagne)</t>
        </is>
      </c>
      <c r="E2806" s="2">
        <f>HYPERLINK("https://www.amazon.com/NYX-PROFESSIONAL-MAKEUP-Pencil-Cashmere/dp/B007448IAE/ref=sr_1_5?keywords=Jumbo+Eye+Pencil&amp;qid=1695565433&amp;sr=8-5", "https://www.amazon.com/NYX-PROFESSIONAL-MAKEUP-Pencil-Cashmere/dp/B007448IAE/ref=sr_1_5?keywords=Jumbo+Eye+Pencil&amp;qid=1695565433&amp;sr=8-5")</f>
        <v/>
      </c>
      <c r="F2806" t="inlineStr">
        <is>
          <t>B007448IAE</t>
        </is>
      </c>
      <c r="G2806">
        <f>_xlfn.IMAGE("https://camerareadycosmetics.com/cdn/shop/products/800897141158_jumboeyepencil_rockymountaingreen_main_50x.jpg?v=1694444542")</f>
        <v/>
      </c>
      <c r="H2806">
        <f>_xlfn.IMAGE("https://m.media-amazon.com/images/I/61fMSNuUovL._AC_UL320_.jpg")</f>
        <v/>
      </c>
      <c r="K2806" t="inlineStr">
        <is>
          <t>6.0</t>
        </is>
      </c>
      <c r="L2806" t="n">
        <v>4.51</v>
      </c>
      <c r="M2806" s="1" t="inlineStr">
        <is>
          <t>-24.83%</t>
        </is>
      </c>
      <c r="N2806" t="n">
        <v>4.2</v>
      </c>
      <c r="O2806" t="n">
        <v>1979</v>
      </c>
      <c r="Q2806" t="inlineStr">
        <is>
          <t>InStock</t>
        </is>
      </c>
      <c r="R2806" t="inlineStr">
        <is>
          <t>undefined</t>
        </is>
      </c>
      <c r="S2806" t="inlineStr">
        <is>
          <t>10221988682</t>
        </is>
      </c>
    </row>
    <row r="2807" ht="75" customHeight="1">
      <c r="A2807" s="2">
        <f>HYPERLINK("https://camerareadycosmetics.com/products/nyx-makeup-setting-spray", "https://camerareadycosmetics.com/products/nyx-makeup-setting-spray")</f>
        <v/>
      </c>
      <c r="B2807" s="2">
        <f>HYPERLINK("https://camerareadycosmetics.com/products/nyx-makeup-setting-spray", "https://camerareadycosmetics.com/products/nyx-makeup-setting-spray")</f>
        <v/>
      </c>
      <c r="C2807" t="inlineStr">
        <is>
          <t>Makeup Setting Spray</t>
        </is>
      </c>
      <c r="D2807" t="inlineStr">
        <is>
          <t>MILK MAKEUP Mini Hydro Grip Dewy Long-Lasting Setting Spray 1.69 oz/ 50 mL</t>
        </is>
      </c>
      <c r="E2807" s="2">
        <f>HYPERLINK("https://www.amazon.com/MILK-Makeup-Hydro-Refresh-Spray/dp/B0BG86LBV4/ref=sr_1_10?keywords=Makeup+Setting+Spray&amp;qid=1695565446&amp;sr=8-10", "https://www.amazon.com/MILK-Makeup-Hydro-Refresh-Spray/dp/B0BG86LBV4/ref=sr_1_10?keywords=Makeup+Setting+Spray&amp;qid=1695565446&amp;sr=8-10")</f>
        <v/>
      </c>
      <c r="F2807" t="inlineStr">
        <is>
          <t>B0BG86LBV4</t>
        </is>
      </c>
      <c r="G2807">
        <f>_xlfn.IMAGE("https://camerareadycosmetics.com/cdn/shop/products/800897813727_makeupsettingspray_dewy_main_50x.jpg?v=1523557946")</f>
        <v/>
      </c>
      <c r="H2807">
        <f>_xlfn.IMAGE("https://m.media-amazon.com/images/I/61QtJ67+IhL._AC_UL320_.jpg")</f>
        <v/>
      </c>
      <c r="K2807" t="inlineStr">
        <is>
          <t>10.0</t>
        </is>
      </c>
      <c r="L2807" t="n">
        <v>23.99</v>
      </c>
      <c r="M2807" s="1" t="inlineStr">
        <is>
          <t>139.90%</t>
        </is>
      </c>
      <c r="N2807" t="n">
        <v>4.6</v>
      </c>
      <c r="O2807" t="n">
        <v>253</v>
      </c>
      <c r="Q2807" t="inlineStr">
        <is>
          <t>InStock</t>
        </is>
      </c>
      <c r="R2807" t="inlineStr">
        <is>
          <t>undefined</t>
        </is>
      </c>
      <c r="S2807" t="inlineStr">
        <is>
          <t>7050052999</t>
        </is>
      </c>
    </row>
    <row r="2808" ht="75" customHeight="1">
      <c r="A2808" s="2">
        <f>HYPERLINK("https://camerareadycosmetics.com/products/nyx-makeup-setting-spray", "https://camerareadycosmetics.com/products/nyx-makeup-setting-spray")</f>
        <v/>
      </c>
      <c r="B2808" s="2">
        <f>HYPERLINK("https://camerareadycosmetics.com/products/nyx-makeup-setting-spray", "https://camerareadycosmetics.com/products/nyx-makeup-setting-spray")</f>
        <v/>
      </c>
      <c r="C2808" t="inlineStr">
        <is>
          <t>Makeup Setting Spray</t>
        </is>
      </c>
      <c r="D2808" t="inlineStr">
        <is>
          <t>Milani Make It Last Dewy - Dewy Finish Setting Spray - 3 in 1- Hydrate + Illuminate + Set, Makeup Finishing Spray - Makeup Primer &amp; Hydrating Setting Spray - 2 Pack</t>
        </is>
      </c>
      <c r="E2808" s="2">
        <f>HYPERLINK("https://www.amazon.com/Milani-Make-Last-Illuminate-Finishing/dp/B0BN4QGWDH/ref=sr_1_9?keywords=Makeup+Setting+Spray&amp;qid=1695565446&amp;sr=8-9", "https://www.amazon.com/Milani-Make-Last-Illuminate-Finishing/dp/B0BN4QGWDH/ref=sr_1_9?keywords=Makeup+Setting+Spray&amp;qid=1695565446&amp;sr=8-9")</f>
        <v/>
      </c>
      <c r="F2808" t="inlineStr">
        <is>
          <t>B0BN4QGWDH</t>
        </is>
      </c>
      <c r="G2808">
        <f>_xlfn.IMAGE("https://camerareadycosmetics.com/cdn/shop/products/800897813727_makeupsettingspray_dewy_main_50x.jpg?v=1523557946")</f>
        <v/>
      </c>
      <c r="H2808">
        <f>_xlfn.IMAGE("https://m.media-amazon.com/images/I/61GBpf03dXL._AC_UL320_.jpg")</f>
        <v/>
      </c>
      <c r="K2808" t="inlineStr">
        <is>
          <t>10.0</t>
        </is>
      </c>
      <c r="L2808" t="n">
        <v>18.69</v>
      </c>
      <c r="M2808" s="1" t="inlineStr">
        <is>
          <t>86.90%</t>
        </is>
      </c>
      <c r="N2808" t="n">
        <v>4.4</v>
      </c>
      <c r="O2808" t="n">
        <v>42009</v>
      </c>
      <c r="Q2808" t="inlineStr">
        <is>
          <t>InStock</t>
        </is>
      </c>
      <c r="R2808" t="inlineStr">
        <is>
          <t>undefined</t>
        </is>
      </c>
      <c r="S2808" t="inlineStr">
        <is>
          <t>7050052999</t>
        </is>
      </c>
    </row>
    <row r="2809" ht="75" customHeight="1">
      <c r="A2809" s="2">
        <f>HYPERLINK("https://camerareadycosmetics.com/products/nyx-makeup-setting-spray", "https://camerareadycosmetics.com/products/nyx-makeup-setting-spray")</f>
        <v/>
      </c>
      <c r="B2809" s="2">
        <f>HYPERLINK("https://camerareadycosmetics.com/products/nyx-makeup-setting-spray", "https://camerareadycosmetics.com/products/nyx-makeup-setting-spray")</f>
        <v/>
      </c>
      <c r="C2809" t="inlineStr">
        <is>
          <t>Makeup Setting Spray</t>
        </is>
      </c>
      <c r="D2809" t="inlineStr">
        <is>
          <t>Neutrogena Healthy Skin Radiant Makeup Setting Spray, Long-Lasting, Formulated with Antioxidants &amp; Peptides Weightless Face Setting Mist for Healthy Looking, Glowing Skin, 3.4 fl. oz</t>
        </is>
      </c>
      <c r="E2809" s="2">
        <f>HYPERLINK("https://www.amazon.com/Neutrogena-Long-Lasting-Formulated-Antioxidants-Weightless/dp/B0814RK9SF/ref=sr_1_6?keywords=Makeup+Setting+Spray&amp;qid=1695565446&amp;sr=8-6", "https://www.amazon.com/Neutrogena-Long-Lasting-Formulated-Antioxidants-Weightless/dp/B0814RK9SF/ref=sr_1_6?keywords=Makeup+Setting+Spray&amp;qid=1695565446&amp;sr=8-6")</f>
        <v/>
      </c>
      <c r="F2809" t="inlineStr">
        <is>
          <t>B0814RK9SF</t>
        </is>
      </c>
      <c r="G2809">
        <f>_xlfn.IMAGE("https://camerareadycosmetics.com/cdn/shop/products/800897813727_makeupsettingspray_dewy_main_50x.jpg?v=1523557946")</f>
        <v/>
      </c>
      <c r="H2809">
        <f>_xlfn.IMAGE("https://m.media-amazon.com/images/I/61yk0TlYXEL._AC_UL320_.jpg")</f>
        <v/>
      </c>
      <c r="K2809" t="inlineStr">
        <is>
          <t>10.0</t>
        </is>
      </c>
      <c r="L2809" t="n">
        <v>12.97</v>
      </c>
      <c r="M2809" s="1" t="inlineStr">
        <is>
          <t>29.70%</t>
        </is>
      </c>
      <c r="N2809" t="n">
        <v>4.4</v>
      </c>
      <c r="O2809" t="n">
        <v>2335</v>
      </c>
      <c r="Q2809" t="inlineStr">
        <is>
          <t>InStock</t>
        </is>
      </c>
      <c r="R2809" t="inlineStr">
        <is>
          <t>undefined</t>
        </is>
      </c>
      <c r="S2809" t="inlineStr">
        <is>
          <t>7050052999</t>
        </is>
      </c>
    </row>
    <row r="2810" ht="75" customHeight="1">
      <c r="A2810" s="2">
        <f>HYPERLINK("https://camerareadycosmetics.com/products/nyx-makeup-setting-spray", "https://camerareadycosmetics.com/products/nyx-makeup-setting-spray")</f>
        <v/>
      </c>
      <c r="B2810" s="2">
        <f>HYPERLINK("https://camerareadycosmetics.com/products/nyx-makeup-setting-spray", "https://camerareadycosmetics.com/products/nyx-makeup-setting-spray")</f>
        <v/>
      </c>
      <c r="C2810" t="inlineStr">
        <is>
          <t>Makeup Setting Spray</t>
        </is>
      </c>
      <c r="D2810" t="inlineStr">
        <is>
          <t>L’Oréal Paris Makeup Infallible Pro-Spray and Set Makeup Extender Setting Spray, 3.4 Ounce</t>
        </is>
      </c>
      <c r="E2810" s="2">
        <f>HYPERLINK("https://www.amazon.com/LOreal-Paris-Infallible-Pro-Spray-Extender/dp/B00OAINK14/ref=sr_1_8?keywords=Makeup+Setting+Spray&amp;qid=1695565446&amp;sr=8-8", "https://www.amazon.com/LOreal-Paris-Infallible-Pro-Spray-Extender/dp/B00OAINK14/ref=sr_1_8?keywords=Makeup+Setting+Spray&amp;qid=1695565446&amp;sr=8-8")</f>
        <v/>
      </c>
      <c r="F2810" t="inlineStr">
        <is>
          <t>B00OAINK14</t>
        </is>
      </c>
      <c r="G2810">
        <f>_xlfn.IMAGE("https://camerareadycosmetics.com/cdn/shop/products/800897813727_makeupsettingspray_dewy_main_50x.jpg?v=1523557946")</f>
        <v/>
      </c>
      <c r="H2810">
        <f>_xlfn.IMAGE("https://m.media-amazon.com/images/I/513P-U0ZohL._AC_UL320_.jpg")</f>
        <v/>
      </c>
      <c r="K2810" t="inlineStr">
        <is>
          <t>10.0</t>
        </is>
      </c>
      <c r="L2810" t="n">
        <v>10.72</v>
      </c>
      <c r="M2810" s="1" t="inlineStr">
        <is>
          <t>7.20%</t>
        </is>
      </c>
      <c r="N2810" t="n">
        <v>4.5</v>
      </c>
      <c r="O2810" t="n">
        <v>4837</v>
      </c>
      <c r="Q2810" t="inlineStr">
        <is>
          <t>InStock</t>
        </is>
      </c>
      <c r="R2810" t="inlineStr">
        <is>
          <t>undefined</t>
        </is>
      </c>
      <c r="S2810" t="inlineStr">
        <is>
          <t>7050052999</t>
        </is>
      </c>
    </row>
    <row r="2811" ht="75" customHeight="1">
      <c r="A2811" s="2">
        <f>HYPERLINK("https://camerareadycosmetics.com/products/nyx-makeup-setting-spray", "https://camerareadycosmetics.com/products/nyx-makeup-setting-spray")</f>
        <v/>
      </c>
      <c r="B2811" s="2">
        <f>HYPERLINK("https://camerareadycosmetics.com/products/nyx-makeup-setting-spray", "https://camerareadycosmetics.com/products/nyx-makeup-setting-spray")</f>
        <v/>
      </c>
      <c r="C2811" t="inlineStr">
        <is>
          <t>Makeup Setting Spray</t>
        </is>
      </c>
      <c r="D2811" t="inlineStr">
        <is>
          <t>e.l.f. Stay All Night Micro-Fine Setting Mist, Hydrating &amp; Refreshing Makeup Setting Spray For 16HR Wear-time, Vegan &amp; Cruelty-Free, 2.7 Fl Oz</t>
        </is>
      </c>
      <c r="E2811" s="2">
        <f>HYPERLINK("https://www.amazon.com/l-f-Night-Micro-Fine-Setting-hours/dp/B08JC4ZJSP/ref=sr_1_7?keywords=Makeup+Setting+Spray&amp;qid=1695565446&amp;sr=8-7", "https://www.amazon.com/l-f-Night-Micro-Fine-Setting-hours/dp/B08JC4ZJSP/ref=sr_1_7?keywords=Makeup+Setting+Spray&amp;qid=1695565446&amp;sr=8-7")</f>
        <v/>
      </c>
      <c r="F2811" t="inlineStr">
        <is>
          <t>B08JC4ZJSP</t>
        </is>
      </c>
      <c r="G2811">
        <f>_xlfn.IMAGE("https://camerareadycosmetics.com/cdn/shop/products/800897813727_makeupsettingspray_dewy_main_50x.jpg?v=1523557946")</f>
        <v/>
      </c>
      <c r="H2811">
        <f>_xlfn.IMAGE("https://m.media-amazon.com/images/I/61cYXIQlbDL._AC_UL320_.jpg")</f>
        <v/>
      </c>
      <c r="K2811" t="inlineStr">
        <is>
          <t>10.0</t>
        </is>
      </c>
      <c r="L2811" t="n">
        <v>10</v>
      </c>
      <c r="M2811" s="1" t="inlineStr">
        <is>
          <t>0.00%</t>
        </is>
      </c>
      <c r="N2811" t="n">
        <v>4.6</v>
      </c>
      <c r="O2811" t="n">
        <v>4743</v>
      </c>
      <c r="Q2811" t="inlineStr">
        <is>
          <t>InStock</t>
        </is>
      </c>
      <c r="R2811" t="inlineStr">
        <is>
          <t>undefined</t>
        </is>
      </c>
      <c r="S2811" t="inlineStr">
        <is>
          <t>7050052999</t>
        </is>
      </c>
    </row>
    <row r="2812" ht="75" customHeight="1">
      <c r="A2812" s="2">
        <f>HYPERLINK("https://camerareadycosmetics.com/products/nyx-makeup-setting-spray", "https://camerareadycosmetics.com/products/nyx-makeup-setting-spray")</f>
        <v/>
      </c>
      <c r="B2812" s="2">
        <f>HYPERLINK("https://camerareadycosmetics.com/products/nyx-makeup-setting-spray", "https://camerareadycosmetics.com/products/nyx-makeup-setting-spray")</f>
        <v/>
      </c>
      <c r="C2812" t="inlineStr">
        <is>
          <t>Makeup Setting Spray</t>
        </is>
      </c>
      <c r="D2812" t="inlineStr">
        <is>
          <t>NYX PROFESSIONAL MAKEUP Bare With Me Multitasking Primer &amp; Setting Spray</t>
        </is>
      </c>
      <c r="E2812" s="2">
        <f>HYPERLINK("https://www.amazon.com/NYX-Prime-Refresh-Spray-Ounce/dp/B07SB2LG6S/ref=sr_1_4?keywords=Makeup+Setting+Spray&amp;qid=1695565446&amp;sr=8-4", "https://www.amazon.com/NYX-Prime-Refresh-Spray-Ounce/dp/B07SB2LG6S/ref=sr_1_4?keywords=Makeup+Setting+Spray&amp;qid=1695565446&amp;sr=8-4")</f>
        <v/>
      </c>
      <c r="F2812" t="inlineStr">
        <is>
          <t>B07SB2LG6S</t>
        </is>
      </c>
      <c r="G2812">
        <f>_xlfn.IMAGE("https://camerareadycosmetics.com/cdn/shop/products/800897813727_makeupsettingspray_dewy_main_50x.jpg?v=1523557946")</f>
        <v/>
      </c>
      <c r="H2812">
        <f>_xlfn.IMAGE("https://m.media-amazon.com/images/I/61c5qo76ATL._AC_UL320_.jpg")</f>
        <v/>
      </c>
      <c r="K2812" t="inlineStr">
        <is>
          <t>10.0</t>
        </is>
      </c>
      <c r="L2812" t="n">
        <v>8.529999999999999</v>
      </c>
      <c r="M2812" s="1" t="inlineStr">
        <is>
          <t>-14.70%</t>
        </is>
      </c>
      <c r="N2812" t="n">
        <v>4.5</v>
      </c>
      <c r="O2812" t="n">
        <v>3885</v>
      </c>
      <c r="Q2812" t="inlineStr">
        <is>
          <t>InStock</t>
        </is>
      </c>
      <c r="R2812" t="inlineStr">
        <is>
          <t>undefined</t>
        </is>
      </c>
      <c r="S2812" t="inlineStr">
        <is>
          <t>7050052999</t>
        </is>
      </c>
    </row>
    <row r="2813" ht="75" customHeight="1">
      <c r="A2813" s="2">
        <f>HYPERLINK("https://camerareadycosmetics.com/products/nyx-makeup-setting-spray", "https://camerareadycosmetics.com/products/nyx-makeup-setting-spray")</f>
        <v/>
      </c>
      <c r="B2813" s="2">
        <f>HYPERLINK("https://camerareadycosmetics.com/products/nyx-makeup-setting-spray", "https://camerareadycosmetics.com/products/nyx-makeup-setting-spray")</f>
        <v/>
      </c>
      <c r="C2813" t="inlineStr">
        <is>
          <t>Makeup Setting Spray</t>
        </is>
      </c>
      <c r="D2813" t="inlineStr">
        <is>
          <t>Maybelline New York Facestudio Lasting Fix Makeup Setting Spray, Matte Finish, 3.4 fl. oz.</t>
        </is>
      </c>
      <c r="E2813" s="2">
        <f>HYPERLINK("https://www.amazon.com/Maybelline-New-York-Facestudio-Lasting/dp/B07PGQDBWG/ref=sr_1_3?keywords=Makeup+Setting+Spray&amp;qid=1695565446&amp;sr=8-3", "https://www.amazon.com/Maybelline-New-York-Facestudio-Lasting/dp/B07PGQDBWG/ref=sr_1_3?keywords=Makeup+Setting+Spray&amp;qid=1695565446&amp;sr=8-3")</f>
        <v/>
      </c>
      <c r="F2813" t="inlineStr">
        <is>
          <t>B07PGQDBWG</t>
        </is>
      </c>
      <c r="G2813">
        <f>_xlfn.IMAGE("https://camerareadycosmetics.com/cdn/shop/products/800897813727_makeupsettingspray_dewy_main_50x.jpg?v=1523557946")</f>
        <v/>
      </c>
      <c r="H2813">
        <f>_xlfn.IMAGE("https://m.media-amazon.com/images/I/71ZrDrXdybL._AC_UL320_.jpg")</f>
        <v/>
      </c>
      <c r="K2813" t="inlineStr">
        <is>
          <t>10.0</t>
        </is>
      </c>
      <c r="L2813" t="n">
        <v>7.94</v>
      </c>
      <c r="M2813" s="1" t="inlineStr">
        <is>
          <t>-20.60%</t>
        </is>
      </c>
      <c r="N2813" t="n">
        <v>4.4</v>
      </c>
      <c r="O2813" t="n">
        <v>10604</v>
      </c>
      <c r="Q2813" t="inlineStr">
        <is>
          <t>InStock</t>
        </is>
      </c>
      <c r="R2813" t="inlineStr">
        <is>
          <t>undefined</t>
        </is>
      </c>
      <c r="S2813" t="inlineStr">
        <is>
          <t>7050052999</t>
        </is>
      </c>
    </row>
    <row r="2814" ht="75" customHeight="1">
      <c r="A2814" s="2">
        <f>HYPERLINK("https://camerareadycosmetics.com/products/nyx-makeup-setting-spray", "https://camerareadycosmetics.com/products/nyx-makeup-setting-spray")</f>
        <v/>
      </c>
      <c r="B2814" s="2">
        <f>HYPERLINK("https://camerareadycosmetics.com/products/nyx-makeup-setting-spray", "https://camerareadycosmetics.com/products/nyx-makeup-setting-spray")</f>
        <v/>
      </c>
      <c r="C2814" t="inlineStr">
        <is>
          <t>Makeup Setting Spray</t>
        </is>
      </c>
      <c r="D2814" t="inlineStr">
        <is>
          <t>NYX PROFESSIONAL MAKEUP Makeup Setting Spray, Matte Finish, 2.03 Fl Oz (Pack of 1)</t>
        </is>
      </c>
      <c r="E2814" s="2">
        <f>HYPERLINK("https://www.amazon.com/NYX-Professional-Makeup-Setting-Lasting/dp/B00B4YVU4G/ref=sr_1_5?keywords=Makeup+Setting+Spray&amp;qid=1695565446&amp;sr=8-5", "https://www.amazon.com/NYX-Professional-Makeup-Setting-Lasting/dp/B00B4YVU4G/ref=sr_1_5?keywords=Makeup+Setting+Spray&amp;qid=1695565446&amp;sr=8-5")</f>
        <v/>
      </c>
      <c r="F2814" t="inlineStr">
        <is>
          <t>B00B4YVU4G</t>
        </is>
      </c>
      <c r="G2814">
        <f>_xlfn.IMAGE("https://camerareadycosmetics.com/cdn/shop/products/800897813727_makeupsettingspray_dewy_main_50x.jpg?v=1523557946")</f>
        <v/>
      </c>
      <c r="H2814">
        <f>_xlfn.IMAGE("https://m.media-amazon.com/images/I/71UFdYoCJ3L._AC_UL320_.jpg")</f>
        <v/>
      </c>
      <c r="K2814" t="inlineStr">
        <is>
          <t>10.0</t>
        </is>
      </c>
      <c r="L2814" t="n">
        <v>7.84</v>
      </c>
      <c r="M2814" s="1" t="inlineStr">
        <is>
          <t>-21.60%</t>
        </is>
      </c>
      <c r="N2814" t="n">
        <v>4.5</v>
      </c>
      <c r="O2814" t="n">
        <v>101187</v>
      </c>
      <c r="Q2814" t="inlineStr">
        <is>
          <t>InStock</t>
        </is>
      </c>
      <c r="R2814" t="inlineStr">
        <is>
          <t>undefined</t>
        </is>
      </c>
      <c r="S2814" t="inlineStr">
        <is>
          <t>7050052999</t>
        </is>
      </c>
    </row>
    <row r="2815" ht="75" customHeight="1">
      <c r="A2815" s="2">
        <f>HYPERLINK("https://camerareadycosmetics.com/products/nyx-marshmellow-smoothing-primer", "https://camerareadycosmetics.com/products/nyx-marshmellow-smoothing-primer")</f>
        <v/>
      </c>
      <c r="B2815" s="2">
        <f>HYPERLINK("https://camerareadycosmetics.com/products/nyx-marshmellow-smoothing-primer", "https://camerareadycosmetics.com/products/nyx-marshmellow-smoothing-primer")</f>
        <v/>
      </c>
      <c r="C2815" t="inlineStr">
        <is>
          <t>Marshmellow Smoothing Primer</t>
        </is>
      </c>
      <c r="D2815" t="inlineStr">
        <is>
          <t>NYX PROFESSIONAL MAKEUP Marshmellow Smoothing Primer + Blender Sponge (2-Pack Bundle)</t>
        </is>
      </c>
      <c r="E2815" s="2">
        <f>HYPERLINK("https://www.amazon.com/NYX-PROFESSIONAL-MAKEUP-Marshmellow-Smoothing/dp/B0B5BZH2Y5/ref=sr_1_2?keywords=marshmallow+smoothing+primer&amp;qid=1695565678&amp;sr=8-2", "https://www.amazon.com/NYX-PROFESSIONAL-MAKEUP-Marshmellow-Smoothing/dp/B0B5BZH2Y5/ref=sr_1_2?keywords=marshmallow+smoothing+primer&amp;qid=1695565678&amp;sr=8-2")</f>
        <v/>
      </c>
      <c r="F2815" t="inlineStr">
        <is>
          <t>B0B5BZH2Y5</t>
        </is>
      </c>
      <c r="G2815">
        <f>_xlfn.IMAGE("https://camerareadycosmetics.com/cdn/shop/products/NYX-Makeup-Face-Primer-THE-MARSHMELLOW-PRIMER-MMP01-0800897005078-OpenSwatch_50x.jpg?v=1611766314")</f>
        <v/>
      </c>
      <c r="H2815">
        <f>_xlfn.IMAGE("https://m.media-amazon.com/images/I/71JOJhgzPSL._AC_UL320_.jpg")</f>
        <v/>
      </c>
      <c r="K2815" t="inlineStr">
        <is>
          <t>17.0</t>
        </is>
      </c>
      <c r="L2815" t="n">
        <v>21.21</v>
      </c>
      <c r="M2815" s="1" t="inlineStr">
        <is>
          <t>24.76%</t>
        </is>
      </c>
      <c r="N2815" t="n">
        <v>4.4</v>
      </c>
      <c r="O2815" t="n">
        <v>433</v>
      </c>
      <c r="Q2815" t="inlineStr">
        <is>
          <t>InStock</t>
        </is>
      </c>
      <c r="R2815" t="inlineStr">
        <is>
          <t>undefined</t>
        </is>
      </c>
      <c r="S2815" t="inlineStr">
        <is>
          <t>6262499082425</t>
        </is>
      </c>
    </row>
    <row r="2816" ht="75" customHeight="1">
      <c r="A2816" s="2">
        <f>HYPERLINK("https://camerareadycosmetics.com/products/nyx-marshmellow-smoothing-primer", "https://camerareadycosmetics.com/products/nyx-marshmellow-smoothing-primer")</f>
        <v/>
      </c>
      <c r="B2816" s="2">
        <f>HYPERLINK("https://camerareadycosmetics.com/products/nyx-marshmellow-smoothing-primer", "https://camerareadycosmetics.com/products/nyx-marshmellow-smoothing-primer")</f>
        <v/>
      </c>
      <c r="C2816" t="inlineStr">
        <is>
          <t>Marshmellow Smoothing Primer</t>
        </is>
      </c>
      <c r="D2816" t="inlineStr">
        <is>
          <t>NYX PROFESSIONAL MAKEUP Marshmellow Smoothing Primer, Vegan Face Primer, 10-In-1 Skin Benefits</t>
        </is>
      </c>
      <c r="E2816" s="2">
        <f>HYPERLINK("https://www.amazon.com/NYX-PROFESSIONAL-MAKEUP-Marshmellow-Smoothing/dp/B08MRHLJ53/ref=sr_1_1?keywords=marshmallow+smoothing+primer&amp;qid=1695565678&amp;sr=8-1", "https://www.amazon.com/NYX-PROFESSIONAL-MAKEUP-Marshmellow-Smoothing/dp/B08MRHLJ53/ref=sr_1_1?keywords=marshmallow+smoothing+primer&amp;qid=1695565678&amp;sr=8-1")</f>
        <v/>
      </c>
      <c r="F2816" t="inlineStr">
        <is>
          <t>B08MRHLJ53</t>
        </is>
      </c>
      <c r="G2816">
        <f>_xlfn.IMAGE("https://camerareadycosmetics.com/cdn/shop/products/NYX-Makeup-Face-Primer-THE-MARSHMELLOW-PRIMER-MMP01-0800897005078-OpenSwatch_50x.jpg?v=1611766314")</f>
        <v/>
      </c>
      <c r="H2816">
        <f>_xlfn.IMAGE("https://m.media-amazon.com/images/I/71vKum0NgQL._AC_UL320_.jpg")</f>
        <v/>
      </c>
      <c r="K2816" t="inlineStr">
        <is>
          <t>17.0</t>
        </is>
      </c>
      <c r="L2816" t="n">
        <v>12.69</v>
      </c>
      <c r="M2816" s="1" t="inlineStr">
        <is>
          <t>-25.35%</t>
        </is>
      </c>
      <c r="N2816" t="n">
        <v>4.4</v>
      </c>
      <c r="O2816" t="n">
        <v>8119</v>
      </c>
      <c r="Q2816" t="inlineStr">
        <is>
          <t>InStock</t>
        </is>
      </c>
      <c r="R2816" t="inlineStr">
        <is>
          <t>undefined</t>
        </is>
      </c>
      <c r="S2816" t="inlineStr">
        <is>
          <t>6262499082425</t>
        </is>
      </c>
    </row>
    <row r="2817" ht="75" customHeight="1">
      <c r="A2817" s="2">
        <f>HYPERLINK("https://camerareadycosmetics.com/products/nyx-micro-brow-pencil", "https://camerareadycosmetics.com/products/nyx-micro-brow-pencil")</f>
        <v/>
      </c>
      <c r="B2817" s="2">
        <f>HYPERLINK("https://camerareadycosmetics.com/products/nyx-micro-brow-pencil", "https://camerareadycosmetics.com/products/nyx-micro-brow-pencil")</f>
        <v/>
      </c>
      <c r="C2817" t="inlineStr">
        <is>
          <t>Micro Brow Pencil</t>
        </is>
      </c>
      <c r="D2817" t="inlineStr">
        <is>
          <t>Eyebrow Microblading Pen, Eyebrow Pencil with an Upgrade Micro-Fork Tip Applicator, Waterproof Long-Lasting Microblading Pencil for Eyebrows, Microblading Pen for Natural Looking Brows Makeup</t>
        </is>
      </c>
      <c r="E2817" s="2">
        <f>HYPERLINK("https://www.amazon.com/Microblading-Micro-Fork-Applicator-Waterproof-Long-Lasting/dp/B0CH57FFB4/ref=sr_1_9?keywords=Micro+Brow+Pencil&amp;qid=1695565423&amp;sr=8-9", "https://www.amazon.com/Microblading-Micro-Fork-Applicator-Waterproof-Long-Lasting/dp/B0CH57FFB4/ref=sr_1_9?keywords=Micro+Brow+Pencil&amp;qid=1695565423&amp;sr=8-9")</f>
        <v/>
      </c>
      <c r="F2817" t="inlineStr">
        <is>
          <t>B0CH57FFB4</t>
        </is>
      </c>
      <c r="G2817">
        <f>_xlfn.IMAGE("https://camerareadycosmetics.com/cdn/shop/products/microbrowpencil_main_1_50x.jpg?v=1689657707")</f>
        <v/>
      </c>
      <c r="H2817">
        <f>_xlfn.IMAGE("https://m.media-amazon.com/images/I/711naKYNEYL._AC_UL320_.jpg")</f>
        <v/>
      </c>
      <c r="K2817" t="inlineStr">
        <is>
          <t>11.0</t>
        </is>
      </c>
      <c r="L2817" t="n">
        <v>9.99</v>
      </c>
      <c r="M2817" s="1" t="inlineStr">
        <is>
          <t>-9.18%</t>
        </is>
      </c>
      <c r="N2817" t="n">
        <v>4.8</v>
      </c>
      <c r="O2817" t="n">
        <v>1525</v>
      </c>
      <c r="Q2817" t="inlineStr">
        <is>
          <t>InStock</t>
        </is>
      </c>
      <c r="R2817" t="inlineStr">
        <is>
          <t>undefined</t>
        </is>
      </c>
      <c r="S2817" t="inlineStr">
        <is>
          <t>7050025479</t>
        </is>
      </c>
    </row>
    <row r="2818" ht="75" customHeight="1">
      <c r="A2818" s="2">
        <f>HYPERLINK("https://camerareadycosmetics.com/products/nyx-micro-brow-pencil", "https://camerareadycosmetics.com/products/nyx-micro-brow-pencil")</f>
        <v/>
      </c>
      <c r="B2818" s="2">
        <f>HYPERLINK("https://camerareadycosmetics.com/products/nyx-micro-brow-pencil", "https://camerareadycosmetics.com/products/nyx-micro-brow-pencil")</f>
        <v/>
      </c>
      <c r="C2818" t="inlineStr">
        <is>
          <t>Micro Brow Pencil</t>
        </is>
      </c>
      <c r="D2818" t="inlineStr">
        <is>
          <t>NYX PROFESSIONAL MAKEUP Micro Brow Pencil, Eyebrow Pencil, Espresso, 1 Count</t>
        </is>
      </c>
      <c r="E2818" s="2">
        <f>HYPERLINK("https://www.amazon.com/NYX-PROFESSIONAL-MAKEUP-Eyebrow-Espresso/dp/B00WZQTCS8/ref=sr_1_5?keywords=Micro+Brow+Pencil&amp;qid=1695565423&amp;sr=8-5", "https://www.amazon.com/NYX-PROFESSIONAL-MAKEUP-Eyebrow-Espresso/dp/B00WZQTCS8/ref=sr_1_5?keywords=Micro+Brow+Pencil&amp;qid=1695565423&amp;sr=8-5")</f>
        <v/>
      </c>
      <c r="F2818" t="inlineStr">
        <is>
          <t>B00WZQTCS8</t>
        </is>
      </c>
      <c r="G2818">
        <f>_xlfn.IMAGE("https://camerareadycosmetics.com/cdn/shop/products/microbrowpencil_main_1_50x.jpg?v=1689657707")</f>
        <v/>
      </c>
      <c r="H2818">
        <f>_xlfn.IMAGE("https://m.media-amazon.com/images/I/51Qz+Qy9ciL._AC_UL320_.jpg")</f>
        <v/>
      </c>
      <c r="K2818" t="inlineStr">
        <is>
          <t>11.0</t>
        </is>
      </c>
      <c r="L2818" t="n">
        <v>8.9</v>
      </c>
      <c r="M2818" s="1" t="inlineStr">
        <is>
          <t>-19.09%</t>
        </is>
      </c>
      <c r="N2818" t="n">
        <v>4.5</v>
      </c>
      <c r="O2818" t="n">
        <v>55903</v>
      </c>
      <c r="Q2818" t="inlineStr">
        <is>
          <t>InStock</t>
        </is>
      </c>
      <c r="R2818" t="inlineStr">
        <is>
          <t>undefined</t>
        </is>
      </c>
      <c r="S2818" t="inlineStr">
        <is>
          <t>7050025479</t>
        </is>
      </c>
    </row>
    <row r="2819" ht="75" customHeight="1">
      <c r="A2819" s="2">
        <f>HYPERLINK("https://camerareadycosmetics.com/products/nyx-micro-brow-pencil", "https://camerareadycosmetics.com/products/nyx-micro-brow-pencil")</f>
        <v/>
      </c>
      <c r="B2819" s="2">
        <f>HYPERLINK("https://camerareadycosmetics.com/products/nyx-micro-brow-pencil", "https://camerareadycosmetics.com/products/nyx-micro-brow-pencil")</f>
        <v/>
      </c>
      <c r="C2819" t="inlineStr">
        <is>
          <t>Micro Brow Pencil</t>
        </is>
      </c>
      <c r="D2819" t="inlineStr">
        <is>
          <t>NYX PROFESSIONAL MAKEUP Micro Brow Pencil, Eyebrow Pencil, Ash Brown, 0.003 Oz</t>
        </is>
      </c>
      <c r="E2819" s="2" t="n"/>
      <c r="F2819" t="inlineStr">
        <is>
          <t>B00WZRQNAC</t>
        </is>
      </c>
      <c r="G2819">
        <f>_xlfn.IMAGE("https://camerareadycosmetics.com/cdn/shop/products/microbrowpencil_main_1_50x.jpg?v=1689657707")</f>
        <v/>
      </c>
      <c r="H2819">
        <f>_xlfn.IMAGE("https://m.media-amazon.com/images/I/51zm8f4OMVL._AC_UL320_.jpg")</f>
        <v/>
      </c>
      <c r="K2819" t="inlineStr">
        <is>
          <t>11.0</t>
        </is>
      </c>
      <c r="L2819" t="n">
        <v>8.779999999999999</v>
      </c>
      <c r="M2819" s="1" t="inlineStr">
        <is>
          <t>-20.18%</t>
        </is>
      </c>
      <c r="N2819" t="n">
        <v>4.5</v>
      </c>
      <c r="O2819" t="n">
        <v>55903</v>
      </c>
      <c r="Q2819" t="inlineStr">
        <is>
          <t>InStock</t>
        </is>
      </c>
      <c r="R2819" t="inlineStr">
        <is>
          <t>undefined</t>
        </is>
      </c>
      <c r="S2819" t="inlineStr">
        <is>
          <t>7050025479</t>
        </is>
      </c>
    </row>
    <row r="2820" ht="75" customHeight="1">
      <c r="A2820" s="2">
        <f>HYPERLINK("https://camerareadycosmetics.com/products/nyx-micro-brow-pencil", "https://camerareadycosmetics.com/products/nyx-micro-brow-pencil")</f>
        <v/>
      </c>
      <c r="B2820" s="2">
        <f>HYPERLINK("https://camerareadycosmetics.com/products/nyx-micro-brow-pencil", "https://camerareadycosmetics.com/products/nyx-micro-brow-pencil")</f>
        <v/>
      </c>
      <c r="C2820" t="inlineStr">
        <is>
          <t>Micro Brow Pencil</t>
        </is>
      </c>
      <c r="D2820" t="inlineStr">
        <is>
          <t>Eyebrow Pencil,3 PCS Waterproof Professional Makeup Micro Brow Pencil,Brow Kit with Eyebrow Brush and Razor,Ultra-Fine Mechanical Pencil</t>
        </is>
      </c>
      <c r="E2820" s="2">
        <f>HYPERLINK("https://www.amazon.com/Eyebrow-Waterproof-Professional-Ultra-Fine-Mechanical/dp/B09MQN7YSF/ref=sr_1_7?keywords=Micro+Brow+Pencil&amp;qid=1695565423&amp;sr=8-7", "https://www.amazon.com/Eyebrow-Waterproof-Professional-Ultra-Fine-Mechanical/dp/B09MQN7YSF/ref=sr_1_7?keywords=Micro+Brow+Pencil&amp;qid=1695565423&amp;sr=8-7")</f>
        <v/>
      </c>
      <c r="F2820" t="inlineStr">
        <is>
          <t>B09MQN7YSF</t>
        </is>
      </c>
      <c r="G2820">
        <f>_xlfn.IMAGE("https://camerareadycosmetics.com/cdn/shop/products/microbrowpencil_main_1_50x.jpg?v=1689657707")</f>
        <v/>
      </c>
      <c r="H2820">
        <f>_xlfn.IMAGE("https://m.media-amazon.com/images/I/81hKV6HX2ML._AC_UL320_.jpg")</f>
        <v/>
      </c>
      <c r="K2820" t="inlineStr">
        <is>
          <t>11.0</t>
        </is>
      </c>
      <c r="L2820" t="n">
        <v>6.99</v>
      </c>
      <c r="M2820" s="1" t="inlineStr">
        <is>
          <t>-36.45%</t>
        </is>
      </c>
      <c r="N2820" t="n">
        <v>4.5</v>
      </c>
      <c r="O2820" t="n">
        <v>769</v>
      </c>
      <c r="Q2820" t="inlineStr">
        <is>
          <t>InStock</t>
        </is>
      </c>
      <c r="R2820" t="inlineStr">
        <is>
          <t>undefined</t>
        </is>
      </c>
      <c r="S2820" t="inlineStr">
        <is>
          <t>7050025479</t>
        </is>
      </c>
    </row>
    <row r="2821" ht="75" customHeight="1">
      <c r="A2821" s="2">
        <f>HYPERLINK("https://camerareadycosmetics.com/products/nyx-micro-brow-pencil", "https://camerareadycosmetics.com/products/nyx-micro-brow-pencil")</f>
        <v/>
      </c>
      <c r="B2821" s="2">
        <f>HYPERLINK("https://camerareadycosmetics.com/products/nyx-micro-brow-pencil", "https://camerareadycosmetics.com/products/nyx-micro-brow-pencil")</f>
        <v/>
      </c>
      <c r="C2821" t="inlineStr">
        <is>
          <t>Micro Brow Pencil</t>
        </is>
      </c>
      <c r="D2821" t="inlineStr">
        <is>
          <t>COVERGIRL Easy Breezy Brow Micro-Fine + Define Pencil, Soft Brown, 0.003 Oz</t>
        </is>
      </c>
      <c r="E2821" s="2" t="n"/>
      <c r="F2821" t="inlineStr">
        <is>
          <t>B0779TDXZD</t>
        </is>
      </c>
      <c r="G2821">
        <f>_xlfn.IMAGE("https://camerareadycosmetics.com/cdn/shop/products/microbrowpencil_main_1_50x.jpg?v=1689657707")</f>
        <v/>
      </c>
      <c r="H2821">
        <f>_xlfn.IMAGE("https://m.media-amazon.com/images/I/71OcBsSBAYL._AC_UL320_.jpg")</f>
        <v/>
      </c>
      <c r="K2821" t="inlineStr">
        <is>
          <t>11.0</t>
        </is>
      </c>
      <c r="L2821" t="n">
        <v>6.74</v>
      </c>
      <c r="M2821" s="1" t="inlineStr">
        <is>
          <t>-38.73%</t>
        </is>
      </c>
      <c r="N2821" t="n">
        <v>4.5</v>
      </c>
      <c r="O2821" t="n">
        <v>7710</v>
      </c>
      <c r="Q2821" t="inlineStr">
        <is>
          <t>InStock</t>
        </is>
      </c>
      <c r="R2821" t="inlineStr">
        <is>
          <t>undefined</t>
        </is>
      </c>
      <c r="S2821" t="inlineStr">
        <is>
          <t>7050025479</t>
        </is>
      </c>
    </row>
    <row r="2822" ht="75" customHeight="1">
      <c r="A2822" s="2">
        <f>HYPERLINK("https://camerareadycosmetics.com/products/nyx-micro-brow-pencil", "https://camerareadycosmetics.com/products/nyx-micro-brow-pencil")</f>
        <v/>
      </c>
      <c r="B2822" s="2">
        <f>HYPERLINK("https://camerareadycosmetics.com/products/nyx-micro-brow-pencil", "https://camerareadycosmetics.com/products/nyx-micro-brow-pencil")</f>
        <v/>
      </c>
      <c r="C2822" t="inlineStr">
        <is>
          <t>Micro Brow Pencil</t>
        </is>
      </c>
      <c r="D2822" t="inlineStr">
        <is>
          <t>COVERGIRL Easy Breezy Brow Micro-fine &amp; Define Pencil, Rich Brown, Pack of 1 (Packaging May Vary)</t>
        </is>
      </c>
      <c r="E2822" s="2">
        <f>HYPERLINK("https://www.amazon.com/COVERGIRL-Breezy-Micro-fine-Define-packaging/dp/B0779T2PBQ/ref=sr_1_10?keywords=Micro+Brow+Pencil&amp;qid=1695565423&amp;sr=8-10", "https://www.amazon.com/COVERGIRL-Breezy-Micro-fine-Define-packaging/dp/B0779T2PBQ/ref=sr_1_10?keywords=Micro+Brow+Pencil&amp;qid=1695565423&amp;sr=8-10")</f>
        <v/>
      </c>
      <c r="F2822" t="inlineStr">
        <is>
          <t>B0779T2PBQ</t>
        </is>
      </c>
      <c r="G2822">
        <f>_xlfn.IMAGE("https://camerareadycosmetics.com/cdn/shop/products/microbrowpencil_main_1_50x.jpg?v=1689657707")</f>
        <v/>
      </c>
      <c r="H2822">
        <f>_xlfn.IMAGE("https://m.media-amazon.com/images/I/41d4c0qJ3IL._AC_UL320_.jpg")</f>
        <v/>
      </c>
      <c r="K2822" t="inlineStr">
        <is>
          <t>11.0</t>
        </is>
      </c>
      <c r="L2822" t="n">
        <v>5.95</v>
      </c>
      <c r="M2822" s="1" t="inlineStr">
        <is>
          <t>-45.91%</t>
        </is>
      </c>
      <c r="N2822" t="n">
        <v>4.5</v>
      </c>
      <c r="O2822" t="n">
        <v>7710</v>
      </c>
      <c r="Q2822" t="inlineStr">
        <is>
          <t>InStock</t>
        </is>
      </c>
      <c r="R2822" t="inlineStr">
        <is>
          <t>undefined</t>
        </is>
      </c>
      <c r="S2822" t="inlineStr">
        <is>
          <t>7050025479</t>
        </is>
      </c>
    </row>
    <row r="2823" ht="75" customHeight="1">
      <c r="A2823" s="2">
        <f>HYPERLINK("https://camerareadycosmetics.com/products/nyx-micro-brow-pencil", "https://camerareadycosmetics.com/products/nyx-micro-brow-pencil")</f>
        <v/>
      </c>
      <c r="B2823" s="2">
        <f>HYPERLINK("https://camerareadycosmetics.com/products/nyx-micro-brow-pencil", "https://camerareadycosmetics.com/products/nyx-micro-brow-pencil")</f>
        <v/>
      </c>
      <c r="C2823" t="inlineStr">
        <is>
          <t>Micro Brow Pencil</t>
        </is>
      </c>
      <c r="D2823" t="inlineStr">
        <is>
          <t>e.l.f., Ultra Precise Brow Pencil, Creamy, Micro-Slim, Precise, Defines, Creates Full, Natural-Looking Brows, Tames and Combs Brow Hair, Neutral Brown, 0.002 Oz</t>
        </is>
      </c>
      <c r="E2823" s="2">
        <f>HYPERLINK("https://www.amazon.com/Precise-Micro-Slim-Defines-Creates-Natural-Looking/dp/B07PBR49JY/ref=sr_1_8?keywords=Micro+Brow+Pencil&amp;qid=1695565423&amp;sr=8-8", "https://www.amazon.com/Precise-Micro-Slim-Defines-Creates-Natural-Looking/dp/B07PBR49JY/ref=sr_1_8?keywords=Micro+Brow+Pencil&amp;qid=1695565423&amp;sr=8-8")</f>
        <v/>
      </c>
      <c r="F2823" t="inlineStr">
        <is>
          <t>B07PBR49JY</t>
        </is>
      </c>
      <c r="G2823">
        <f>_xlfn.IMAGE("https://camerareadycosmetics.com/cdn/shop/products/microbrowpencil_main_1_50x.jpg?v=1689657707")</f>
        <v/>
      </c>
      <c r="H2823">
        <f>_xlfn.IMAGE("https://m.media-amazon.com/images/I/61vV1nAVMML._AC_UL320_.jpg")</f>
        <v/>
      </c>
      <c r="K2823" t="inlineStr">
        <is>
          <t>11.0</t>
        </is>
      </c>
      <c r="L2823" t="n">
        <v>4.8</v>
      </c>
      <c r="M2823" s="1" t="inlineStr">
        <is>
          <t>-56.36%</t>
        </is>
      </c>
      <c r="N2823" t="n">
        <v>4.5</v>
      </c>
      <c r="O2823" t="n">
        <v>9506</v>
      </c>
      <c r="Q2823" t="inlineStr">
        <is>
          <t>InStock</t>
        </is>
      </c>
      <c r="R2823" t="inlineStr">
        <is>
          <t>undefined</t>
        </is>
      </c>
      <c r="S2823" t="inlineStr">
        <is>
          <t>7050025479</t>
        </is>
      </c>
    </row>
    <row r="2824" ht="75" customHeight="1">
      <c r="A2824" s="2">
        <f>HYPERLINK("https://camerareadycosmetics.com/products/nyx-micro-brow-pencil", "https://camerareadycosmetics.com/products/nyx-micro-brow-pencil")</f>
        <v/>
      </c>
      <c r="B2824" s="2">
        <f>HYPERLINK("https://camerareadycosmetics.com/products/nyx-micro-brow-pencil", "https://camerareadycosmetics.com/products/nyx-micro-brow-pencil")</f>
        <v/>
      </c>
      <c r="C2824" t="inlineStr">
        <is>
          <t>Micro Brow Pencil</t>
        </is>
      </c>
      <c r="D2824" t="inlineStr">
        <is>
          <t>Wet n Wild Ultimate Brow Micro Eyebrow Retractable Pencil, Dark Brown, Ultra Fine 1.5mm Tip, Draws Tiny Brow Hairs</t>
        </is>
      </c>
      <c r="E2824" s="2">
        <f>HYPERLINK("https://www.amazon.com/Wet-Wild-Ultimate-Eyebrow-Pencil/dp/B07QHG4452/ref=sr_1_6?keywords=Micro+Brow+Pencil&amp;qid=1695565423&amp;sr=8-6", "https://www.amazon.com/Wet-Wild-Ultimate-Eyebrow-Pencil/dp/B07QHG4452/ref=sr_1_6?keywords=Micro+Brow+Pencil&amp;qid=1695565423&amp;sr=8-6")</f>
        <v/>
      </c>
      <c r="F2824" t="inlineStr">
        <is>
          <t>B07QHG4452</t>
        </is>
      </c>
      <c r="G2824">
        <f>_xlfn.IMAGE("https://camerareadycosmetics.com/cdn/shop/products/microbrowpencil_main_1_50x.jpg?v=1689657707")</f>
        <v/>
      </c>
      <c r="H2824">
        <f>_xlfn.IMAGE("https://m.media-amazon.com/images/I/61ufwl7+Z3L._AC_UL320_.jpg")</f>
        <v/>
      </c>
      <c r="K2824" t="inlineStr">
        <is>
          <t>11.0</t>
        </is>
      </c>
      <c r="L2824" t="n">
        <v>3.28</v>
      </c>
      <c r="M2824" s="1" t="inlineStr">
        <is>
          <t>-70.18%</t>
        </is>
      </c>
      <c r="N2824" t="n">
        <v>4.4</v>
      </c>
      <c r="O2824" t="n">
        <v>3796</v>
      </c>
      <c r="Q2824" t="inlineStr">
        <is>
          <t>InStock</t>
        </is>
      </c>
      <c r="R2824" t="inlineStr">
        <is>
          <t>undefined</t>
        </is>
      </c>
      <c r="S2824" t="inlineStr">
        <is>
          <t>7050025479</t>
        </is>
      </c>
    </row>
    <row r="2825" ht="75" customHeight="1">
      <c r="A2825" s="2">
        <f>HYPERLINK("https://camerareadycosmetics.com/products/nyx-micro-brow-pencil", "https://camerareadycosmetics.com/products/nyx-micro-brow-pencil")</f>
        <v/>
      </c>
      <c r="B2825" s="2">
        <f>HYPERLINK("https://camerareadycosmetics.com/products/nyx-micro-brow-pencil", "https://camerareadycosmetics.com/products/nyx-micro-brow-pencil")</f>
        <v/>
      </c>
      <c r="C2825" t="inlineStr">
        <is>
          <t>Micro Brow Pencil</t>
        </is>
      </c>
      <c r="D2825" t="inlineStr">
        <is>
          <t>e.l.f., Ultra Precise Brow Pencil, Creamy, Micro-Slim, Precise, Defines, Creates Full, Natural-Looking Brows, Tames and Combs Brow Hair, Neutral Brown, 0.002 Oz</t>
        </is>
      </c>
      <c r="E2825" s="2">
        <f>HYPERLINK("https://www.amazon.com/Precise-Micro-Slim-Defines-Creates-Natural-Looking/dp/B07PBR49JY/ref=sr_1_8?keywords=Micro+Brow+Pencil&amp;qid=1695565423&amp;sr=8-8", "https://www.amazon.com/Precise-Micro-Slim-Defines-Creates-Natural-Looking/dp/B07PBR49JY/ref=sr_1_8?keywords=Micro+Brow+Pencil&amp;qid=1695565423&amp;sr=8-8")</f>
        <v/>
      </c>
      <c r="F2825" t="inlineStr">
        <is>
          <t>B07PBR49JY</t>
        </is>
      </c>
      <c r="G2825">
        <f>_xlfn.IMAGE("https://camerareadycosmetics.com/cdn/shop/products/microbrowpencil_main_1_50x.jpg?v=1689657707")</f>
        <v/>
      </c>
      <c r="H2825">
        <f>_xlfn.IMAGE("https://m.media-amazon.com/images/I/61vV1nAVMML._AC_UL320_.jpg")</f>
        <v/>
      </c>
      <c r="K2825" t="inlineStr">
        <is>
          <t>11.0</t>
        </is>
      </c>
      <c r="L2825" t="n">
        <v>4.8</v>
      </c>
      <c r="M2825" s="1" t="inlineStr">
        <is>
          <t>-56.36%</t>
        </is>
      </c>
      <c r="N2825" t="n">
        <v>4.5</v>
      </c>
      <c r="O2825" t="n">
        <v>9506</v>
      </c>
      <c r="Q2825" t="inlineStr">
        <is>
          <t>InStock</t>
        </is>
      </c>
      <c r="R2825" t="inlineStr">
        <is>
          <t>undefined</t>
        </is>
      </c>
      <c r="S2825" t="inlineStr">
        <is>
          <t>7050025479</t>
        </is>
      </c>
    </row>
    <row r="2826" ht="75" customHeight="1">
      <c r="A2826" s="2">
        <f>HYPERLINK("https://camerareadycosmetics.com/products/nyx-micro-brow-pencil", "https://camerareadycosmetics.com/products/nyx-micro-brow-pencil")</f>
        <v/>
      </c>
      <c r="B2826" s="2">
        <f>HYPERLINK("https://camerareadycosmetics.com/products/nyx-micro-brow-pencil", "https://camerareadycosmetics.com/products/nyx-micro-brow-pencil")</f>
        <v/>
      </c>
      <c r="C2826" t="inlineStr">
        <is>
          <t>Micro Brow Pencil</t>
        </is>
      </c>
      <c r="D2826" t="inlineStr">
        <is>
          <t>Wet n Wild Ultimate Brow Micro Eyebrow Retractable Pencil, Dark Brown, Ultra Fine 1.5mm Tip, Draws Tiny Brow Hairs</t>
        </is>
      </c>
      <c r="E2826" s="2">
        <f>HYPERLINK("https://www.amazon.com/Wet-Wild-Ultimate-Eyebrow-Pencil/dp/B07QHG4452/ref=sr_1_6?keywords=Micro+Brow+Pencil&amp;qid=1695565423&amp;sr=8-6", "https://www.amazon.com/Wet-Wild-Ultimate-Eyebrow-Pencil/dp/B07QHG4452/ref=sr_1_6?keywords=Micro+Brow+Pencil&amp;qid=1695565423&amp;sr=8-6")</f>
        <v/>
      </c>
      <c r="F2826" t="inlineStr">
        <is>
          <t>B07QHG4452</t>
        </is>
      </c>
      <c r="G2826">
        <f>_xlfn.IMAGE("https://camerareadycosmetics.com/cdn/shop/products/microbrowpencil_main_1_50x.jpg?v=1689657707")</f>
        <v/>
      </c>
      <c r="H2826">
        <f>_xlfn.IMAGE("https://m.media-amazon.com/images/I/61ufwl7+Z3L._AC_UL320_.jpg")</f>
        <v/>
      </c>
      <c r="K2826" t="inlineStr">
        <is>
          <t>11.0</t>
        </is>
      </c>
      <c r="L2826" t="n">
        <v>3.28</v>
      </c>
      <c r="M2826" s="1" t="inlineStr">
        <is>
          <t>-70.18%</t>
        </is>
      </c>
      <c r="N2826" t="n">
        <v>4.4</v>
      </c>
      <c r="O2826" t="n">
        <v>3796</v>
      </c>
      <c r="Q2826" t="inlineStr">
        <is>
          <t>InStock</t>
        </is>
      </c>
      <c r="R2826" t="inlineStr">
        <is>
          <t>undefined</t>
        </is>
      </c>
      <c r="S2826" t="inlineStr">
        <is>
          <t>7050025479</t>
        </is>
      </c>
    </row>
    <row r="2827" ht="75" customHeight="1">
      <c r="A2827" s="2">
        <f>HYPERLINK("https://camerareadycosmetics.com/products/nyx-pore-filler", "https://camerareadycosmetics.com/products/nyx-pore-filler")</f>
        <v/>
      </c>
      <c r="B2827" s="2">
        <f>HYPERLINK("https://camerareadycosmetics.com/products/nyx-pore-filler", "https://camerareadycosmetics.com/products/nyx-pore-filler")</f>
        <v/>
      </c>
      <c r="C2827" t="inlineStr">
        <is>
          <t>Pore Filler</t>
        </is>
      </c>
      <c r="D2827" t="inlineStr">
        <is>
          <t>NYX PROFESSIONAL MAKEUP Pore Filler Blurring Primer, Vegan Face Primer</t>
        </is>
      </c>
      <c r="E2827" s="2">
        <f>HYPERLINK("https://www.amazon.com/NYX-Professional-Makeup-Filler-Ounce/dp/B007NNU2WI/ref=sr_1_1?keywords=Pore+Filler&amp;qid=1695565516&amp;sr=8-1", "https://www.amazon.com/NYX-Professional-Makeup-Filler-Ounce/dp/B007NNU2WI/ref=sr_1_1?keywords=Pore+Filler&amp;qid=1695565516&amp;sr=8-1")</f>
        <v/>
      </c>
      <c r="F2827" t="inlineStr">
        <is>
          <t>B007NNU2WI</t>
        </is>
      </c>
      <c r="G2827">
        <f>_xlfn.IMAGE("https://camerareadycosmetics.com/cdn/shop/products/porefiller_main__50966.1457562460.600.600_50x.jpeg?v=1689657913")</f>
        <v/>
      </c>
      <c r="H2827">
        <f>_xlfn.IMAGE("https://m.media-amazon.com/images/I/61L3jd4NqJL._AC_UL320_.jpg")</f>
        <v/>
      </c>
      <c r="K2827" t="inlineStr">
        <is>
          <t>15.0</t>
        </is>
      </c>
      <c r="L2827" t="n">
        <v>12.53</v>
      </c>
      <c r="M2827" s="1" t="inlineStr">
        <is>
          <t>-16.47%</t>
        </is>
      </c>
      <c r="N2827" t="n">
        <v>3.9</v>
      </c>
      <c r="O2827" t="n">
        <v>13455</v>
      </c>
      <c r="Q2827" t="inlineStr">
        <is>
          <t>InStock</t>
        </is>
      </c>
      <c r="R2827" t="inlineStr">
        <is>
          <t>undefined</t>
        </is>
      </c>
      <c r="S2827" t="inlineStr">
        <is>
          <t>7050152583</t>
        </is>
      </c>
    </row>
    <row r="2828" ht="75" customHeight="1">
      <c r="A2828" s="2">
        <f>HYPERLINK("https://camerareadycosmetics.com/products/nyx-pore-filler", "https://camerareadycosmetics.com/products/nyx-pore-filler")</f>
        <v/>
      </c>
      <c r="B2828" s="2">
        <f>HYPERLINK("https://camerareadycosmetics.com/products/nyx-pore-filler", "https://camerareadycosmetics.com/products/nyx-pore-filler")</f>
        <v/>
      </c>
      <c r="C2828" t="inlineStr">
        <is>
          <t>Pore Filler</t>
        </is>
      </c>
      <c r="D2828" t="inlineStr">
        <is>
          <t>NYX PROFESSIONAL MAKEUP Pore Filler Targeted Primer Stick, Blurring Primer</t>
        </is>
      </c>
      <c r="E2828" s="2">
        <f>HYPERLINK("https://www.amazon.com/NYX-PROFESSIONAL-MAKEUP-Targeted-Blurring/dp/B0924XXXJR/ref=sr_1_3?keywords=Pore+Filler&amp;qid=1695565516&amp;sr=8-3", "https://www.amazon.com/NYX-PROFESSIONAL-MAKEUP-Targeted-Blurring/dp/B0924XXXJR/ref=sr_1_3?keywords=Pore+Filler&amp;qid=1695565516&amp;sr=8-3")</f>
        <v/>
      </c>
      <c r="F2828" t="inlineStr">
        <is>
          <t>B0924XXXJR</t>
        </is>
      </c>
      <c r="G2828">
        <f>_xlfn.IMAGE("https://camerareadycosmetics.com/cdn/shop/products/porefiller_main__50966.1457562460.600.600_50x.jpeg?v=1689657913")</f>
        <v/>
      </c>
      <c r="H2828">
        <f>_xlfn.IMAGE("https://m.media-amazon.com/images/I/610ZJT0udRS._AC_UL320_.jpg")</f>
        <v/>
      </c>
      <c r="K2828" t="inlineStr">
        <is>
          <t>15.0</t>
        </is>
      </c>
      <c r="L2828" t="n">
        <v>9.949999999999999</v>
      </c>
      <c r="M2828" s="1" t="inlineStr">
        <is>
          <t>-33.67%</t>
        </is>
      </c>
      <c r="N2828" t="n">
        <v>3.9</v>
      </c>
      <c r="O2828" t="n">
        <v>3142</v>
      </c>
      <c r="Q2828" t="inlineStr">
        <is>
          <t>InStock</t>
        </is>
      </c>
      <c r="R2828" t="inlineStr">
        <is>
          <t>undefined</t>
        </is>
      </c>
      <c r="S2828" t="inlineStr">
        <is>
          <t>7050152583</t>
        </is>
      </c>
    </row>
    <row r="2829" ht="75" customHeight="1">
      <c r="A2829" s="2">
        <f>HYPERLINK("https://camerareadycosmetics.com/products/nyx-powder-puff-lippie-lip-cream", "https://camerareadycosmetics.com/products/nyx-powder-puff-lippie-lip-cream")</f>
        <v/>
      </c>
      <c r="B2829" s="2">
        <f>HYPERLINK("https://camerareadycosmetics.com/products/nyx-powder-puff-lippie-lip-cream", "https://camerareadycosmetics.com/products/nyx-powder-puff-lippie-lip-cream")</f>
        <v/>
      </c>
      <c r="C2829" t="inlineStr">
        <is>
          <t>Powder Puff Lippie Lip Cream Group Love (PPL03)</t>
        </is>
      </c>
      <c r="D2829" t="inlineStr">
        <is>
          <t>NYX PROFESSIONAL MAKEUP Powder Puff Lippie Lip Cream, Liquid Lipstick - Puppy Love (Warm Medium Peach) (Pack of 4)</t>
        </is>
      </c>
      <c r="E2829" s="2">
        <f>HYPERLINK("https://www.amazon.com/NYX-PROFESSIONAL-MAKEUP-Powder-Lipstick/dp/B0BPWPHGRP/ref=sr_1_5?keywords=Powder+Puff+Lippie+Lip+Cream+Group+Love+%28PPL03%29&amp;qid=1695565591&amp;sr=8-5", "https://www.amazon.com/NYX-PROFESSIONAL-MAKEUP-Powder-Lipstick/dp/B0BPWPHGRP/ref=sr_1_5?keywords=Powder+Puff+Lippie+Lip+Cream+Group+Love+%28PPL03%29&amp;qid=1695565591&amp;sr=8-5")</f>
        <v/>
      </c>
      <c r="F2829" t="inlineStr">
        <is>
          <t>B0BPWPHGRP</t>
        </is>
      </c>
      <c r="G2829">
        <f>_xlfn.IMAGE("https://camerareadycosmetics.com/cdn/shop/products/nyx-800897140427_powderpufflippie_grouplove_main_50x.jpg?v=1520655188")</f>
        <v/>
      </c>
      <c r="H2829">
        <f>_xlfn.IMAGE("https://m.media-amazon.com/images/I/417IbjUbN3L._AC_UL320_.jpg")</f>
        <v/>
      </c>
      <c r="K2829" t="inlineStr">
        <is>
          <t>9.0</t>
        </is>
      </c>
      <c r="L2829" t="n">
        <v>19.12</v>
      </c>
      <c r="M2829" s="1" t="inlineStr">
        <is>
          <t>112.44%</t>
        </is>
      </c>
      <c r="N2829" t="n">
        <v>5</v>
      </c>
      <c r="O2829" t="n">
        <v>1</v>
      </c>
      <c r="Q2829" t="inlineStr">
        <is>
          <t>InStock</t>
        </is>
      </c>
      <c r="R2829" t="inlineStr">
        <is>
          <t>undefined</t>
        </is>
      </c>
      <c r="S2829" t="inlineStr">
        <is>
          <t>524920291338</t>
        </is>
      </c>
    </row>
    <row r="2830" ht="75" customHeight="1">
      <c r="A2830" s="2">
        <f>HYPERLINK("https://camerareadycosmetics.com/products/nyx-powder-puff-lippie-lip-cream", "https://camerareadycosmetics.com/products/nyx-powder-puff-lippie-lip-cream")</f>
        <v/>
      </c>
      <c r="B2830" s="2">
        <f>HYPERLINK("https://camerareadycosmetics.com/products/nyx-powder-puff-lippie-lip-cream", "https://camerareadycosmetics.com/products/nyx-powder-puff-lippie-lip-cream")</f>
        <v/>
      </c>
      <c r="C2830" t="inlineStr">
        <is>
          <t>Powder Puff Lippie Lip Cream Group Love (PPL03)</t>
        </is>
      </c>
      <c r="D2830" t="inlineStr">
        <is>
          <t>BeutiYo Powder Puff Lippie Lip Cream Makeup Lipstick Paint Net Wt 0.4 fl oz / 12 ml Free ZipBag (PPL03 : GROUP LOVE)</t>
        </is>
      </c>
      <c r="E2830" s="2">
        <f>HYPERLINK("https://www.amazon.com/Powder-Lippie-Lipstick-BeutiYo-Earring/dp/B07QWPQC7M/ref=sr_1_2?keywords=Powder+Puff+Lippie+Lip+Cream+Group+Love+%28PPL03%29&amp;qid=1695565591&amp;sr=8-2", "https://www.amazon.com/Powder-Lippie-Lipstick-BeutiYo-Earring/dp/B07QWPQC7M/ref=sr_1_2?keywords=Powder+Puff+Lippie+Lip+Cream+Group+Love+%28PPL03%29&amp;qid=1695565591&amp;sr=8-2")</f>
        <v/>
      </c>
      <c r="F2830" t="inlineStr">
        <is>
          <t>B07QWPQC7M</t>
        </is>
      </c>
      <c r="G2830">
        <f>_xlfn.IMAGE("https://camerareadycosmetics.com/cdn/shop/products/nyx-800897140427_powderpufflippie_grouplove_main_50x.jpg?v=1520655188")</f>
        <v/>
      </c>
      <c r="H2830">
        <f>_xlfn.IMAGE("https://m.media-amazon.com/images/I/613AydBRUkL._AC_UL320_.jpg")</f>
        <v/>
      </c>
      <c r="K2830" t="inlineStr">
        <is>
          <t>9.0</t>
        </is>
      </c>
      <c r="L2830" t="n">
        <v>16.85</v>
      </c>
      <c r="M2830" s="1" t="inlineStr">
        <is>
          <t>87.22%</t>
        </is>
      </c>
      <c r="N2830" t="n">
        <v>4.8</v>
      </c>
      <c r="O2830" t="n">
        <v>13</v>
      </c>
      <c r="Q2830" t="inlineStr">
        <is>
          <t>InStock</t>
        </is>
      </c>
      <c r="R2830" t="inlineStr">
        <is>
          <t>undefined</t>
        </is>
      </c>
      <c r="S2830" t="inlineStr">
        <is>
          <t>524920291338</t>
        </is>
      </c>
    </row>
    <row r="2831" ht="75" customHeight="1">
      <c r="A2831" s="2">
        <f>HYPERLINK("https://camerareadycosmetics.com/products/nyx-powder-puff-lippie-lip-cream", "https://camerareadycosmetics.com/products/nyx-powder-puff-lippie-lip-cream")</f>
        <v/>
      </c>
      <c r="B2831" s="2">
        <f>HYPERLINK("https://camerareadycosmetics.com/products/nyx-powder-puff-lippie-lip-cream", "https://camerareadycosmetics.com/products/nyx-powder-puff-lippie-lip-cream")</f>
        <v/>
      </c>
      <c r="C2831" t="inlineStr">
        <is>
          <t>Powder Puff Lippie Lip Cream Group Love (PPL03)</t>
        </is>
      </c>
      <c r="D2831" t="inlineStr">
        <is>
          <t>NYX PROFESSIONAL MAKEUP Powder Puff Lippie Lip Cream, Liquid Lipstick - Puppy Love (Warm Medium Peach)</t>
        </is>
      </c>
      <c r="E2831" s="2">
        <f>HYPERLINK("https://www.amazon.com/NYX-PROFESSIONAL-MAKEUP-Powder-Lippie/dp/B07C4HW3TN/ref=sr_1_1?keywords=Powder+Puff+Lippie+Lip+Cream+Group+Love+%28PPL03%29&amp;qid=1695565591&amp;sr=8-1", "https://www.amazon.com/NYX-PROFESSIONAL-MAKEUP-Powder-Lippie/dp/B07C4HW3TN/ref=sr_1_1?keywords=Powder+Puff+Lippie+Lip+Cream+Group+Love+%28PPL03%29&amp;qid=1695565591&amp;sr=8-1")</f>
        <v/>
      </c>
      <c r="F2831" t="inlineStr">
        <is>
          <t>B07C4HW3TN</t>
        </is>
      </c>
      <c r="G2831">
        <f>_xlfn.IMAGE("https://camerareadycosmetics.com/cdn/shop/products/nyx-800897140427_powderpufflippie_grouplove_main_50x.jpg?v=1520655188")</f>
        <v/>
      </c>
      <c r="H2831">
        <f>_xlfn.IMAGE("https://m.media-amazon.com/images/I/51X9v+iDm3L._AC_UL320_.jpg")</f>
        <v/>
      </c>
      <c r="K2831" t="inlineStr">
        <is>
          <t>9.0</t>
        </is>
      </c>
      <c r="L2831" t="n">
        <v>5.31</v>
      </c>
      <c r="M2831" s="1" t="inlineStr">
        <is>
          <t>-41.00%</t>
        </is>
      </c>
      <c r="N2831" t="n">
        <v>4.3</v>
      </c>
      <c r="O2831" t="n">
        <v>9334</v>
      </c>
      <c r="Q2831" t="inlineStr">
        <is>
          <t>InStock</t>
        </is>
      </c>
      <c r="R2831" t="inlineStr">
        <is>
          <t>undefined</t>
        </is>
      </c>
      <c r="S2831" t="inlineStr">
        <is>
          <t>524920291338</t>
        </is>
      </c>
    </row>
    <row r="2832" ht="75" customHeight="1">
      <c r="A2832" s="2">
        <f>HYPERLINK("https://camerareadycosmetics.com/products/nyx-slim-lipliner-pencil", "https://camerareadycosmetics.com/products/nyx-slim-lipliner-pencil")</f>
        <v/>
      </c>
      <c r="B2832" s="2">
        <f>HYPERLINK("https://camerareadycosmetics.com/products/nyx-slim-lipliner-pencil", "https://camerareadycosmetics.com/products/nyx-slim-lipliner-pencil")</f>
        <v/>
      </c>
      <c r="C2832" t="inlineStr">
        <is>
          <t>Slim Lipliner Pencil</t>
        </is>
      </c>
      <c r="D2832" t="inlineStr">
        <is>
          <t>Jolie Slim Lip Pencil Classic Lipliner Definer (Spice)</t>
        </is>
      </c>
      <c r="E2832" s="2">
        <f>HYPERLINK("https://www.amazon.com/Jolie-Pencil-Classic-Lipliner-Definer/dp/B01FVAD88E/ref=sr_1_5?keywords=Slim+Lipliner+Pencil&amp;qid=1695565412&amp;sr=8-5", "https://www.amazon.com/Jolie-Pencil-Classic-Lipliner-Definer/dp/B01FVAD88E/ref=sr_1_5?keywords=Slim+Lipliner+Pencil&amp;qid=1695565412&amp;sr=8-5")</f>
        <v/>
      </c>
      <c r="F2832" t="inlineStr">
        <is>
          <t>B01FVAD88E</t>
        </is>
      </c>
      <c r="G2832">
        <f>_xlfn.IMAGE("https://camerareadycosmetics.com/cdn/shop/products/slimlippencil_main_50x.jpg?v=1689658480")</f>
        <v/>
      </c>
      <c r="H2832">
        <f>_xlfn.IMAGE("https://m.media-amazon.com/images/I/21TidYg3PZL._AC_UL320_.jpg")</f>
        <v/>
      </c>
      <c r="K2832" t="inlineStr">
        <is>
          <t>5.0</t>
        </is>
      </c>
      <c r="L2832" t="n">
        <v>16.95</v>
      </c>
      <c r="M2832" s="1" t="inlineStr">
        <is>
          <t>239.00%</t>
        </is>
      </c>
      <c r="N2832" t="n">
        <v>3.1</v>
      </c>
      <c r="O2832" t="n">
        <v>13</v>
      </c>
      <c r="Q2832" t="inlineStr">
        <is>
          <t>InStock</t>
        </is>
      </c>
      <c r="R2832" t="inlineStr">
        <is>
          <t>undefined</t>
        </is>
      </c>
      <c r="S2832" t="inlineStr">
        <is>
          <t>7050224711</t>
        </is>
      </c>
    </row>
    <row r="2833" ht="75" customHeight="1">
      <c r="A2833" s="2">
        <f>HYPERLINK("https://camerareadycosmetics.com/products/nyx-soft-matte-lip-cream", "https://camerareadycosmetics.com/products/nyx-soft-matte-lip-cream")</f>
        <v/>
      </c>
      <c r="B2833" s="2">
        <f>HYPERLINK("https://camerareadycosmetics.com/products/nyx-soft-matte-lip-cream", "https://camerareadycosmetics.com/products/nyx-soft-matte-lip-cream")</f>
        <v/>
      </c>
      <c r="C2833" t="inlineStr">
        <is>
          <t>Soft Matte Lip Cream</t>
        </is>
      </c>
      <c r="D2833" t="inlineStr">
        <is>
          <t>NYX PROFESSIONAL MAKEUP Liquid Suede Cream Lipstick - Soft Spoken (Pink With Light Gold Iridescence)</t>
        </is>
      </c>
      <c r="E2833" s="2">
        <f>HYPERLINK("https://www.amazon.com/NYX-PROFESSIONAL-MAKEUP-Liquid-Lipstick/dp/B079DDJ4GJ/ref=sr_1_4?keywords=Soft+Matte+Lip+Cream&amp;qid=1695565422&amp;sr=8-4", "https://www.amazon.com/NYX-PROFESSIONAL-MAKEUP-Liquid-Lipstick/dp/B079DDJ4GJ/ref=sr_1_4?keywords=Soft+Matte+Lip+Cream&amp;qid=1695565422&amp;sr=8-4")</f>
        <v/>
      </c>
      <c r="F2833" t="inlineStr">
        <is>
          <t>B079DDJ4GJ</t>
        </is>
      </c>
      <c r="G2833">
        <f>_xlfn.IMAGE("https://camerareadycosmetics.com/cdn/shop/products/Main__23865.1457670349.600.600_50x.jpeg?v=1689658122")</f>
        <v/>
      </c>
      <c r="H2833">
        <f>_xlfn.IMAGE("https://m.media-amazon.com/images/I/51OndhU+eIL._AC_UL320_.jpg")</f>
        <v/>
      </c>
      <c r="K2833" t="inlineStr">
        <is>
          <t>7.0</t>
        </is>
      </c>
      <c r="L2833" t="n">
        <v>9.65</v>
      </c>
      <c r="M2833" s="1" t="inlineStr">
        <is>
          <t>37.86%</t>
        </is>
      </c>
      <c r="N2833" t="n">
        <v>4.4</v>
      </c>
      <c r="O2833" t="n">
        <v>13269</v>
      </c>
      <c r="Q2833" t="inlineStr">
        <is>
          <t>InStock</t>
        </is>
      </c>
      <c r="R2833" t="inlineStr">
        <is>
          <t>undefined</t>
        </is>
      </c>
      <c r="S2833" t="inlineStr">
        <is>
          <t>7050169287</t>
        </is>
      </c>
    </row>
    <row r="2834" ht="75" customHeight="1">
      <c r="A2834" s="2">
        <f>HYPERLINK("https://camerareadycosmetics.com/products/nyx-soft-matte-lip-cream", "https://camerareadycosmetics.com/products/nyx-soft-matte-lip-cream")</f>
        <v/>
      </c>
      <c r="B2834" s="2">
        <f>HYPERLINK("https://camerareadycosmetics.com/products/nyx-soft-matte-lip-cream", "https://camerareadycosmetics.com/products/nyx-soft-matte-lip-cream")</f>
        <v/>
      </c>
      <c r="C2834" t="inlineStr">
        <is>
          <t>Soft Matte Lip Cream</t>
        </is>
      </c>
      <c r="D2834" t="inlineStr">
        <is>
          <t>NYX PROFESSIONAL MAKEUP Smooth Whip Matte Lip Cream, Long Lasting, Moisturizing, Vegan Liquid Lipstick - Cheeks (Soft Pinky Nude)</t>
        </is>
      </c>
      <c r="E2834" s="2">
        <f>HYPERLINK("https://www.amazon.com/NYX-PROFESSIONAL-MAKEUP-Moisturizing-Lipstick/dp/B0BDPM98BB/ref=sr_1_3?keywords=Soft+Matte+Lip+Cream&amp;qid=1695565422&amp;sr=8-3", "https://www.amazon.com/NYX-PROFESSIONAL-MAKEUP-Moisturizing-Lipstick/dp/B0BDPM98BB/ref=sr_1_3?keywords=Soft+Matte+Lip+Cream&amp;qid=1695565422&amp;sr=8-3")</f>
        <v/>
      </c>
      <c r="F2834" t="inlineStr">
        <is>
          <t>B0BDPM98BB</t>
        </is>
      </c>
      <c r="G2834">
        <f>_xlfn.IMAGE("https://camerareadycosmetics.com/cdn/shop/products/Main__23865.1457670349.600.600_50x.jpeg?v=1689658122")</f>
        <v/>
      </c>
      <c r="H2834">
        <f>_xlfn.IMAGE("https://m.media-amazon.com/images/I/61EQ6DLMjFL._AC_UL320_.jpg")</f>
        <v/>
      </c>
      <c r="K2834" t="inlineStr">
        <is>
          <t>7.0</t>
        </is>
      </c>
      <c r="L2834" t="n">
        <v>6.85</v>
      </c>
      <c r="M2834" s="1" t="inlineStr">
        <is>
          <t>-2.14%</t>
        </is>
      </c>
      <c r="N2834" t="n">
        <v>4.4</v>
      </c>
      <c r="O2834" t="n">
        <v>511</v>
      </c>
      <c r="Q2834" t="inlineStr">
        <is>
          <t>InStock</t>
        </is>
      </c>
      <c r="R2834" t="inlineStr">
        <is>
          <t>undefined</t>
        </is>
      </c>
      <c r="S2834" t="inlineStr">
        <is>
          <t>7050169287</t>
        </is>
      </c>
    </row>
    <row r="2835" ht="75" customHeight="1">
      <c r="A2835" s="2">
        <f>HYPERLINK("https://camerareadycosmetics.com/products/nyx-soft-matte-lip-cream", "https://camerareadycosmetics.com/products/nyx-soft-matte-lip-cream")</f>
        <v/>
      </c>
      <c r="B2835" s="2">
        <f>HYPERLINK("https://camerareadycosmetics.com/products/nyx-soft-matte-lip-cream", "https://camerareadycosmetics.com/products/nyx-soft-matte-lip-cream")</f>
        <v/>
      </c>
      <c r="C2835" t="inlineStr">
        <is>
          <t>Soft Matte Lip Cream</t>
        </is>
      </c>
      <c r="D2835" t="inlineStr">
        <is>
          <t>NYX PROFESSIONAL MAKEUP Soft Matte Lip Cream, Lightweight Liquid Lipstick - Transylvania (Matte Deep Violet)</t>
        </is>
      </c>
      <c r="E2835" s="2">
        <f>HYPERLINK("https://www.amazon.com/NYX-PROFESSIONAL-MAKEUP-Matte-Transylvania/dp/B07B4QVY6P/ref=sr_1_8?keywords=Soft+Matte+Lip+Cream&amp;qid=1695565422&amp;sr=8-8", "https://www.amazon.com/NYX-PROFESSIONAL-MAKEUP-Matte-Transylvania/dp/B07B4QVY6P/ref=sr_1_8?keywords=Soft+Matte+Lip+Cream&amp;qid=1695565422&amp;sr=8-8")</f>
        <v/>
      </c>
      <c r="F2835" t="inlineStr">
        <is>
          <t>B07B4QVY6P</t>
        </is>
      </c>
      <c r="G2835">
        <f>_xlfn.IMAGE("https://camerareadycosmetics.com/cdn/shop/products/Main__23865.1457670349.600.600_50x.jpeg?v=1689658122")</f>
        <v/>
      </c>
      <c r="H2835">
        <f>_xlfn.IMAGE("https://m.media-amazon.com/images/I/61-IJ1eIGRL._AC_UL320_.jpg")</f>
        <v/>
      </c>
      <c r="K2835" t="inlineStr">
        <is>
          <t>7.0</t>
        </is>
      </c>
      <c r="L2835" t="n">
        <v>6.75</v>
      </c>
      <c r="M2835" s="1" t="inlineStr">
        <is>
          <t>-3.57%</t>
        </is>
      </c>
      <c r="N2835" t="n">
        <v>4.2</v>
      </c>
      <c r="O2835" t="n">
        <v>841</v>
      </c>
      <c r="Q2835" t="inlineStr">
        <is>
          <t>InStock</t>
        </is>
      </c>
      <c r="R2835" t="inlineStr">
        <is>
          <t>undefined</t>
        </is>
      </c>
      <c r="S2835" t="inlineStr">
        <is>
          <t>7050169287</t>
        </is>
      </c>
    </row>
    <row r="2836" ht="75" customHeight="1">
      <c r="A2836" s="2">
        <f>HYPERLINK("https://camerareadycosmetics.com/products/nyx-soft-matte-lip-cream", "https://camerareadycosmetics.com/products/nyx-soft-matte-lip-cream")</f>
        <v/>
      </c>
      <c r="B2836" s="2">
        <f>HYPERLINK("https://camerareadycosmetics.com/products/nyx-soft-matte-lip-cream", "https://camerareadycosmetics.com/products/nyx-soft-matte-lip-cream")</f>
        <v/>
      </c>
      <c r="C2836" t="inlineStr">
        <is>
          <t>Soft Matte Lip Cream</t>
        </is>
      </c>
      <c r="D2836" t="inlineStr">
        <is>
          <t>NYX PROFESSIONAL MAKEUP Soft Matte Lip Cream, Lightweight Liquid Lipstick - Abu Dhabi (Deep Rose-Beige)</t>
        </is>
      </c>
      <c r="E2836" s="2">
        <f>HYPERLINK("https://www.amazon.com/NYX-Soft-Matte-Cream-Dhabi/dp/B004LXJOEK/ref=sr_1_1?keywords=Soft+Matte+Lip+Cream&amp;qid=1695565422&amp;sr=8-1", "https://www.amazon.com/NYX-Soft-Matte-Cream-Dhabi/dp/B004LXJOEK/ref=sr_1_1?keywords=Soft+Matte+Lip+Cream&amp;qid=1695565422&amp;sr=8-1")</f>
        <v/>
      </c>
      <c r="F2836" t="inlineStr">
        <is>
          <t>B004LXJOEK</t>
        </is>
      </c>
      <c r="G2836">
        <f>_xlfn.IMAGE("https://camerareadycosmetics.com/cdn/shop/products/Main__23865.1457670349.600.600_50x.jpeg?v=1689658122")</f>
        <v/>
      </c>
      <c r="H2836">
        <f>_xlfn.IMAGE("https://m.media-amazon.com/images/I/61tiMiLR4ES._AC_UL320_.jpg")</f>
        <v/>
      </c>
      <c r="K2836" t="inlineStr">
        <is>
          <t>7.0</t>
        </is>
      </c>
      <c r="L2836" t="n">
        <v>6.49</v>
      </c>
      <c r="M2836" s="1" t="inlineStr">
        <is>
          <t>-7.29%</t>
        </is>
      </c>
      <c r="N2836" t="n">
        <v>4.3</v>
      </c>
      <c r="O2836" t="n">
        <v>39337</v>
      </c>
      <c r="Q2836" t="inlineStr">
        <is>
          <t>InStock</t>
        </is>
      </c>
      <c r="R2836" t="inlineStr">
        <is>
          <t>undefined</t>
        </is>
      </c>
      <c r="S2836" t="inlineStr">
        <is>
          <t>7050169287</t>
        </is>
      </c>
    </row>
    <row r="2837" ht="75" customHeight="1">
      <c r="A2837" s="2">
        <f>HYPERLINK("https://camerareadycosmetics.com/products/nyx-soft-matte-lip-cream", "https://camerareadycosmetics.com/products/nyx-soft-matte-lip-cream")</f>
        <v/>
      </c>
      <c r="B2837" s="2">
        <f>HYPERLINK("https://camerareadycosmetics.com/products/nyx-soft-matte-lip-cream", "https://camerareadycosmetics.com/products/nyx-soft-matte-lip-cream")</f>
        <v/>
      </c>
      <c r="C2837" t="inlineStr">
        <is>
          <t>Soft Matte Lip Cream</t>
        </is>
      </c>
      <c r="D2837" t="inlineStr">
        <is>
          <t>wet n wild Liquid Lipstick Cloud Pout Marshmallow, Light Pink Cloud Chaser | Matte Lip Cream Mousse | Argan Oil | Vitamin E (Pack of 1)</t>
        </is>
      </c>
      <c r="E2837" s="2">
        <f>HYPERLINK("https://www.amazon.com/Wet-Wild-Mousse-Lipstick-Marshmallow/dp/B08RRFPDGV/ref=sr_1_2?keywords=Soft+Matte+Lip+Cream&amp;qid=1695565422&amp;rdc=1&amp;sr=8-2", "https://www.amazon.com/Wet-Wild-Mousse-Lipstick-Marshmallow/dp/B08RRFPDGV/ref=sr_1_2?keywords=Soft+Matte+Lip+Cream&amp;qid=1695565422&amp;rdc=1&amp;sr=8-2")</f>
        <v/>
      </c>
      <c r="F2837" t="inlineStr">
        <is>
          <t>B08RRFPDGV</t>
        </is>
      </c>
      <c r="G2837">
        <f>_xlfn.IMAGE("https://camerareadycosmetics.com/cdn/shop/products/Main__23865.1457670349.600.600_50x.jpeg?v=1689658122")</f>
        <v/>
      </c>
      <c r="H2837">
        <f>_xlfn.IMAGE("https://m.media-amazon.com/images/I/71RzdVnH8FL._AC_UL320_.jpg")</f>
        <v/>
      </c>
      <c r="K2837" t="inlineStr">
        <is>
          <t>7.0</t>
        </is>
      </c>
      <c r="L2837" t="n">
        <v>5.99</v>
      </c>
      <c r="M2837" s="1" t="inlineStr">
        <is>
          <t>-14.43%</t>
        </is>
      </c>
      <c r="N2837" t="n">
        <v>4.2</v>
      </c>
      <c r="O2837" t="n">
        <v>2416</v>
      </c>
      <c r="Q2837" t="inlineStr">
        <is>
          <t>InStock</t>
        </is>
      </c>
      <c r="R2837" t="inlineStr">
        <is>
          <t>undefined</t>
        </is>
      </c>
      <c r="S2837" t="inlineStr">
        <is>
          <t>7050169287</t>
        </is>
      </c>
    </row>
    <row r="2838" ht="75" customHeight="1">
      <c r="A2838" s="2">
        <f>HYPERLINK("https://camerareadycosmetics.com/products/nyx-soft-matte-lip-cream", "https://camerareadycosmetics.com/products/nyx-soft-matte-lip-cream")</f>
        <v/>
      </c>
      <c r="B2838" s="2">
        <f>HYPERLINK("https://camerareadycosmetics.com/products/nyx-soft-matte-lip-cream", "https://camerareadycosmetics.com/products/nyx-soft-matte-lip-cream")</f>
        <v/>
      </c>
      <c r="C2838" t="inlineStr">
        <is>
          <t>Soft Matte Lip Cream</t>
        </is>
      </c>
      <c r="D2838" t="inlineStr">
        <is>
          <t>NYX PROFESSIONAL MAKEUP Soft Matte Metallic Lip Cream, Liquid Lipstick - Milan (Dark Pink-Brown)</t>
        </is>
      </c>
      <c r="E2838" s="2">
        <f>HYPERLINK("https://www.amazon.com/NYX-PROFESSIONAL-MAKEUP-Matte-Metallic/dp/B0099DY0B4/ref=sr_1_5?keywords=Soft+Matte+Lip+Cream&amp;qid=1695565422&amp;sr=8-5", "https://www.amazon.com/NYX-PROFESSIONAL-MAKEUP-Matte-Metallic/dp/B0099DY0B4/ref=sr_1_5?keywords=Soft+Matte+Lip+Cream&amp;qid=1695565422&amp;sr=8-5")</f>
        <v/>
      </c>
      <c r="F2838" t="inlineStr">
        <is>
          <t>B0099DY0B4</t>
        </is>
      </c>
      <c r="G2838">
        <f>_xlfn.IMAGE("https://camerareadycosmetics.com/cdn/shop/products/Main__23865.1457670349.600.600_50x.jpeg?v=1689658122")</f>
        <v/>
      </c>
      <c r="H2838">
        <f>_xlfn.IMAGE("https://m.media-amazon.com/images/I/51ncue2WqdL._AC_UL320_.jpg")</f>
        <v/>
      </c>
      <c r="K2838" t="inlineStr">
        <is>
          <t>7.0</t>
        </is>
      </c>
      <c r="L2838" t="n">
        <v>5.98</v>
      </c>
      <c r="M2838" s="1" t="inlineStr">
        <is>
          <t>-14.57%</t>
        </is>
      </c>
      <c r="N2838" t="n">
        <v>4.2</v>
      </c>
      <c r="O2838" t="n">
        <v>1217</v>
      </c>
      <c r="Q2838" t="inlineStr">
        <is>
          <t>InStock</t>
        </is>
      </c>
      <c r="R2838" t="inlineStr">
        <is>
          <t>undefined</t>
        </is>
      </c>
      <c r="S2838" t="inlineStr">
        <is>
          <t>7050169287</t>
        </is>
      </c>
    </row>
    <row r="2839" ht="75" customHeight="1">
      <c r="A2839" s="2">
        <f>HYPERLINK("https://camerareadycosmetics.com/products/nyx-soft-matte-lip-cream", "https://camerareadycosmetics.com/products/nyx-soft-matte-lip-cream")</f>
        <v/>
      </c>
      <c r="B2839" s="2">
        <f>HYPERLINK("https://camerareadycosmetics.com/products/nyx-soft-matte-lip-cream", "https://camerareadycosmetics.com/products/nyx-soft-matte-lip-cream")</f>
        <v/>
      </c>
      <c r="C2839" t="inlineStr">
        <is>
          <t>Soft Matte Lip Cream</t>
        </is>
      </c>
      <c r="D2839" t="inlineStr">
        <is>
          <t>NYX PROFESSIONAL MAKEUP Soft Matte Lip Cream, Lightweight Liquid Lipstick - Kyoto (Light Peach)</t>
        </is>
      </c>
      <c r="E2839" s="2">
        <f>HYPERLINK("https://www.amazon.com/NYX-PROFESSIONAL-MAKEUP-Lipstick-Matte/dp/B07BR2J5K1/ref=sr_1_9?keywords=Soft+Matte+Lip+Cream&amp;qid=1695565422&amp;sr=8-9", "https://www.amazon.com/NYX-PROFESSIONAL-MAKEUP-Lipstick-Matte/dp/B07BR2J5K1/ref=sr_1_9?keywords=Soft+Matte+Lip+Cream&amp;qid=1695565422&amp;sr=8-9")</f>
        <v/>
      </c>
      <c r="F2839" t="inlineStr">
        <is>
          <t>B07BR2J5K1</t>
        </is>
      </c>
      <c r="G2839">
        <f>_xlfn.IMAGE("https://camerareadycosmetics.com/cdn/shop/products/Main__23865.1457670349.600.600_50x.jpeg?v=1689658122")</f>
        <v/>
      </c>
      <c r="H2839">
        <f>_xlfn.IMAGE("https://m.media-amazon.com/images/I/61kHKIj62nS._AC_UL320_.jpg")</f>
        <v/>
      </c>
      <c r="K2839" t="inlineStr">
        <is>
          <t>7.0</t>
        </is>
      </c>
      <c r="L2839" t="n">
        <v>5.05</v>
      </c>
      <c r="M2839" s="1" t="inlineStr">
        <is>
          <t>-27.86%</t>
        </is>
      </c>
      <c r="N2839" t="n">
        <v>4</v>
      </c>
      <c r="O2839" t="n">
        <v>259</v>
      </c>
      <c r="Q2839" t="inlineStr">
        <is>
          <t>InStock</t>
        </is>
      </c>
      <c r="R2839" t="inlineStr">
        <is>
          <t>undefined</t>
        </is>
      </c>
      <c r="S2839" t="inlineStr">
        <is>
          <t>7050169287</t>
        </is>
      </c>
    </row>
    <row r="2840" ht="75" customHeight="1">
      <c r="A2840" s="2">
        <f>HYPERLINK("https://camerareadycosmetics.com/products/nyx-studio-finishing-powder", "https://camerareadycosmetics.com/products/nyx-studio-finishing-powder")</f>
        <v/>
      </c>
      <c r="B2840" s="2">
        <f>HYPERLINK("https://camerareadycosmetics.com/products/nyx-studio-finishing-powder", "https://camerareadycosmetics.com/products/nyx-studio-finishing-powder")</f>
        <v/>
      </c>
      <c r="C2840" t="inlineStr">
        <is>
          <t>Studio Finishing Powder</t>
        </is>
      </c>
      <c r="D2840" t="inlineStr">
        <is>
          <t>NYX PROFESSIONAL MAKEUP HD Studio Finishing Powder, Loose Setting Powder - Translucent Finish</t>
        </is>
      </c>
      <c r="E2840" s="2">
        <f>HYPERLINK("https://www.amazon.com/NYX-Professional-Makeup-Finishing-Translucent/dp/B009GLQG6Q/ref=sr_1_1?keywords=Studio+Finishing+Powder&amp;qid=1695565638&amp;sr=8-1", "https://www.amazon.com/NYX-Professional-Makeup-Finishing-Translucent/dp/B009GLQG6Q/ref=sr_1_1?keywords=Studio+Finishing+Powder&amp;qid=1695565638&amp;sr=8-1")</f>
        <v/>
      </c>
      <c r="F2840" t="inlineStr">
        <is>
          <t>B009GLQG6Q</t>
        </is>
      </c>
      <c r="G2840">
        <f>_xlfn.IMAGE("https://camerareadycosmetics.com/cdn/shop/products/studio-finishing-powder_1_50x.jpg?v=1691126683")</f>
        <v/>
      </c>
      <c r="H2840">
        <f>_xlfn.IMAGE("https://m.media-amazon.com/images/I/5196xGH0ZvL._AC_UL320_.jpg")</f>
        <v/>
      </c>
      <c r="K2840" t="inlineStr">
        <is>
          <t>11.0</t>
        </is>
      </c>
      <c r="L2840" t="n">
        <v>9.16</v>
      </c>
      <c r="M2840" s="1" t="inlineStr">
        <is>
          <t>-16.73%</t>
        </is>
      </c>
      <c r="N2840" t="n">
        <v>4.3</v>
      </c>
      <c r="O2840" t="n">
        <v>14881</v>
      </c>
      <c r="Q2840" t="inlineStr">
        <is>
          <t>OutOfStock</t>
        </is>
      </c>
      <c r="R2840" t="inlineStr">
        <is>
          <t>undefined</t>
        </is>
      </c>
      <c r="S2840" t="inlineStr">
        <is>
          <t>10083458698</t>
        </is>
      </c>
    </row>
    <row r="2841" ht="75" customHeight="1">
      <c r="A2841" s="2">
        <f>HYPERLINK("https://camerareadycosmetics.com/products/nyx-studio-finishing-powder", "https://camerareadycosmetics.com/products/nyx-studio-finishing-powder")</f>
        <v/>
      </c>
      <c r="B2841" s="2">
        <f>HYPERLINK("https://camerareadycosmetics.com/products/nyx-studio-finishing-powder", "https://camerareadycosmetics.com/products/nyx-studio-finishing-powder")</f>
        <v/>
      </c>
      <c r="C2841" t="inlineStr">
        <is>
          <t>Studio Finishing Powder</t>
        </is>
      </c>
      <c r="D2841" t="inlineStr">
        <is>
          <t>Rude - Ultra High Definition Studio Finishing Mineral Powder - Banana</t>
        </is>
      </c>
      <c r="E2841" s="2">
        <f>HYPERLINK("https://www.amazon.com/Cosmetics-Definition-Studio-Finishing-Mineral/dp/B075BJ9MFN/ref=sr_1_5?keywords=Studio+Finishing+Powder&amp;qid=1695565638&amp;sr=8-5", "https://www.amazon.com/Cosmetics-Definition-Studio-Finishing-Mineral/dp/B075BJ9MFN/ref=sr_1_5?keywords=Studio+Finishing+Powder&amp;qid=1695565638&amp;sr=8-5")</f>
        <v/>
      </c>
      <c r="F2841" t="inlineStr">
        <is>
          <t>B075BJ9MFN</t>
        </is>
      </c>
      <c r="G2841">
        <f>_xlfn.IMAGE("https://camerareadycosmetics.com/cdn/shop/products/studio-finishing-powder_1_50x.jpg?v=1691126683")</f>
        <v/>
      </c>
      <c r="H2841">
        <f>_xlfn.IMAGE("https://m.media-amazon.com/images/I/71ZHjVGv7gS._AC_UL320_.jpg")</f>
        <v/>
      </c>
      <c r="K2841" t="inlineStr">
        <is>
          <t>11.0</t>
        </is>
      </c>
      <c r="L2841" t="n">
        <v>8.949999999999999</v>
      </c>
      <c r="M2841" s="1" t="inlineStr">
        <is>
          <t>-18.64%</t>
        </is>
      </c>
      <c r="N2841" t="n">
        <v>4.6</v>
      </c>
      <c r="O2841" t="n">
        <v>14</v>
      </c>
      <c r="Q2841" t="inlineStr">
        <is>
          <t>OutOfStock</t>
        </is>
      </c>
      <c r="R2841" t="inlineStr">
        <is>
          <t>undefined</t>
        </is>
      </c>
      <c r="S2841" t="inlineStr">
        <is>
          <t>10083458698</t>
        </is>
      </c>
    </row>
    <row r="2842" ht="75" customHeight="1">
      <c r="A2842" s="2">
        <f>HYPERLINK("https://camerareadycosmetics.com/products/nyx-studio-finishing-powder", "https://camerareadycosmetics.com/products/nyx-studio-finishing-powder")</f>
        <v/>
      </c>
      <c r="B2842" s="2">
        <f>HYPERLINK("https://camerareadycosmetics.com/products/nyx-studio-finishing-powder", "https://camerareadycosmetics.com/products/nyx-studio-finishing-powder")</f>
        <v/>
      </c>
      <c r="C2842" t="inlineStr">
        <is>
          <t>Studio Finishing Powder</t>
        </is>
      </c>
      <c r="D2842" t="inlineStr">
        <is>
          <t>Rude - Ultra High Definition Studio Finishing Mineral Powder - Shimmering</t>
        </is>
      </c>
      <c r="E2842" s="2">
        <f>HYPERLINK("https://www.amazon.com/Cosmetics-Definition-Studio-Finishing-Mineral/dp/B07CZJHY29/ref=sr_1_3?keywords=Studio+Finishing+Powder&amp;qid=1695565638&amp;sr=8-3", "https://www.amazon.com/Cosmetics-Definition-Studio-Finishing-Mineral/dp/B07CZJHY29/ref=sr_1_3?keywords=Studio+Finishing+Powder&amp;qid=1695565638&amp;sr=8-3")</f>
        <v/>
      </c>
      <c r="F2842" t="inlineStr">
        <is>
          <t>B07CZJHY29</t>
        </is>
      </c>
      <c r="G2842">
        <f>_xlfn.IMAGE("https://camerareadycosmetics.com/cdn/shop/products/studio-finishing-powder_1_50x.jpg?v=1691126683")</f>
        <v/>
      </c>
      <c r="H2842">
        <f>_xlfn.IMAGE("https://m.media-amazon.com/images/I/712QxUl9B8L._AC_UL320_.jpg")</f>
        <v/>
      </c>
      <c r="K2842" t="inlineStr">
        <is>
          <t>11.0</t>
        </is>
      </c>
      <c r="L2842" t="n">
        <v>6.99</v>
      </c>
      <c r="M2842" s="1" t="inlineStr">
        <is>
          <t>-36.45%</t>
        </is>
      </c>
      <c r="N2842" t="n">
        <v>5</v>
      </c>
      <c r="O2842" t="n">
        <v>3</v>
      </c>
      <c r="Q2842" t="inlineStr">
        <is>
          <t>OutOfStock</t>
        </is>
      </c>
      <c r="R2842" t="inlineStr">
        <is>
          <t>undefined</t>
        </is>
      </c>
      <c r="S2842" t="inlineStr">
        <is>
          <t>10083458698</t>
        </is>
      </c>
    </row>
    <row r="2843" ht="75" customHeight="1">
      <c r="A2843" s="2">
        <f>HYPERLINK("https://camerareadycosmetics.com/products/nyx-the-brow-glue-instant-brow-styler", "https://camerareadycosmetics.com/products/nyx-the-brow-glue-instant-brow-styler")</f>
        <v/>
      </c>
      <c r="B2843" s="2">
        <f>HYPERLINK("https://camerareadycosmetics.com/products/nyx-the-brow-glue-instant-brow-styler", "https://camerareadycosmetics.com/products/nyx-the-brow-glue-instant-brow-styler")</f>
        <v/>
      </c>
      <c r="C2843" t="inlineStr">
        <is>
          <t>The Brow Glue Instant Brow Styler</t>
        </is>
      </c>
      <c r="D2843" t="inlineStr">
        <is>
          <t>NYX PROFESSIONAL MAKEUP The Brow Glue Instant Brow Styler</t>
        </is>
      </c>
      <c r="E2843" s="2">
        <f>HYPERLINK("https://www.amazon.com/NYX-PROFESSIONAL-MAKEUP-Instant-Styler/dp/B08M58SWB1/ref=sr_1_1?keywords=The+Brow+Glue+Instant+Brow+Styler&amp;qid=1695565489&amp;sr=8-1", "https://www.amazon.com/NYX-PROFESSIONAL-MAKEUP-Instant-Styler/dp/B08M58SWB1/ref=sr_1_1?keywords=The+Brow+Glue+Instant+Brow+Styler&amp;qid=1695565489&amp;sr=8-1")</f>
        <v/>
      </c>
      <c r="F2843" t="inlineStr">
        <is>
          <t>B08M58SWB1</t>
        </is>
      </c>
      <c r="G2843">
        <f>_xlfn.IMAGE("https://camerareadycosmetics.com/cdn/shop/products/NYX-PMU-Makeup-Eyes-Brow-THE-BROW-GLUE-TBG01-01-000-0800897003777-OpenSwatch_50x.jpg?v=1625438612")</f>
        <v/>
      </c>
      <c r="H2843">
        <f>_xlfn.IMAGE("https://m.media-amazon.com/images/I/61n56I7YGcL._AC_UL320_.jpg")</f>
        <v/>
      </c>
      <c r="K2843" t="inlineStr">
        <is>
          <t>10.0</t>
        </is>
      </c>
      <c r="L2843" t="n">
        <v>8.449999999999999</v>
      </c>
      <c r="M2843" s="1" t="inlineStr">
        <is>
          <t>-15.50%</t>
        </is>
      </c>
      <c r="N2843" t="n">
        <v>4.3</v>
      </c>
      <c r="O2843" t="n">
        <v>21951</v>
      </c>
      <c r="Q2843" t="inlineStr">
        <is>
          <t>InStock</t>
        </is>
      </c>
      <c r="R2843" t="inlineStr">
        <is>
          <t>undefined</t>
        </is>
      </c>
      <c r="S2843" t="inlineStr">
        <is>
          <t>6812885713081</t>
        </is>
      </c>
    </row>
    <row r="2844" ht="75" customHeight="1">
      <c r="A2844" s="2">
        <f>HYPERLINK("https://camerareadycosmetics.com/products/nyx-thick-it-stick-it-brow-gel", "https://camerareadycosmetics.com/products/nyx-thick-it-stick-it-brow-gel")</f>
        <v/>
      </c>
      <c r="B2844" s="2">
        <f>HYPERLINK("https://camerareadycosmetics.com/products/nyx-thick-it-stick-it-brow-gel", "https://camerareadycosmetics.com/products/nyx-thick-it-stick-it-brow-gel")</f>
        <v/>
      </c>
      <c r="C2844" t="inlineStr">
        <is>
          <t>Thick It Stick It Brow Gel</t>
        </is>
      </c>
      <c r="D2844" t="inlineStr">
        <is>
          <t>NYX PROFESSIONAL MAKEUP Thick It Stick It Thickening Brow Mascara, Eyebrow Gel - Cool Blonde (blonde hair with cool undertones)</t>
        </is>
      </c>
      <c r="E2844" s="2">
        <f>HYPERLINK("https://www.amazon.com/NYX-PROFESSIONAL-MAKEUP-Thickening-Mascara/dp/B09MJCB4PR/ref=sr_1_1?keywords=Thick+It+Stick+It+Brow+Gel&amp;qid=1695565659&amp;sr=8-1", "https://www.amazon.com/NYX-PROFESSIONAL-MAKEUP-Thickening-Mascara/dp/B09MJCB4PR/ref=sr_1_1?keywords=Thick+It+Stick+It+Brow+Gel&amp;qid=1695565659&amp;sr=8-1")</f>
        <v/>
      </c>
      <c r="F2844" t="inlineStr">
        <is>
          <t>B09MJCB4PR</t>
        </is>
      </c>
      <c r="G2844">
        <f>_xlfn.IMAGE("https://camerareadycosmetics.com/cdn/shop/products/NYX-Professional-Makeup-THICK-IT-STICK-IT-BROW-MASCARA-VIEW--Arm-Swatch_50x.jpg?v=1688677126")</f>
        <v/>
      </c>
      <c r="H2844">
        <f>_xlfn.IMAGE("https://m.media-amazon.com/images/I/61uw1q63CXL._AC_UL320_.jpg")</f>
        <v/>
      </c>
      <c r="K2844" t="inlineStr">
        <is>
          <t>12.0</t>
        </is>
      </c>
      <c r="L2844" t="n">
        <v>9.640000000000001</v>
      </c>
      <c r="M2844" s="1" t="inlineStr">
        <is>
          <t>-19.67%</t>
        </is>
      </c>
      <c r="N2844" t="n">
        <v>4.2</v>
      </c>
      <c r="O2844" t="n">
        <v>11239</v>
      </c>
      <c r="Q2844" t="inlineStr">
        <is>
          <t>InStock</t>
        </is>
      </c>
      <c r="R2844" t="inlineStr">
        <is>
          <t>12.0</t>
        </is>
      </c>
      <c r="S2844" t="inlineStr">
        <is>
          <t>7330391949497</t>
        </is>
      </c>
    </row>
    <row r="2845" ht="75" customHeight="1">
      <c r="A2845" s="2">
        <f>HYPERLINK("https://camerareadycosmetics.com/products/nyx-thick-it-stick-it-brow-gel", "https://camerareadycosmetics.com/products/nyx-thick-it-stick-it-brow-gel")</f>
        <v/>
      </c>
      <c r="B2845" s="2">
        <f>HYPERLINK("https://camerareadycosmetics.com/products/nyx-thick-it-stick-it-brow-gel", "https://camerareadycosmetics.com/products/nyx-thick-it-stick-it-brow-gel")</f>
        <v/>
      </c>
      <c r="C2845" t="inlineStr">
        <is>
          <t>Thick It Stick It Brow Gel</t>
        </is>
      </c>
      <c r="D2845" t="inlineStr">
        <is>
          <t>Waterproof Tinted Brow Gel Kit- 1 Brown Tinted Thickening Eyebrow Mascara Gel &amp; 1 Clear Setting Brow Mascara Glue,Brow Fast Sculpt, Long Lasting Eye Makeup,With 1 Brow Razor &amp; 1 Brush-Set 05</t>
        </is>
      </c>
      <c r="E2845" s="2">
        <f>HYPERLINK("https://www.amazon.com/Waterproof-Thickening-Eyebrow-Mascara-Brush-Set/dp/B0BWFF7H2L/ref=sr_1_4?keywords=Thick+It+Stick+It+Brow+Gel&amp;qid=1695565659&amp;sr=8-4", "https://www.amazon.com/Waterproof-Thickening-Eyebrow-Mascara-Brush-Set/dp/B0BWFF7H2L/ref=sr_1_4?keywords=Thick+It+Stick+It+Brow+Gel&amp;qid=1695565659&amp;sr=8-4")</f>
        <v/>
      </c>
      <c r="F2845" t="inlineStr">
        <is>
          <t>B0BWFF7H2L</t>
        </is>
      </c>
      <c r="G2845">
        <f>_xlfn.IMAGE("https://camerareadycosmetics.com/cdn/shop/products/NYX-Professional-Makeup-THICK-IT-STICK-IT-BROW-MASCARA-VIEW--Arm-Swatch_50x.jpg?v=1688677126")</f>
        <v/>
      </c>
      <c r="H2845">
        <f>_xlfn.IMAGE("https://m.media-amazon.com/images/I/717PmossiiL._AC_UL320_.jpg")</f>
        <v/>
      </c>
      <c r="K2845" t="inlineStr">
        <is>
          <t>12.0</t>
        </is>
      </c>
      <c r="L2845" t="n">
        <v>8.49</v>
      </c>
      <c r="M2845" s="1" t="inlineStr">
        <is>
          <t>-29.25%</t>
        </is>
      </c>
      <c r="N2845" t="n">
        <v>3.9</v>
      </c>
      <c r="O2845" t="n">
        <v>66</v>
      </c>
      <c r="Q2845" t="inlineStr">
        <is>
          <t>InStock</t>
        </is>
      </c>
      <c r="R2845" t="inlineStr">
        <is>
          <t>12.0</t>
        </is>
      </c>
      <c r="S2845" t="inlineStr">
        <is>
          <t>7330391949497</t>
        </is>
      </c>
    </row>
    <row r="2846" ht="75" customHeight="1">
      <c r="A2846" s="2">
        <f>HYPERLINK("https://camerareadycosmetics.com/products/nyx-tinted-brow-mascara", "https://camerareadycosmetics.com/products/nyx-tinted-brow-mascara")</f>
        <v/>
      </c>
      <c r="B2846" s="2">
        <f>HYPERLINK("https://camerareadycosmetics.com/products/nyx-tinted-brow-mascara", "https://camerareadycosmetics.com/products/nyx-tinted-brow-mascara")</f>
        <v/>
      </c>
      <c r="C2846" t="inlineStr">
        <is>
          <t>Tinted Brow Mascara</t>
        </is>
      </c>
      <c r="D2846" t="inlineStr">
        <is>
          <t>Tinted Thickening Brow Mascara,Brow Fast Sculpt,Waterproof, Transfer-proof, Brush to Fill in Eyebrows and Cover Gray Hairs - Cruelty Free - Light Medium Brown (2 Pack) (06 Brunette)</t>
        </is>
      </c>
      <c r="E2846" s="2">
        <f>HYPERLINK("https://www.amazon.com/Thickening-Mascara-Waterproof-Transfer-proof-Eyebrows/dp/B0BQHK2Z6Q/ref=sr_1_9?keywords=Tinted+Brow+Mascara&amp;qid=1695565453&amp;sr=8-9", "https://www.amazon.com/Thickening-Mascara-Waterproof-Transfer-proof-Eyebrows/dp/B0BQHK2Z6Q/ref=sr_1_9?keywords=Tinted+Brow+Mascara&amp;qid=1695565453&amp;sr=8-9")</f>
        <v/>
      </c>
      <c r="F2846" t="inlineStr">
        <is>
          <t>B0BQHK2Z6Q</t>
        </is>
      </c>
      <c r="G2846">
        <f>_xlfn.IMAGE("https://camerareadycosmetics.com/cdn/shop/products/16814_zoom_1457920790_50x.jpg?v=1689658344")</f>
        <v/>
      </c>
      <c r="H2846">
        <f>_xlfn.IMAGE("https://m.media-amazon.com/images/I/61oc54zQrCL._AC_UL320_.jpg")</f>
        <v/>
      </c>
      <c r="K2846" t="inlineStr">
        <is>
          <t>8.5</t>
        </is>
      </c>
      <c r="L2846" t="n">
        <v>8.98</v>
      </c>
      <c r="M2846" s="1" t="inlineStr">
        <is>
          <t>5.65%</t>
        </is>
      </c>
      <c r="N2846" t="n">
        <v>3.7</v>
      </c>
      <c r="O2846" t="n">
        <v>18</v>
      </c>
      <c r="Q2846" t="inlineStr">
        <is>
          <t>InStock</t>
        </is>
      </c>
      <c r="R2846" t="inlineStr">
        <is>
          <t>undefined</t>
        </is>
      </c>
      <c r="S2846" t="inlineStr">
        <is>
          <t>7050212615</t>
        </is>
      </c>
    </row>
    <row r="2847" ht="75" customHeight="1">
      <c r="A2847" s="2">
        <f>HYPERLINK("https://camerareadycosmetics.com/products/nyx-tinted-brow-mascara", "https://camerareadycosmetics.com/products/nyx-tinted-brow-mascara")</f>
        <v/>
      </c>
      <c r="B2847" s="2">
        <f>HYPERLINK("https://camerareadycosmetics.com/products/nyx-tinted-brow-mascara", "https://camerareadycosmetics.com/products/nyx-tinted-brow-mascara")</f>
        <v/>
      </c>
      <c r="C2847" t="inlineStr">
        <is>
          <t>Tinted Brow Mascara</t>
        </is>
      </c>
      <c r="D2847" t="inlineStr">
        <is>
          <t>Waterproof Tinted Brow Gel Kit- 1 Rich Auburn Eyebrow Mascara Tint Glue &amp; 1 Clear Setting Brow Liquid,Long Lasting Eye Brow Makeup,Volumizing Thickening Brow Mascara,With 1 Brow Razor &amp; 1 Brush-Set 04</t>
        </is>
      </c>
      <c r="E2847" s="2">
        <f>HYPERLINK("https://www.amazon.com/Waterproof-Eyebrow-Volumizing-Thickening-Brush-Set/dp/B0C5N5572H/ref=sr_1_8?keywords=Tinted+Brow+Mascara&amp;qid=1695565453&amp;sr=8-8", "https://www.amazon.com/Waterproof-Eyebrow-Volumizing-Thickening-Brush-Set/dp/B0C5N5572H/ref=sr_1_8?keywords=Tinted+Brow+Mascara&amp;qid=1695565453&amp;sr=8-8")</f>
        <v/>
      </c>
      <c r="F2847" t="inlineStr">
        <is>
          <t>B0C5N5572H</t>
        </is>
      </c>
      <c r="G2847">
        <f>_xlfn.IMAGE("https://camerareadycosmetics.com/cdn/shop/products/16814_zoom_1457920790_50x.jpg?v=1689658344")</f>
        <v/>
      </c>
      <c r="H2847">
        <f>_xlfn.IMAGE("https://m.media-amazon.com/images/I/71mys3vPNhL._AC_UL320_.jpg")</f>
        <v/>
      </c>
      <c r="K2847" t="inlineStr">
        <is>
          <t>8.5</t>
        </is>
      </c>
      <c r="L2847" t="n">
        <v>8.49</v>
      </c>
      <c r="M2847" s="1" t="inlineStr">
        <is>
          <t>-0.12%</t>
        </is>
      </c>
      <c r="N2847" t="n">
        <v>3.9</v>
      </c>
      <c r="O2847" t="n">
        <v>66</v>
      </c>
      <c r="Q2847" t="inlineStr">
        <is>
          <t>InStock</t>
        </is>
      </c>
      <c r="R2847" t="inlineStr">
        <is>
          <t>undefined</t>
        </is>
      </c>
      <c r="S2847" t="inlineStr">
        <is>
          <t>7050212615</t>
        </is>
      </c>
    </row>
    <row r="2848" ht="75" customHeight="1">
      <c r="A2848" s="2">
        <f>HYPERLINK("https://camerareadycosmetics.com/products/nyx-tinted-brow-mascara", "https://camerareadycosmetics.com/products/nyx-tinted-brow-mascara")</f>
        <v/>
      </c>
      <c r="B2848" s="2">
        <f>HYPERLINK("https://camerareadycosmetics.com/products/nyx-tinted-brow-mascara", "https://camerareadycosmetics.com/products/nyx-tinted-brow-mascara")</f>
        <v/>
      </c>
      <c r="C2848" t="inlineStr">
        <is>
          <t>Tinted Brow Mascara</t>
        </is>
      </c>
      <c r="D2848" t="inlineStr">
        <is>
          <t>Waterproof Tinted Brow Gel- Long Lasting SmudgeProof Liquid Eyebrow Makeup, Eyebrow Mascara Tinted Brow Glue,Semi-Permanent Brow Filler, Volumizing Enhance Brow Mascara,With Brow Razor Brush- 03Brown</t>
        </is>
      </c>
      <c r="E2848" s="2">
        <f>HYPERLINK("https://www.amazon.com/Waterproof-Lasting-Smudge-Proof-Semi-Permanent-Volumizing/dp/B0BR88YZH8/ref=sr_1_5?keywords=Tinted+Brow+Mascara&amp;qid=1695565453&amp;sr=8-5", "https://www.amazon.com/Waterproof-Lasting-Smudge-Proof-Semi-Permanent-Volumizing/dp/B0BR88YZH8/ref=sr_1_5?keywords=Tinted+Brow+Mascara&amp;qid=1695565453&amp;sr=8-5")</f>
        <v/>
      </c>
      <c r="F2848" t="inlineStr">
        <is>
          <t>B0BR88YZH8</t>
        </is>
      </c>
      <c r="G2848">
        <f>_xlfn.IMAGE("https://camerareadycosmetics.com/cdn/shop/products/16814_zoom_1457920790_50x.jpg?v=1689658344")</f>
        <v/>
      </c>
      <c r="H2848">
        <f>_xlfn.IMAGE("https://m.media-amazon.com/images/I/71yG1ofD4AL._AC_UL320_.jpg")</f>
        <v/>
      </c>
      <c r="K2848" t="inlineStr">
        <is>
          <t>8.5</t>
        </is>
      </c>
      <c r="L2848" t="n">
        <v>7.99</v>
      </c>
      <c r="M2848" s="1" t="inlineStr">
        <is>
          <t>-6.00%</t>
        </is>
      </c>
      <c r="N2848" t="n">
        <v>3.9</v>
      </c>
      <c r="O2848" t="n">
        <v>204</v>
      </c>
      <c r="Q2848" t="inlineStr">
        <is>
          <t>InStock</t>
        </is>
      </c>
      <c r="R2848" t="inlineStr">
        <is>
          <t>undefined</t>
        </is>
      </c>
      <c r="S2848" t="inlineStr">
        <is>
          <t>7050212615</t>
        </is>
      </c>
    </row>
    <row r="2849" ht="75" customHeight="1">
      <c r="A2849" s="2">
        <f>HYPERLINK("https://camerareadycosmetics.com/products/nyx-tinted-brow-mascara", "https://camerareadycosmetics.com/products/nyx-tinted-brow-mascara")</f>
        <v/>
      </c>
      <c r="B2849" s="2">
        <f>HYPERLINK("https://camerareadycosmetics.com/products/nyx-tinted-brow-mascara", "https://camerareadycosmetics.com/products/nyx-tinted-brow-mascara")</f>
        <v/>
      </c>
      <c r="C2849" t="inlineStr">
        <is>
          <t>Tinted Brow Mascara</t>
        </is>
      </c>
      <c r="D2849" t="inlineStr">
        <is>
          <t>NYX PROFESSIONAL MAKEUP Tinted Eyebrow Mascara, Brunette</t>
        </is>
      </c>
      <c r="E2849" s="2">
        <f>HYPERLINK("https://www.amazon.com/NYX-PROFESSIONAL-MAKEUP-Mascara-Brunette/dp/B00P1HO2BU/ref=sr_1_1?keywords=Tinted+Brow+Mascara&amp;qid=1695565453&amp;sr=8-1", "https://www.amazon.com/NYX-PROFESSIONAL-MAKEUP-Mascara-Brunette/dp/B00P1HO2BU/ref=sr_1_1?keywords=Tinted+Brow+Mascara&amp;qid=1695565453&amp;sr=8-1")</f>
        <v/>
      </c>
      <c r="F2849" t="inlineStr">
        <is>
          <t>B00P1HO2BU</t>
        </is>
      </c>
      <c r="G2849">
        <f>_xlfn.IMAGE("https://camerareadycosmetics.com/cdn/shop/products/16814_zoom_1457920790_50x.jpg?v=1689658344")</f>
        <v/>
      </c>
      <c r="H2849">
        <f>_xlfn.IMAGE("https://m.media-amazon.com/images/I/51D01AgcocL._AC_UL320_.jpg")</f>
        <v/>
      </c>
      <c r="K2849" t="inlineStr">
        <is>
          <t>8.5</t>
        </is>
      </c>
      <c r="L2849" t="n">
        <v>7.99</v>
      </c>
      <c r="M2849" s="1" t="inlineStr">
        <is>
          <t>-6.00%</t>
        </is>
      </c>
      <c r="N2849" t="n">
        <v>4.4</v>
      </c>
      <c r="O2849" t="n">
        <v>30196</v>
      </c>
      <c r="Q2849" t="inlineStr">
        <is>
          <t>InStock</t>
        </is>
      </c>
      <c r="R2849" t="inlineStr">
        <is>
          <t>undefined</t>
        </is>
      </c>
      <c r="S2849" t="inlineStr">
        <is>
          <t>7050212615</t>
        </is>
      </c>
    </row>
    <row r="2850" ht="75" customHeight="1">
      <c r="A2850" s="2">
        <f>HYPERLINK("https://camerareadycosmetics.com/products/nyx-tinted-brow-mascara", "https://camerareadycosmetics.com/products/nyx-tinted-brow-mascara")</f>
        <v/>
      </c>
      <c r="B2850" s="2">
        <f>HYPERLINK("https://camerareadycosmetics.com/products/nyx-tinted-brow-mascara", "https://camerareadycosmetics.com/products/nyx-tinted-brow-mascara")</f>
        <v/>
      </c>
      <c r="C2850" t="inlineStr">
        <is>
          <t>Tinted Brow Mascara</t>
        </is>
      </c>
      <c r="D2850" t="inlineStr">
        <is>
          <t>Tinted Thickening Eyebrow Mascara with Two Eyebrow Brushes,Brow Fast Sculpt,Waterproof,Transfer-proof,Eyebrow Tinting Kit- Cruelty Free - Light Medium Brown (2 Pack) (04 Black)</t>
        </is>
      </c>
      <c r="E2850" s="2">
        <f>HYPERLINK("https://www.amazon.com/Thickening-Eyebrow-Mascara-Waterproof-Transfer-proof/dp/B0BZHY41DM/ref=sr_1_7?keywords=Tinted+Brow+Mascara&amp;qid=1695565453&amp;sr=8-7", "https://www.amazon.com/Thickening-Eyebrow-Mascara-Waterproof-Transfer-proof/dp/B0BZHY41DM/ref=sr_1_7?keywords=Tinted+Brow+Mascara&amp;qid=1695565453&amp;sr=8-7")</f>
        <v/>
      </c>
      <c r="F2850" t="inlineStr">
        <is>
          <t>B0BZHY41DM</t>
        </is>
      </c>
      <c r="G2850">
        <f>_xlfn.IMAGE("https://camerareadycosmetics.com/cdn/shop/products/16814_zoom_1457920790_50x.jpg?v=1689658344")</f>
        <v/>
      </c>
      <c r="H2850">
        <f>_xlfn.IMAGE("https://m.media-amazon.com/images/I/61niuYWCvnL._AC_UL320_.jpg")</f>
        <v/>
      </c>
      <c r="K2850" t="inlineStr">
        <is>
          <t>8.5</t>
        </is>
      </c>
      <c r="L2850" t="n">
        <v>7.98</v>
      </c>
      <c r="M2850" s="1" t="inlineStr">
        <is>
          <t>-6.12%</t>
        </is>
      </c>
      <c r="N2850" t="n">
        <v>4</v>
      </c>
      <c r="O2850" t="n">
        <v>31</v>
      </c>
      <c r="Q2850" t="inlineStr">
        <is>
          <t>InStock</t>
        </is>
      </c>
      <c r="R2850" t="inlineStr">
        <is>
          <t>undefined</t>
        </is>
      </c>
      <c r="S2850" t="inlineStr">
        <is>
          <t>7050212615</t>
        </is>
      </c>
    </row>
    <row r="2851" ht="75" customHeight="1">
      <c r="A2851" s="2">
        <f>HYPERLINK("https://camerareadycosmetics.com/products/nyx-tinted-brow-mascara", "https://camerareadycosmetics.com/products/nyx-tinted-brow-mascara")</f>
        <v/>
      </c>
      <c r="B2851" s="2">
        <f>HYPERLINK("https://camerareadycosmetics.com/products/nyx-tinted-brow-mascara", "https://camerareadycosmetics.com/products/nyx-tinted-brow-mascara")</f>
        <v/>
      </c>
      <c r="C2851" t="inlineStr">
        <is>
          <t>Tinted Brow Mascara</t>
        </is>
      </c>
      <c r="D2851" t="inlineStr">
        <is>
          <t>AKARY Eyebrow Gel Light Brown Waterproof Tinted Eyebrow Mascara, Natural Thickening Brow Shaper Instant Wild Eyebrow Shaping Makeup Gel, Long Lasting Volumizing Enhance Brow Mascara Quickly Fixing Natural Eyebrow Makeup, 01 Light Brown</t>
        </is>
      </c>
      <c r="E2851" s="2">
        <f>HYPERLINK("https://www.amazon.com/AKARY-Eyebrow-Waterproof-Thickening-Volumizing/dp/B0CBFF7QPJ/ref=sr_1_10?keywords=Tinted+Brow+Mascara&amp;qid=1695565453&amp;sr=8-10", "https://www.amazon.com/AKARY-Eyebrow-Waterproof-Thickening-Volumizing/dp/B0CBFF7QPJ/ref=sr_1_10?keywords=Tinted+Brow+Mascara&amp;qid=1695565453&amp;sr=8-10")</f>
        <v/>
      </c>
      <c r="F2851" t="inlineStr">
        <is>
          <t>B0CBFF7QPJ</t>
        </is>
      </c>
      <c r="G2851">
        <f>_xlfn.IMAGE("https://camerareadycosmetics.com/cdn/shop/products/16814_zoom_1457920790_50x.jpg?v=1689658344")</f>
        <v/>
      </c>
      <c r="H2851">
        <f>_xlfn.IMAGE("https://m.media-amazon.com/images/I/61Ee3Z0J2GL._AC_UL320_.jpg")</f>
        <v/>
      </c>
      <c r="K2851" t="inlineStr">
        <is>
          <t>8.5</t>
        </is>
      </c>
      <c r="L2851" t="n">
        <v>5.99</v>
      </c>
      <c r="M2851" s="1" t="inlineStr">
        <is>
          <t>-29.53%</t>
        </is>
      </c>
      <c r="N2851" t="n">
        <v>3.7</v>
      </c>
      <c r="O2851" t="n">
        <v>3</v>
      </c>
      <c r="Q2851" t="inlineStr">
        <is>
          <t>InStock</t>
        </is>
      </c>
      <c r="R2851" t="inlineStr">
        <is>
          <t>undefined</t>
        </is>
      </c>
      <c r="S2851" t="inlineStr">
        <is>
          <t>7050212615</t>
        </is>
      </c>
    </row>
    <row r="2852" ht="75" customHeight="1">
      <c r="A2852" s="2">
        <f>HYPERLINK("https://camerareadycosmetics.com/products/nyx-wonder-stick-contour-and-highlighter-stick", "https://camerareadycosmetics.com/products/nyx-wonder-stick-contour-and-highlighter-stick")</f>
        <v/>
      </c>
      <c r="B2852" s="2">
        <f>HYPERLINK("https://camerareadycosmetics.com/products/nyx-wonder-stick-contour-and-highlighter-stick", "https://camerareadycosmetics.com/products/nyx-wonder-stick-contour-and-highlighter-stick")</f>
        <v/>
      </c>
      <c r="C2852" t="inlineStr">
        <is>
          <t>Wonder Stick Contour and Highlighter Stick</t>
        </is>
      </c>
      <c r="D2852" t="inlineStr">
        <is>
          <t>CCbeauty Contour Stick, 3pcs Dual-ended Wonder Stick Cream Highlight &amp; Contour Kit, Bronzer and Highlighter Set for Face Contouring Shaping Makeup, Long Lasting &amp; Waterproof - All Skin</t>
        </is>
      </c>
      <c r="E2852" s="2">
        <f>HYPERLINK("https://www.amazon.com/CCbeauty-Dual-ended-Contouring-Highlighter-Colloection/dp/B01IMUB0PI/ref=sr_1_2?keywords=Wonder+Stick+Contour+and+Highlighter+Stick&amp;qid=1695565828&amp;sr=8-2", "https://www.amazon.com/CCbeauty-Dual-ended-Contouring-Highlighter-Colloection/dp/B01IMUB0PI/ref=sr_1_2?keywords=Wonder+Stick+Contour+and+Highlighter+Stick&amp;qid=1695565828&amp;sr=8-2")</f>
        <v/>
      </c>
      <c r="F2852" t="inlineStr">
        <is>
          <t>B01IMUB0PI</t>
        </is>
      </c>
      <c r="G2852">
        <f>_xlfn.IMAGE("https://camerareadycosmetics.com/cdn/shop/files/NYX-Professional-Makeup-WONDER-STICK-ALL-SHADES-Swatch-01_50x.jpg?v=1685470160")</f>
        <v/>
      </c>
      <c r="H2852">
        <f>_xlfn.IMAGE("https://m.media-amazon.com/images/I/71igbyhdkDL._AC_UL320_.jpg")</f>
        <v/>
      </c>
      <c r="K2852" t="inlineStr">
        <is>
          <t>14.0</t>
        </is>
      </c>
      <c r="L2852" t="n">
        <v>13.99</v>
      </c>
      <c r="M2852" s="1" t="inlineStr">
        <is>
          <t>-0.07%</t>
        </is>
      </c>
      <c r="N2852" t="n">
        <v>4</v>
      </c>
      <c r="O2852" t="n">
        <v>527</v>
      </c>
      <c r="Q2852" t="inlineStr">
        <is>
          <t>InStock</t>
        </is>
      </c>
      <c r="R2852" t="inlineStr">
        <is>
          <t>14.0</t>
        </is>
      </c>
      <c r="S2852" t="inlineStr">
        <is>
          <t>7593430024377</t>
        </is>
      </c>
    </row>
    <row r="2853" ht="75" customHeight="1">
      <c r="A2853" s="2">
        <f>HYPERLINK("https://camerareadycosmetics.com/products/nyx-wonder-stick-contour-and-highlighter-stick", "https://camerareadycosmetics.com/products/nyx-wonder-stick-contour-and-highlighter-stick")</f>
        <v/>
      </c>
      <c r="B2853" s="2">
        <f>HYPERLINK("https://camerareadycosmetics.com/products/nyx-wonder-stick-contour-and-highlighter-stick", "https://camerareadycosmetics.com/products/nyx-wonder-stick-contour-and-highlighter-stick")</f>
        <v/>
      </c>
      <c r="C2853" t="inlineStr">
        <is>
          <t>Wonder Stick Contour and Highlighter Stick</t>
        </is>
      </c>
      <c r="D2853" t="inlineStr">
        <is>
          <t>6 Colors Highlight and Contour Stick,Dual-Ended Full Coverage Wonder Stick,Color Corrector Concealer Stick,Contouring Highlighting Foundation,Shadow Cream Pen Body Shading Makeup Stick Set</t>
        </is>
      </c>
      <c r="E2853" s="2">
        <f>HYPERLINK("https://www.amazon.com/FANICEA-Highlighters-Contouring-Foundation-Highlighter/dp/B08L6B1ZSW/ref=sr_1_6?keywords=Wonder+Stick+Contour+and+Highlighter+Stick&amp;qid=1695565828&amp;sr=8-6", "https://www.amazon.com/FANICEA-Highlighters-Contouring-Foundation-Highlighter/dp/B08L6B1ZSW/ref=sr_1_6?keywords=Wonder+Stick+Contour+and+Highlighter+Stick&amp;qid=1695565828&amp;sr=8-6")</f>
        <v/>
      </c>
      <c r="F2853" t="inlineStr">
        <is>
          <t>B08L6B1ZSW</t>
        </is>
      </c>
      <c r="G2853">
        <f>_xlfn.IMAGE("https://camerareadycosmetics.com/cdn/shop/files/NYX-Professional-Makeup-WONDER-STICK-ALL-SHADES-Swatch-01_50x.jpg?v=1685470160")</f>
        <v/>
      </c>
      <c r="H2853">
        <f>_xlfn.IMAGE("https://m.media-amazon.com/images/I/71t4rr5eSRL._AC_UL320_.jpg")</f>
        <v/>
      </c>
      <c r="K2853" t="inlineStr">
        <is>
          <t>14.0</t>
        </is>
      </c>
      <c r="L2853" t="n">
        <v>12.59</v>
      </c>
      <c r="M2853" s="1" t="inlineStr">
        <is>
          <t>-10.07%</t>
        </is>
      </c>
      <c r="N2853" t="n">
        <v>4</v>
      </c>
      <c r="O2853" t="n">
        <v>547</v>
      </c>
      <c r="Q2853" t="inlineStr">
        <is>
          <t>InStock</t>
        </is>
      </c>
      <c r="R2853" t="inlineStr">
        <is>
          <t>14.0</t>
        </is>
      </c>
      <c r="S2853" t="inlineStr">
        <is>
          <t>7593430024377</t>
        </is>
      </c>
    </row>
    <row r="2854" ht="75" customHeight="1">
      <c r="A2854" s="2">
        <f>HYPERLINK("https://camerareadycosmetics.com/products/nyx-wonder-stick-contour-and-highlighter-stick", "https://camerareadycosmetics.com/products/nyx-wonder-stick-contour-and-highlighter-stick")</f>
        <v/>
      </c>
      <c r="B2854" s="2">
        <f>HYPERLINK("https://camerareadycosmetics.com/products/nyx-wonder-stick-contour-and-highlighter-stick", "https://camerareadycosmetics.com/products/nyx-wonder-stick-contour-and-highlighter-stick")</f>
        <v/>
      </c>
      <c r="C2854" t="inlineStr">
        <is>
          <t>Wonder Stick Contour and Highlighter Stick</t>
        </is>
      </c>
      <c r="D2854" t="inlineStr">
        <is>
          <t>CCbeauty Contour Stick Makeup, Dual-ended Cream Highlight &amp; Contour Kit, Bronzer and Highlighter Sticks for Face Contouring Shaping Makeup, Long Lasting &amp; Waterproof - Universal/Light</t>
        </is>
      </c>
      <c r="E2854" s="2">
        <f>HYPERLINK("https://www.amazon.com/CCbeauty-Dual-ended-Contouring-Highlighter-Color-Light/dp/B01ID29GBA/ref=sr_1_7?keywords=Wonder+Stick+Contour+and+Highlighter+Stick&amp;qid=1695565828&amp;sr=8-7", "https://www.amazon.com/CCbeauty-Dual-ended-Contouring-Highlighter-Color-Light/dp/B01ID29GBA/ref=sr_1_7?keywords=Wonder+Stick+Contour+and+Highlighter+Stick&amp;qid=1695565828&amp;sr=8-7")</f>
        <v/>
      </c>
      <c r="F2854" t="inlineStr">
        <is>
          <t>B01ID29GBA</t>
        </is>
      </c>
      <c r="G2854">
        <f>_xlfn.IMAGE("https://camerareadycosmetics.com/cdn/shop/files/NYX-Professional-Makeup-WONDER-STICK-ALL-SHADES-Swatch-01_50x.jpg?v=1685470160")</f>
        <v/>
      </c>
      <c r="H2854">
        <f>_xlfn.IMAGE("https://m.media-amazon.com/images/I/51+P6dLJlrL._AC_UL320_.jpg")</f>
        <v/>
      </c>
      <c r="K2854" t="inlineStr">
        <is>
          <t>14.0</t>
        </is>
      </c>
      <c r="L2854" t="n">
        <v>9.99</v>
      </c>
      <c r="M2854" s="1" t="inlineStr">
        <is>
          <t>-28.64%</t>
        </is>
      </c>
      <c r="N2854" t="n">
        <v>4.1</v>
      </c>
      <c r="O2854" t="n">
        <v>596</v>
      </c>
      <c r="Q2854" t="inlineStr">
        <is>
          <t>InStock</t>
        </is>
      </c>
      <c r="R2854" t="inlineStr">
        <is>
          <t>14.0</t>
        </is>
      </c>
      <c r="S2854" t="inlineStr">
        <is>
          <t>7593430024377</t>
        </is>
      </c>
    </row>
    <row r="2855" ht="75" customHeight="1">
      <c r="A2855" s="2">
        <f>HYPERLINK("https://camerareadycosmetics.com/products/nyx-wonder-stick-contour-and-highlighter-stick", "https://camerareadycosmetics.com/products/nyx-wonder-stick-contour-and-highlighter-stick")</f>
        <v/>
      </c>
      <c r="B2855" s="2">
        <f>HYPERLINK("https://camerareadycosmetics.com/products/nyx-wonder-stick-contour-and-highlighter-stick", "https://camerareadycosmetics.com/products/nyx-wonder-stick-contour-and-highlighter-stick")</f>
        <v/>
      </c>
      <c r="C2855" t="inlineStr">
        <is>
          <t>Wonder Stick Contour and Highlighter Stick</t>
        </is>
      </c>
      <c r="D2855" t="inlineStr">
        <is>
          <t>CCbeauty Contour Stick Makeup, Wonder Stick Cream Highlight &amp; Contour Kit, Bronzer and Highlighter Sticks for Face Contouring Shaping Makeup, Long Lasting &amp; Waterproof - Universal/Light 01</t>
        </is>
      </c>
      <c r="E2855" s="2">
        <f>HYPERLINK("https://www.amazon.com/CCbeauty-Highlight-Highlighter-Contouring-Waterproof/dp/B0BZPJK4H2/ref=sr_1_4?keywords=Wonder+Stick+Contour+and+Highlighter+Stick&amp;qid=1695565828&amp;sr=8-4", "https://www.amazon.com/CCbeauty-Highlight-Highlighter-Contouring-Waterproof/dp/B0BZPJK4H2/ref=sr_1_4?keywords=Wonder+Stick+Contour+and+Highlighter+Stick&amp;qid=1695565828&amp;sr=8-4")</f>
        <v/>
      </c>
      <c r="F2855" t="inlineStr">
        <is>
          <t>B0BZPJK4H2</t>
        </is>
      </c>
      <c r="G2855">
        <f>_xlfn.IMAGE("https://camerareadycosmetics.com/cdn/shop/files/NYX-Professional-Makeup-WONDER-STICK-ALL-SHADES-Swatch-01_50x.jpg?v=1685470160")</f>
        <v/>
      </c>
      <c r="H2855">
        <f>_xlfn.IMAGE("https://m.media-amazon.com/images/I/613HQArexZL._AC_UL320_.jpg")</f>
        <v/>
      </c>
      <c r="K2855" t="inlineStr">
        <is>
          <t>14.0</t>
        </is>
      </c>
      <c r="L2855" t="n">
        <v>9.99</v>
      </c>
      <c r="M2855" s="1" t="inlineStr">
        <is>
          <t>-28.64%</t>
        </is>
      </c>
      <c r="N2855" t="n">
        <v>2.9</v>
      </c>
      <c r="O2855" t="n">
        <v>2</v>
      </c>
      <c r="Q2855" t="inlineStr">
        <is>
          <t>InStock</t>
        </is>
      </c>
      <c r="R2855" t="inlineStr">
        <is>
          <t>14.0</t>
        </is>
      </c>
      <c r="S2855" t="inlineStr">
        <is>
          <t>7593430024377</t>
        </is>
      </c>
    </row>
    <row r="2856" ht="75" customHeight="1">
      <c r="A2856" s="2">
        <f>HYPERLINK("https://camerareadycosmetics.com/products/nyx-wonder-stick-contour-and-highlighter-stick", "https://camerareadycosmetics.com/products/nyx-wonder-stick-contour-and-highlighter-stick")</f>
        <v/>
      </c>
      <c r="B2856" s="2">
        <f>HYPERLINK("https://camerareadycosmetics.com/products/nyx-wonder-stick-contour-and-highlighter-stick", "https://camerareadycosmetics.com/products/nyx-wonder-stick-contour-and-highlighter-stick")</f>
        <v/>
      </c>
      <c r="C2856" t="inlineStr">
        <is>
          <t>Wonder Stick Contour and Highlighter Stick</t>
        </is>
      </c>
      <c r="D2856" t="inlineStr">
        <is>
          <t>Contour Stick, Cream Contour Stick Makeup,Bronzer Stick,2 in 1 Highlight and Contour Stick, Face Makeup Wonder Stick, Face Brightens &amp; Shades Pencil, Peachy &amp; Hazelnut(01#)</t>
        </is>
      </c>
      <c r="E2856" s="2">
        <f>HYPERLINK("https://www.amazon.com/Contour-Bronzer-Highlight-Brightens-Hazelnut/dp/B0CGHHWG4D/ref=sr_1_3?keywords=Wonder+Stick+Contour+and+Highlighter+Stick&amp;qid=1695565828&amp;sr=8-3", "https://www.amazon.com/Contour-Bronzer-Highlight-Brightens-Hazelnut/dp/B0CGHHWG4D/ref=sr_1_3?keywords=Wonder+Stick+Contour+and+Highlighter+Stick&amp;qid=1695565828&amp;sr=8-3")</f>
        <v/>
      </c>
      <c r="F2856" t="inlineStr">
        <is>
          <t>B0CGHHWG4D</t>
        </is>
      </c>
      <c r="G2856">
        <f>_xlfn.IMAGE("https://camerareadycosmetics.com/cdn/shop/files/NYX-Professional-Makeup-WONDER-STICK-ALL-SHADES-Swatch-01_50x.jpg?v=1685470160")</f>
        <v/>
      </c>
      <c r="H2856">
        <f>_xlfn.IMAGE("https://m.media-amazon.com/images/I/71ZSyRsw8SL._AC_UL320_.jpg")</f>
        <v/>
      </c>
      <c r="K2856" t="inlineStr">
        <is>
          <t>14.0</t>
        </is>
      </c>
      <c r="L2856" t="n">
        <v>9.99</v>
      </c>
      <c r="M2856" s="1" t="inlineStr">
        <is>
          <t>-28.64%</t>
        </is>
      </c>
      <c r="N2856" t="n">
        <v>4.8</v>
      </c>
      <c r="O2856" t="n">
        <v>1366</v>
      </c>
      <c r="Q2856" t="inlineStr">
        <is>
          <t>InStock</t>
        </is>
      </c>
      <c r="R2856" t="inlineStr">
        <is>
          <t>14.0</t>
        </is>
      </c>
      <c r="S2856" t="inlineStr">
        <is>
          <t>7593430024377</t>
        </is>
      </c>
    </row>
    <row r="2857" ht="75" customHeight="1">
      <c r="A2857" s="2">
        <f>HYPERLINK("https://camerareadycosmetics.com/products/nyx-wonder-stick-contour-and-highlighter-stick", "https://camerareadycosmetics.com/products/nyx-wonder-stick-contour-and-highlighter-stick")</f>
        <v/>
      </c>
      <c r="B2857" s="2">
        <f>HYPERLINK("https://camerareadycosmetics.com/products/nyx-wonder-stick-contour-and-highlighter-stick", "https://camerareadycosmetics.com/products/nyx-wonder-stick-contour-and-highlighter-stick")</f>
        <v/>
      </c>
      <c r="C2857" t="inlineStr">
        <is>
          <t>Wonder Stick Contour and Highlighter Stick</t>
        </is>
      </c>
      <c r="D2857" t="inlineStr">
        <is>
          <t>Contour Stick, Cream Contour Stick Makeup,Bronzer Stick,2 in 1 Highlight and Contour Stick, Face Makeup Wonder Stick, Face Brightens &amp; Shades Pencil, Gold White &amp; Cocoa (03#)</t>
        </is>
      </c>
      <c r="E2857" s="2">
        <f>HYPERLINK("https://www.amazon.com/Contour-Makeup-Bronzer-Highlight-Brightens-android/dp/B0C4SST9VH/ref=sr_1_8?keywords=Wonder+Stick+Contour+and+Highlighter+Stick&amp;qid=1695565828&amp;sr=8-8", "https://www.amazon.com/Contour-Makeup-Bronzer-Highlight-Brightens-android/dp/B0C4SST9VH/ref=sr_1_8?keywords=Wonder+Stick+Contour+and+Highlighter+Stick&amp;qid=1695565828&amp;sr=8-8")</f>
        <v/>
      </c>
      <c r="F2857" t="inlineStr">
        <is>
          <t>B0C4SST9VH</t>
        </is>
      </c>
      <c r="G2857">
        <f>_xlfn.IMAGE("https://camerareadycosmetics.com/cdn/shop/files/NYX-Professional-Makeup-WONDER-STICK-ALL-SHADES-Swatch-01_50x.jpg?v=1685470160")</f>
        <v/>
      </c>
      <c r="H2857">
        <f>_xlfn.IMAGE("https://m.media-amazon.com/images/I/71ZSyRsw8SL._AC_UL320_.jpg")</f>
        <v/>
      </c>
      <c r="K2857" t="inlineStr">
        <is>
          <t>14.0</t>
        </is>
      </c>
      <c r="L2857" t="n">
        <v>9.99</v>
      </c>
      <c r="M2857" s="1" t="inlineStr">
        <is>
          <t>-28.64%</t>
        </is>
      </c>
      <c r="N2857" t="n">
        <v>3.5</v>
      </c>
      <c r="O2857" t="n">
        <v>8</v>
      </c>
      <c r="Q2857" t="inlineStr">
        <is>
          <t>InStock</t>
        </is>
      </c>
      <c r="R2857" t="inlineStr">
        <is>
          <t>14.0</t>
        </is>
      </c>
      <c r="S2857" t="inlineStr">
        <is>
          <t>7593430024377</t>
        </is>
      </c>
    </row>
    <row r="2858" ht="75" customHeight="1">
      <c r="A2858" s="2">
        <f>HYPERLINK("https://camerareadycosmetics.com/products/nyx-wonder-stick-contour-and-highlighter-stick", "https://camerareadycosmetics.com/products/nyx-wonder-stick-contour-and-highlighter-stick")</f>
        <v/>
      </c>
      <c r="B2858" s="2">
        <f>HYPERLINK("https://camerareadycosmetics.com/products/nyx-wonder-stick-contour-and-highlighter-stick", "https://camerareadycosmetics.com/products/nyx-wonder-stick-contour-and-highlighter-stick")</f>
        <v/>
      </c>
      <c r="C2858" t="inlineStr">
        <is>
          <t>Wonder Stick Contour and Highlighter Stick</t>
        </is>
      </c>
      <c r="D2858" t="inlineStr">
        <is>
          <t>10 Colors Highlight and Contour Stick,Dual-Ended Full Coverage Wonder Stick,Color Corrector Concealer Stick,Contouring Highlighting Foundation,Highlighter Cream Pen Makeup De Maquillaje Para Mujer</t>
        </is>
      </c>
      <c r="E2858" s="2">
        <f>HYPERLINK("https://www.amazon.com/Dual-Ended-Contouring-Highlighting-Foundation-Highlighter/dp/B09TW1LCDJ/ref=sr_1_5?keywords=Wonder+Stick+Contour+and+Highlighter+Stick&amp;qid=1695565828&amp;sr=8-5", "https://www.amazon.com/Dual-Ended-Contouring-Highlighting-Foundation-Highlighter/dp/B09TW1LCDJ/ref=sr_1_5?keywords=Wonder+Stick+Contour+and+Highlighter+Stick&amp;qid=1695565828&amp;sr=8-5")</f>
        <v/>
      </c>
      <c r="F2858" t="inlineStr">
        <is>
          <t>B09TW1LCDJ</t>
        </is>
      </c>
      <c r="G2858">
        <f>_xlfn.IMAGE("https://camerareadycosmetics.com/cdn/shop/files/NYX-Professional-Makeup-WONDER-STICK-ALL-SHADES-Swatch-01_50x.jpg?v=1685470160")</f>
        <v/>
      </c>
      <c r="H2858">
        <f>_xlfn.IMAGE("https://m.media-amazon.com/images/I/61eiWIgU80L._AC_UL320_.jpg")</f>
        <v/>
      </c>
      <c r="K2858" t="inlineStr">
        <is>
          <t>14.0</t>
        </is>
      </c>
      <c r="L2858" t="n">
        <v>9.98</v>
      </c>
      <c r="M2858" s="1" t="inlineStr">
        <is>
          <t>-28.71%</t>
        </is>
      </c>
      <c r="N2858" t="n">
        <v>4</v>
      </c>
      <c r="O2858" t="n">
        <v>129</v>
      </c>
      <c r="Q2858" t="inlineStr">
        <is>
          <t>InStock</t>
        </is>
      </c>
      <c r="R2858" t="inlineStr">
        <is>
          <t>14.0</t>
        </is>
      </c>
      <c r="S2858" t="inlineStr">
        <is>
          <t>7593430024377</t>
        </is>
      </c>
    </row>
    <row r="2859" ht="75" customHeight="1">
      <c r="A2859" s="2">
        <f>HYPERLINK("https://camerareadycosmetics.com/products/nyx-wonder-stick-contour-and-highlighter-stick", "https://camerareadycosmetics.com/products/nyx-wonder-stick-contour-and-highlighter-stick")</f>
        <v/>
      </c>
      <c r="B2859" s="2">
        <f>HYPERLINK("https://camerareadycosmetics.com/products/nyx-wonder-stick-contour-and-highlighter-stick", "https://camerareadycosmetics.com/products/nyx-wonder-stick-contour-and-highlighter-stick")</f>
        <v/>
      </c>
      <c r="C2859" t="inlineStr">
        <is>
          <t>Wonder Stick Contour and Highlighter Stick</t>
        </is>
      </c>
      <c r="D2859" t="inlineStr">
        <is>
          <t>Mysense Double-Headed Highlight Contour Stick, 2 in 1 Face Body Makeup Shading Repair Highlighter Bronzer Concealer 3D Facial Wonder Stick Foundation Cream Pen,CS01</t>
        </is>
      </c>
      <c r="E2859" s="2">
        <f>HYPERLINK("https://www.amazon.com/Mysense-Double-Headed-Highlight-Highlighter-Foundation/dp/B09TP4XM9P/ref=sr_1_9?keywords=Wonder+Stick+Contour+and+Highlighter+Stick&amp;qid=1695565828&amp;sr=8-9", "https://www.amazon.com/Mysense-Double-Headed-Highlight-Highlighter-Foundation/dp/B09TP4XM9P/ref=sr_1_9?keywords=Wonder+Stick+Contour+and+Highlighter+Stick&amp;qid=1695565828&amp;sr=8-9")</f>
        <v/>
      </c>
      <c r="F2859" t="inlineStr">
        <is>
          <t>B09TP4XM9P</t>
        </is>
      </c>
      <c r="G2859">
        <f>_xlfn.IMAGE("https://camerareadycosmetics.com/cdn/shop/files/NYX-Professional-Makeup-WONDER-STICK-ALL-SHADES-Swatch-01_50x.jpg?v=1685470160")</f>
        <v/>
      </c>
      <c r="H2859">
        <f>_xlfn.IMAGE("https://m.media-amazon.com/images/I/5196S4tIuQL._AC_UL320_.jpg")</f>
        <v/>
      </c>
      <c r="K2859" t="inlineStr">
        <is>
          <t>14.0</t>
        </is>
      </c>
      <c r="L2859" t="n">
        <v>4.99</v>
      </c>
      <c r="M2859" s="1" t="inlineStr">
        <is>
          <t>-64.36%</t>
        </is>
      </c>
      <c r="N2859" t="n">
        <v>3.8</v>
      </c>
      <c r="O2859" t="n">
        <v>26</v>
      </c>
      <c r="Q2859" t="inlineStr">
        <is>
          <t>InStock</t>
        </is>
      </c>
      <c r="R2859" t="inlineStr">
        <is>
          <t>14.0</t>
        </is>
      </c>
      <c r="S2859" t="inlineStr">
        <is>
          <t>7593430024377</t>
        </is>
      </c>
    </row>
    <row r="2860" ht="75" customHeight="1">
      <c r="A2860" s="2">
        <f>HYPERLINK("https://camerareadycosmetics.com/products/nyx-wonder-stick-contour-and-highlighter-stick", "https://camerareadycosmetics.com/products/nyx-wonder-stick-contour-and-highlighter-stick")</f>
        <v/>
      </c>
      <c r="B2860" s="2">
        <f>HYPERLINK("https://camerareadycosmetics.com/products/nyx-wonder-stick-contour-and-highlighter-stick", "https://camerareadycosmetics.com/products/nyx-wonder-stick-contour-and-highlighter-stick")</f>
        <v/>
      </c>
      <c r="C2860" t="inlineStr">
        <is>
          <t>Wonder Stick Contour and Highlighter Stick</t>
        </is>
      </c>
      <c r="D2860" t="inlineStr">
        <is>
          <t>Mysense Double-Headed Highlight Contour Stick, 2 in 1 Face Body Makeup Shading Repair Highlighter Bronzer Concealer 3D Facial Wonder Stick Foundation Cream Pen,CS01</t>
        </is>
      </c>
      <c r="E2860" s="2">
        <f>HYPERLINK("https://www.amazon.com/Mysense-Double-Headed-Highlight-Highlighter-Foundation/dp/B09TP4XM9P/ref=sr_1_9?keywords=Wonder+Stick+Contour+and+Highlighter+Stick&amp;qid=1695565828&amp;sr=8-9", "https://www.amazon.com/Mysense-Double-Headed-Highlight-Highlighter-Foundation/dp/B09TP4XM9P/ref=sr_1_9?keywords=Wonder+Stick+Contour+and+Highlighter+Stick&amp;qid=1695565828&amp;sr=8-9")</f>
        <v/>
      </c>
      <c r="F2860" t="inlineStr">
        <is>
          <t>B09TP4XM9P</t>
        </is>
      </c>
      <c r="G2860">
        <f>_xlfn.IMAGE("https://camerareadycosmetics.com/cdn/shop/files/NYX-Professional-Makeup-WONDER-STICK-ALL-SHADES-Swatch-01_50x.jpg?v=1685470160")</f>
        <v/>
      </c>
      <c r="H2860">
        <f>_xlfn.IMAGE("https://m.media-amazon.com/images/I/5196S4tIuQL._AC_UL320_.jpg")</f>
        <v/>
      </c>
      <c r="K2860" t="inlineStr">
        <is>
          <t>14.0</t>
        </is>
      </c>
      <c r="L2860" t="n">
        <v>4.99</v>
      </c>
      <c r="M2860" s="1" t="inlineStr">
        <is>
          <t>-64.36%</t>
        </is>
      </c>
      <c r="N2860" t="n">
        <v>3.8</v>
      </c>
      <c r="O2860" t="n">
        <v>26</v>
      </c>
      <c r="Q2860" t="inlineStr">
        <is>
          <t>InStock</t>
        </is>
      </c>
      <c r="R2860" t="inlineStr">
        <is>
          <t>14.0</t>
        </is>
      </c>
      <c r="S2860" t="inlineStr">
        <is>
          <t>7593430024377</t>
        </is>
      </c>
    </row>
    <row r="2861" ht="75" customHeight="1">
      <c r="A2861" s="2">
        <f>HYPERLINK("https://camerareadycosmetics.com/products/ofra-beverly-hills-highlighter", "https://camerareadycosmetics.com/products/ofra-beverly-hills-highlighter")</f>
        <v/>
      </c>
      <c r="B2861" s="2">
        <f>HYPERLINK("https://camerareadycosmetics.com/products/ofra-beverly-hills-highlighter", "https://camerareadycosmetics.com/products/ofra-beverly-hills-highlighter")</f>
        <v/>
      </c>
      <c r="C2861" t="inlineStr">
        <is>
          <t>Ofra Beverly Hills Highlighter</t>
        </is>
      </c>
      <c r="D2861" t="inlineStr">
        <is>
          <t>Anastasia Beverly Hills - Mini Loose Highlighter Set</t>
        </is>
      </c>
      <c r="E2861" s="2">
        <f>HYPERLINK("https://www.amazon.com/Anastasia-Beverly-Hills-Loose-Highlighter/dp/B081MZ58T6/ref=sr_1_8?keywords=Ofra+Beverly+Hills+Highlighter&amp;qid=1695565472&amp;sr=8-8", "https://www.amazon.com/Anastasia-Beverly-Hills-Loose-Highlighter/dp/B081MZ58T6/ref=sr_1_8?keywords=Ofra+Beverly+Hills+Highlighter&amp;qid=1695565472&amp;sr=8-8")</f>
        <v/>
      </c>
      <c r="F2861" t="inlineStr">
        <is>
          <t>B081MZ58T6</t>
        </is>
      </c>
      <c r="G2861">
        <f>_xlfn.IMAGE("https://camerareadycosmetics.com/cdn/shop/products/ofra-beverly-hills-highlighter-bhh-swatch_grande_1bfcbea5-567c-4f79-9b27-ed00459055ad_50x.jpg?v=1550534756")</f>
        <v/>
      </c>
      <c r="H2861">
        <f>_xlfn.IMAGE("https://m.media-amazon.com/images/I/61Ll4etjsCL._AC_UL320_.jpg")</f>
        <v/>
      </c>
      <c r="K2861" t="inlineStr">
        <is>
          <t>40.0</t>
        </is>
      </c>
      <c r="L2861" t="n">
        <v>48</v>
      </c>
      <c r="M2861" s="1" t="inlineStr">
        <is>
          <t>20.00%</t>
        </is>
      </c>
      <c r="N2861" t="n">
        <v>4.1</v>
      </c>
      <c r="O2861" t="n">
        <v>42</v>
      </c>
      <c r="Q2861" t="inlineStr">
        <is>
          <t>InStock</t>
        </is>
      </c>
      <c r="R2861" t="inlineStr">
        <is>
          <t>undefined</t>
        </is>
      </c>
      <c r="S2861" t="inlineStr">
        <is>
          <t>10313526986</t>
        </is>
      </c>
    </row>
    <row r="2862" ht="75" customHeight="1">
      <c r="A2862" s="2">
        <f>HYPERLINK("https://camerareadycosmetics.com/products/ofra-beverly-hills-highlighter", "https://camerareadycosmetics.com/products/ofra-beverly-hills-highlighter")</f>
        <v/>
      </c>
      <c r="B2862" s="2">
        <f>HYPERLINK("https://camerareadycosmetics.com/products/ofra-beverly-hills-highlighter", "https://camerareadycosmetics.com/products/ofra-beverly-hills-highlighter")</f>
        <v/>
      </c>
      <c r="C2862" t="inlineStr">
        <is>
          <t>Ofra Beverly Hills Highlighter</t>
        </is>
      </c>
      <c r="D2862" t="inlineStr">
        <is>
          <t>Ofra Cosmetics Beverly Hills Highlighter | Smooth, Soft &amp; Easy to Apply Cheeks, Nose, Eyes &amp; Forehead | Long-Lasting Shade Colors Brings Gorgeous Glow. (Beverly Hills)</t>
        </is>
      </c>
      <c r="E2862" s="2">
        <f>HYPERLINK("https://www.amazon.com/Ofra-Cosmetics-Beverly-Hills-Highlighter/dp/B07CVN4DDM/ref=sr_1_2?keywords=Ofra+Beverly+Hills+Highlighter&amp;qid=1695565472&amp;sr=8-2", "https://www.amazon.com/Ofra-Cosmetics-Beverly-Hills-Highlighter/dp/B07CVN4DDM/ref=sr_1_2?keywords=Ofra+Beverly+Hills+Highlighter&amp;qid=1695565472&amp;sr=8-2")</f>
        <v/>
      </c>
      <c r="F2862" t="inlineStr">
        <is>
          <t>B07CVN4DDM</t>
        </is>
      </c>
      <c r="G2862">
        <f>_xlfn.IMAGE("https://camerareadycosmetics.com/cdn/shop/products/ofra-beverly-hills-highlighter-bhh-swatch_grande_1bfcbea5-567c-4f79-9b27-ed00459055ad_50x.jpg?v=1550534756")</f>
        <v/>
      </c>
      <c r="H2862">
        <f>_xlfn.IMAGE("https://m.media-amazon.com/images/I/91OHUowVBVL._AC_UL320_.jpg")</f>
        <v/>
      </c>
      <c r="K2862" t="inlineStr">
        <is>
          <t>40.0</t>
        </is>
      </c>
      <c r="L2862" t="n">
        <v>35</v>
      </c>
      <c r="M2862" s="1" t="inlineStr">
        <is>
          <t>-12.50%</t>
        </is>
      </c>
      <c r="N2862" t="n">
        <v>3.2</v>
      </c>
      <c r="O2862" t="n">
        <v>6</v>
      </c>
      <c r="Q2862" t="inlineStr">
        <is>
          <t>InStock</t>
        </is>
      </c>
      <c r="R2862" t="inlineStr">
        <is>
          <t>undefined</t>
        </is>
      </c>
      <c r="S2862" t="inlineStr">
        <is>
          <t>10313526986</t>
        </is>
      </c>
    </row>
    <row r="2863" ht="75" customHeight="1">
      <c r="A2863" s="2">
        <f>HYPERLINK("https://camerareadycosmetics.com/products/ofra-beverly-hills-highlighter", "https://camerareadycosmetics.com/products/ofra-beverly-hills-highlighter")</f>
        <v/>
      </c>
      <c r="B2863" s="2">
        <f>HYPERLINK("https://camerareadycosmetics.com/products/ofra-beverly-hills-highlighter", "https://camerareadycosmetics.com/products/ofra-beverly-hills-highlighter")</f>
        <v/>
      </c>
      <c r="C2863" t="inlineStr">
        <is>
          <t>Ofra Beverly Hills Highlighter</t>
        </is>
      </c>
      <c r="D2863" t="inlineStr">
        <is>
          <t>Anastasia Beverly Hills- Stick Highlighter (Hot Sand)</t>
        </is>
      </c>
      <c r="E2863" s="2">
        <f>HYPERLINK("https://www.amazon.com/Anastasia-Beverly-Hills-Stick-Highlighter/dp/B09HR4C9Q4/ref=sr_1_5?keywords=Ofra+Beverly+Hills+Highlighter&amp;qid=1695565472&amp;sr=8-5", "https://www.amazon.com/Anastasia-Beverly-Hills-Stick-Highlighter/dp/B09HR4C9Q4/ref=sr_1_5?keywords=Ofra+Beverly+Hills+Highlighter&amp;qid=1695565472&amp;sr=8-5")</f>
        <v/>
      </c>
      <c r="F2863" t="inlineStr">
        <is>
          <t>B09HR4C9Q4</t>
        </is>
      </c>
      <c r="G2863">
        <f>_xlfn.IMAGE("https://camerareadycosmetics.com/cdn/shop/products/ofra-beverly-hills-highlighter-bhh-swatch_grande_1bfcbea5-567c-4f79-9b27-ed00459055ad_50x.jpg?v=1550534756")</f>
        <v/>
      </c>
      <c r="H2863">
        <f>_xlfn.IMAGE("https://m.media-amazon.com/images/I/41a7OafWaHL._AC_UL320_.jpg")</f>
        <v/>
      </c>
      <c r="K2863" t="inlineStr">
        <is>
          <t>40.0</t>
        </is>
      </c>
      <c r="L2863" t="n">
        <v>32</v>
      </c>
      <c r="M2863" s="1" t="inlineStr">
        <is>
          <t>-20.00%</t>
        </is>
      </c>
      <c r="N2863" t="n">
        <v>4.5</v>
      </c>
      <c r="O2863" t="n">
        <v>29</v>
      </c>
      <c r="Q2863" t="inlineStr">
        <is>
          <t>InStock</t>
        </is>
      </c>
      <c r="R2863" t="inlineStr">
        <is>
          <t>undefined</t>
        </is>
      </c>
      <c r="S2863" t="inlineStr">
        <is>
          <t>10313526986</t>
        </is>
      </c>
    </row>
    <row r="2864" ht="75" customHeight="1">
      <c r="A2864" s="2">
        <f>HYPERLINK("https://camerareadycosmetics.com/products/ofra-beverly-hills-highlighter", "https://camerareadycosmetics.com/products/ofra-beverly-hills-highlighter")</f>
        <v/>
      </c>
      <c r="B2864" s="2">
        <f>HYPERLINK("https://camerareadycosmetics.com/products/ofra-beverly-hills-highlighter", "https://camerareadycosmetics.com/products/ofra-beverly-hills-highlighter")</f>
        <v/>
      </c>
      <c r="C2864" t="inlineStr">
        <is>
          <t>Ofra Beverly Hills Highlighter</t>
        </is>
      </c>
      <c r="D2864" t="inlineStr">
        <is>
          <t>Ofra Beverly Hills Highlighter Highlighter, 0.35 Ounce</t>
        </is>
      </c>
      <c r="E2864" s="2">
        <f>HYPERLINK("https://www.amazon.com/Ofra-Beverly-Hills-Highlighter-Ounce/dp/B01N6T7P0R/ref=sr_1_1?keywords=Ofra+Beverly+Hills+Highlighter&amp;qid=1695565472&amp;sr=8-1", "https://www.amazon.com/Ofra-Beverly-Hills-Highlighter-Ounce/dp/B01N6T7P0R/ref=sr_1_1?keywords=Ofra+Beverly+Hills+Highlighter&amp;qid=1695565472&amp;sr=8-1")</f>
        <v/>
      </c>
      <c r="F2864" t="inlineStr">
        <is>
          <t>B01N6T7P0R</t>
        </is>
      </c>
      <c r="G2864">
        <f>_xlfn.IMAGE("https://camerareadycosmetics.com/cdn/shop/products/ofra-beverly-hills-highlighter-bhh-swatch_grande_1bfcbea5-567c-4f79-9b27-ed00459055ad_50x.jpg?v=1550534756")</f>
        <v/>
      </c>
      <c r="H2864">
        <f>_xlfn.IMAGE("https://m.media-amazon.com/images/I/81NDYtu31gS._AC_UL320_.jpg")</f>
        <v/>
      </c>
      <c r="K2864" t="inlineStr">
        <is>
          <t>40.0</t>
        </is>
      </c>
      <c r="L2864" t="n">
        <v>24.41</v>
      </c>
      <c r="M2864" s="1" t="inlineStr">
        <is>
          <t>-38.98%</t>
        </is>
      </c>
      <c r="N2864" t="n">
        <v>4.3</v>
      </c>
      <c r="O2864" t="n">
        <v>19</v>
      </c>
      <c r="Q2864" t="inlineStr">
        <is>
          <t>InStock</t>
        </is>
      </c>
      <c r="R2864" t="inlineStr">
        <is>
          <t>undefined</t>
        </is>
      </c>
      <c r="S2864" t="inlineStr">
        <is>
          <t>10313526986</t>
        </is>
      </c>
    </row>
    <row r="2865" ht="75" customHeight="1">
      <c r="A2865" s="2">
        <f>HYPERLINK("https://camerareadycosmetics.com/products/ofra-beverly-hills-highlighter", "https://camerareadycosmetics.com/products/ofra-beverly-hills-highlighter")</f>
        <v/>
      </c>
      <c r="B2865" s="2">
        <f>HYPERLINK("https://camerareadycosmetics.com/products/ofra-beverly-hills-highlighter", "https://camerareadycosmetics.com/products/ofra-beverly-hills-highlighter")</f>
        <v/>
      </c>
      <c r="C2865" t="inlineStr">
        <is>
          <t>Ofra Beverly Hills Highlighter</t>
        </is>
      </c>
      <c r="D2865" t="inlineStr">
        <is>
          <t>Ofra Cosmetics Radiant Highlighters! Seven Beautiful Shades! Glazed Donut! Rodeo Drive! Pillow Talk! Beverly Hills! Everglow! Glow Goals! Only Blissful! Smooth Radiant Glow! (Only Blissful)</t>
        </is>
      </c>
      <c r="E2865" s="2">
        <f>HYPERLINK("https://www.amazon.com/Ofra-Cosmetics-Highlighters-Beautiful-Everglow/dp/B07CVMPS7G/ref=sr_1_3?keywords=Ofra+Beverly+Hills+Highlighter&amp;qid=1695565472&amp;sr=8-3", "https://www.amazon.com/Ofra-Cosmetics-Highlighters-Beautiful-Everglow/dp/B07CVMPS7G/ref=sr_1_3?keywords=Ofra+Beverly+Hills+Highlighter&amp;qid=1695565472&amp;sr=8-3")</f>
        <v/>
      </c>
      <c r="F2865" t="inlineStr">
        <is>
          <t>B07CVMPS7G</t>
        </is>
      </c>
      <c r="G2865">
        <f>_xlfn.IMAGE("https://camerareadycosmetics.com/cdn/shop/products/ofra-beverly-hills-highlighter-bhh-swatch_grande_1bfcbea5-567c-4f79-9b27-ed00459055ad_50x.jpg?v=1550534756")</f>
        <v/>
      </c>
      <c r="H2865">
        <f>_xlfn.IMAGE("https://m.media-amazon.com/images/I/81-cZSH71EL._AC_UL320_.jpg")</f>
        <v/>
      </c>
      <c r="K2865" t="inlineStr">
        <is>
          <t>40.0</t>
        </is>
      </c>
      <c r="L2865" t="n">
        <v>22.99</v>
      </c>
      <c r="M2865" s="1" t="inlineStr">
        <is>
          <t>-42.52%</t>
        </is>
      </c>
      <c r="N2865" t="n">
        <v>5</v>
      </c>
      <c r="O2865" t="n">
        <v>4</v>
      </c>
      <c r="Q2865" t="inlineStr">
        <is>
          <t>InStock</t>
        </is>
      </c>
      <c r="R2865" t="inlineStr">
        <is>
          <t>undefined</t>
        </is>
      </c>
      <c r="S2865" t="inlineStr">
        <is>
          <t>10313526986</t>
        </is>
      </c>
    </row>
    <row r="2866" ht="75" customHeight="1">
      <c r="A2866" s="2">
        <f>HYPERLINK("https://camerareadycosmetics.com/products/ofra-glow-up-highlighter-palette", "https://camerareadycosmetics.com/products/ofra-glow-up-highlighter-palette")</f>
        <v/>
      </c>
      <c r="B2866" s="2">
        <f>HYPERLINK("https://camerareadycosmetics.com/products/ofra-glow-up-highlighter-palette", "https://camerareadycosmetics.com/products/ofra-glow-up-highlighter-palette")</f>
        <v/>
      </c>
      <c r="C2866" t="inlineStr">
        <is>
          <t>Ofra Glow Up Highlighter Palette</t>
        </is>
      </c>
      <c r="D2866" t="inlineStr">
        <is>
          <t>Ofra Cosmetics Rodeo Drive Highlighter - Champagne Highlighter Makeup Palette for Cheeks, Nose, Eyes - Liquid to Baked Powder, Highly-Pigmented, Vegan Formula - Buttery Smooth, Long-Lasting - 10g</t>
        </is>
      </c>
      <c r="E2866" s="2">
        <f>HYPERLINK("https://www.amazon.com/Ofra-Feelin-Myself-Highlighter-Palette/dp/B079YB88F7/ref=sr_1_8?keywords=Ofra+Glow+Up+Highlighter+Palette&amp;qid=1695565566&amp;sr=8-8", "https://www.amazon.com/Ofra-Feelin-Myself-Highlighter-Palette/dp/B079YB88F7/ref=sr_1_8?keywords=Ofra+Glow+Up+Highlighter+Palette&amp;qid=1695565566&amp;sr=8-8")</f>
        <v/>
      </c>
      <c r="F2866" t="inlineStr">
        <is>
          <t>B079YB88F7</t>
        </is>
      </c>
      <c r="G2866">
        <f>_xlfn.IMAGE("https://camerareadycosmetics.com/cdn/shop/products/glow-up-palette-featured-3-ofra_50x.jpg?v=1550632707")</f>
        <v/>
      </c>
      <c r="H2866">
        <f>_xlfn.IMAGE("https://m.media-amazon.com/images/I/81fxiCdsMEL._AC_UL320_.jpg")</f>
        <v/>
      </c>
      <c r="K2866" t="inlineStr">
        <is>
          <t>49.0</t>
        </is>
      </c>
      <c r="L2866" t="n">
        <v>35</v>
      </c>
      <c r="M2866" s="1" t="inlineStr">
        <is>
          <t>-28.57%</t>
        </is>
      </c>
      <c r="N2866" t="n">
        <v>3.5</v>
      </c>
      <c r="O2866" t="n">
        <v>16</v>
      </c>
      <c r="Q2866" t="inlineStr">
        <is>
          <t>InStock</t>
        </is>
      </c>
      <c r="R2866" t="inlineStr">
        <is>
          <t>undefined</t>
        </is>
      </c>
      <c r="S2866" t="inlineStr">
        <is>
          <t>2143761334383</t>
        </is>
      </c>
    </row>
    <row r="2867" ht="75" customHeight="1">
      <c r="A2867" s="2">
        <f>HYPERLINK("https://camerareadycosmetics.com/products/ofra-glow-up-highlighter-palette", "https://camerareadycosmetics.com/products/ofra-glow-up-highlighter-palette")</f>
        <v/>
      </c>
      <c r="B2867" s="2">
        <f>HYPERLINK("https://camerareadycosmetics.com/products/ofra-glow-up-highlighter-palette", "https://camerareadycosmetics.com/products/ofra-glow-up-highlighter-palette")</f>
        <v/>
      </c>
      <c r="C2867" t="inlineStr">
        <is>
          <t>Ofra Glow Up Highlighter Palette</t>
        </is>
      </c>
      <c r="D2867" t="inlineStr">
        <is>
          <t>Ofra Cosmetics All of the Lights Highlighter - 4-in-1 Highlighter Makeup Palette for Cheeks, Nose, Eyes - Liquid to Baked Powder, Highly-Pigmented, Vegan Formula - Buttery Smooth, Long-Lasting - 10g</t>
        </is>
      </c>
      <c r="E2867" s="2">
        <f>HYPERLINK("https://www.amazon.com/Ofra-Cosmetics-Lights-Highlighter-Highly-Pigmented/dp/B07N65KYQY/ref=sr_1_10?keywords=Ofra+Glow+Up+Highlighter+Palette&amp;qid=1695565566&amp;sr=8-10", "https://www.amazon.com/Ofra-Cosmetics-Lights-Highlighter-Highly-Pigmented/dp/B07N65KYQY/ref=sr_1_10?keywords=Ofra+Glow+Up+Highlighter+Palette&amp;qid=1695565566&amp;sr=8-10")</f>
        <v/>
      </c>
      <c r="F2867" t="inlineStr">
        <is>
          <t>B07N65KYQY</t>
        </is>
      </c>
      <c r="G2867">
        <f>_xlfn.IMAGE("https://camerareadycosmetics.com/cdn/shop/products/glow-up-palette-featured-3-ofra_50x.jpg?v=1550632707")</f>
        <v/>
      </c>
      <c r="H2867">
        <f>_xlfn.IMAGE("https://m.media-amazon.com/images/I/81D-Lle9avL._AC_UL320_.jpg")</f>
        <v/>
      </c>
      <c r="K2867" t="inlineStr">
        <is>
          <t>49.0</t>
        </is>
      </c>
      <c r="L2867" t="n">
        <v>35</v>
      </c>
      <c r="M2867" s="1" t="inlineStr">
        <is>
          <t>-28.57%</t>
        </is>
      </c>
      <c r="N2867" t="n">
        <v>4</v>
      </c>
      <c r="O2867" t="n">
        <v>11</v>
      </c>
      <c r="Q2867" t="inlineStr">
        <is>
          <t>InStock</t>
        </is>
      </c>
      <c r="R2867" t="inlineStr">
        <is>
          <t>undefined</t>
        </is>
      </c>
      <c r="S2867" t="inlineStr">
        <is>
          <t>2143761334383</t>
        </is>
      </c>
    </row>
    <row r="2868" ht="75" customHeight="1">
      <c r="A2868" s="2">
        <f>HYPERLINK("https://camerareadycosmetics.com/products/ofra-glow-up-highlighter-palette", "https://camerareadycosmetics.com/products/ofra-glow-up-highlighter-palette")</f>
        <v/>
      </c>
      <c r="B2868" s="2">
        <f>HYPERLINK("https://camerareadycosmetics.com/products/ofra-glow-up-highlighter-palette", "https://camerareadycosmetics.com/products/ofra-glow-up-highlighter-palette")</f>
        <v/>
      </c>
      <c r="C2868" t="inlineStr">
        <is>
          <t>Ofra Glow Up Highlighter Palette</t>
        </is>
      </c>
      <c r="D2868" t="inlineStr">
        <is>
          <t>Ofra Highlighter Makeup! Plush And Pearl Pigment Highlighters! Smooth and Soft and Easy To Apply! Shade Colors Brings Such Gorgeous Glow! Choose Your Face Highlighter! (All Of The Lights)</t>
        </is>
      </c>
      <c r="E2868" s="2">
        <f>HYPERLINK("https://www.amazon.com/Highlighter-Makeup-Pigment-Highlighters-Gorgeous/dp/B07R6BSKR7/ref=sr_1_2?keywords=Ofra+Glow+Up+Highlighter+Palette&amp;qid=1695565566&amp;sr=8-2", "https://www.amazon.com/Highlighter-Makeup-Pigment-Highlighters-Gorgeous/dp/B07R6BSKR7/ref=sr_1_2?keywords=Ofra+Glow+Up+Highlighter+Palette&amp;qid=1695565566&amp;sr=8-2")</f>
        <v/>
      </c>
      <c r="F2868" t="inlineStr">
        <is>
          <t>B07R6BSKR7</t>
        </is>
      </c>
      <c r="G2868">
        <f>_xlfn.IMAGE("https://camerareadycosmetics.com/cdn/shop/products/glow-up-palette-featured-3-ofra_50x.jpg?v=1550632707")</f>
        <v/>
      </c>
      <c r="H2868">
        <f>_xlfn.IMAGE("https://m.media-amazon.com/images/I/61VdlTmwoCL._AC_UL320_.jpg")</f>
        <v/>
      </c>
      <c r="K2868" t="inlineStr">
        <is>
          <t>49.0</t>
        </is>
      </c>
      <c r="L2868" t="n">
        <v>35</v>
      </c>
      <c r="M2868" s="1" t="inlineStr">
        <is>
          <t>-28.57%</t>
        </is>
      </c>
      <c r="N2868" t="n">
        <v>4.3</v>
      </c>
      <c r="O2868" t="n">
        <v>26</v>
      </c>
      <c r="Q2868" t="inlineStr">
        <is>
          <t>InStock</t>
        </is>
      </c>
      <c r="R2868" t="inlineStr">
        <is>
          <t>undefined</t>
        </is>
      </c>
      <c r="S2868" t="inlineStr">
        <is>
          <t>2143761334383</t>
        </is>
      </c>
    </row>
    <row r="2869" ht="75" customHeight="1">
      <c r="A2869" s="2">
        <f>HYPERLINK("https://camerareadycosmetics.com/products/ofra-glow-up-highlighter-palette", "https://camerareadycosmetics.com/products/ofra-glow-up-highlighter-palette")</f>
        <v/>
      </c>
      <c r="B2869" s="2">
        <f>HYPERLINK("https://camerareadycosmetics.com/products/ofra-glow-up-highlighter-palette", "https://camerareadycosmetics.com/products/ofra-glow-up-highlighter-palette")</f>
        <v/>
      </c>
      <c r="C2869" t="inlineStr">
        <is>
          <t>Ofra Glow Up Highlighter Palette</t>
        </is>
      </c>
      <c r="D2869" t="inlineStr">
        <is>
          <t>Ofra Mini Mix Face Makeup Palette! Includes Eye Shadows, Bronzer, Blusher And Highlighters! Lightweight, Magnetic And Refillable Mini-Sized Full Face Palette! Vegan &amp; Cruelty Free! (Good To Go)</t>
        </is>
      </c>
      <c r="E2869" s="2">
        <f>HYPERLINK("https://www.amazon.com/Ofra-Highlighters-Lightweight-Refillable-Mini-Sized/dp/B091BQDYDW/ref=sr_1_3?keywords=Ofra+Glow+Up+Highlighter+Palette&amp;qid=1695565566&amp;sr=8-3", "https://www.amazon.com/Ofra-Highlighters-Lightweight-Refillable-Mini-Sized/dp/B091BQDYDW/ref=sr_1_3?keywords=Ofra+Glow+Up+Highlighter+Palette&amp;qid=1695565566&amp;sr=8-3")</f>
        <v/>
      </c>
      <c r="F2869" t="inlineStr">
        <is>
          <t>B091BQDYDW</t>
        </is>
      </c>
      <c r="G2869">
        <f>_xlfn.IMAGE("https://camerareadycosmetics.com/cdn/shop/products/glow-up-palette-featured-3-ofra_50x.jpg?v=1550632707")</f>
        <v/>
      </c>
      <c r="H2869">
        <f>_xlfn.IMAGE("https://m.media-amazon.com/images/I/61FhJQRbzEL._AC_UL320_.jpg")</f>
        <v/>
      </c>
      <c r="K2869" t="inlineStr">
        <is>
          <t>49.0</t>
        </is>
      </c>
      <c r="L2869" t="n">
        <v>32.97</v>
      </c>
      <c r="M2869" s="1" t="inlineStr">
        <is>
          <t>-32.71%</t>
        </is>
      </c>
      <c r="N2869" t="n">
        <v>4.8</v>
      </c>
      <c r="O2869" t="n">
        <v>11</v>
      </c>
      <c r="Q2869" t="inlineStr">
        <is>
          <t>InStock</t>
        </is>
      </c>
      <c r="R2869" t="inlineStr">
        <is>
          <t>undefined</t>
        </is>
      </c>
      <c r="S2869" t="inlineStr">
        <is>
          <t>2143761334383</t>
        </is>
      </c>
    </row>
    <row r="2870" ht="75" customHeight="1">
      <c r="A2870" s="2">
        <f>HYPERLINK("https://camerareadycosmetics.com/products/ofra-glow-up-highlighter-palette", "https://camerareadycosmetics.com/products/ofra-glow-up-highlighter-palette")</f>
        <v/>
      </c>
      <c r="B2870" s="2">
        <f>HYPERLINK("https://camerareadycosmetics.com/products/ofra-glow-up-highlighter-palette", "https://camerareadycosmetics.com/products/ofra-glow-up-highlighter-palette")</f>
        <v/>
      </c>
      <c r="C2870" t="inlineStr">
        <is>
          <t>Ofra Glow Up Highlighter Palette</t>
        </is>
      </c>
      <c r="D2870" t="inlineStr">
        <is>
          <t>Ofra Highlighter Makeup! Plush And Pearl Pigment Highlighters! Smooth and Soft and Easy To Apply! Shade Colors Brings Such Gorgeous Glow! Choose Your Face Highlighter! (Star Island)</t>
        </is>
      </c>
      <c r="E2870" s="2">
        <f>HYPERLINK("https://www.amazon.com/Ofra-Highlighter-Pigment-Highlighters-Gorgeous/dp/B07NDMYKLW/ref=sr_1_7?keywords=Ofra+Glow+Up+Highlighter+Palette&amp;qid=1695565566&amp;sr=8-7", "https://www.amazon.com/Ofra-Highlighter-Pigment-Highlighters-Gorgeous/dp/B07NDMYKLW/ref=sr_1_7?keywords=Ofra+Glow+Up+Highlighter+Palette&amp;qid=1695565566&amp;sr=8-7")</f>
        <v/>
      </c>
      <c r="F2870" t="inlineStr">
        <is>
          <t>B07NDMYKLW</t>
        </is>
      </c>
      <c r="G2870">
        <f>_xlfn.IMAGE("https://camerareadycosmetics.com/cdn/shop/products/glow-up-palette-featured-3-ofra_50x.jpg?v=1550632707")</f>
        <v/>
      </c>
      <c r="H2870">
        <f>_xlfn.IMAGE("https://m.media-amazon.com/images/I/81PHOfreWIL._AC_UL320_.jpg")</f>
        <v/>
      </c>
      <c r="K2870" t="inlineStr">
        <is>
          <t>49.0</t>
        </is>
      </c>
      <c r="L2870" t="n">
        <v>26.74</v>
      </c>
      <c r="M2870" s="1" t="inlineStr">
        <is>
          <t>-45.43%</t>
        </is>
      </c>
      <c r="N2870" t="n">
        <v>4.2</v>
      </c>
      <c r="O2870" t="n">
        <v>18</v>
      </c>
      <c r="Q2870" t="inlineStr">
        <is>
          <t>InStock</t>
        </is>
      </c>
      <c r="R2870" t="inlineStr">
        <is>
          <t>undefined</t>
        </is>
      </c>
      <c r="S2870" t="inlineStr">
        <is>
          <t>2143761334383</t>
        </is>
      </c>
    </row>
    <row r="2871" ht="75" customHeight="1">
      <c r="A2871" s="2">
        <f>HYPERLINK("https://camerareadycosmetics.com/products/ofra-glow-up-highlighter-palette", "https://camerareadycosmetics.com/products/ofra-glow-up-highlighter-palette")</f>
        <v/>
      </c>
      <c r="B2871" s="2">
        <f>HYPERLINK("https://camerareadycosmetics.com/products/ofra-glow-up-highlighter-palette", "https://camerareadycosmetics.com/products/ofra-glow-up-highlighter-palette")</f>
        <v/>
      </c>
      <c r="C2871" t="inlineStr">
        <is>
          <t>Ofra Glow Up Highlighter Palette</t>
        </is>
      </c>
      <c r="D2871" t="inlineStr">
        <is>
          <t>MEICOLY Shimmer Highlight Palette,Glow Up Highlighter Blush Contour Palette Facial Bronzers Illuminator Bright 8 Color Baked Powder with Marble Makeup Brush - Vegan, Cruelty Free</t>
        </is>
      </c>
      <c r="E2871" s="2">
        <f>HYPERLINK("https://www.amazon.com/MEICOLY-Highlight-Highlighter-Bronzers-Illuminator/dp/B08ZJM631Y/ref=sr_1_5?keywords=Ofra+Glow+Up+Highlighter+Palette&amp;qid=1695565566&amp;sr=8-5", "https://www.amazon.com/MEICOLY-Highlight-Highlighter-Bronzers-Illuminator/dp/B08ZJM631Y/ref=sr_1_5?keywords=Ofra+Glow+Up+Highlighter+Palette&amp;qid=1695565566&amp;sr=8-5")</f>
        <v/>
      </c>
      <c r="F2871" t="inlineStr">
        <is>
          <t>B08ZJM631Y</t>
        </is>
      </c>
      <c r="G2871">
        <f>_xlfn.IMAGE("https://camerareadycosmetics.com/cdn/shop/products/glow-up-palette-featured-3-ofra_50x.jpg?v=1550632707")</f>
        <v/>
      </c>
      <c r="H2871">
        <f>_xlfn.IMAGE("https://m.media-amazon.com/images/I/61AZnzgq8PS._AC_UL320_.jpg")</f>
        <v/>
      </c>
      <c r="K2871" t="inlineStr">
        <is>
          <t>49.0</t>
        </is>
      </c>
      <c r="L2871" t="n">
        <v>9.99</v>
      </c>
      <c r="M2871" s="1" t="inlineStr">
        <is>
          <t>-79.61%</t>
        </is>
      </c>
      <c r="N2871" t="n">
        <v>4.2</v>
      </c>
      <c r="O2871" t="n">
        <v>74</v>
      </c>
      <c r="Q2871" t="inlineStr">
        <is>
          <t>InStock</t>
        </is>
      </c>
      <c r="R2871" t="inlineStr">
        <is>
          <t>undefined</t>
        </is>
      </c>
      <c r="S2871" t="inlineStr">
        <is>
          <t>2143761334383</t>
        </is>
      </c>
    </row>
    <row r="2872" ht="75" customHeight="1">
      <c r="A2872" s="2">
        <f>HYPERLINK("https://camerareadycosmetics.com/products/ofra-glow-up-highlighter-palette", "https://camerareadycosmetics.com/products/ofra-glow-up-highlighter-palette")</f>
        <v/>
      </c>
      <c r="B2872" s="2">
        <f>HYPERLINK("https://camerareadycosmetics.com/products/ofra-glow-up-highlighter-palette", "https://camerareadycosmetics.com/products/ofra-glow-up-highlighter-palette")</f>
        <v/>
      </c>
      <c r="C2872" t="inlineStr">
        <is>
          <t>Ofra Glow Up Highlighter Palette</t>
        </is>
      </c>
      <c r="D2872" t="inlineStr">
        <is>
          <t>MEICOLY Shimmer Highlight Palette,Glow Up Highlighter Blush Contour Palette Facial Bronzers Illuminator Bright 8 Color Baked Powder with Marble Makeup Brush - Vegan, Cruelty Free</t>
        </is>
      </c>
      <c r="E2872" s="2">
        <f>HYPERLINK("https://www.amazon.com/MEICOLY-Highlight-Highlighter-Bronzers-Illuminator/dp/B08ZJM631Y/ref=sr_1_5?keywords=Ofra+Glow+Up+Highlighter+Palette&amp;qid=1695565566&amp;sr=8-5", "https://www.amazon.com/MEICOLY-Highlight-Highlighter-Bronzers-Illuminator/dp/B08ZJM631Y/ref=sr_1_5?keywords=Ofra+Glow+Up+Highlighter+Palette&amp;qid=1695565566&amp;sr=8-5")</f>
        <v/>
      </c>
      <c r="F2872" t="inlineStr">
        <is>
          <t>B08ZJM631Y</t>
        </is>
      </c>
      <c r="G2872">
        <f>_xlfn.IMAGE("https://camerareadycosmetics.com/cdn/shop/products/glow-up-palette-featured-3-ofra_50x.jpg?v=1550632707")</f>
        <v/>
      </c>
      <c r="H2872">
        <f>_xlfn.IMAGE("https://m.media-amazon.com/images/I/61AZnzgq8PS._AC_UL320_.jpg")</f>
        <v/>
      </c>
      <c r="K2872" t="inlineStr">
        <is>
          <t>49.0</t>
        </is>
      </c>
      <c r="L2872" t="n">
        <v>9.99</v>
      </c>
      <c r="M2872" s="1" t="inlineStr">
        <is>
          <t>-79.61%</t>
        </is>
      </c>
      <c r="N2872" t="n">
        <v>4.2</v>
      </c>
      <c r="O2872" t="n">
        <v>74</v>
      </c>
      <c r="Q2872" t="inlineStr">
        <is>
          <t>InStock</t>
        </is>
      </c>
      <c r="R2872" t="inlineStr">
        <is>
          <t>undefined</t>
        </is>
      </c>
      <c r="S2872" t="inlineStr">
        <is>
          <t>2143761334383</t>
        </is>
      </c>
    </row>
    <row r="2873" ht="75" customHeight="1">
      <c r="A2873" s="2">
        <f>HYPERLINK("https://camerareadycosmetics.com/products/ofra-mini-pillow-talk-highlighter", "https://camerareadycosmetics.com/products/ofra-mini-pillow-talk-highlighter")</f>
        <v/>
      </c>
      <c r="B2873" s="2">
        <f>HYPERLINK("https://camerareadycosmetics.com/products/ofra-mini-pillow-talk-highlighter", "https://camerareadycosmetics.com/products/ofra-mini-pillow-talk-highlighter")</f>
        <v/>
      </c>
      <c r="C2873" t="inlineStr">
        <is>
          <t>Ofra Mini Pillow Talk Highlighter</t>
        </is>
      </c>
      <c r="D2873" t="inlineStr">
        <is>
          <t>Ofra Cosmetics Radiant Highlighters! Seven Beautiful Shades! Glazed Donut! Rodeo Drive! Pillow Talk! Beverly Hills! Everglow! Glow Goals! Only Blissful! Smooth Radiant Glow! (Rodeo Drive)</t>
        </is>
      </c>
      <c r="E2873" s="2">
        <f>HYPERLINK("https://www.amazon.com/Ofra-Cosmetics-Highlighters-Beautiful-Everglow/dp/B07CVPGSFZ/ref=sr_1_4?keywords=Ofra+Mini+Pillow+Talk+Highlighter&amp;qid=1695565643&amp;sr=8-4", "https://www.amazon.com/Ofra-Cosmetics-Highlighters-Beautiful-Everglow/dp/B07CVPGSFZ/ref=sr_1_4?keywords=Ofra+Mini+Pillow+Talk+Highlighter&amp;qid=1695565643&amp;sr=8-4")</f>
        <v/>
      </c>
      <c r="F2873" t="inlineStr">
        <is>
          <t>B07CVPGSFZ</t>
        </is>
      </c>
      <c r="G2873">
        <f>_xlfn.IMAGE("https://camerareadycosmetics.com/cdn/shop/products/pillow_talk_arm-swatch_50x.jpg?v=1549477741")</f>
        <v/>
      </c>
      <c r="H2873">
        <f>_xlfn.IMAGE("https://m.media-amazon.com/images/I/41XlPIXVYcL._AC_UL320_.jpg")</f>
        <v/>
      </c>
      <c r="K2873" t="inlineStr">
        <is>
          <t>18.0</t>
        </is>
      </c>
      <c r="L2873" t="n">
        <v>50</v>
      </c>
      <c r="M2873" s="1" t="inlineStr">
        <is>
          <t>177.78%</t>
        </is>
      </c>
      <c r="N2873" t="n">
        <v>3.1</v>
      </c>
      <c r="O2873" t="n">
        <v>2</v>
      </c>
      <c r="Q2873" t="inlineStr">
        <is>
          <t>InStock</t>
        </is>
      </c>
      <c r="R2873" t="inlineStr">
        <is>
          <t>undefined</t>
        </is>
      </c>
      <c r="S2873" t="inlineStr">
        <is>
          <t>563256360970</t>
        </is>
      </c>
    </row>
    <row r="2874" ht="75" customHeight="1">
      <c r="A2874" s="2">
        <f>HYPERLINK("https://camerareadycosmetics.com/products/ofra-mini-pillow-talk-highlighter", "https://camerareadycosmetics.com/products/ofra-mini-pillow-talk-highlighter")</f>
        <v/>
      </c>
      <c r="B2874" s="2">
        <f>HYPERLINK("https://camerareadycosmetics.com/products/ofra-mini-pillow-talk-highlighter", "https://camerareadycosmetics.com/products/ofra-mini-pillow-talk-highlighter")</f>
        <v/>
      </c>
      <c r="C2874" t="inlineStr">
        <is>
          <t>Ofra Mini Pillow Talk Highlighter</t>
        </is>
      </c>
      <c r="D2874" t="inlineStr">
        <is>
          <t>Ofra Cosmetics Radiant Highlighters! Seven Beautiful Shades! Glazed Donut! Rodeo Drive! Pillow Talk! Beverly Hills! Everglow! Glow Goals! Only Blissful! Smooth Radiant Glow! (Only Blissful)</t>
        </is>
      </c>
      <c r="E2874" s="2">
        <f>HYPERLINK("https://www.amazon.com/Ofra-Cosmetics-Highlighters-Beautiful-Everglow/dp/B07CVMPS7G/ref=sr_1_2?keywords=Ofra+Mini+Pillow+Talk+Highlighter&amp;qid=1695565643&amp;sr=8-2", "https://www.amazon.com/Ofra-Cosmetics-Highlighters-Beautiful-Everglow/dp/B07CVMPS7G/ref=sr_1_2?keywords=Ofra+Mini+Pillow+Talk+Highlighter&amp;qid=1695565643&amp;sr=8-2")</f>
        <v/>
      </c>
      <c r="F2874" t="inlineStr">
        <is>
          <t>B07CVMPS7G</t>
        </is>
      </c>
      <c r="G2874">
        <f>_xlfn.IMAGE("https://camerareadycosmetics.com/cdn/shop/products/pillow_talk_arm-swatch_50x.jpg?v=1549477741")</f>
        <v/>
      </c>
      <c r="H2874">
        <f>_xlfn.IMAGE("https://m.media-amazon.com/images/I/81-cZSH71EL._AC_UL320_.jpg")</f>
        <v/>
      </c>
      <c r="K2874" t="inlineStr">
        <is>
          <t>18.0</t>
        </is>
      </c>
      <c r="L2874" t="n">
        <v>22.99</v>
      </c>
      <c r="M2874" s="1" t="inlineStr">
        <is>
          <t>27.72%</t>
        </is>
      </c>
      <c r="N2874" t="n">
        <v>5</v>
      </c>
      <c r="O2874" t="n">
        <v>4</v>
      </c>
      <c r="Q2874" t="inlineStr">
        <is>
          <t>InStock</t>
        </is>
      </c>
      <c r="R2874" t="inlineStr">
        <is>
          <t>undefined</t>
        </is>
      </c>
      <c r="S2874" t="inlineStr">
        <is>
          <t>563256360970</t>
        </is>
      </c>
    </row>
    <row r="2875" ht="75" customHeight="1">
      <c r="A2875" s="2">
        <f>HYPERLINK("https://camerareadycosmetics.com/products/ofra-mini-pillow-talk-highlighter", "https://camerareadycosmetics.com/products/ofra-mini-pillow-talk-highlighter")</f>
        <v/>
      </c>
      <c r="B2875" s="2">
        <f>HYPERLINK("https://camerareadycosmetics.com/products/ofra-mini-pillow-talk-highlighter", "https://camerareadycosmetics.com/products/ofra-mini-pillow-talk-highlighter")</f>
        <v/>
      </c>
      <c r="C2875" t="inlineStr">
        <is>
          <t>Ofra Mini Pillow Talk Highlighter</t>
        </is>
      </c>
      <c r="D2875" t="inlineStr">
        <is>
          <t>Ofra Cosmetics Radiant Highlighters! Seven Beautiful Shades! Glazed Donut! Rodeo Drive! Pillow Talk! Beverly Hills! Everglow! Glow Goals! Only Blissful! Smooth Radiant Glow! (Glow Goals)</t>
        </is>
      </c>
      <c r="E2875" s="2">
        <f>HYPERLINK("https://www.amazon.com/Ofra-Cosmetics-Highlighters-Beautiful-Everglow/dp/B07CVMSFWG/ref=sr_1_1?keywords=Ofra+Mini+Pillow+Talk+Highlighter&amp;qid=1695565643&amp;sr=8-1", "https://www.amazon.com/Ofra-Cosmetics-Highlighters-Beautiful-Everglow/dp/B07CVMSFWG/ref=sr_1_1?keywords=Ofra+Mini+Pillow+Talk+Highlighter&amp;qid=1695565643&amp;sr=8-1")</f>
        <v/>
      </c>
      <c r="F2875" t="inlineStr">
        <is>
          <t>B07CVMSFWG</t>
        </is>
      </c>
      <c r="G2875">
        <f>_xlfn.IMAGE("https://camerareadycosmetics.com/cdn/shop/products/pillow_talk_arm-swatch_50x.jpg?v=1549477741")</f>
        <v/>
      </c>
      <c r="H2875">
        <f>_xlfn.IMAGE("https://m.media-amazon.com/images/I/41J2Af-H0fL._AC_UL320_.jpg")</f>
        <v/>
      </c>
      <c r="K2875" t="inlineStr">
        <is>
          <t>18.0</t>
        </is>
      </c>
      <c r="L2875" t="n">
        <v>18.5</v>
      </c>
      <c r="M2875" s="1" t="inlineStr">
        <is>
          <t>2.78%</t>
        </is>
      </c>
      <c r="N2875" t="n">
        <v>5</v>
      </c>
      <c r="O2875" t="n">
        <v>3</v>
      </c>
      <c r="Q2875" t="inlineStr">
        <is>
          <t>InStock</t>
        </is>
      </c>
      <c r="R2875" t="inlineStr">
        <is>
          <t>undefined</t>
        </is>
      </c>
      <c r="S2875" t="inlineStr">
        <is>
          <t>563256360970</t>
        </is>
      </c>
    </row>
    <row r="2876" ht="75" customHeight="1">
      <c r="A2876" s="2">
        <f>HYPERLINK("https://camerareadycosmetics.com/products/ofra-mini-rodeo-drive-highlighter", "https://camerareadycosmetics.com/products/ofra-mini-rodeo-drive-highlighter")</f>
        <v/>
      </c>
      <c r="B2876" s="2">
        <f>HYPERLINK("https://camerareadycosmetics.com/products/ofra-mini-rodeo-drive-highlighter", "https://camerareadycosmetics.com/products/ofra-mini-rodeo-drive-highlighter")</f>
        <v/>
      </c>
      <c r="C2876" t="inlineStr">
        <is>
          <t>Ofra Mini Rodeo Drive Highlighter</t>
        </is>
      </c>
      <c r="D2876" t="inlineStr">
        <is>
          <t>Ofra Cosmetics Radiant Highlighters! Seven Beautiful Shades! Glazed Donut! Rodeo Drive! Pillow Talk! Beverly Hills! Everglow! Glow Goals! Only Blissful! Smooth Radiant Glow! (Rodeo Drive)</t>
        </is>
      </c>
      <c r="E2876" s="2">
        <f>HYPERLINK("https://www.amazon.com/Ofra-Cosmetics-Highlighters-Beautiful-Everglow/dp/B07CVPGSFZ/ref=sr_1_10?keywords=Ofra+Mini+Rodeo+Drive+Highlighter&amp;qid=1695565573&amp;sr=8-10", "https://www.amazon.com/Ofra-Cosmetics-Highlighters-Beautiful-Everglow/dp/B07CVPGSFZ/ref=sr_1_10?keywords=Ofra+Mini+Rodeo+Drive+Highlighter&amp;qid=1695565573&amp;sr=8-10")</f>
        <v/>
      </c>
      <c r="F2876" t="inlineStr">
        <is>
          <t>B07CVPGSFZ</t>
        </is>
      </c>
      <c r="G2876">
        <f>_xlfn.IMAGE("https://camerareadycosmetics.com/cdn/shop/products/ofra-rodeo-drive-highlighter-swatch-featured_50x.jpg?v=1549529795")</f>
        <v/>
      </c>
      <c r="H2876">
        <f>_xlfn.IMAGE("https://m.media-amazon.com/images/I/41XlPIXVYcL._AC_UL320_.jpg")</f>
        <v/>
      </c>
      <c r="K2876" t="inlineStr">
        <is>
          <t>18.0</t>
        </is>
      </c>
      <c r="L2876" t="n">
        <v>50</v>
      </c>
      <c r="M2876" s="1" t="inlineStr">
        <is>
          <t>177.78%</t>
        </is>
      </c>
      <c r="N2876" t="n">
        <v>3.1</v>
      </c>
      <c r="O2876" t="n">
        <v>2</v>
      </c>
      <c r="Q2876" t="inlineStr">
        <is>
          <t>InStock</t>
        </is>
      </c>
      <c r="R2876" t="inlineStr">
        <is>
          <t>undefined</t>
        </is>
      </c>
      <c r="S2876" t="inlineStr">
        <is>
          <t>563592626186</t>
        </is>
      </c>
    </row>
    <row r="2877" ht="75" customHeight="1">
      <c r="A2877" s="2">
        <f>HYPERLINK("https://camerareadycosmetics.com/products/ofra-mini-rodeo-drive-highlighter", "https://camerareadycosmetics.com/products/ofra-mini-rodeo-drive-highlighter")</f>
        <v/>
      </c>
      <c r="B2877" s="2">
        <f>HYPERLINK("https://camerareadycosmetics.com/products/ofra-mini-rodeo-drive-highlighter", "https://camerareadycosmetics.com/products/ofra-mini-rodeo-drive-highlighter")</f>
        <v/>
      </c>
      <c r="C2877" t="inlineStr">
        <is>
          <t>Ofra Mini Rodeo Drive Highlighter</t>
        </is>
      </c>
      <c r="D2877" t="inlineStr">
        <is>
          <t>Ofra Cosmetics Rodeo Drive Highlighter - Champagne Highlighter Makeup Palette for Cheeks, Nose, Eyes - Liquid to Baked Powder, Highly-Pigmented, Vegan Formula - Buttery Smooth, Long-Lasting - 10g</t>
        </is>
      </c>
      <c r="E2877" s="2" t="n"/>
      <c r="F2877" t="inlineStr">
        <is>
          <t>B079YB88F7</t>
        </is>
      </c>
      <c r="G2877">
        <f>_xlfn.IMAGE("https://camerareadycosmetics.com/cdn/shop/products/ofra-rodeo-drive-highlighter-swatch-featured_50x.jpg?v=1549529795")</f>
        <v/>
      </c>
      <c r="H2877">
        <f>_xlfn.IMAGE("https://m.media-amazon.com/images/I/81fxiCdsMEL._AC_UL320_.jpg")</f>
        <v/>
      </c>
      <c r="K2877" t="inlineStr">
        <is>
          <t>18.0</t>
        </is>
      </c>
      <c r="L2877" t="n">
        <v>35</v>
      </c>
      <c r="M2877" s="1" t="inlineStr">
        <is>
          <t>94.44%</t>
        </is>
      </c>
      <c r="N2877" t="n">
        <v>3.5</v>
      </c>
      <c r="O2877" t="n">
        <v>16</v>
      </c>
      <c r="Q2877" t="inlineStr">
        <is>
          <t>InStock</t>
        </is>
      </c>
      <c r="R2877" t="inlineStr">
        <is>
          <t>undefined</t>
        </is>
      </c>
      <c r="S2877" t="inlineStr">
        <is>
          <t>563592626186</t>
        </is>
      </c>
    </row>
    <row r="2878" ht="75" customHeight="1">
      <c r="A2878" s="2">
        <f>HYPERLINK("https://camerareadycosmetics.com/products/ofra-mini-rodeo-drive-highlighter", "https://camerareadycosmetics.com/products/ofra-mini-rodeo-drive-highlighter")</f>
        <v/>
      </c>
      <c r="B2878" s="2">
        <f>HYPERLINK("https://camerareadycosmetics.com/products/ofra-mini-rodeo-drive-highlighter", "https://camerareadycosmetics.com/products/ofra-mini-rodeo-drive-highlighter")</f>
        <v/>
      </c>
      <c r="C2878" t="inlineStr">
        <is>
          <t>Ofra Mini Rodeo Drive Highlighter</t>
        </is>
      </c>
      <c r="D2878" t="inlineStr">
        <is>
          <t>Ofra Cosmetics Highlighter Rodeo Drive</t>
        </is>
      </c>
      <c r="E2878" s="2">
        <f>HYPERLINK("https://www.amazon.com/Ofra-Cosmetics-Highlighter-Rodeo-Drive/dp/B071NNQBQW/ref=sr_1_4?keywords=Ofra+Mini+Rodeo+Drive+Highlighter&amp;qid=1695565573&amp;sr=8-4", "https://www.amazon.com/Ofra-Cosmetics-Highlighter-Rodeo-Drive/dp/B071NNQBQW/ref=sr_1_4?keywords=Ofra+Mini+Rodeo+Drive+Highlighter&amp;qid=1695565573&amp;sr=8-4")</f>
        <v/>
      </c>
      <c r="F2878" t="inlineStr">
        <is>
          <t>B071NNQBQW</t>
        </is>
      </c>
      <c r="G2878">
        <f>_xlfn.IMAGE("https://camerareadycosmetics.com/cdn/shop/products/ofra-rodeo-drive-highlighter-swatch-featured_50x.jpg?v=1549529795")</f>
        <v/>
      </c>
      <c r="H2878">
        <f>_xlfn.IMAGE("https://m.media-amazon.com/images/I/51oGuymQ4OL._AC_UL320_.jpg")</f>
        <v/>
      </c>
      <c r="K2878" t="inlineStr">
        <is>
          <t>18.0</t>
        </is>
      </c>
      <c r="L2878" t="n">
        <v>25.98</v>
      </c>
      <c r="M2878" s="1" t="inlineStr">
        <is>
          <t>44.33%</t>
        </is>
      </c>
      <c r="N2878" t="n">
        <v>4.2</v>
      </c>
      <c r="O2878" t="n">
        <v>61</v>
      </c>
      <c r="Q2878" t="inlineStr">
        <is>
          <t>InStock</t>
        </is>
      </c>
      <c r="R2878" t="inlineStr">
        <is>
          <t>undefined</t>
        </is>
      </c>
      <c r="S2878" t="inlineStr">
        <is>
          <t>563592626186</t>
        </is>
      </c>
    </row>
    <row r="2879" ht="75" customHeight="1">
      <c r="A2879" s="2">
        <f>HYPERLINK("https://camerareadycosmetics.com/products/ofra-mini-rodeo-drive-highlighter", "https://camerareadycosmetics.com/products/ofra-mini-rodeo-drive-highlighter")</f>
        <v/>
      </c>
      <c r="B2879" s="2">
        <f>HYPERLINK("https://camerareadycosmetics.com/products/ofra-mini-rodeo-drive-highlighter", "https://camerareadycosmetics.com/products/ofra-mini-rodeo-drive-highlighter")</f>
        <v/>
      </c>
      <c r="C2879" t="inlineStr">
        <is>
          <t>Ofra Mini Rodeo Drive Highlighter</t>
        </is>
      </c>
      <c r="D2879" t="inlineStr">
        <is>
          <t>Ofra Cosmetics Radiant Highlighters! Seven Beautiful Shades! Glazed Donut! Rodeo Drive! Pillow Talk! Beverly Hills! Everglow! Glow Goals! Only Blissful! Smooth Radiant Glow! (Only Blissful)</t>
        </is>
      </c>
      <c r="E2879" s="2">
        <f>HYPERLINK("https://www.amazon.com/Ofra-Cosmetics-Highlighters-Beautiful-Everglow/dp/B07CVMPS7G/ref=sr_1_5?keywords=Ofra+Mini+Rodeo+Drive+Highlighter&amp;qid=1695565573&amp;sr=8-5", "https://www.amazon.com/Ofra-Cosmetics-Highlighters-Beautiful-Everglow/dp/B07CVMPS7G/ref=sr_1_5?keywords=Ofra+Mini+Rodeo+Drive+Highlighter&amp;qid=1695565573&amp;sr=8-5")</f>
        <v/>
      </c>
      <c r="F2879" t="inlineStr">
        <is>
          <t>B07CVMPS7G</t>
        </is>
      </c>
      <c r="G2879">
        <f>_xlfn.IMAGE("https://camerareadycosmetics.com/cdn/shop/products/ofra-rodeo-drive-highlighter-swatch-featured_50x.jpg?v=1549529795")</f>
        <v/>
      </c>
      <c r="H2879">
        <f>_xlfn.IMAGE("https://m.media-amazon.com/images/I/81-cZSH71EL._AC_UL320_.jpg")</f>
        <v/>
      </c>
      <c r="K2879" t="inlineStr">
        <is>
          <t>18.0</t>
        </is>
      </c>
      <c r="L2879" t="n">
        <v>22.99</v>
      </c>
      <c r="M2879" s="1" t="inlineStr">
        <is>
          <t>27.72%</t>
        </is>
      </c>
      <c r="N2879" t="n">
        <v>5</v>
      </c>
      <c r="O2879" t="n">
        <v>4</v>
      </c>
      <c r="Q2879" t="inlineStr">
        <is>
          <t>InStock</t>
        </is>
      </c>
      <c r="R2879" t="inlineStr">
        <is>
          <t>undefined</t>
        </is>
      </c>
      <c r="S2879" t="inlineStr">
        <is>
          <t>563592626186</t>
        </is>
      </c>
    </row>
    <row r="2880" ht="75" customHeight="1">
      <c r="A2880" s="2">
        <f>HYPERLINK("https://camerareadycosmetics.com/products/ofra-mini-rodeo-drive-highlighter", "https://camerareadycosmetics.com/products/ofra-mini-rodeo-drive-highlighter")</f>
        <v/>
      </c>
      <c r="B2880" s="2">
        <f>HYPERLINK("https://camerareadycosmetics.com/products/ofra-mini-rodeo-drive-highlighter", "https://camerareadycosmetics.com/products/ofra-mini-rodeo-drive-highlighter")</f>
        <v/>
      </c>
      <c r="C2880" t="inlineStr">
        <is>
          <t>Ofra Mini Rodeo Drive Highlighter</t>
        </is>
      </c>
      <c r="D2880" t="inlineStr">
        <is>
          <t>Ofra Cosmetics Radiant Highlighters! Seven Beautiful Shades! Glazed Donut! Rodeo Drive! Pillow Talk! Beverly Hills! Everglow! Glow Goals! Only Blissful! Smooth Radiant Glow! (Glow Goals)</t>
        </is>
      </c>
      <c r="E2880" s="2">
        <f>HYPERLINK("https://www.amazon.com/Ofra-Cosmetics-Highlighters-Beautiful-Everglow/dp/B07CVMSFWG/ref=sr_1_6?keywords=Ofra+Mini+Rodeo+Drive+Highlighter&amp;qid=1695565573&amp;sr=8-6", "https://www.amazon.com/Ofra-Cosmetics-Highlighters-Beautiful-Everglow/dp/B07CVMSFWG/ref=sr_1_6?keywords=Ofra+Mini+Rodeo+Drive+Highlighter&amp;qid=1695565573&amp;sr=8-6")</f>
        <v/>
      </c>
      <c r="F2880" t="inlineStr">
        <is>
          <t>B07CVMSFWG</t>
        </is>
      </c>
      <c r="G2880">
        <f>_xlfn.IMAGE("https://camerareadycosmetics.com/cdn/shop/products/ofra-rodeo-drive-highlighter-swatch-featured_50x.jpg?v=1549529795")</f>
        <v/>
      </c>
      <c r="H2880">
        <f>_xlfn.IMAGE("https://m.media-amazon.com/images/I/41J2Af-H0fL._AC_UL320_.jpg")</f>
        <v/>
      </c>
      <c r="K2880" t="inlineStr">
        <is>
          <t>18.0</t>
        </is>
      </c>
      <c r="L2880" t="n">
        <v>18.5</v>
      </c>
      <c r="M2880" s="1" t="inlineStr">
        <is>
          <t>2.78%</t>
        </is>
      </c>
      <c r="N2880" t="n">
        <v>5</v>
      </c>
      <c r="O2880" t="n">
        <v>3</v>
      </c>
      <c r="Q2880" t="inlineStr">
        <is>
          <t>InStock</t>
        </is>
      </c>
      <c r="R2880" t="inlineStr">
        <is>
          <t>undefined</t>
        </is>
      </c>
      <c r="S2880" t="inlineStr">
        <is>
          <t>563592626186</t>
        </is>
      </c>
    </row>
    <row r="2881" ht="75" customHeight="1">
      <c r="A2881" s="2">
        <f>HYPERLINK("https://camerareadycosmetics.com/products/ofra-mini-rodeo-drive-highlighter", "https://camerareadycosmetics.com/products/ofra-mini-rodeo-drive-highlighter")</f>
        <v/>
      </c>
      <c r="B2881" s="2">
        <f>HYPERLINK("https://camerareadycosmetics.com/products/ofra-mini-rodeo-drive-highlighter", "https://camerareadycosmetics.com/products/ofra-mini-rodeo-drive-highlighter")</f>
        <v/>
      </c>
      <c r="C2881" t="inlineStr">
        <is>
          <t>Ofra Mini Rodeo Drive Highlighter</t>
        </is>
      </c>
      <c r="D2881" t="inlineStr">
        <is>
          <t>Ofra Rodeo Drive Highlighter for Women, 0.35 Ounce</t>
        </is>
      </c>
      <c r="E2881" s="2">
        <f>HYPERLINK("https://www.amazon.com/Ofra-Rodeo-Drive-Highlighter-Women/dp/B01N9U073G/ref=sr_1_3?keywords=Ofra+Mini+Rodeo+Drive+Highlighter&amp;qid=1695565573&amp;sr=8-3", "https://www.amazon.com/Ofra-Rodeo-Drive-Highlighter-Women/dp/B01N9U073G/ref=sr_1_3?keywords=Ofra+Mini+Rodeo+Drive+Highlighter&amp;qid=1695565573&amp;sr=8-3")</f>
        <v/>
      </c>
      <c r="F2881" t="inlineStr">
        <is>
          <t>B01N9U073G</t>
        </is>
      </c>
      <c r="G2881">
        <f>_xlfn.IMAGE("https://camerareadycosmetics.com/cdn/shop/products/ofra-rodeo-drive-highlighter-swatch-featured_50x.jpg?v=1549529795")</f>
        <v/>
      </c>
      <c r="H2881">
        <f>_xlfn.IMAGE("https://m.media-amazon.com/images/I/91ytrrDz5nL._AC_UL320_.jpg")</f>
        <v/>
      </c>
      <c r="K2881" t="inlineStr">
        <is>
          <t>18.0</t>
        </is>
      </c>
      <c r="L2881" t="n">
        <v>14.5</v>
      </c>
      <c r="M2881" s="1" t="inlineStr">
        <is>
          <t>-19.44%</t>
        </is>
      </c>
      <c r="N2881" t="n">
        <v>4.5</v>
      </c>
      <c r="O2881" t="n">
        <v>57</v>
      </c>
      <c r="Q2881" t="inlineStr">
        <is>
          <t>InStock</t>
        </is>
      </c>
      <c r="R2881" t="inlineStr">
        <is>
          <t>undefined</t>
        </is>
      </c>
      <c r="S2881" t="inlineStr">
        <is>
          <t>563592626186</t>
        </is>
      </c>
    </row>
    <row r="2882" ht="75" customHeight="1">
      <c r="A2882" s="2">
        <f>HYPERLINK("https://camerareadycosmetics.com/products/ofra-nikkietutorials-everglow-highlighter", "https://camerareadycosmetics.com/products/ofra-nikkietutorials-everglow-highlighter")</f>
        <v/>
      </c>
      <c r="B2882" s="2">
        <f>HYPERLINK("https://camerareadycosmetics.com/products/ofra-nikkietutorials-everglow-highlighter", "https://camerareadycosmetics.com/products/ofra-nikkietutorials-everglow-highlighter")</f>
        <v/>
      </c>
      <c r="C2882" t="inlineStr">
        <is>
          <t>Ofra NikkieTutorials Everglow Highlighter</t>
        </is>
      </c>
      <c r="D2882" t="inlineStr">
        <is>
          <t>Ofra Cosmetics Radiant Highlighters! Seven Beautiful Shades! Glazed Donut! Rodeo Drive! Pillow Talk! Beverly Hills! Everglow! Glow Goals! Only Blissful! Smooth Radiant Glow! (Rodeo Drive)</t>
        </is>
      </c>
      <c r="E2882" s="2">
        <f>HYPERLINK("https://www.amazon.com/Ofra-Cosmetics-Highlighters-Beautiful-Everglow/dp/B07CVPGSFZ/ref=sr_1_6?keywords=Ofra+NikkieTutorials+Everglow+Highlighter&amp;qid=1695565496&amp;sr=8-6", "https://www.amazon.com/Ofra-Cosmetics-Highlighters-Beautiful-Everglow/dp/B07CVPGSFZ/ref=sr_1_6?keywords=Ofra+NikkieTutorials+Everglow+Highlighter&amp;qid=1695565496&amp;sr=8-6")</f>
        <v/>
      </c>
      <c r="F2882" t="inlineStr">
        <is>
          <t>B07CVPGSFZ</t>
        </is>
      </c>
      <c r="G2882">
        <f>_xlfn.IMAGE("https://camerareadycosmetics.com/cdn/shop/products/ofra-everglow-highlighter-swatch-featured_50x.jpg?v=1549529796")</f>
        <v/>
      </c>
      <c r="H2882">
        <f>_xlfn.IMAGE("https://m.media-amazon.com/images/I/41XlPIXVYcL._AC_UL320_.jpg")</f>
        <v/>
      </c>
      <c r="K2882" t="inlineStr">
        <is>
          <t>35.0</t>
        </is>
      </c>
      <c r="L2882" t="n">
        <v>50</v>
      </c>
      <c r="M2882" s="1" t="inlineStr">
        <is>
          <t>42.86%</t>
        </is>
      </c>
      <c r="N2882" t="n">
        <v>3.1</v>
      </c>
      <c r="O2882" t="n">
        <v>2</v>
      </c>
      <c r="Q2882" t="inlineStr">
        <is>
          <t>InStock</t>
        </is>
      </c>
      <c r="R2882" t="inlineStr">
        <is>
          <t>undefined</t>
        </is>
      </c>
      <c r="S2882" t="inlineStr">
        <is>
          <t>89945014282</t>
        </is>
      </c>
    </row>
    <row r="2883" ht="75" customHeight="1">
      <c r="A2883" s="2">
        <f>HYPERLINK("https://camerareadycosmetics.com/products/ofra-nikkietutorials-everglow-highlighter", "https://camerareadycosmetics.com/products/ofra-nikkietutorials-everglow-highlighter")</f>
        <v/>
      </c>
      <c r="B2883" s="2">
        <f>HYPERLINK("https://camerareadycosmetics.com/products/ofra-nikkietutorials-everglow-highlighter", "https://camerareadycosmetics.com/products/ofra-nikkietutorials-everglow-highlighter")</f>
        <v/>
      </c>
      <c r="C2883" t="inlineStr">
        <is>
          <t>Ofra NikkieTutorials Everglow Highlighter</t>
        </is>
      </c>
      <c r="D2883" t="inlineStr">
        <is>
          <t>OFRA COSMETICS Nikkietutorials Glazed Donut Highlighter</t>
        </is>
      </c>
      <c r="E2883" s="2">
        <f>HYPERLINK("https://www.amazon.com/COSMETICS-Nikkietutorials-Glazed-Donut-Highlighter/dp/B07711TL9T/ref=sr_1_1?keywords=Ofra+NikkieTutorials+Everglow+Highlighter&amp;qid=1695565496&amp;sr=8-1", "https://www.amazon.com/COSMETICS-Nikkietutorials-Glazed-Donut-Highlighter/dp/B07711TL9T/ref=sr_1_1?keywords=Ofra+NikkieTutorials+Everglow+Highlighter&amp;qid=1695565496&amp;sr=8-1")</f>
        <v/>
      </c>
      <c r="F2883" t="inlineStr">
        <is>
          <t>B07711TL9T</t>
        </is>
      </c>
      <c r="G2883">
        <f>_xlfn.IMAGE("https://camerareadycosmetics.com/cdn/shop/products/ofra-everglow-highlighter-swatch-featured_50x.jpg?v=1549529796")</f>
        <v/>
      </c>
      <c r="H2883">
        <f>_xlfn.IMAGE("https://m.media-amazon.com/images/I/81kj538toXL._AC_UL320_.jpg")</f>
        <v/>
      </c>
      <c r="K2883" t="inlineStr">
        <is>
          <t>35.0</t>
        </is>
      </c>
      <c r="L2883" t="n">
        <v>29.5</v>
      </c>
      <c r="M2883" s="1" t="inlineStr">
        <is>
          <t>-15.71%</t>
        </is>
      </c>
      <c r="N2883" t="n">
        <v>4.1</v>
      </c>
      <c r="O2883" t="n">
        <v>32</v>
      </c>
      <c r="Q2883" t="inlineStr">
        <is>
          <t>InStock</t>
        </is>
      </c>
      <c r="R2883" t="inlineStr">
        <is>
          <t>undefined</t>
        </is>
      </c>
      <c r="S2883" t="inlineStr">
        <is>
          <t>89945014282</t>
        </is>
      </c>
    </row>
    <row r="2884" ht="75" customHeight="1">
      <c r="A2884" s="2">
        <f>HYPERLINK("https://camerareadycosmetics.com/products/ofra-nikkietutorials-everglow-highlighter", "https://camerareadycosmetics.com/products/ofra-nikkietutorials-everglow-highlighter")</f>
        <v/>
      </c>
      <c r="B2884" s="2">
        <f>HYPERLINK("https://camerareadycosmetics.com/products/ofra-nikkietutorials-everglow-highlighter", "https://camerareadycosmetics.com/products/ofra-nikkietutorials-everglow-highlighter")</f>
        <v/>
      </c>
      <c r="C2884" t="inlineStr">
        <is>
          <t>Ofra NikkieTutorials Everglow Highlighter</t>
        </is>
      </c>
      <c r="D2884" t="inlineStr">
        <is>
          <t>Ofra Highlighter Makeup! Plush And Pearl Pigment Highlighters! Smooth and Soft and Easy To Apply! Shade Colors Brings Such Gorgeous Glow! Choose Your Face Highlighter! (NIKKIETUTORIALS Space Baby)</t>
        </is>
      </c>
      <c r="E2884" s="2">
        <f>HYPERLINK("https://www.amazon.com/Ofra-Highlighter-Highlighters-Gorgeous-NIKKIETUTORIALS/dp/B07R4CQKTD/ref=sr_1_3?keywords=Ofra+NikkieTutorials+Everglow+Highlighter&amp;qid=1695565496&amp;sr=8-3", "https://www.amazon.com/Ofra-Highlighter-Highlighters-Gorgeous-NIKKIETUTORIALS/dp/B07R4CQKTD/ref=sr_1_3?keywords=Ofra+NikkieTutorials+Everglow+Highlighter&amp;qid=1695565496&amp;sr=8-3")</f>
        <v/>
      </c>
      <c r="F2884" t="inlineStr">
        <is>
          <t>B07R4CQKTD</t>
        </is>
      </c>
      <c r="G2884">
        <f>_xlfn.IMAGE("https://camerareadycosmetics.com/cdn/shop/products/ofra-everglow-highlighter-swatch-featured_50x.jpg?v=1549529796")</f>
        <v/>
      </c>
      <c r="H2884">
        <f>_xlfn.IMAGE("https://m.media-amazon.com/images/I/417bFS6zv4L._AC_UL320_.jpg")</f>
        <v/>
      </c>
      <c r="K2884" t="inlineStr">
        <is>
          <t>35.0</t>
        </is>
      </c>
      <c r="L2884" t="n">
        <v>25.53</v>
      </c>
      <c r="M2884" s="1" t="inlineStr">
        <is>
          <t>-27.06%</t>
        </is>
      </c>
      <c r="N2884" t="n">
        <v>4.3</v>
      </c>
      <c r="O2884" t="n">
        <v>26</v>
      </c>
      <c r="Q2884" t="inlineStr">
        <is>
          <t>InStock</t>
        </is>
      </c>
      <c r="R2884" t="inlineStr">
        <is>
          <t>undefined</t>
        </is>
      </c>
      <c r="S2884" t="inlineStr">
        <is>
          <t>89945014282</t>
        </is>
      </c>
    </row>
    <row r="2885" ht="75" customHeight="1">
      <c r="A2885" s="2">
        <f>HYPERLINK("https://camerareadycosmetics.com/products/ofra-nikkietutorials-everglow-highlighter", "https://camerareadycosmetics.com/products/ofra-nikkietutorials-everglow-highlighter")</f>
        <v/>
      </c>
      <c r="B2885" s="2">
        <f>HYPERLINK("https://camerareadycosmetics.com/products/ofra-nikkietutorials-everglow-highlighter", "https://camerareadycosmetics.com/products/ofra-nikkietutorials-everglow-highlighter")</f>
        <v/>
      </c>
      <c r="C2885" t="inlineStr">
        <is>
          <t>Ofra NikkieTutorials Everglow Highlighter</t>
        </is>
      </c>
      <c r="D2885" t="inlineStr">
        <is>
          <t>Ofra Cosmetics Radiant Highlighters! Seven Beautiful Shades! Glazed Donut! Rodeo Drive! Pillow Talk! Beverly Hills! Everglow! Glow Goals! Only Blissful! Smooth Radiant Glow! (Only Blissful)</t>
        </is>
      </c>
      <c r="E2885" s="2">
        <f>HYPERLINK("https://www.amazon.com/Ofra-Cosmetics-Highlighters-Beautiful-Everglow/dp/B07CVMPS7G/ref=sr_1_2?keywords=Ofra+NikkieTutorials+Everglow+Highlighter&amp;qid=1695565496&amp;sr=8-2", "https://www.amazon.com/Ofra-Cosmetics-Highlighters-Beautiful-Everglow/dp/B07CVMPS7G/ref=sr_1_2?keywords=Ofra+NikkieTutorials+Everglow+Highlighter&amp;qid=1695565496&amp;sr=8-2")</f>
        <v/>
      </c>
      <c r="F2885" t="inlineStr">
        <is>
          <t>B07CVMPS7G</t>
        </is>
      </c>
      <c r="G2885">
        <f>_xlfn.IMAGE("https://camerareadycosmetics.com/cdn/shop/products/ofra-everglow-highlighter-swatch-featured_50x.jpg?v=1549529796")</f>
        <v/>
      </c>
      <c r="H2885">
        <f>_xlfn.IMAGE("https://m.media-amazon.com/images/I/81-cZSH71EL._AC_UL320_.jpg")</f>
        <v/>
      </c>
      <c r="K2885" t="inlineStr">
        <is>
          <t>35.0</t>
        </is>
      </c>
      <c r="L2885" t="n">
        <v>22.99</v>
      </c>
      <c r="M2885" s="1" t="inlineStr">
        <is>
          <t>-34.31%</t>
        </is>
      </c>
      <c r="N2885" t="n">
        <v>5</v>
      </c>
      <c r="O2885" t="n">
        <v>4</v>
      </c>
      <c r="Q2885" t="inlineStr">
        <is>
          <t>InStock</t>
        </is>
      </c>
      <c r="R2885" t="inlineStr">
        <is>
          <t>undefined</t>
        </is>
      </c>
      <c r="S2885" t="inlineStr">
        <is>
          <t>89945014282</t>
        </is>
      </c>
    </row>
    <row r="2886" ht="75" customHeight="1">
      <c r="A2886" s="2">
        <f>HYPERLINK("https://camerareadycosmetics.com/products/ofra-nikkietutorials-glazed-donut-highlighter", "https://camerareadycosmetics.com/products/ofra-nikkietutorials-glazed-donut-highlighter")</f>
        <v/>
      </c>
      <c r="B2886" s="2">
        <f>HYPERLINK("https://camerareadycosmetics.com/products/ofra-nikkietutorials-glazed-donut-highlighter", "https://camerareadycosmetics.com/products/ofra-nikkietutorials-glazed-donut-highlighter")</f>
        <v/>
      </c>
      <c r="C2886" t="inlineStr">
        <is>
          <t>Ofra NikkieTutorials Glazed Donut Highlighter</t>
        </is>
      </c>
      <c r="D2886" t="inlineStr">
        <is>
          <t>Ofra Cosmetics Radiant Highlighters! Seven Beautiful Shades! Glazed Donut! Rodeo Drive! Pillow Talk! Beverly Hills! Everglow! Glow Goals! Only Blissful! Smooth Radiant Glow! (Rodeo Drive)</t>
        </is>
      </c>
      <c r="E2886" s="2">
        <f>HYPERLINK("https://www.amazon.com/Ofra-Cosmetics-Highlighters-Beautiful-Everglow/dp/B07CVPGSFZ/ref=sr_1_6?keywords=Ofra+NikkieTutorials+Glazed+Donut+Highlighter&amp;qid=1695565543&amp;sr=8-6", "https://www.amazon.com/Ofra-Cosmetics-Highlighters-Beautiful-Everglow/dp/B07CVPGSFZ/ref=sr_1_6?keywords=Ofra+NikkieTutorials+Glazed+Donut+Highlighter&amp;qid=1695565543&amp;sr=8-6")</f>
        <v/>
      </c>
      <c r="F2886" t="inlineStr">
        <is>
          <t>B07CVPGSFZ</t>
        </is>
      </c>
      <c r="G2886">
        <f>_xlfn.IMAGE("https://camerareadycosmetics.com/cdn/shop/products/glazed-donut-highlighter-nikkie-tutorials-swatch-hero-ofra_50x.jpg?v=1569027456")</f>
        <v/>
      </c>
      <c r="H2886">
        <f>_xlfn.IMAGE("https://m.media-amazon.com/images/I/41XlPIXVYcL._AC_UL320_.jpg")</f>
        <v/>
      </c>
      <c r="K2886" t="inlineStr">
        <is>
          <t>35.0</t>
        </is>
      </c>
      <c r="L2886" t="n">
        <v>50</v>
      </c>
      <c r="M2886" s="1" t="inlineStr">
        <is>
          <t>42.86%</t>
        </is>
      </c>
      <c r="N2886" t="n">
        <v>3.1</v>
      </c>
      <c r="O2886" t="n">
        <v>2</v>
      </c>
      <c r="Q2886" t="inlineStr">
        <is>
          <t>InStock</t>
        </is>
      </c>
      <c r="R2886" t="inlineStr">
        <is>
          <t>35.0</t>
        </is>
      </c>
      <c r="S2886" t="inlineStr">
        <is>
          <t>89935937546</t>
        </is>
      </c>
    </row>
    <row r="2887" ht="75" customHeight="1">
      <c r="A2887" s="2">
        <f>HYPERLINK("https://camerareadycosmetics.com/products/ofra-nikkietutorials-glazed-donut-highlighter", "https://camerareadycosmetics.com/products/ofra-nikkietutorials-glazed-donut-highlighter")</f>
        <v/>
      </c>
      <c r="B2887" s="2">
        <f>HYPERLINK("https://camerareadycosmetics.com/products/ofra-nikkietutorials-glazed-donut-highlighter", "https://camerareadycosmetics.com/products/ofra-nikkietutorials-glazed-donut-highlighter")</f>
        <v/>
      </c>
      <c r="C2887" t="inlineStr">
        <is>
          <t>Ofra NikkieTutorials Glazed Donut Highlighter</t>
        </is>
      </c>
      <c r="D2887" t="inlineStr">
        <is>
          <t>OFRA COSMETICS Nikkietutorials Glazed Donut Highlighter</t>
        </is>
      </c>
      <c r="E2887" s="2">
        <f>HYPERLINK("https://www.amazon.com/COSMETICS-Nikkietutorials-Glazed-Donut-Highlighter/dp/B07711TL9T/ref=sr_1_1?keywords=Ofra+NikkieTutorials+Glazed+Donut+Highlighter&amp;qid=1695565543&amp;sr=8-1", "https://www.amazon.com/COSMETICS-Nikkietutorials-Glazed-Donut-Highlighter/dp/B07711TL9T/ref=sr_1_1?keywords=Ofra+NikkieTutorials+Glazed+Donut+Highlighter&amp;qid=1695565543&amp;sr=8-1")</f>
        <v/>
      </c>
      <c r="F2887" t="inlineStr">
        <is>
          <t>B07711TL9T</t>
        </is>
      </c>
      <c r="G2887">
        <f>_xlfn.IMAGE("https://camerareadycosmetics.com/cdn/shop/products/glazed-donut-highlighter-nikkie-tutorials-swatch-hero-ofra_50x.jpg?v=1569027456")</f>
        <v/>
      </c>
      <c r="H2887">
        <f>_xlfn.IMAGE("https://m.media-amazon.com/images/I/81kj538toXL._AC_UL320_.jpg")</f>
        <v/>
      </c>
      <c r="K2887" t="inlineStr">
        <is>
          <t>35.0</t>
        </is>
      </c>
      <c r="L2887" t="n">
        <v>29.5</v>
      </c>
      <c r="M2887" s="1" t="inlineStr">
        <is>
          <t>-15.71%</t>
        </is>
      </c>
      <c r="N2887" t="n">
        <v>4.1</v>
      </c>
      <c r="O2887" t="n">
        <v>32</v>
      </c>
      <c r="Q2887" t="inlineStr">
        <is>
          <t>InStock</t>
        </is>
      </c>
      <c r="R2887" t="inlineStr">
        <is>
          <t>35.0</t>
        </is>
      </c>
      <c r="S2887" t="inlineStr">
        <is>
          <t>89935937546</t>
        </is>
      </c>
    </row>
    <row r="2888" ht="75" customHeight="1">
      <c r="A2888" s="2">
        <f>HYPERLINK("https://camerareadycosmetics.com/products/ofra-nikkietutorials-glazed-donut-highlighter", "https://camerareadycosmetics.com/products/ofra-nikkietutorials-glazed-donut-highlighter")</f>
        <v/>
      </c>
      <c r="B2888" s="2">
        <f>HYPERLINK("https://camerareadycosmetics.com/products/ofra-nikkietutorials-glazed-donut-highlighter", "https://camerareadycosmetics.com/products/ofra-nikkietutorials-glazed-donut-highlighter")</f>
        <v/>
      </c>
      <c r="C2888" t="inlineStr">
        <is>
          <t>Ofra NikkieTutorials Glazed Donut Highlighter</t>
        </is>
      </c>
      <c r="D2888" t="inlineStr">
        <is>
          <t>Ofra Cosmetics Radiant Highlighters! Seven Beautiful Shades! Glazed Donut! Rodeo Drive! Pillow Talk! Beverly Hills! Everglow! Glow Goals! Only Blissful! Smooth Radiant Glow! (Only Blissful)</t>
        </is>
      </c>
      <c r="E2888" s="2">
        <f>HYPERLINK("https://www.amazon.com/Ofra-Cosmetics-Highlighters-Beautiful-Everglow/dp/B07CVMPS7G/ref=sr_1_4?keywords=Ofra+NikkieTutorials+Glazed+Donut+Highlighter&amp;qid=1695565543&amp;sr=8-4", "https://www.amazon.com/Ofra-Cosmetics-Highlighters-Beautiful-Everglow/dp/B07CVMPS7G/ref=sr_1_4?keywords=Ofra+NikkieTutorials+Glazed+Donut+Highlighter&amp;qid=1695565543&amp;sr=8-4")</f>
        <v/>
      </c>
      <c r="F2888" t="inlineStr">
        <is>
          <t>B07CVMPS7G</t>
        </is>
      </c>
      <c r="G2888">
        <f>_xlfn.IMAGE("https://camerareadycosmetics.com/cdn/shop/products/glazed-donut-highlighter-nikkie-tutorials-swatch-hero-ofra_50x.jpg?v=1569027456")</f>
        <v/>
      </c>
      <c r="H2888">
        <f>_xlfn.IMAGE("https://m.media-amazon.com/images/I/81-cZSH71EL._AC_UL320_.jpg")</f>
        <v/>
      </c>
      <c r="K2888" t="inlineStr">
        <is>
          <t>35.0</t>
        </is>
      </c>
      <c r="L2888" t="n">
        <v>22.99</v>
      </c>
      <c r="M2888" s="1" t="inlineStr">
        <is>
          <t>-34.31%</t>
        </is>
      </c>
      <c r="N2888" t="n">
        <v>5</v>
      </c>
      <c r="O2888" t="n">
        <v>4</v>
      </c>
      <c r="Q2888" t="inlineStr">
        <is>
          <t>InStock</t>
        </is>
      </c>
      <c r="R2888" t="inlineStr">
        <is>
          <t>35.0</t>
        </is>
      </c>
      <c r="S2888" t="inlineStr">
        <is>
          <t>89935937546</t>
        </is>
      </c>
    </row>
    <row r="2889" ht="75" customHeight="1">
      <c r="A2889" s="2">
        <f>HYPERLINK("https://camerareadycosmetics.com/products/ofra-nikkietutorials-glow-goals-highlighter", "https://camerareadycosmetics.com/products/ofra-nikkietutorials-glow-goals-highlighter")</f>
        <v/>
      </c>
      <c r="B2889" s="2">
        <f>HYPERLINK("https://camerareadycosmetics.com/products/ofra-nikkietutorials-glow-goals-highlighter", "https://camerareadycosmetics.com/products/ofra-nikkietutorials-glow-goals-highlighter")</f>
        <v/>
      </c>
      <c r="C2889" t="inlineStr">
        <is>
          <t>Ofra NikkieTutorials Glow Goals Highlighter</t>
        </is>
      </c>
      <c r="D2889" t="inlineStr">
        <is>
          <t>Ofra Cosmetics Radiant Highlighters! Seven Beautiful Shades! Glazed Donut! Rodeo Drive! Pillow Talk! Beverly Hills! Everglow! Glow Goals! Only Blissful! Smooth Radiant Glow! (Rodeo Drive)</t>
        </is>
      </c>
      <c r="E2889" s="2">
        <f>HYPERLINK("https://www.amazon.com/Ofra-Cosmetics-Highlighters-Beautiful-Everglow/dp/B07CVPGSFZ/ref=sr_1_6?keywords=Ofra+NikkieTutorials+Glow+Goals+Highlighter&amp;qid=1695565582&amp;sr=8-6", "https://www.amazon.com/Ofra-Cosmetics-Highlighters-Beautiful-Everglow/dp/B07CVPGSFZ/ref=sr_1_6?keywords=Ofra+NikkieTutorials+Glow+Goals+Highlighter&amp;qid=1695565582&amp;sr=8-6")</f>
        <v/>
      </c>
      <c r="F2889" t="inlineStr">
        <is>
          <t>B07CVPGSFZ</t>
        </is>
      </c>
      <c r="G2889">
        <f>_xlfn.IMAGE("https://camerareadycosmetics.com/cdn/shop/products/glazed-donut-highlighter-nikkie-tutorials-swatch-hero-ofra_ced07ad3-3fb7-46a8-9208-79a94f16535e_50x.jpg?v=1556774156")</f>
        <v/>
      </c>
      <c r="H2889">
        <f>_xlfn.IMAGE("https://m.media-amazon.com/images/I/41XlPIXVYcL._AC_UL320_.jpg")</f>
        <v/>
      </c>
      <c r="K2889" t="inlineStr">
        <is>
          <t>35.0</t>
        </is>
      </c>
      <c r="L2889" t="n">
        <v>50</v>
      </c>
      <c r="M2889" s="1" t="inlineStr">
        <is>
          <t>42.86%</t>
        </is>
      </c>
      <c r="N2889" t="n">
        <v>3.1</v>
      </c>
      <c r="O2889" t="n">
        <v>2</v>
      </c>
      <c r="Q2889" t="inlineStr">
        <is>
          <t>InStock</t>
        </is>
      </c>
      <c r="R2889" t="inlineStr">
        <is>
          <t>undefined</t>
        </is>
      </c>
      <c r="S2889" t="inlineStr">
        <is>
          <t>89867911178</t>
        </is>
      </c>
    </row>
    <row r="2890" ht="75" customHeight="1">
      <c r="A2890" s="2">
        <f>HYPERLINK("https://camerareadycosmetics.com/products/ofra-nikkietutorials-glow-goals-highlighter", "https://camerareadycosmetics.com/products/ofra-nikkietutorials-glow-goals-highlighter")</f>
        <v/>
      </c>
      <c r="B2890" s="2">
        <f>HYPERLINK("https://camerareadycosmetics.com/products/ofra-nikkietutorials-glow-goals-highlighter", "https://camerareadycosmetics.com/products/ofra-nikkietutorials-glow-goals-highlighter")</f>
        <v/>
      </c>
      <c r="C2890" t="inlineStr">
        <is>
          <t>Ofra NikkieTutorials Glow Goals Highlighter</t>
        </is>
      </c>
      <c r="D2890" t="inlineStr">
        <is>
          <t>Ofra Highlighter Makeup! Plush And Pearl Pigment Highlighters! Smooth and Soft and Easy To Apply! Shade Colors Brings Such Gorgeous Glow! Choose Your Face Highlighter! (NIKKIETUTORIALS Space Baby)</t>
        </is>
      </c>
      <c r="E2890" s="2">
        <f>HYPERLINK("https://www.amazon.com/Ofra-Highlighter-Highlighters-Gorgeous-NIKKIETUTORIALS/dp/B07R4CQKTD/ref=sr_1_3?keywords=Ofra+NikkieTutorials+Glow+Goals+Highlighter&amp;qid=1695565582&amp;sr=8-3", "https://www.amazon.com/Ofra-Highlighter-Highlighters-Gorgeous-NIKKIETUTORIALS/dp/B07R4CQKTD/ref=sr_1_3?keywords=Ofra+NikkieTutorials+Glow+Goals+Highlighter&amp;qid=1695565582&amp;sr=8-3")</f>
        <v/>
      </c>
      <c r="F2890" t="inlineStr">
        <is>
          <t>B07R4CQKTD</t>
        </is>
      </c>
      <c r="G2890">
        <f>_xlfn.IMAGE("https://camerareadycosmetics.com/cdn/shop/products/glazed-donut-highlighter-nikkie-tutorials-swatch-hero-ofra_ced07ad3-3fb7-46a8-9208-79a94f16535e_50x.jpg?v=1556774156")</f>
        <v/>
      </c>
      <c r="H2890">
        <f>_xlfn.IMAGE("https://m.media-amazon.com/images/I/417bFS6zv4L._AC_UL320_.jpg")</f>
        <v/>
      </c>
      <c r="K2890" t="inlineStr">
        <is>
          <t>35.0</t>
        </is>
      </c>
      <c r="L2890" t="n">
        <v>25.53</v>
      </c>
      <c r="M2890" s="1" t="inlineStr">
        <is>
          <t>-27.06%</t>
        </is>
      </c>
      <c r="N2890" t="n">
        <v>4.3</v>
      </c>
      <c r="O2890" t="n">
        <v>26</v>
      </c>
      <c r="Q2890" t="inlineStr">
        <is>
          <t>InStock</t>
        </is>
      </c>
      <c r="R2890" t="inlineStr">
        <is>
          <t>undefined</t>
        </is>
      </c>
      <c r="S2890" t="inlineStr">
        <is>
          <t>89867911178</t>
        </is>
      </c>
    </row>
    <row r="2891" ht="75" customHeight="1">
      <c r="A2891" s="2">
        <f>HYPERLINK("https://camerareadycosmetics.com/products/ofra-nikkietutorials-glow-goals-highlighter", "https://camerareadycosmetics.com/products/ofra-nikkietutorials-glow-goals-highlighter")</f>
        <v/>
      </c>
      <c r="B2891" s="2">
        <f>HYPERLINK("https://camerareadycosmetics.com/products/ofra-nikkietutorials-glow-goals-highlighter", "https://camerareadycosmetics.com/products/ofra-nikkietutorials-glow-goals-highlighter")</f>
        <v/>
      </c>
      <c r="C2891" t="inlineStr">
        <is>
          <t>Ofra NikkieTutorials Glow Goals Highlighter</t>
        </is>
      </c>
      <c r="D2891" t="inlineStr">
        <is>
          <t>Ofra Cosmetics Radiant Highlighters! Seven Beautiful Shades! Glazed Donut! Rodeo Drive! Pillow Talk! Beverly Hills! Everglow! Glow Goals! Only Blissful! Smooth Radiant Glow! (Only Blissful)</t>
        </is>
      </c>
      <c r="E2891" s="2">
        <f>HYPERLINK("https://www.amazon.com/Ofra-Cosmetics-Highlighters-Beautiful-Everglow/dp/B07CVMPS7G/ref=sr_1_2?keywords=Ofra+NikkieTutorials+Glow+Goals+Highlighter&amp;qid=1695565582&amp;sr=8-2", "https://www.amazon.com/Ofra-Cosmetics-Highlighters-Beautiful-Everglow/dp/B07CVMPS7G/ref=sr_1_2?keywords=Ofra+NikkieTutorials+Glow+Goals+Highlighter&amp;qid=1695565582&amp;sr=8-2")</f>
        <v/>
      </c>
      <c r="F2891" t="inlineStr">
        <is>
          <t>B07CVMPS7G</t>
        </is>
      </c>
      <c r="G2891">
        <f>_xlfn.IMAGE("https://camerareadycosmetics.com/cdn/shop/products/glazed-donut-highlighter-nikkie-tutorials-swatch-hero-ofra_ced07ad3-3fb7-46a8-9208-79a94f16535e_50x.jpg?v=1556774156")</f>
        <v/>
      </c>
      <c r="H2891">
        <f>_xlfn.IMAGE("https://m.media-amazon.com/images/I/81-cZSH71EL._AC_UL320_.jpg")</f>
        <v/>
      </c>
      <c r="K2891" t="inlineStr">
        <is>
          <t>35.0</t>
        </is>
      </c>
      <c r="L2891" t="n">
        <v>22.99</v>
      </c>
      <c r="M2891" s="1" t="inlineStr">
        <is>
          <t>-34.31%</t>
        </is>
      </c>
      <c r="N2891" t="n">
        <v>5</v>
      </c>
      <c r="O2891" t="n">
        <v>4</v>
      </c>
      <c r="Q2891" t="inlineStr">
        <is>
          <t>InStock</t>
        </is>
      </c>
      <c r="R2891" t="inlineStr">
        <is>
          <t>undefined</t>
        </is>
      </c>
      <c r="S2891" t="inlineStr">
        <is>
          <t>89867911178</t>
        </is>
      </c>
    </row>
    <row r="2892" ht="75" customHeight="1">
      <c r="A2892" s="2">
        <f>HYPERLINK("https://camerareadycosmetics.com/products/ofra-pro-palette-boho", "https://camerareadycosmetics.com/products/ofra-pro-palette-boho")</f>
        <v/>
      </c>
      <c r="B2892" s="2">
        <f>HYPERLINK("https://camerareadycosmetics.com/products/ofra-pro-palette-boho", "https://camerareadycosmetics.com/products/ofra-pro-palette-boho")</f>
        <v/>
      </c>
      <c r="C2892" t="inlineStr">
        <is>
          <t>Ofra Pro Palette Boho</t>
        </is>
      </c>
      <c r="D2892" t="inlineStr">
        <is>
          <t>OFRA Cosmetics - Cosmetics - Cosmetics - OFRA Cosmetics Pro Palette - Boho - Pro</t>
        </is>
      </c>
      <c r="E2892" s="2">
        <f>HYPERLINK("https://www.amazon.com/OFRA-Cosmetics-Pro-Palette-Boho/dp/B089HNJ98X/ref=sr_1_1?keywords=Ofra+Pro+Palette+Boho&amp;qid=1695565577&amp;sr=8-1", "https://www.amazon.com/OFRA-Cosmetics-Pro-Palette-Boho/dp/B089HNJ98X/ref=sr_1_1?keywords=Ofra+Pro+Palette+Boho&amp;qid=1695565577&amp;sr=8-1")</f>
        <v/>
      </c>
      <c r="F2892" t="inlineStr">
        <is>
          <t>B089HNJ98X</t>
        </is>
      </c>
      <c r="G2892">
        <f>_xlfn.IMAGE("https://camerareadycosmetics.com/cdn/shop/products/ofra-boho-palette-open_50x.jpg?v=1549529797")</f>
        <v/>
      </c>
      <c r="H2892">
        <f>_xlfn.IMAGE("https://m.media-amazon.com/images/I/81VKIyCmKtL._AC_UL320_.jpg")</f>
        <v/>
      </c>
      <c r="K2892" t="inlineStr">
        <is>
          <t>99.0</t>
        </is>
      </c>
      <c r="L2892" t="n">
        <v>54.9</v>
      </c>
      <c r="M2892" s="1" t="inlineStr">
        <is>
          <t>-44.55%</t>
        </is>
      </c>
      <c r="N2892" t="n">
        <v>5</v>
      </c>
      <c r="O2892" t="n">
        <v>14</v>
      </c>
      <c r="Q2892" t="inlineStr">
        <is>
          <t>InStock</t>
        </is>
      </c>
      <c r="R2892" t="inlineStr">
        <is>
          <t>undefined</t>
        </is>
      </c>
      <c r="S2892" t="inlineStr">
        <is>
          <t>2123590664303</t>
        </is>
      </c>
    </row>
    <row r="2893" ht="75" customHeight="1">
      <c r="A2893" s="2">
        <f>HYPERLINK("https://camerareadycosmetics.com/products/ofra-rodeo-drive-highlighter", "https://camerareadycosmetics.com/products/ofra-rodeo-drive-highlighter")</f>
        <v/>
      </c>
      <c r="B2893" s="2">
        <f>HYPERLINK("https://camerareadycosmetics.com/products/ofra-rodeo-drive-highlighter", "https://camerareadycosmetics.com/products/ofra-rodeo-drive-highlighter")</f>
        <v/>
      </c>
      <c r="C2893" t="inlineStr">
        <is>
          <t>Ofra Rodeo Drive Highlighter</t>
        </is>
      </c>
      <c r="D2893" t="inlineStr">
        <is>
          <t>Ofra Cosmetics Radiant Highlighters! Seven Beautiful Shades! Glazed Donut! Rodeo Drive! Pillow Talk! Beverly Hills! Everglow! Glow Goals! Only Blissful! Smooth Radiant Glow! (Rodeo Drive)</t>
        </is>
      </c>
      <c r="E2893" s="2">
        <f>HYPERLINK("https://www.amazon.com/Ofra-Cosmetics-Highlighters-Beautiful-Everglow/dp/B07CVPGSFZ/ref=sr_1_5?keywords=Ofra+Rodeo+Drive+Highlighter&amp;qid=1695565466&amp;sr=8-5", "https://www.amazon.com/Ofra-Cosmetics-Highlighters-Beautiful-Everglow/dp/B07CVPGSFZ/ref=sr_1_5?keywords=Ofra+Rodeo+Drive+Highlighter&amp;qid=1695565466&amp;sr=8-5")</f>
        <v/>
      </c>
      <c r="F2893" t="inlineStr">
        <is>
          <t>B07CVPGSFZ</t>
        </is>
      </c>
      <c r="G2893">
        <f>_xlfn.IMAGE("https://camerareadycosmetics.com/cdn/shop/products/ofra-rodeo-drive-highlighter-swatch-featured_bf14e857-fed5-4f22-a6df-30ce5e42f8e1_50x.jpg?v=1689660266")</f>
        <v/>
      </c>
      <c r="H2893">
        <f>_xlfn.IMAGE("https://m.media-amazon.com/images/I/41XlPIXVYcL._AC_UL320_.jpg")</f>
        <v/>
      </c>
      <c r="K2893" t="inlineStr">
        <is>
          <t>35.0</t>
        </is>
      </c>
      <c r="L2893" t="n">
        <v>50</v>
      </c>
      <c r="M2893" s="1" t="inlineStr">
        <is>
          <t>42.86%</t>
        </is>
      </c>
      <c r="N2893" t="n">
        <v>3.1</v>
      </c>
      <c r="O2893" t="n">
        <v>2</v>
      </c>
      <c r="Q2893" t="inlineStr">
        <is>
          <t>InStock</t>
        </is>
      </c>
      <c r="R2893" t="inlineStr">
        <is>
          <t>undefined</t>
        </is>
      </c>
      <c r="S2893" t="inlineStr">
        <is>
          <t>8419595591</t>
        </is>
      </c>
    </row>
    <row r="2894" ht="75" customHeight="1">
      <c r="A2894" s="2">
        <f>HYPERLINK("https://camerareadycosmetics.com/products/ofra-rodeo-drive-highlighter", "https://camerareadycosmetics.com/products/ofra-rodeo-drive-highlighter")</f>
        <v/>
      </c>
      <c r="B2894" s="2">
        <f>HYPERLINK("https://camerareadycosmetics.com/products/ofra-rodeo-drive-highlighter", "https://camerareadycosmetics.com/products/ofra-rodeo-drive-highlighter")</f>
        <v/>
      </c>
      <c r="C2894" t="inlineStr">
        <is>
          <t>Ofra Rodeo Drive Highlighter</t>
        </is>
      </c>
      <c r="D2894" t="inlineStr">
        <is>
          <t>Ofra Cosmetics Rodeo Drive Highlighter - Champagne Highlighter Makeup Palette for Cheeks, Nose, Eyes - Liquid to Baked Powder, Highly-Pigmented, Vegan Formula - Buttery Smooth, Long-Lasting - 10g</t>
        </is>
      </c>
      <c r="E2894" s="2">
        <f>HYPERLINK("https://www.amazon.com/Ofra-Feelin-Myself-Highlighter-Palette/dp/B079YB88F7/ref=sr_1_4?keywords=Ofra+Rodeo+Drive+Highlighter&amp;qid=1695565466&amp;sr=8-4", "https://www.amazon.com/Ofra-Feelin-Myself-Highlighter-Palette/dp/B079YB88F7/ref=sr_1_4?keywords=Ofra+Rodeo+Drive+Highlighter&amp;qid=1695565466&amp;sr=8-4")</f>
        <v/>
      </c>
      <c r="F2894" t="inlineStr">
        <is>
          <t>B079YB88F7</t>
        </is>
      </c>
      <c r="G2894">
        <f>_xlfn.IMAGE("https://camerareadycosmetics.com/cdn/shop/products/ofra-rodeo-drive-highlighter-swatch-featured_bf14e857-fed5-4f22-a6df-30ce5e42f8e1_50x.jpg?v=1689660266")</f>
        <v/>
      </c>
      <c r="H2894">
        <f>_xlfn.IMAGE("https://m.media-amazon.com/images/I/81fxiCdsMEL._AC_UL320_.jpg")</f>
        <v/>
      </c>
      <c r="K2894" t="inlineStr">
        <is>
          <t>35.0</t>
        </is>
      </c>
      <c r="L2894" t="n">
        <v>35</v>
      </c>
      <c r="M2894" s="1" t="inlineStr">
        <is>
          <t>0.00%</t>
        </is>
      </c>
      <c r="N2894" t="n">
        <v>3.5</v>
      </c>
      <c r="O2894" t="n">
        <v>16</v>
      </c>
      <c r="Q2894" t="inlineStr">
        <is>
          <t>InStock</t>
        </is>
      </c>
      <c r="R2894" t="inlineStr">
        <is>
          <t>undefined</t>
        </is>
      </c>
      <c r="S2894" t="inlineStr">
        <is>
          <t>8419595591</t>
        </is>
      </c>
    </row>
    <row r="2895" ht="75" customHeight="1">
      <c r="A2895" s="2">
        <f>HYPERLINK("https://camerareadycosmetics.com/products/ofra-rodeo-drive-highlighter", "https://camerareadycosmetics.com/products/ofra-rodeo-drive-highlighter")</f>
        <v/>
      </c>
      <c r="B2895" s="2">
        <f>HYPERLINK("https://camerareadycosmetics.com/products/ofra-rodeo-drive-highlighter", "https://camerareadycosmetics.com/products/ofra-rodeo-drive-highlighter")</f>
        <v/>
      </c>
      <c r="C2895" t="inlineStr">
        <is>
          <t>Ofra Rodeo Drive Highlighter</t>
        </is>
      </c>
      <c r="D2895" t="inlineStr">
        <is>
          <t>Ofra Cosmetics Highlighter Rodeo Drive</t>
        </is>
      </c>
      <c r="E2895" s="2">
        <f>HYPERLINK("https://www.amazon.com/Ofra-Cosmetics-Highlighter-Rodeo-Drive/dp/B071NNQBQW/ref=sr_1_2?keywords=Ofra+Rodeo+Drive+Highlighter&amp;qid=1695565466&amp;sr=8-2", "https://www.amazon.com/Ofra-Cosmetics-Highlighter-Rodeo-Drive/dp/B071NNQBQW/ref=sr_1_2?keywords=Ofra+Rodeo+Drive+Highlighter&amp;qid=1695565466&amp;sr=8-2")</f>
        <v/>
      </c>
      <c r="F2895" t="inlineStr">
        <is>
          <t>B071NNQBQW</t>
        </is>
      </c>
      <c r="G2895">
        <f>_xlfn.IMAGE("https://camerareadycosmetics.com/cdn/shop/products/ofra-rodeo-drive-highlighter-swatch-featured_bf14e857-fed5-4f22-a6df-30ce5e42f8e1_50x.jpg?v=1689660266")</f>
        <v/>
      </c>
      <c r="H2895">
        <f>_xlfn.IMAGE("https://m.media-amazon.com/images/I/51oGuymQ4OL._AC_UL320_.jpg")</f>
        <v/>
      </c>
      <c r="K2895" t="inlineStr">
        <is>
          <t>35.0</t>
        </is>
      </c>
      <c r="L2895" t="n">
        <v>25.98</v>
      </c>
      <c r="M2895" s="1" t="inlineStr">
        <is>
          <t>-25.77%</t>
        </is>
      </c>
      <c r="N2895" t="n">
        <v>4.2</v>
      </c>
      <c r="O2895" t="n">
        <v>61</v>
      </c>
      <c r="Q2895" t="inlineStr">
        <is>
          <t>InStock</t>
        </is>
      </c>
      <c r="R2895" t="inlineStr">
        <is>
          <t>undefined</t>
        </is>
      </c>
      <c r="S2895" t="inlineStr">
        <is>
          <t>8419595591</t>
        </is>
      </c>
    </row>
    <row r="2896" ht="75" customHeight="1">
      <c r="A2896" s="2">
        <f>HYPERLINK("https://camerareadycosmetics.com/products/ofra-rodeo-drive-highlighter", "https://camerareadycosmetics.com/products/ofra-rodeo-drive-highlighter")</f>
        <v/>
      </c>
      <c r="B2896" s="2">
        <f>HYPERLINK("https://camerareadycosmetics.com/products/ofra-rodeo-drive-highlighter", "https://camerareadycosmetics.com/products/ofra-rodeo-drive-highlighter")</f>
        <v/>
      </c>
      <c r="C2896" t="inlineStr">
        <is>
          <t>Ofra Rodeo Drive Highlighter</t>
        </is>
      </c>
      <c r="D2896" t="inlineStr">
        <is>
          <t>Ofra Cosmetics Radiant Highlighters! Seven Beautiful Shades! Glazed Donut! Rodeo Drive! Pillow Talk! Beverly Hills! Everglow! Glow Goals! Only Blissful! Smooth Radiant Glow! (Only Blissful)</t>
        </is>
      </c>
      <c r="E2896" s="2">
        <f>HYPERLINK("https://www.amazon.com/Ofra-Cosmetics-Highlighters-Beautiful-Everglow/dp/B07CVMPS7G/ref=sr_1_3?keywords=Ofra+Rodeo+Drive+Highlighter&amp;qid=1695565466&amp;sr=8-3", "https://www.amazon.com/Ofra-Cosmetics-Highlighters-Beautiful-Everglow/dp/B07CVMPS7G/ref=sr_1_3?keywords=Ofra+Rodeo+Drive+Highlighter&amp;qid=1695565466&amp;sr=8-3")</f>
        <v/>
      </c>
      <c r="F2896" t="inlineStr">
        <is>
          <t>B07CVMPS7G</t>
        </is>
      </c>
      <c r="G2896">
        <f>_xlfn.IMAGE("https://camerareadycosmetics.com/cdn/shop/products/ofra-rodeo-drive-highlighter-swatch-featured_bf14e857-fed5-4f22-a6df-30ce5e42f8e1_50x.jpg?v=1689660266")</f>
        <v/>
      </c>
      <c r="H2896">
        <f>_xlfn.IMAGE("https://m.media-amazon.com/images/I/81-cZSH71EL._AC_UL320_.jpg")</f>
        <v/>
      </c>
      <c r="K2896" t="inlineStr">
        <is>
          <t>35.0</t>
        </is>
      </c>
      <c r="L2896" t="n">
        <v>22.99</v>
      </c>
      <c r="M2896" s="1" t="inlineStr">
        <is>
          <t>-34.31%</t>
        </is>
      </c>
      <c r="N2896" t="n">
        <v>5</v>
      </c>
      <c r="O2896" t="n">
        <v>4</v>
      </c>
      <c r="Q2896" t="inlineStr">
        <is>
          <t>InStock</t>
        </is>
      </c>
      <c r="R2896" t="inlineStr">
        <is>
          <t>undefined</t>
        </is>
      </c>
      <c r="S2896" t="inlineStr">
        <is>
          <t>8419595591</t>
        </is>
      </c>
    </row>
    <row r="2897" ht="75" customHeight="1">
      <c r="A2897" s="2">
        <f>HYPERLINK("https://camerareadycosmetics.com/products/ofra-rodeo-drive-highlighter", "https://camerareadycosmetics.com/products/ofra-rodeo-drive-highlighter")</f>
        <v/>
      </c>
      <c r="B2897" s="2">
        <f>HYPERLINK("https://camerareadycosmetics.com/products/ofra-rodeo-drive-highlighter", "https://camerareadycosmetics.com/products/ofra-rodeo-drive-highlighter")</f>
        <v/>
      </c>
      <c r="C2897" t="inlineStr">
        <is>
          <t>Ofra Rodeo Drive Highlighter</t>
        </is>
      </c>
      <c r="D2897" t="inlineStr">
        <is>
          <t>Ofra Cosmetics Radiant Highlighters! Seven Beautiful Shades! Glazed Donut! Rodeo Drive! Pillow Talk! Beverly Hills! Everglow! Glow Goals! Only Blissful! Smooth Radiant Glow! (Glow Goals)</t>
        </is>
      </c>
      <c r="E2897" s="2">
        <f>HYPERLINK("https://www.amazon.com/Ofra-Cosmetics-Highlighters-Beautiful-Everglow/dp/B07CVMSFWG/ref=sr_1_6?keywords=Ofra+Rodeo+Drive+Highlighter&amp;qid=1695565466&amp;sr=8-6", "https://www.amazon.com/Ofra-Cosmetics-Highlighters-Beautiful-Everglow/dp/B07CVMSFWG/ref=sr_1_6?keywords=Ofra+Rodeo+Drive+Highlighter&amp;qid=1695565466&amp;sr=8-6")</f>
        <v/>
      </c>
      <c r="F2897" t="inlineStr">
        <is>
          <t>B07CVMSFWG</t>
        </is>
      </c>
      <c r="G2897">
        <f>_xlfn.IMAGE("https://camerareadycosmetics.com/cdn/shop/products/ofra-rodeo-drive-highlighter-swatch-featured_bf14e857-fed5-4f22-a6df-30ce5e42f8e1_50x.jpg?v=1689660266")</f>
        <v/>
      </c>
      <c r="H2897">
        <f>_xlfn.IMAGE("https://m.media-amazon.com/images/I/41J2Af-H0fL._AC_UL320_.jpg")</f>
        <v/>
      </c>
      <c r="K2897" t="inlineStr">
        <is>
          <t>35.0</t>
        </is>
      </c>
      <c r="L2897" t="n">
        <v>18.5</v>
      </c>
      <c r="M2897" s="1" t="inlineStr">
        <is>
          <t>-47.14%</t>
        </is>
      </c>
      <c r="N2897" t="n">
        <v>5</v>
      </c>
      <c r="O2897" t="n">
        <v>3</v>
      </c>
      <c r="Q2897" t="inlineStr">
        <is>
          <t>InStock</t>
        </is>
      </c>
      <c r="R2897" t="inlineStr">
        <is>
          <t>undefined</t>
        </is>
      </c>
      <c r="S2897" t="inlineStr">
        <is>
          <t>8419595591</t>
        </is>
      </c>
    </row>
    <row r="2898" ht="75" customHeight="1">
      <c r="A2898" s="2">
        <f>HYPERLINK("https://camerareadycosmetics.com/products/ofra-rodeo-drive-highlighter", "https://camerareadycosmetics.com/products/ofra-rodeo-drive-highlighter")</f>
        <v/>
      </c>
      <c r="B2898" s="2">
        <f>HYPERLINK("https://camerareadycosmetics.com/products/ofra-rodeo-drive-highlighter", "https://camerareadycosmetics.com/products/ofra-rodeo-drive-highlighter")</f>
        <v/>
      </c>
      <c r="C2898" t="inlineStr">
        <is>
          <t>Ofra Rodeo Drive Highlighter</t>
        </is>
      </c>
      <c r="D2898" t="inlineStr">
        <is>
          <t>Ofra Rodeo Drive Highlighter for Women, 0.35 Ounce</t>
        </is>
      </c>
      <c r="E2898" s="2">
        <f>HYPERLINK("https://www.amazon.com/Ofra-Rodeo-Drive-Highlighter-Women/dp/B01N9U073G/ref=sr_1_1?keywords=Ofra+Rodeo+Drive+Highlighter&amp;qid=1695565466&amp;sr=8-1", "https://www.amazon.com/Ofra-Rodeo-Drive-Highlighter-Women/dp/B01N9U073G/ref=sr_1_1?keywords=Ofra+Rodeo+Drive+Highlighter&amp;qid=1695565466&amp;sr=8-1")</f>
        <v/>
      </c>
      <c r="F2898" t="inlineStr">
        <is>
          <t>B01N9U073G</t>
        </is>
      </c>
      <c r="G2898">
        <f>_xlfn.IMAGE("https://camerareadycosmetics.com/cdn/shop/products/ofra-rodeo-drive-highlighter-swatch-featured_bf14e857-fed5-4f22-a6df-30ce5e42f8e1_50x.jpg?v=1689660266")</f>
        <v/>
      </c>
      <c r="H2898">
        <f>_xlfn.IMAGE("https://m.media-amazon.com/images/I/91ytrrDz5nL._AC_UL320_.jpg")</f>
        <v/>
      </c>
      <c r="K2898" t="inlineStr">
        <is>
          <t>35.0</t>
        </is>
      </c>
      <c r="L2898" t="n">
        <v>14.5</v>
      </c>
      <c r="M2898" s="1" t="inlineStr">
        <is>
          <t>-58.57%</t>
        </is>
      </c>
      <c r="N2898" t="n">
        <v>4.5</v>
      </c>
      <c r="O2898" t="n">
        <v>57</v>
      </c>
      <c r="Q2898" t="inlineStr">
        <is>
          <t>InStock</t>
        </is>
      </c>
      <c r="R2898" t="inlineStr">
        <is>
          <t>undefined</t>
        </is>
      </c>
      <c r="S2898" t="inlineStr">
        <is>
          <t>8419595591</t>
        </is>
      </c>
    </row>
    <row r="2899" ht="75" customHeight="1">
      <c r="A2899" s="2">
        <f>HYPERLINK("https://camerareadycosmetics.com/products/ofra-rodeo-drive-highlighter", "https://camerareadycosmetics.com/products/ofra-rodeo-drive-highlighter")</f>
        <v/>
      </c>
      <c r="B2899" s="2">
        <f>HYPERLINK("https://camerareadycosmetics.com/products/ofra-rodeo-drive-highlighter", "https://camerareadycosmetics.com/products/ofra-rodeo-drive-highlighter")</f>
        <v/>
      </c>
      <c r="C2899" t="inlineStr">
        <is>
          <t>Ofra Rodeo Drive Highlighter</t>
        </is>
      </c>
      <c r="D2899" t="inlineStr">
        <is>
          <t>Ofra Rodeo Drive Highlighter for Women, 0.35 Ounce</t>
        </is>
      </c>
      <c r="E2899" s="2">
        <f>HYPERLINK("https://www.amazon.com/Ofra-Rodeo-Drive-Highlighter-Women/dp/B01N9U073G/ref=sr_1_1?keywords=Ofra+Rodeo+Drive+Highlighter&amp;qid=1695565466&amp;sr=8-1", "https://www.amazon.com/Ofra-Rodeo-Drive-Highlighter-Women/dp/B01N9U073G/ref=sr_1_1?keywords=Ofra+Rodeo+Drive+Highlighter&amp;qid=1695565466&amp;sr=8-1")</f>
        <v/>
      </c>
      <c r="F2899" t="inlineStr">
        <is>
          <t>B01N9U073G</t>
        </is>
      </c>
      <c r="G2899">
        <f>_xlfn.IMAGE("https://camerareadycosmetics.com/cdn/shop/products/ofra-rodeo-drive-highlighter-swatch-featured_bf14e857-fed5-4f22-a6df-30ce5e42f8e1_50x.jpg?v=1689660266")</f>
        <v/>
      </c>
      <c r="H2899">
        <f>_xlfn.IMAGE("https://m.media-amazon.com/images/I/91ytrrDz5nL._AC_UL320_.jpg")</f>
        <v/>
      </c>
      <c r="K2899" t="inlineStr">
        <is>
          <t>35.0</t>
        </is>
      </c>
      <c r="L2899" t="n">
        <v>14.5</v>
      </c>
      <c r="M2899" s="1" t="inlineStr">
        <is>
          <t>-58.57%</t>
        </is>
      </c>
      <c r="N2899" t="n">
        <v>4.5</v>
      </c>
      <c r="O2899" t="n">
        <v>57</v>
      </c>
      <c r="Q2899" t="inlineStr">
        <is>
          <t>InStock</t>
        </is>
      </c>
      <c r="R2899" t="inlineStr">
        <is>
          <t>undefined</t>
        </is>
      </c>
      <c r="S2899" t="inlineStr">
        <is>
          <t>8419595591</t>
        </is>
      </c>
    </row>
    <row r="2900" ht="75" customHeight="1">
      <c r="A2900" s="2">
        <f>HYPERLINK("https://camerareadycosmetics.com/products/ofra-signature-palette-blush", "https://camerareadycosmetics.com/products/ofra-signature-palette-blush")</f>
        <v/>
      </c>
      <c r="B2900" s="2">
        <f>HYPERLINK("https://camerareadycosmetics.com/products/ofra-signature-palette-blush", "https://camerareadycosmetics.com/products/ofra-signature-palette-blush")</f>
        <v/>
      </c>
      <c r="C2900" t="inlineStr">
        <is>
          <t>Ofra Signature Palette Blush</t>
        </is>
      </c>
      <c r="D2900" t="inlineStr">
        <is>
          <t>OFRA Blush Palette, 10.9 Ounce</t>
        </is>
      </c>
      <c r="E2900" s="2">
        <f>HYPERLINK("https://www.amazon.com/OFRA-Blush-Palette-10-9-Ounce/dp/B00TQ492OQ/ref=sr_1_2?keywords=Ofra+Signature+Palette+Blush&amp;qid=1695565663&amp;sr=8-2", "https://www.amazon.com/OFRA-Blush-Palette-10-9-Ounce/dp/B00TQ492OQ/ref=sr_1_2?keywords=Ofra+Signature+Palette+Blush&amp;qid=1695565663&amp;sr=8-2")</f>
        <v/>
      </c>
      <c r="F2900" t="inlineStr">
        <is>
          <t>B00TQ492OQ</t>
        </is>
      </c>
      <c r="G2900">
        <f>_xlfn.IMAGE("https://camerareadycosmetics.com/cdn/shop/products/ofra-blush-diagram-mobile_50x.jpg?v=1549529792")</f>
        <v/>
      </c>
      <c r="H2900">
        <f>_xlfn.IMAGE("https://m.media-amazon.com/images/I/81K30JDaVnS._AC_UL320_.jpg")</f>
        <v/>
      </c>
      <c r="K2900" t="inlineStr">
        <is>
          <t>32.0</t>
        </is>
      </c>
      <c r="L2900" t="n">
        <v>59.99</v>
      </c>
      <c r="M2900" s="1" t="inlineStr">
        <is>
          <t>87.47%</t>
        </is>
      </c>
      <c r="N2900" t="n">
        <v>5</v>
      </c>
      <c r="O2900" t="n">
        <v>1</v>
      </c>
      <c r="Q2900" t="inlineStr">
        <is>
          <t>InStock</t>
        </is>
      </c>
      <c r="R2900" t="inlineStr">
        <is>
          <t>undefined</t>
        </is>
      </c>
      <c r="S2900" t="inlineStr">
        <is>
          <t>7051100487</t>
        </is>
      </c>
    </row>
    <row r="2901" ht="75" customHeight="1">
      <c r="A2901" s="2">
        <f>HYPERLINK("https://camerareadycosmetics.com/products/ofra-signature-palette-blush", "https://camerareadycosmetics.com/products/ofra-signature-palette-blush")</f>
        <v/>
      </c>
      <c r="B2901" s="2">
        <f>HYPERLINK("https://camerareadycosmetics.com/products/ofra-signature-palette-blush", "https://camerareadycosmetics.com/products/ofra-signature-palette-blush")</f>
        <v/>
      </c>
      <c r="C2901" t="inlineStr">
        <is>
          <t>Ofra Signature Palette Blush</t>
        </is>
      </c>
      <c r="D2901" t="inlineStr">
        <is>
          <t>OFRA Cosmetics Blush MELON Refill for use in Palettes &amp; Kits .14 oz</t>
        </is>
      </c>
      <c r="E2901" s="2">
        <f>HYPERLINK("https://www.amazon.com/Cosmetics-Blush-MELON-Refill-Palettes/dp/B07X9R1WZY/ref=sr_1_4?keywords=Ofra+Signature+Palette+Blush&amp;qid=1695565663&amp;sr=8-4", "https://www.amazon.com/Cosmetics-Blush-MELON-Refill-Palettes/dp/B07X9R1WZY/ref=sr_1_4?keywords=Ofra+Signature+Palette+Blush&amp;qid=1695565663&amp;sr=8-4")</f>
        <v/>
      </c>
      <c r="F2901" t="inlineStr">
        <is>
          <t>B07X9R1WZY</t>
        </is>
      </c>
      <c r="G2901">
        <f>_xlfn.IMAGE("https://camerareadycosmetics.com/cdn/shop/products/ofra-blush-diagram-mobile_50x.jpg?v=1549529792")</f>
        <v/>
      </c>
      <c r="H2901">
        <f>_xlfn.IMAGE("https://m.media-amazon.com/images/I/41qPHuzVJHL._AC_UL320_.jpg")</f>
        <v/>
      </c>
      <c r="K2901" t="inlineStr">
        <is>
          <t>32.0</t>
        </is>
      </c>
      <c r="L2901" t="n">
        <v>9.25</v>
      </c>
      <c r="M2901" s="1" t="inlineStr">
        <is>
          <t>-71.09%</t>
        </is>
      </c>
      <c r="N2901" t="n">
        <v>3.7</v>
      </c>
      <c r="O2901" t="n">
        <v>5</v>
      </c>
      <c r="Q2901" t="inlineStr">
        <is>
          <t>InStock</t>
        </is>
      </c>
      <c r="R2901" t="inlineStr">
        <is>
          <t>undefined</t>
        </is>
      </c>
      <c r="S2901" t="inlineStr">
        <is>
          <t>7051100487</t>
        </is>
      </c>
    </row>
    <row r="2902" ht="75" customHeight="1">
      <c r="A2902" s="2">
        <f>HYPERLINK("https://camerareadycosmetics.com/products/ofra-signature-palette-blush", "https://camerareadycosmetics.com/products/ofra-signature-palette-blush")</f>
        <v/>
      </c>
      <c r="B2902" s="2">
        <f>HYPERLINK("https://camerareadycosmetics.com/products/ofra-signature-palette-blush", "https://camerareadycosmetics.com/products/ofra-signature-palette-blush")</f>
        <v/>
      </c>
      <c r="C2902" t="inlineStr">
        <is>
          <t>Ofra Signature Palette Blush</t>
        </is>
      </c>
      <c r="D2902" t="inlineStr">
        <is>
          <t>OFRA Cosmetics Blush MELON Refill for use in Palettes &amp; Kits .14 oz</t>
        </is>
      </c>
      <c r="E2902" s="2">
        <f>HYPERLINK("https://www.amazon.com/Cosmetics-Blush-MELON-Refill-Palettes/dp/B07X9R1WZY/ref=sr_1_4?keywords=Ofra+Signature+Palette+Blush&amp;qid=1695565663&amp;sr=8-4", "https://www.amazon.com/Cosmetics-Blush-MELON-Refill-Palettes/dp/B07X9R1WZY/ref=sr_1_4?keywords=Ofra+Signature+Palette+Blush&amp;qid=1695565663&amp;sr=8-4")</f>
        <v/>
      </c>
      <c r="F2902" t="inlineStr">
        <is>
          <t>B07X9R1WZY</t>
        </is>
      </c>
      <c r="G2902">
        <f>_xlfn.IMAGE("https://camerareadycosmetics.com/cdn/shop/products/ofra-blush-diagram-mobile_50x.jpg?v=1549529792")</f>
        <v/>
      </c>
      <c r="H2902">
        <f>_xlfn.IMAGE("https://m.media-amazon.com/images/I/41qPHuzVJHL._AC_UL320_.jpg")</f>
        <v/>
      </c>
      <c r="K2902" t="inlineStr">
        <is>
          <t>32.0</t>
        </is>
      </c>
      <c r="L2902" t="n">
        <v>9.25</v>
      </c>
      <c r="M2902" s="1" t="inlineStr">
        <is>
          <t>-71.09%</t>
        </is>
      </c>
      <c r="N2902" t="n">
        <v>3.7</v>
      </c>
      <c r="O2902" t="n">
        <v>5</v>
      </c>
      <c r="Q2902" t="inlineStr">
        <is>
          <t>InStock</t>
        </is>
      </c>
      <c r="R2902" t="inlineStr">
        <is>
          <t>undefined</t>
        </is>
      </c>
      <c r="S2902" t="inlineStr">
        <is>
          <t>7051100487</t>
        </is>
      </c>
    </row>
    <row r="2903" ht="75" customHeight="1">
      <c r="A2903" s="2">
        <f>HYPERLINK("https://camerareadycosmetics.com/products/ofra-universal-eyebrow-pencil", "https://camerareadycosmetics.com/products/ofra-universal-eyebrow-pencil")</f>
        <v/>
      </c>
      <c r="B2903" s="2">
        <f>HYPERLINK("https://camerareadycosmetics.com/products/ofra-universal-eyebrow-pencil", "https://camerareadycosmetics.com/products/ofra-universal-eyebrow-pencil")</f>
        <v/>
      </c>
      <c r="C2903" t="inlineStr">
        <is>
          <t>Ofra Universal Eyebrow Pencil</t>
        </is>
      </c>
      <c r="D2903" t="inlineStr">
        <is>
          <t>IT Cosmetics Brow PowerFULL, Universal Taupe - Universal Eyebrow Pencil with Triangular Tip - Delivers Bold Volume &amp; Shaping - Budge-Proof Formula - Built-In Spoolie - 0.012 oz</t>
        </is>
      </c>
      <c r="E2903" s="2">
        <f>HYPERLINK("https://www.amazon.com/Cosmetics-Power-Universal-Taupe-0-012/dp/B07PPC3C3S/ref=sr_1_4?keywords=Ofra+Universal+Eyebrow+Pencil&amp;qid=1695565565&amp;sr=8-4", "https://www.amazon.com/Cosmetics-Power-Universal-Taupe-0-012/dp/B07PPC3C3S/ref=sr_1_4?keywords=Ofra+Universal+Eyebrow+Pencil&amp;qid=1695565565&amp;sr=8-4")</f>
        <v/>
      </c>
      <c r="F2903" t="inlineStr">
        <is>
          <t>B07PPC3C3S</t>
        </is>
      </c>
      <c r="G2903">
        <f>_xlfn.IMAGE("https://camerareadycosmetics.com/cdn/shop/products/universal-eyebrow-pencil-hires-ns_50x.jpg?v=1691127038")</f>
        <v/>
      </c>
      <c r="H2903">
        <f>_xlfn.IMAGE("https://m.media-amazon.com/images/I/61prYngbHSL._AC_UL320_.jpg")</f>
        <v/>
      </c>
      <c r="K2903" t="inlineStr">
        <is>
          <t>15.0</t>
        </is>
      </c>
      <c r="L2903" t="n">
        <v>26</v>
      </c>
      <c r="M2903" s="1" t="inlineStr">
        <is>
          <t>73.33%</t>
        </is>
      </c>
      <c r="N2903" t="n">
        <v>4.6</v>
      </c>
      <c r="O2903" t="n">
        <v>592</v>
      </c>
      <c r="Q2903" t="inlineStr">
        <is>
          <t>InStock</t>
        </is>
      </c>
      <c r="R2903" t="inlineStr">
        <is>
          <t>undefined</t>
        </is>
      </c>
      <c r="S2903" t="inlineStr">
        <is>
          <t>10208302730</t>
        </is>
      </c>
    </row>
    <row r="2904" ht="75" customHeight="1">
      <c r="A2904" s="2">
        <f>HYPERLINK("https://camerareadycosmetics.com/products/ofra-universal-eyebrow-pencil", "https://camerareadycosmetics.com/products/ofra-universal-eyebrow-pencil")</f>
        <v/>
      </c>
      <c r="B2904" s="2">
        <f>HYPERLINK("https://camerareadycosmetics.com/products/ofra-universal-eyebrow-pencil", "https://camerareadycosmetics.com/products/ofra-universal-eyebrow-pencil")</f>
        <v/>
      </c>
      <c r="C2904" t="inlineStr">
        <is>
          <t>Ofra Universal Eyebrow Pencil</t>
        </is>
      </c>
      <c r="D2904" t="inlineStr">
        <is>
          <t>Brow Power Universal Taupe - Eyebrow Pencil Mimics the Look of Real Hair Budge-Proof Formula oz</t>
        </is>
      </c>
      <c r="E2904" s="2">
        <f>HYPERLINK("https://www.amazon.com/Cosmetics-Brow-Power-Micro-Pencil/dp/B07WW2CNGP/ref=sr_1_7?keywords=Ofra+Universal+Eyebrow+Pencil&amp;qid=1695565565&amp;sr=8-7", "https://www.amazon.com/Cosmetics-Brow-Power-Micro-Pencil/dp/B07WW2CNGP/ref=sr_1_7?keywords=Ofra+Universal+Eyebrow+Pencil&amp;qid=1695565565&amp;sr=8-7")</f>
        <v/>
      </c>
      <c r="F2904" t="inlineStr">
        <is>
          <t>B07WW2CNGP</t>
        </is>
      </c>
      <c r="G2904">
        <f>_xlfn.IMAGE("https://camerareadycosmetics.com/cdn/shop/products/universal-eyebrow-pencil-hires-ns_50x.jpg?v=1691127038")</f>
        <v/>
      </c>
      <c r="H2904">
        <f>_xlfn.IMAGE("https://m.media-amazon.com/images/I/715AsP1RF-L._AC_UL320_.jpg")</f>
        <v/>
      </c>
      <c r="K2904" t="inlineStr">
        <is>
          <t>15.0</t>
        </is>
      </c>
      <c r="L2904" t="n">
        <v>22.1</v>
      </c>
      <c r="M2904" s="1" t="inlineStr">
        <is>
          <t>47.33%</t>
        </is>
      </c>
      <c r="N2904" t="n">
        <v>4.4</v>
      </c>
      <c r="O2904" t="n">
        <v>642</v>
      </c>
      <c r="Q2904" t="inlineStr">
        <is>
          <t>InStock</t>
        </is>
      </c>
      <c r="R2904" t="inlineStr">
        <is>
          <t>undefined</t>
        </is>
      </c>
      <c r="S2904" t="inlineStr">
        <is>
          <t>10208302730</t>
        </is>
      </c>
    </row>
    <row r="2905" ht="75" customHeight="1">
      <c r="A2905" s="2">
        <f>HYPERLINK("https://camerareadycosmetics.com/products/ofra-universal-eyebrow-pencil", "https://camerareadycosmetics.com/products/ofra-universal-eyebrow-pencil")</f>
        <v/>
      </c>
      <c r="B2905" s="2">
        <f>HYPERLINK("https://camerareadycosmetics.com/products/ofra-universal-eyebrow-pencil", "https://camerareadycosmetics.com/products/ofra-universal-eyebrow-pencil")</f>
        <v/>
      </c>
      <c r="C2905" t="inlineStr">
        <is>
          <t>Ofra Universal Eyebrow Pencil</t>
        </is>
      </c>
      <c r="D2905" t="inlineStr">
        <is>
          <t>IT Cosmetics Brow Power Eyebrow Pencil - Universal Shades - Long-Lasting, Budge-Proof Formula - With Biotin - Natural-Looking Brows - Built-in Spoolie Brush</t>
        </is>
      </c>
      <c r="E2905" s="2">
        <f>HYPERLINK("https://www.amazon.com/Brow-Power-Universal-Pencil/dp/B003VPTA2U/ref=sr_1_1?keywords=Ofra+Universal+Eyebrow+Pencil&amp;qid=1695565565&amp;sr=8-1", "https://www.amazon.com/Brow-Power-Universal-Pencil/dp/B003VPTA2U/ref=sr_1_1?keywords=Ofra+Universal+Eyebrow+Pencil&amp;qid=1695565565&amp;sr=8-1")</f>
        <v/>
      </c>
      <c r="F2905" t="inlineStr">
        <is>
          <t>B003VPTA2U</t>
        </is>
      </c>
      <c r="G2905">
        <f>_xlfn.IMAGE("https://camerareadycosmetics.com/cdn/shop/products/universal-eyebrow-pencil-hires-ns_50x.jpg?v=1691127038")</f>
        <v/>
      </c>
      <c r="H2905">
        <f>_xlfn.IMAGE("https://m.media-amazon.com/images/I/61kK6zJQ5AL._AC_UL320_.jpg")</f>
        <v/>
      </c>
      <c r="K2905" t="inlineStr">
        <is>
          <t>15.0</t>
        </is>
      </c>
      <c r="L2905" t="n">
        <v>22.1</v>
      </c>
      <c r="M2905" s="1" t="inlineStr">
        <is>
          <t>47.33%</t>
        </is>
      </c>
      <c r="N2905" t="n">
        <v>4.5</v>
      </c>
      <c r="O2905" t="n">
        <v>5177</v>
      </c>
      <c r="Q2905" t="inlineStr">
        <is>
          <t>InStock</t>
        </is>
      </c>
      <c r="R2905" t="inlineStr">
        <is>
          <t>undefined</t>
        </is>
      </c>
      <c r="S2905" t="inlineStr">
        <is>
          <t>10208302730</t>
        </is>
      </c>
    </row>
    <row r="2906" ht="75" customHeight="1">
      <c r="A2906" s="2">
        <f>HYPERLINK("https://camerareadycosmetics.com/products/ofra-universal-eyebrow-pencil", "https://camerareadycosmetics.com/products/ofra-universal-eyebrow-pencil")</f>
        <v/>
      </c>
      <c r="B2906" s="2">
        <f>HYPERLINK("https://camerareadycosmetics.com/products/ofra-universal-eyebrow-pencil", "https://camerareadycosmetics.com/products/ofra-universal-eyebrow-pencil")</f>
        <v/>
      </c>
      <c r="C2906" t="inlineStr">
        <is>
          <t>Ofra Universal Eyebrow Pencil</t>
        </is>
      </c>
      <c r="D2906" t="inlineStr">
        <is>
          <t>Winky Lux Uni Brow Universal Eyebrow Pencil for All Brow Shades, Blonde and Black</t>
        </is>
      </c>
      <c r="E2906" s="2">
        <f>HYPERLINK("https://www.amazon.com/Winky-Lux-Uni-Brow-Universal-Eyebrow/dp/B07ND3HQY9/ref=sr_1_8?keywords=Ofra+Universal+Eyebrow+Pencil&amp;qid=1695565565&amp;sr=8-8", "https://www.amazon.com/Winky-Lux-Uni-Brow-Universal-Eyebrow/dp/B07ND3HQY9/ref=sr_1_8?keywords=Ofra+Universal+Eyebrow+Pencil&amp;qid=1695565565&amp;sr=8-8")</f>
        <v/>
      </c>
      <c r="F2906" t="inlineStr">
        <is>
          <t>B07ND3HQY9</t>
        </is>
      </c>
      <c r="G2906">
        <f>_xlfn.IMAGE("https://camerareadycosmetics.com/cdn/shop/products/universal-eyebrow-pencil-hires-ns_50x.jpg?v=1691127038")</f>
        <v/>
      </c>
      <c r="H2906">
        <f>_xlfn.IMAGE("https://m.media-amazon.com/images/I/61xKhrDkPpL._AC_UL320_.jpg")</f>
        <v/>
      </c>
      <c r="K2906" t="inlineStr">
        <is>
          <t>15.0</t>
        </is>
      </c>
      <c r="L2906" t="n">
        <v>17.99</v>
      </c>
      <c r="M2906" s="1" t="inlineStr">
        <is>
          <t>19.93%</t>
        </is>
      </c>
      <c r="N2906" t="n">
        <v>4.7</v>
      </c>
      <c r="O2906" t="n">
        <v>3257</v>
      </c>
      <c r="Q2906" t="inlineStr">
        <is>
          <t>InStock</t>
        </is>
      </c>
      <c r="R2906" t="inlineStr">
        <is>
          <t>undefined</t>
        </is>
      </c>
      <c r="S2906" t="inlineStr">
        <is>
          <t>10208302730</t>
        </is>
      </c>
    </row>
    <row r="2907" ht="75" customHeight="1">
      <c r="A2907" s="2">
        <f>HYPERLINK("https://camerareadycosmetics.com/products/ofra-universal-eyebrow-pencil", "https://camerareadycosmetics.com/products/ofra-universal-eyebrow-pencil")</f>
        <v/>
      </c>
      <c r="B2907" s="2">
        <f>HYPERLINK("https://camerareadycosmetics.com/products/ofra-universal-eyebrow-pencil", "https://camerareadycosmetics.com/products/ofra-universal-eyebrow-pencil")</f>
        <v/>
      </c>
      <c r="C2907" t="inlineStr">
        <is>
          <t>Ofra Universal Eyebrow Pencil</t>
        </is>
      </c>
      <c r="D2907" t="inlineStr">
        <is>
          <t>YBF Beauty Eyebrow Pencil - Universal Automatic Brow Pencil With Spoolie Brush - Perfect Eyebrow Makeup Shaper and Filler For Women - All Hair Colors &amp; Skin Tones - Taupe Eyebrow Liner - 2 Pack</t>
        </is>
      </c>
      <c r="E2907" s="2">
        <f>HYPERLINK("https://www.amazon.com/ybf-Universal-Eyebrow-Pencil-Taupe/dp/B07D88WFBY/ref=sr_1_5?keywords=Ofra+Universal+Eyebrow+Pencil&amp;qid=1695565565&amp;sr=8-5", "https://www.amazon.com/ybf-Universal-Eyebrow-Pencil-Taupe/dp/B07D88WFBY/ref=sr_1_5?keywords=Ofra+Universal+Eyebrow+Pencil&amp;qid=1695565565&amp;sr=8-5")</f>
        <v/>
      </c>
      <c r="F2907" t="inlineStr">
        <is>
          <t>B07D88WFBY</t>
        </is>
      </c>
      <c r="G2907">
        <f>_xlfn.IMAGE("https://camerareadycosmetics.com/cdn/shop/products/universal-eyebrow-pencil-hires-ns_50x.jpg?v=1691127038")</f>
        <v/>
      </c>
      <c r="H2907">
        <f>_xlfn.IMAGE("https://m.media-amazon.com/images/I/71DDUX3Z7aL._AC_UL320_.jpg")</f>
        <v/>
      </c>
      <c r="K2907" t="inlineStr">
        <is>
          <t>15.0</t>
        </is>
      </c>
      <c r="L2907" t="n">
        <v>16</v>
      </c>
      <c r="M2907" s="1" t="inlineStr">
        <is>
          <t>6.67%</t>
        </is>
      </c>
      <c r="N2907" t="n">
        <v>4.7</v>
      </c>
      <c r="O2907" t="n">
        <v>2311</v>
      </c>
      <c r="Q2907" t="inlineStr">
        <is>
          <t>InStock</t>
        </is>
      </c>
      <c r="R2907" t="inlineStr">
        <is>
          <t>undefined</t>
        </is>
      </c>
      <c r="S2907" t="inlineStr">
        <is>
          <t>10208302730</t>
        </is>
      </c>
    </row>
    <row r="2908" ht="75" customHeight="1">
      <c r="A2908" s="2">
        <f>HYPERLINK("https://camerareadycosmetics.com/products/ofra-universal-eyebrow-pencil", "https://camerareadycosmetics.com/products/ofra-universal-eyebrow-pencil")</f>
        <v/>
      </c>
      <c r="B2908" s="2">
        <f>HYPERLINK("https://camerareadycosmetics.com/products/ofra-universal-eyebrow-pencil", "https://camerareadycosmetics.com/products/ofra-universal-eyebrow-pencil")</f>
        <v/>
      </c>
      <c r="C2908" t="inlineStr">
        <is>
          <t>Ofra Universal Eyebrow Pencil</t>
        </is>
      </c>
      <c r="D2908" t="inlineStr">
        <is>
          <t>Billion Dollar Brows Universal Eyebrow Pencil, 0.009 oz.</t>
        </is>
      </c>
      <c r="E2908" s="2">
        <f>HYPERLINK("https://www.amazon.com/Billion-Dollar-Brows-Universal-Eyebrow/dp/B004J31KOO/ref=sr_1_3?keywords=Ofra+Universal+Eyebrow+Pencil&amp;qid=1695565565&amp;sr=8-3", "https://www.amazon.com/Billion-Dollar-Brows-Universal-Eyebrow/dp/B004J31KOO/ref=sr_1_3?keywords=Ofra+Universal+Eyebrow+Pencil&amp;qid=1695565565&amp;sr=8-3")</f>
        <v/>
      </c>
      <c r="F2908" t="inlineStr">
        <is>
          <t>B004J31KOO</t>
        </is>
      </c>
      <c r="G2908">
        <f>_xlfn.IMAGE("https://camerareadycosmetics.com/cdn/shop/products/universal-eyebrow-pencil-hires-ns_50x.jpg?v=1691127038")</f>
        <v/>
      </c>
      <c r="H2908">
        <f>_xlfn.IMAGE("https://m.media-amazon.com/images/I/71UCa46SXFL._AC_UL320_.jpg")</f>
        <v/>
      </c>
      <c r="K2908" t="inlineStr">
        <is>
          <t>15.0</t>
        </is>
      </c>
      <c r="L2908" t="n">
        <v>9.49</v>
      </c>
      <c r="M2908" s="1" t="inlineStr">
        <is>
          <t>-36.73%</t>
        </is>
      </c>
      <c r="N2908" t="n">
        <v>4.7</v>
      </c>
      <c r="O2908" t="n">
        <v>2817</v>
      </c>
      <c r="Q2908" t="inlineStr">
        <is>
          <t>InStock</t>
        </is>
      </c>
      <c r="R2908" t="inlineStr">
        <is>
          <t>undefined</t>
        </is>
      </c>
      <c r="S2908" t="inlineStr">
        <is>
          <t>10208302730</t>
        </is>
      </c>
    </row>
    <row r="2909" ht="75" customHeight="1">
      <c r="A2909" s="2">
        <f>HYPERLINK("https://camerareadycosmetics.com/products/peter-thomas-roth-instant-firmx-no-filter-primer", "https://camerareadycosmetics.com/products/peter-thomas-roth-instant-firmx-no-filter-primer")</f>
        <v/>
      </c>
      <c r="B2909" s="2">
        <f>HYPERLINK("https://camerareadycosmetics.com/products/peter-thomas-roth-instant-firmx-no-filter-primer", "https://camerareadycosmetics.com/products/peter-thomas-roth-instant-firmx-no-filter-primer")</f>
        <v/>
      </c>
      <c r="C2909" t="inlineStr">
        <is>
          <t>Instant FIRMx No-Filter Primer</t>
        </is>
      </c>
      <c r="D2909" t="inlineStr">
        <is>
          <t>Instant FIRMx No-Filter Primer, Instant Skin Tightener, Instant Skin Firmer, Makeup Primer For Face, Blurring Face Primer</t>
        </is>
      </c>
      <c r="E2909" s="2">
        <f>HYPERLINK("https://www.amazon.com/Peter-Thomas-Roth-Instant-Filter/dp/B0BSB1DK8S/ref=sr_1_1?keywords=Instant+FIRMx+No-Filter+Primer&amp;qid=1695565844&amp;sr=8-1", "https://www.amazon.com/Peter-Thomas-Roth-Instant-Filter/dp/B0BSB1DK8S/ref=sr_1_1?keywords=Instant+FIRMx+No-Filter+Primer&amp;qid=1695565844&amp;sr=8-1")</f>
        <v/>
      </c>
      <c r="F2909" t="inlineStr">
        <is>
          <t>B0BSB1DK8S</t>
        </is>
      </c>
      <c r="G2909">
        <f>_xlfn.IMAGE("https://camerareadycosmetics.com/cdn/shop/products/16-01-009_04_50x.jpg?v=1677032336")</f>
        <v/>
      </c>
      <c r="H2909">
        <f>_xlfn.IMAGE("https://m.media-amazon.com/images/I/518iyzPPE6L._AC_UL320_.jpg")</f>
        <v/>
      </c>
      <c r="K2909" t="inlineStr">
        <is>
          <t>42.0</t>
        </is>
      </c>
      <c r="L2909" t="n">
        <v>35.7</v>
      </c>
      <c r="M2909" s="1" t="inlineStr">
        <is>
          <t>-15.00%</t>
        </is>
      </c>
      <c r="N2909" t="n">
        <v>3.8</v>
      </c>
      <c r="O2909" t="n">
        <v>99</v>
      </c>
      <c r="Q2909" t="inlineStr">
        <is>
          <t>OutOfStock</t>
        </is>
      </c>
      <c r="R2909" t="inlineStr">
        <is>
          <t>undefined</t>
        </is>
      </c>
      <c r="S2909" t="inlineStr">
        <is>
          <t>7571167379641</t>
        </is>
      </c>
    </row>
    <row r="2910" ht="75" customHeight="1">
      <c r="A2910" s="2">
        <f>HYPERLINK("https://camerareadycosmetics.com/products/ppi-blue-marble-selr-sealer-spray", "https://camerareadycosmetics.com/products/ppi-blue-marble-selr-sealer-spray")</f>
        <v/>
      </c>
      <c r="B2910" s="2">
        <f>HYPERLINK("https://camerareadycosmetics.com/products/ppi-blue-marble-selr-sealer-spray", "https://camerareadycosmetics.com/products/ppi-blue-marble-selr-sealer-spray")</f>
        <v/>
      </c>
      <c r="C2910" t="inlineStr">
        <is>
          <t>Blue Marble Setting SELR Spray Sealer</t>
        </is>
      </c>
      <c r="D2910" t="inlineStr">
        <is>
          <t>PPI Skin Illustrator Blue Marble Water Proof Makeup Setting Spray Sealer, 4oz</t>
        </is>
      </c>
      <c r="E2910" s="2">
        <f>HYPERLINK("https://www.amazon.com/Premiere-Products-Blue-Marble-Spray/dp/B01E828G92/ref=sr_1_1?keywords=blue+marble+setting+self+spray+sealer&amp;qid=1695565431&amp;sr=8-1", "https://www.amazon.com/Premiere-Products-Blue-Marble-Spray/dp/B01E828G92/ref=sr_1_1?keywords=blue+marble+setting+self+spray+sealer&amp;qid=1695565431&amp;sr=8-1")</f>
        <v/>
      </c>
      <c r="F2910" t="inlineStr">
        <is>
          <t>B01E828G92</t>
        </is>
      </c>
      <c r="G2910">
        <f>_xlfn.IMAGE("https://camerareadycosmetics.com/cdn/shop/products/blue_50x.jpg?v=1689643341")</f>
        <v/>
      </c>
      <c r="H2910">
        <f>_xlfn.IMAGE("https://m.media-amazon.com/images/I/410mchSrjzL._AC_UL320_.jpg")</f>
        <v/>
      </c>
      <c r="K2910" t="inlineStr">
        <is>
          <t>16.5</t>
        </is>
      </c>
      <c r="L2910" t="n">
        <v>36.93</v>
      </c>
      <c r="M2910" s="1" t="inlineStr">
        <is>
          <t>123.82%</t>
        </is>
      </c>
      <c r="N2910" t="n">
        <v>4.2</v>
      </c>
      <c r="O2910" t="n">
        <v>211</v>
      </c>
      <c r="Q2910" t="inlineStr">
        <is>
          <t>InStock</t>
        </is>
      </c>
      <c r="R2910" t="inlineStr">
        <is>
          <t>undefined</t>
        </is>
      </c>
      <c r="S2910" t="inlineStr">
        <is>
          <t>7040825479</t>
        </is>
      </c>
    </row>
    <row r="2911" ht="75" customHeight="1">
      <c r="A2911" s="2">
        <f>HYPERLINK("https://camerareadycosmetics.com/products/ppi-green-marble-selr-spray", "https://camerareadycosmetics.com/products/ppi-green-marble-selr-spray")</f>
        <v/>
      </c>
      <c r="B2911" s="2">
        <f>HYPERLINK("https://camerareadycosmetics.com/products/ppi-green-marble-selr-spray", "https://camerareadycosmetics.com/products/ppi-green-marble-selr-spray")</f>
        <v/>
      </c>
      <c r="C2911" t="inlineStr">
        <is>
          <t>SeLr Green Marble Setting Spray</t>
        </is>
      </c>
      <c r="D2911" t="inlineStr">
        <is>
          <t>PPI Skin Illustrator Green Marble Alcohol Based Water Proof Makeup Setting Spray Sealer, 8oz</t>
        </is>
      </c>
      <c r="E2911" s="2">
        <f>HYPERLINK("https://www.amazon.com/Illustrator-Marble-Alcohol-Makeup-Setting/dp/B01FF3JFCU/ref=sr_1_2?keywords=SeLr+Green+Marble+Setting+Spray&amp;qid=1695565428&amp;sr=8-2", "https://www.amazon.com/Illustrator-Marble-Alcohol-Makeup-Setting/dp/B01FF3JFCU/ref=sr_1_2?keywords=SeLr+Green+Marble+Setting+Spray&amp;qid=1695565428&amp;sr=8-2")</f>
        <v/>
      </c>
      <c r="F2911" t="inlineStr">
        <is>
          <t>B01FF3JFCU</t>
        </is>
      </c>
      <c r="G2911">
        <f>_xlfn.IMAGE("https://camerareadycosmetics.com/cdn/shop/products/6415_zoom_1434407556_50x.jpg?v=1689643337")</f>
        <v/>
      </c>
      <c r="H2911">
        <f>_xlfn.IMAGE("https://m.media-amazon.com/images/I/31ZQyeEYPZL._AC_UL320_.jpg")</f>
        <v/>
      </c>
      <c r="K2911" t="inlineStr">
        <is>
          <t>16.5</t>
        </is>
      </c>
      <c r="L2911" t="n">
        <v>42.99</v>
      </c>
      <c r="M2911" s="1" t="inlineStr">
        <is>
          <t>160.55%</t>
        </is>
      </c>
      <c r="N2911" t="n">
        <v>4.5</v>
      </c>
      <c r="O2911" t="n">
        <v>27</v>
      </c>
      <c r="Q2911" t="inlineStr">
        <is>
          <t>InStock</t>
        </is>
      </c>
      <c r="R2911" t="inlineStr">
        <is>
          <t>undefined</t>
        </is>
      </c>
      <c r="S2911" t="inlineStr">
        <is>
          <t>7040812103</t>
        </is>
      </c>
    </row>
    <row r="2912" ht="75" customHeight="1">
      <c r="A2912" s="2">
        <f>HYPERLINK("https://camerareadycosmetics.com/products/ppi-green-marble-selr-spray", "https://camerareadycosmetics.com/products/ppi-green-marble-selr-spray")</f>
        <v/>
      </c>
      <c r="B2912" s="2">
        <f>HYPERLINK("https://camerareadycosmetics.com/products/ppi-green-marble-selr-spray", "https://camerareadycosmetics.com/products/ppi-green-marble-selr-spray")</f>
        <v/>
      </c>
      <c r="C2912" t="inlineStr">
        <is>
          <t>SeLr Green Marble Setting Spray</t>
        </is>
      </c>
      <c r="D2912" t="inlineStr">
        <is>
          <t>PPI Skin Illustrator Green Marble Alcohol Based Water Proof Makeup Setting Spray Sealer, 4oz</t>
        </is>
      </c>
      <c r="E2912" s="2">
        <f>HYPERLINK("https://www.amazon.com/Illustrator-Marble-Alcohol-Makeup-Setting/dp/B01FF3JEC6/ref=sr_1_1?keywords=SeLr+Green+Marble+Setting+Spray&amp;qid=1695565428&amp;sr=8-1", "https://www.amazon.com/Illustrator-Marble-Alcohol-Makeup-Setting/dp/B01FF3JEC6/ref=sr_1_1?keywords=SeLr+Green+Marble+Setting+Spray&amp;qid=1695565428&amp;sr=8-1")</f>
        <v/>
      </c>
      <c r="F2912" t="inlineStr">
        <is>
          <t>B01FF3JEC6</t>
        </is>
      </c>
      <c r="G2912">
        <f>_xlfn.IMAGE("https://camerareadycosmetics.com/cdn/shop/products/6415_zoom_1434407556_50x.jpg?v=1689643337")</f>
        <v/>
      </c>
      <c r="H2912">
        <f>_xlfn.IMAGE("https://m.media-amazon.com/images/I/41iLMXQrhEL._AC_UL320_.jpg")</f>
        <v/>
      </c>
      <c r="K2912" t="inlineStr">
        <is>
          <t>16.5</t>
        </is>
      </c>
      <c r="L2912" t="n">
        <v>29.55</v>
      </c>
      <c r="M2912" s="1" t="inlineStr">
        <is>
          <t>79.09%</t>
        </is>
      </c>
      <c r="N2912" t="n">
        <v>4.1</v>
      </c>
      <c r="O2912" t="n">
        <v>133</v>
      </c>
      <c r="Q2912" t="inlineStr">
        <is>
          <t>InStock</t>
        </is>
      </c>
      <c r="R2912" t="inlineStr">
        <is>
          <t>undefined</t>
        </is>
      </c>
      <c r="S2912" t="inlineStr">
        <is>
          <t>7040812103</t>
        </is>
      </c>
    </row>
    <row r="2913" ht="75" customHeight="1">
      <c r="A2913" s="2">
        <f>HYPERLINK("https://camerareadycosmetics.com/products/ppi-green-marble-selr-spray", "https://camerareadycosmetics.com/products/ppi-green-marble-selr-spray")</f>
        <v/>
      </c>
      <c r="B2913" s="2">
        <f>HYPERLINK("https://camerareadycosmetics.com/products/ppi-green-marble-selr-spray", "https://camerareadycosmetics.com/products/ppi-green-marble-selr-spray")</f>
        <v/>
      </c>
      <c r="C2913" t="inlineStr">
        <is>
          <t>SeLr Green Marble Setting Spray</t>
        </is>
      </c>
      <c r="D2913" t="inlineStr">
        <is>
          <t>PPI Skin Illustrator Green Marble Alcohol Based Water Proof Makeup Setting Spray Sealer, 1oz</t>
        </is>
      </c>
      <c r="E2913" s="2">
        <f>HYPERLINK("https://www.amazon.com/Premiere-Products-Green-Marble-Sealer/dp/B01FF3JDE0/ref=sr_1_4?keywords=SeLr+Green+Marble+Setting+Spray&amp;qid=1695565428&amp;sr=8-4", "https://www.amazon.com/Premiere-Products-Green-Marble-Sealer/dp/B01FF3JDE0/ref=sr_1_4?keywords=SeLr+Green+Marble+Setting+Spray&amp;qid=1695565428&amp;sr=8-4")</f>
        <v/>
      </c>
      <c r="F2913" t="inlineStr">
        <is>
          <t>B01FF3JDE0</t>
        </is>
      </c>
      <c r="G2913">
        <f>_xlfn.IMAGE("https://camerareadycosmetics.com/cdn/shop/products/6415_zoom_1434407556_50x.jpg?v=1689643337")</f>
        <v/>
      </c>
      <c r="H2913">
        <f>_xlfn.IMAGE("https://m.media-amazon.com/images/I/31iUjK5QCPL._AC_UL320_.jpg")</f>
        <v/>
      </c>
      <c r="K2913" t="inlineStr">
        <is>
          <t>16.5</t>
        </is>
      </c>
      <c r="L2913" t="n">
        <v>24.13</v>
      </c>
      <c r="M2913" s="1" t="inlineStr">
        <is>
          <t>46.24%</t>
        </is>
      </c>
      <c r="N2913" t="n">
        <v>4.1</v>
      </c>
      <c r="O2913" t="n">
        <v>77</v>
      </c>
      <c r="Q2913" t="inlineStr">
        <is>
          <t>InStock</t>
        </is>
      </c>
      <c r="R2913" t="inlineStr">
        <is>
          <t>undefined</t>
        </is>
      </c>
      <c r="S2913" t="inlineStr">
        <is>
          <t>7040812103</t>
        </is>
      </c>
    </row>
    <row r="2914" ht="75" customHeight="1">
      <c r="A2914" s="2">
        <f>HYPERLINK("https://camerareadycosmetics.com/products/rcma-5-part-series-cream-blush-palette", "https://camerareadycosmetics.com/products/rcma-5-part-series-cream-blush-palette")</f>
        <v/>
      </c>
      <c r="B2914" s="2">
        <f>HYPERLINK("https://camerareadycosmetics.com/products/rcma-5-part-series-cream-blush-palette", "https://camerareadycosmetics.com/products/rcma-5-part-series-cream-blush-palette")</f>
        <v/>
      </c>
      <c r="C2914" t="inlineStr">
        <is>
          <t>5 Part Series Cream Blush Palette</t>
        </is>
      </c>
      <c r="D2914" t="inlineStr">
        <is>
          <t>RCMA 5 Part "Series Favorites" Palette Cream Blush #1, Highly Pigmented &amp; Blendable Shades of Pink, Cheek Blush for Professional Makeup Artists</t>
        </is>
      </c>
      <c r="E2914" s="2">
        <f>HYPERLINK("https://www.amazon.com/RCMA-Favorites-Palette-Cream-Blush/dp/B09DGNDK8M/ref=sr_1_1?keywords=5+Part+Series+Cream+Blush+Palette&amp;qid=1695565430&amp;sr=8-1", "https://www.amazon.com/RCMA-Favorites-Palette-Cream-Blush/dp/B09DGNDK8M/ref=sr_1_1?keywords=5+Part+Series+Cream+Blush+Palette&amp;qid=1695565430&amp;sr=8-1")</f>
        <v/>
      </c>
      <c r="F2914" t="inlineStr">
        <is>
          <t>B09DGNDK8M</t>
        </is>
      </c>
      <c r="G2914">
        <f>_xlfn.IMAGE("https://camerareadycosmetics.com/cdn/shop/products/147010000__11808.1434152679.600.600_50x.jpeg?v=1689644182")</f>
        <v/>
      </c>
      <c r="H2914">
        <f>_xlfn.IMAGE("https://m.media-amazon.com/images/I/71+9D92jcUL._AC_UL320_.jpg")</f>
        <v/>
      </c>
      <c r="K2914" t="inlineStr">
        <is>
          <t>30.0</t>
        </is>
      </c>
      <c r="L2914" t="n">
        <v>34.99</v>
      </c>
      <c r="M2914" s="1" t="inlineStr">
        <is>
          <t>16.63%</t>
        </is>
      </c>
      <c r="N2914" t="n">
        <v>4.6</v>
      </c>
      <c r="O2914" t="n">
        <v>25</v>
      </c>
      <c r="Q2914" t="inlineStr">
        <is>
          <t>InStock</t>
        </is>
      </c>
      <c r="R2914" t="inlineStr">
        <is>
          <t>undefined</t>
        </is>
      </c>
      <c r="S2914" t="inlineStr">
        <is>
          <t>7041177671</t>
        </is>
      </c>
    </row>
    <row r="2915" ht="75" customHeight="1">
      <c r="A2915" s="2">
        <f>HYPERLINK("https://camerareadycosmetics.com/products/rcma-5-part-series-foundation-palette", "https://camerareadycosmetics.com/products/rcma-5-part-series-foundation-palette")</f>
        <v/>
      </c>
      <c r="B2915" s="2">
        <f>HYPERLINK("https://camerareadycosmetics.com/products/rcma-vk-foundation-palette", "https://camerareadycosmetics.com/products/rcma-vk-foundation-palette")</f>
        <v/>
      </c>
      <c r="C2915" t="inlineStr">
        <is>
          <t>5 Part Series Foundation Palette</t>
        </is>
      </c>
      <c r="D2915" t="inlineStr">
        <is>
          <t>RCMA 5 Part "Series Favorites" Palette Cream Blush #1, Highly Pigmented &amp; Blendable Shades of Pink, Cheek Blush for Professional Makeup Artists</t>
        </is>
      </c>
      <c r="E2915" s="2">
        <f>HYPERLINK("https://www.amazon.com/RCMA-Favorites-Palette-Cream-Blush/dp/B09DGNDK8M/ref=sr_1_3?keywords=5+Part+Series+Foundation+Palette&amp;qid=1695565412&amp;sr=8-3", "https://www.amazon.com/RCMA-Favorites-Palette-Cream-Blush/dp/B09DGNDK8M/ref=sr_1_3?keywords=5+Part+Series+Foundation+Palette&amp;qid=1695565412&amp;sr=8-3")</f>
        <v/>
      </c>
      <c r="F2915" t="inlineStr">
        <is>
          <t>B09DGNDK8M</t>
        </is>
      </c>
      <c r="G2915">
        <f>_xlfn.IMAGE("https://camerareadycosmetics.com/cdn/shop/products/RCMA-5-part-palette-07-Shinto-Dark-open_5100x_efca268c-8dcd-43ff-ab89-39c91769ade2_50x.jpg?v=1689642717")</f>
        <v/>
      </c>
      <c r="H2915">
        <f>_xlfn.IMAGE("https://m.media-amazon.com/images/I/71+9D92jcUL._AC_UL320_.jpg")</f>
        <v/>
      </c>
      <c r="K2915" t="inlineStr">
        <is>
          <t>30.0</t>
        </is>
      </c>
      <c r="L2915" t="n">
        <v>34.99</v>
      </c>
      <c r="M2915" s="1" t="inlineStr">
        <is>
          <t>16.63%</t>
        </is>
      </c>
      <c r="N2915" t="n">
        <v>4.6</v>
      </c>
      <c r="O2915" t="n">
        <v>25</v>
      </c>
      <c r="Q2915" t="inlineStr">
        <is>
          <t>InStock</t>
        </is>
      </c>
      <c r="R2915" t="inlineStr">
        <is>
          <t>undefined</t>
        </is>
      </c>
      <c r="S2915" t="inlineStr">
        <is>
          <t>7040709767</t>
        </is>
      </c>
    </row>
    <row r="2916" ht="75" customHeight="1">
      <c r="A2916" s="2">
        <f>HYPERLINK("https://camerareadycosmetics.com/products/rcma-5-part-series-foundation-palette", "https://camerareadycosmetics.com/products/rcma-5-part-series-foundation-palette")</f>
        <v/>
      </c>
      <c r="B2916" s="2">
        <f>HYPERLINK("https://camerareadycosmetics.com/products/rcma-vk-foundation-palette", "https://camerareadycosmetics.com/products/rcma-vk-foundation-palette")</f>
        <v/>
      </c>
      <c r="C2916" t="inlineStr">
        <is>
          <t>5 Part Series Foundation Palette</t>
        </is>
      </c>
      <c r="D2916" t="inlineStr">
        <is>
          <t>RCMA 5 Part"Series Favorites" Palette KA Series, Perfect for Professional Makeup Artists, Foundation Highlight or Contour, Long-Lasting Everyday Makeup</t>
        </is>
      </c>
      <c r="E2916" s="2">
        <f>HYPERLINK("https://www.amazon.com/RCMA-Part-Favorites-Palette-KA/dp/B01ETVTAU6/ref=sr_1_1?keywords=5+Part+Series+Foundation+Palette&amp;qid=1695565412&amp;sr=8-1", "https://www.amazon.com/RCMA-Part-Favorites-Palette-KA/dp/B01ETVTAU6/ref=sr_1_1?keywords=5+Part+Series+Foundation+Palette&amp;qid=1695565412&amp;sr=8-1")</f>
        <v/>
      </c>
      <c r="F2916" t="inlineStr">
        <is>
          <t>B01ETVTAU6</t>
        </is>
      </c>
      <c r="G2916">
        <f>_xlfn.IMAGE("https://camerareadycosmetics.com/cdn/shop/products/RCMA-5-part-palette-07-Shinto-Dark-open_5100x_efca268c-8dcd-43ff-ab89-39c91769ade2_50x.jpg?v=1689642717")</f>
        <v/>
      </c>
      <c r="H2916">
        <f>_xlfn.IMAGE("https://m.media-amazon.com/images/I/61aN05MXyaL._AC_UL320_.jpg")</f>
        <v/>
      </c>
      <c r="K2916" t="inlineStr">
        <is>
          <t>30.0</t>
        </is>
      </c>
      <c r="L2916" t="n">
        <v>34.99</v>
      </c>
      <c r="M2916" s="1" t="inlineStr">
        <is>
          <t>16.63%</t>
        </is>
      </c>
      <c r="N2916" t="n">
        <v>4.2</v>
      </c>
      <c r="O2916" t="n">
        <v>58</v>
      </c>
      <c r="Q2916" t="inlineStr">
        <is>
          <t>InStock</t>
        </is>
      </c>
      <c r="R2916" t="inlineStr">
        <is>
          <t>undefined</t>
        </is>
      </c>
      <c r="S2916" t="inlineStr">
        <is>
          <t>7040709767</t>
        </is>
      </c>
    </row>
    <row r="2917" ht="75" customHeight="1">
      <c r="A2917" s="2">
        <f>HYPERLINK("https://camerareadycosmetics.com/products/rcma-5-part-series-foundation-palette", "https://camerareadycosmetics.com/products/rcma-5-part-series-foundation-palette")</f>
        <v/>
      </c>
      <c r="B2917" s="2">
        <f>HYPERLINK("https://camerareadycosmetics.com/products/rcma-vk-foundation-palette", "https://camerareadycosmetics.com/products/rcma-vk-foundation-palette")</f>
        <v/>
      </c>
      <c r="C2917" t="inlineStr">
        <is>
          <t>5 Part Series Foundation Palette</t>
        </is>
      </c>
      <c r="D2917" t="inlineStr">
        <is>
          <t>"RCMA 5 Part Highlight and Contour "Series Favourite" Palette - Medium/Dark, Perfect for Professional Makeup Artists, Long-Lasting Everyday Makeup"?</t>
        </is>
      </c>
      <c r="E2917" s="2">
        <f>HYPERLINK("https://www.amazon.com/RCMA-Highlight-Contour-Favourite-Palette/dp/B00GZRPHVO/ref=sr_1_2?keywords=5+Part+Series+Foundation+Palette&amp;qid=1695565412&amp;sr=8-2", "https://www.amazon.com/RCMA-Highlight-Contour-Favourite-Palette/dp/B00GZRPHVO/ref=sr_1_2?keywords=5+Part+Series+Foundation+Palette&amp;qid=1695565412&amp;sr=8-2")</f>
        <v/>
      </c>
      <c r="F2917" t="inlineStr">
        <is>
          <t>B00GZRPHVO</t>
        </is>
      </c>
      <c r="G2917">
        <f>_xlfn.IMAGE("https://camerareadycosmetics.com/cdn/shop/products/RCMA-5-part-palette-07-Shinto-Dark-open_5100x_efca268c-8dcd-43ff-ab89-39c91769ade2_50x.jpg?v=1689642717")</f>
        <v/>
      </c>
      <c r="H2917">
        <f>_xlfn.IMAGE("https://m.media-amazon.com/images/I/61UNZohP05L._AC_UL320_.jpg")</f>
        <v/>
      </c>
      <c r="K2917" t="inlineStr">
        <is>
          <t>30.0</t>
        </is>
      </c>
      <c r="L2917" t="n">
        <v>34.99</v>
      </c>
      <c r="M2917" s="1" t="inlineStr">
        <is>
          <t>16.63%</t>
        </is>
      </c>
      <c r="N2917" t="n">
        <v>3.3</v>
      </c>
      <c r="O2917" t="n">
        <v>8</v>
      </c>
      <c r="Q2917" t="inlineStr">
        <is>
          <t>InStock</t>
        </is>
      </c>
      <c r="R2917" t="inlineStr">
        <is>
          <t>undefined</t>
        </is>
      </c>
      <c r="S2917" t="inlineStr">
        <is>
          <t>7040709767</t>
        </is>
      </c>
    </row>
    <row r="2918" ht="75" customHeight="1">
      <c r="A2918" s="2">
        <f>HYPERLINK("https://camerareadycosmetics.com/products/rcma-beach-day-bronzer", "https://camerareadycosmetics.com/products/rcma-beach-day-bronzer")</f>
        <v/>
      </c>
      <c r="B2918" s="2">
        <f>HYPERLINK("https://camerareadycosmetics.com/products/rcma-beach-day-bronzer", "https://camerareadycosmetics.com/products/rcma-beach-day-bronzer")</f>
        <v/>
      </c>
      <c r="C2918" t="inlineStr">
        <is>
          <t>Beach Day Bronzer</t>
        </is>
      </c>
      <c r="D2918" t="inlineStr">
        <is>
          <t>HEMPZ Tanning Lotion - Legs for Days Beach Ready Bronzer - Moisturizing Self-Tanning Lotion for Tanning Beds, Beach, Sun - 6 Fluid ounces</t>
        </is>
      </c>
      <c r="E2918" s="2">
        <f>HYPERLINK("https://www.amazon.com/Hempz-Legs-Bronzer-Tanning-Lotion/dp/B08YLKL6MQ/ref=sr_1_5?keywords=Beach+Day+Bronzer&amp;qid=1695565825&amp;sr=8-5", "https://www.amazon.com/Hempz-Legs-Bronzer-Tanning-Lotion/dp/B08YLKL6MQ/ref=sr_1_5?keywords=Beach+Day+Bronzer&amp;qid=1695565825&amp;sr=8-5")</f>
        <v/>
      </c>
      <c r="F2918" t="inlineStr">
        <is>
          <t>B08YLKL6MQ</t>
        </is>
      </c>
      <c r="G2918">
        <f>_xlfn.IMAGE("https://camerareadycosmetics.com/cdn/shop/products/Catalinalid_1_50x.jpg?v=1691697215")</f>
        <v/>
      </c>
      <c r="H2918">
        <f>_xlfn.IMAGE("https://m.media-amazon.com/images/I/719uK0kZqBL._AC_UL320_.jpg")</f>
        <v/>
      </c>
      <c r="K2918" t="inlineStr">
        <is>
          <t>24.0</t>
        </is>
      </c>
      <c r="L2918" t="n">
        <v>16</v>
      </c>
      <c r="M2918" s="1" t="inlineStr">
        <is>
          <t>-33.33%</t>
        </is>
      </c>
      <c r="N2918" t="n">
        <v>4.4</v>
      </c>
      <c r="O2918" t="n">
        <v>30</v>
      </c>
      <c r="Q2918" t="inlineStr">
        <is>
          <t>InStock</t>
        </is>
      </c>
      <c r="R2918" t="inlineStr">
        <is>
          <t>undefined</t>
        </is>
      </c>
      <c r="S2918" t="inlineStr">
        <is>
          <t>7605075443897</t>
        </is>
      </c>
    </row>
    <row r="2919" ht="75" customHeight="1">
      <c r="A2919" s="2">
        <f>HYPERLINK("https://camerareadycosmetics.com/products/rcma-foundation-1-2-oz", "https://camerareadycosmetics.com/products/rcma-foundation-1-2-oz")</f>
        <v/>
      </c>
      <c r="B2919" s="2">
        <f>HYPERLINK("https://camerareadycosmetics.com/products/rcma-foundation-1-2-oz", "https://camerareadycosmetics.com/products/rcma-foundation-1-2-oz")</f>
        <v/>
      </c>
      <c r="C2919" t="inlineStr">
        <is>
          <t>RCMA Foundation</t>
        </is>
      </c>
      <c r="D2919" t="inlineStr">
        <is>
          <t>RCMA Vincent Kehoe 18 Part Foundation/Concealer Palette #11, HD Look, Perfect Finish, Professional Makeup for Movies, Theater or Everyday Use</t>
        </is>
      </c>
      <c r="E2919" s="2">
        <f>HYPERLINK("https://www.amazon.com/RCMA-VK-18-Part-Palette/dp/B01ETVTA92/ref=sr_1_4?keywords=RCMA+Foundation&amp;qid=1695565412&amp;sr=8-4", "https://www.amazon.com/RCMA-VK-18-Part-Palette/dp/B01ETVTA92/ref=sr_1_4?keywords=RCMA+Foundation&amp;qid=1695565412&amp;sr=8-4")</f>
        <v/>
      </c>
      <c r="F2919" t="inlineStr">
        <is>
          <t>B01ETVTA92</t>
        </is>
      </c>
      <c r="G2919">
        <f>_xlfn.IMAGE("https://camerareadycosmetics.com/cdn/shop/products/kl8_50x.jpg?v=1689654532")</f>
        <v/>
      </c>
      <c r="H2919">
        <f>_xlfn.IMAGE("https://m.media-amazon.com/images/I/616hiLk1LOL._AC_UL320_.jpg")</f>
        <v/>
      </c>
      <c r="K2919" t="inlineStr">
        <is>
          <t>23.0</t>
        </is>
      </c>
      <c r="L2919" t="n">
        <v>76.98999999999999</v>
      </c>
      <c r="M2919" s="1" t="inlineStr">
        <is>
          <t>234.74%</t>
        </is>
      </c>
      <c r="N2919" t="n">
        <v>4.2</v>
      </c>
      <c r="O2919" t="n">
        <v>79</v>
      </c>
      <c r="Q2919" t="inlineStr">
        <is>
          <t>InStock</t>
        </is>
      </c>
      <c r="R2919" t="inlineStr">
        <is>
          <t>undefined</t>
        </is>
      </c>
      <c r="S2919" t="inlineStr">
        <is>
          <t>7048815687</t>
        </is>
      </c>
    </row>
    <row r="2920" ht="75" customHeight="1">
      <c r="A2920" s="2">
        <f>HYPERLINK("https://camerareadycosmetics.com/products/rcma-foundation-1-2-oz", "https://camerareadycosmetics.com/products/rcma-foundation-1-2-oz")</f>
        <v/>
      </c>
      <c r="B2920" s="2">
        <f>HYPERLINK("https://camerareadycosmetics.com/products/rcma-foundation-1-2-oz", "https://camerareadycosmetics.com/products/rcma-foundation-1-2-oz")</f>
        <v/>
      </c>
      <c r="C2920" t="inlineStr">
        <is>
          <t>RCMA Foundation</t>
        </is>
      </c>
      <c r="D2920" t="inlineStr">
        <is>
          <t>RCMA Liquid Foundation - (True Neutral) N Series - N330 - Coverage Foundation, Advanced Soft-Focus Technology, Produces a Velvety Natural Skin-like Finish - 1 fl oz (30ml)</t>
        </is>
      </c>
      <c r="E2920" s="2">
        <f>HYPERLINK("https://www.amazon.com/RCMA-Liquid-Foundation-Soft-Focus-Technology/dp/B0BW9SMTFQ/ref=sr_1_3?keywords=RCMA+Foundation&amp;qid=1695565412&amp;sr=8-3", "https://www.amazon.com/RCMA-Liquid-Foundation-Soft-Focus-Technology/dp/B0BW9SMTFQ/ref=sr_1_3?keywords=RCMA+Foundation&amp;qid=1695565412&amp;sr=8-3")</f>
        <v/>
      </c>
      <c r="F2920" t="inlineStr">
        <is>
          <t>B0BW9SMTFQ</t>
        </is>
      </c>
      <c r="G2920">
        <f>_xlfn.IMAGE("https://camerareadycosmetics.com/cdn/shop/products/kl8_50x.jpg?v=1689654532")</f>
        <v/>
      </c>
      <c r="H2920">
        <f>_xlfn.IMAGE("https://m.media-amazon.com/images/I/51j53t31FdL._AC_UL320_.jpg")</f>
        <v/>
      </c>
      <c r="K2920" t="inlineStr">
        <is>
          <t>23.0</t>
        </is>
      </c>
      <c r="L2920" t="n">
        <v>37.99</v>
      </c>
      <c r="M2920" s="1" t="inlineStr">
        <is>
          <t>65.17%</t>
        </is>
      </c>
      <c r="N2920" t="n">
        <v>5</v>
      </c>
      <c r="O2920" t="n">
        <v>1</v>
      </c>
      <c r="Q2920" t="inlineStr">
        <is>
          <t>InStock</t>
        </is>
      </c>
      <c r="R2920" t="inlineStr">
        <is>
          <t>undefined</t>
        </is>
      </c>
      <c r="S2920" t="inlineStr">
        <is>
          <t>7048815687</t>
        </is>
      </c>
    </row>
    <row r="2921" ht="75" customHeight="1">
      <c r="A2921" s="2">
        <f>HYPERLINK("https://camerareadycosmetics.com/products/rcma-foundation-1-2-oz", "https://camerareadycosmetics.com/products/rcma-foundation-1-2-oz")</f>
        <v/>
      </c>
      <c r="B2921" s="2">
        <f>HYPERLINK("https://camerareadycosmetics.com/products/rcma-foundation-1-2-oz", "https://camerareadycosmetics.com/products/rcma-foundation-1-2-oz")</f>
        <v/>
      </c>
      <c r="C2921" t="inlineStr">
        <is>
          <t>RCMA Foundation</t>
        </is>
      </c>
      <c r="D2921" t="inlineStr">
        <is>
          <t>RCMA Liquid Foundation - (Golden Olive) G Series - G310 - Coverage Foundation, Advanced Soft-Focus Technology, Produces a Velvety Natural Skin-like Finish - 1 fl oz (30ml)</t>
        </is>
      </c>
      <c r="E2921" s="2">
        <f>HYPERLINK("https://www.amazon.com/RCMA-Liquid-Foundation-Soft-Focus-Technology/dp/B0BW9NHYZZ/ref=sr_1_2?keywords=RCMA+Foundation&amp;qid=1695565412&amp;sr=8-2", "https://www.amazon.com/RCMA-Liquid-Foundation-Soft-Focus-Technology/dp/B0BW9NHYZZ/ref=sr_1_2?keywords=RCMA+Foundation&amp;qid=1695565412&amp;sr=8-2")</f>
        <v/>
      </c>
      <c r="F2921" t="inlineStr">
        <is>
          <t>B0BW9NHYZZ</t>
        </is>
      </c>
      <c r="G2921">
        <f>_xlfn.IMAGE("https://camerareadycosmetics.com/cdn/shop/products/kl8_50x.jpg?v=1689654532")</f>
        <v/>
      </c>
      <c r="H2921">
        <f>_xlfn.IMAGE("https://m.media-amazon.com/images/I/51HrKmCyTDL._AC_UL320_.jpg")</f>
        <v/>
      </c>
      <c r="K2921" t="inlineStr">
        <is>
          <t>23.0</t>
        </is>
      </c>
      <c r="L2921" t="n">
        <v>37.99</v>
      </c>
      <c r="M2921" s="1" t="inlineStr">
        <is>
          <t>65.17%</t>
        </is>
      </c>
      <c r="N2921" t="n">
        <v>5</v>
      </c>
      <c r="O2921" t="n">
        <v>1</v>
      </c>
      <c r="Q2921" t="inlineStr">
        <is>
          <t>InStock</t>
        </is>
      </c>
      <c r="R2921" t="inlineStr">
        <is>
          <t>undefined</t>
        </is>
      </c>
      <c r="S2921" t="inlineStr">
        <is>
          <t>7048815687</t>
        </is>
      </c>
    </row>
    <row r="2922" ht="75" customHeight="1">
      <c r="A2922" s="2">
        <f>HYPERLINK("https://camerareadycosmetics.com/products/rcma-foundation-1-2-oz", "https://camerareadycosmetics.com/products/rcma-foundation-1-2-oz")</f>
        <v/>
      </c>
      <c r="B2922" s="2">
        <f>HYPERLINK("https://camerareadycosmetics.com/products/rcma-foundation-1-2-oz", "https://camerareadycosmetics.com/products/rcma-foundation-1-2-oz")</f>
        <v/>
      </c>
      <c r="C2922" t="inlineStr">
        <is>
          <t>RCMA Foundation</t>
        </is>
      </c>
      <c r="D2922" t="inlineStr">
        <is>
          <t>RCMA Shinto 5 Part Series Favorites Palette, Perfect Base for Professional Makeup Artists, Foundation Highlight or Contour, Long-Lasting Everyday Makeup</t>
        </is>
      </c>
      <c r="E2922" s="2">
        <f>HYPERLINK("https://www.amazon.com/RCMA-Part-Favorites-Palette-SHINTO/dp/B01ETVT6CS/ref=sr_1_1?keywords=RCMA+Foundation&amp;qid=1695565412&amp;sr=8-1", "https://www.amazon.com/RCMA-Part-Favorites-Palette-SHINTO/dp/B01ETVT6CS/ref=sr_1_1?keywords=RCMA+Foundation&amp;qid=1695565412&amp;sr=8-1")</f>
        <v/>
      </c>
      <c r="F2922" t="inlineStr">
        <is>
          <t>B01ETVT6CS</t>
        </is>
      </c>
      <c r="G2922">
        <f>_xlfn.IMAGE("https://camerareadycosmetics.com/cdn/shop/products/kl8_50x.jpg?v=1689654532")</f>
        <v/>
      </c>
      <c r="H2922">
        <f>_xlfn.IMAGE("https://m.media-amazon.com/images/I/71SxlQGBRmL._AC_UL320_.jpg")</f>
        <v/>
      </c>
      <c r="K2922" t="inlineStr">
        <is>
          <t>23.0</t>
        </is>
      </c>
      <c r="L2922" t="n">
        <v>34.99</v>
      </c>
      <c r="M2922" s="1" t="inlineStr">
        <is>
          <t>52.13%</t>
        </is>
      </c>
      <c r="N2922" t="n">
        <v>4</v>
      </c>
      <c r="O2922" t="n">
        <v>64</v>
      </c>
      <c r="Q2922" t="inlineStr">
        <is>
          <t>InStock</t>
        </is>
      </c>
      <c r="R2922" t="inlineStr">
        <is>
          <t>undefined</t>
        </is>
      </c>
      <c r="S2922" t="inlineStr">
        <is>
          <t>7048815687</t>
        </is>
      </c>
    </row>
    <row r="2923" ht="75" customHeight="1">
      <c r="A2923" s="2">
        <f>HYPERLINK("https://camerareadycosmetics.com/products/rcma-foundation-1-2-oz", "https://camerareadycosmetics.com/products/rcma-foundation-1-2-oz")</f>
        <v/>
      </c>
      <c r="B2923" s="2">
        <f>HYPERLINK("https://camerareadycosmetics.com/products/rcma-foundation-1-2-oz", "https://camerareadycosmetics.com/products/rcma-foundation-1-2-oz")</f>
        <v/>
      </c>
      <c r="C2923" t="inlineStr">
        <is>
          <t>RCMA Foundation</t>
        </is>
      </c>
      <c r="D2923" t="inlineStr">
        <is>
          <t>RCMA 5 Part Highlight/Contouring Palette Light, Perfect for Professional Makeup Artists, Foundation Highlight or Contour, Long-Lasting Everyday Makeup</t>
        </is>
      </c>
      <c r="E2923" s="2">
        <f>HYPERLINK("https://www.amazon.com/RCMA-Highlight-Contouring-Palette-Light/dp/B01ETVT718/ref=sr_1_5?keywords=RCMA+Foundation&amp;qid=1695565412&amp;sr=8-5", "https://www.amazon.com/RCMA-Highlight-Contouring-Palette-Light/dp/B01ETVT718/ref=sr_1_5?keywords=RCMA+Foundation&amp;qid=1695565412&amp;sr=8-5")</f>
        <v/>
      </c>
      <c r="F2923" t="inlineStr">
        <is>
          <t>B01ETVT718</t>
        </is>
      </c>
      <c r="G2923">
        <f>_xlfn.IMAGE("https://camerareadycosmetics.com/cdn/shop/products/kl8_50x.jpg?v=1689654532")</f>
        <v/>
      </c>
      <c r="H2923">
        <f>_xlfn.IMAGE("https://m.media-amazon.com/images/I/61fE-NvbVcL._AC_UL320_.jpg")</f>
        <v/>
      </c>
      <c r="K2923" t="inlineStr">
        <is>
          <t>23.0</t>
        </is>
      </c>
      <c r="L2923" t="n">
        <v>34.99</v>
      </c>
      <c r="M2923" s="1" t="inlineStr">
        <is>
          <t>52.13%</t>
        </is>
      </c>
      <c r="N2923" t="n">
        <v>3.3</v>
      </c>
      <c r="O2923" t="n">
        <v>8</v>
      </c>
      <c r="Q2923" t="inlineStr">
        <is>
          <t>InStock</t>
        </is>
      </c>
      <c r="R2923" t="inlineStr">
        <is>
          <t>undefined</t>
        </is>
      </c>
      <c r="S2923" t="inlineStr">
        <is>
          <t>7048815687</t>
        </is>
      </c>
    </row>
    <row r="2924" ht="75" customHeight="1">
      <c r="A2924" s="2">
        <f>HYPERLINK("https://camerareadycosmetics.com/products/rcma-foundation-1-2-oz", "https://camerareadycosmetics.com/products/rcma-foundation-1-2-oz")</f>
        <v/>
      </c>
      <c r="B2924" s="2">
        <f>HYPERLINK("https://camerareadycosmetics.com/products/rcma-foundation-1-2-oz", "https://camerareadycosmetics.com/products/rcma-foundation-1-2-oz")</f>
        <v/>
      </c>
      <c r="C2924" t="inlineStr">
        <is>
          <t>RCMA Foundation</t>
        </is>
      </c>
      <c r="D2924" t="inlineStr">
        <is>
          <t>RCMA Premiere Loose Powders - Talc &amp; Paraben Free Translucent Foundation or Finishing HD Pro Makeup with Blurring Smoothing Effect - Color Topaz</t>
        </is>
      </c>
      <c r="E2924" s="2">
        <f>HYPERLINK("https://www.amazon.com/RCMA-Premiere-Loose-Powders-Translucent/dp/B0BGQG1P4W/ref=sr_1_6?keywords=RCMA+Foundation&amp;qid=1695565412&amp;sr=8-6", "https://www.amazon.com/RCMA-Premiere-Loose-Powders-Translucent/dp/B0BGQG1P4W/ref=sr_1_6?keywords=RCMA+Foundation&amp;qid=1695565412&amp;sr=8-6")</f>
        <v/>
      </c>
      <c r="F2924" t="inlineStr">
        <is>
          <t>B0BGQG1P4W</t>
        </is>
      </c>
      <c r="G2924">
        <f>_xlfn.IMAGE("https://camerareadycosmetics.com/cdn/shop/products/kl8_50x.jpg?v=1689654532")</f>
        <v/>
      </c>
      <c r="H2924">
        <f>_xlfn.IMAGE("https://m.media-amazon.com/images/I/61eKnXNJtWL._AC_UL320_.jpg")</f>
        <v/>
      </c>
      <c r="K2924" t="inlineStr">
        <is>
          <t>23.0</t>
        </is>
      </c>
      <c r="L2924" t="n">
        <v>27.99</v>
      </c>
      <c r="M2924" s="1" t="inlineStr">
        <is>
          <t>21.70%</t>
        </is>
      </c>
      <c r="N2924" t="n">
        <v>5</v>
      </c>
      <c r="O2924" t="n">
        <v>3</v>
      </c>
      <c r="Q2924" t="inlineStr">
        <is>
          <t>InStock</t>
        </is>
      </c>
      <c r="R2924" t="inlineStr">
        <is>
          <t>undefined</t>
        </is>
      </c>
      <c r="S2924" t="inlineStr">
        <is>
          <t>7048815687</t>
        </is>
      </c>
    </row>
    <row r="2925" ht="75" customHeight="1">
      <c r="A2925" s="2">
        <f>HYPERLINK("https://camerareadycosmetics.com/products/rcma-foundation-adjuster-palette", "https://camerareadycosmetics.com/products/rcma-foundation-adjuster-palette")</f>
        <v/>
      </c>
      <c r="B2925" s="2">
        <f>HYPERLINK("https://camerareadycosmetics.com/products/rcma-foundation-adjuster-palette", "https://camerareadycosmetics.com/products/rcma-foundation-adjuster-palette")</f>
        <v/>
      </c>
      <c r="C2925" t="inlineStr">
        <is>
          <t>Foundation Adjuster</t>
        </is>
      </c>
      <c r="D2925" t="inlineStr">
        <is>
          <t>TEMPTU S/B Silicone-Based Shade Adjuster Starter Set: Long-Lasting, Highly-Pigmented Formula For Customizing S/B Foundation Shades | Includes 7 Primary Colors</t>
        </is>
      </c>
      <c r="E2925" s="2">
        <f>HYPERLINK("https://www.amazon.com/TEMPTU-Silicone-Based-Shade-Adjuster-Starter/dp/B004EVIFH6/ref=sr_1_4?keywords=Foundation+Adjuster&amp;qid=1695565471&amp;sr=8-4", "https://www.amazon.com/TEMPTU-Silicone-Based-Shade-Adjuster-Starter/dp/B004EVIFH6/ref=sr_1_4?keywords=Foundation+Adjuster&amp;qid=1695565471&amp;sr=8-4")</f>
        <v/>
      </c>
      <c r="F2925" t="inlineStr">
        <is>
          <t>B004EVIFH6</t>
        </is>
      </c>
      <c r="G2925">
        <f>_xlfn.IMAGE("https://camerareadycosmetics.com/cdn/shop/products/rcma-adjuster-palette-11-Adjuster-open_1000x_21372235-45b5-46d5-b826-83a5172a4f11_50x.jpg?v=1689656567")</f>
        <v/>
      </c>
      <c r="H2925">
        <f>_xlfn.IMAGE("https://m.media-amazon.com/images/I/71TIvK9yN0L._AC_UL320_.jpg")</f>
        <v/>
      </c>
      <c r="K2925" t="inlineStr">
        <is>
          <t>30.0</t>
        </is>
      </c>
      <c r="L2925" t="n">
        <v>64</v>
      </c>
      <c r="M2925" s="1" t="inlineStr">
        <is>
          <t>113.33%</t>
        </is>
      </c>
      <c r="N2925" t="n">
        <v>4.7</v>
      </c>
      <c r="O2925" t="n">
        <v>38</v>
      </c>
      <c r="Q2925" t="inlineStr">
        <is>
          <t>InStock</t>
        </is>
      </c>
      <c r="R2925" t="inlineStr">
        <is>
          <t>undefined</t>
        </is>
      </c>
      <c r="S2925" t="inlineStr">
        <is>
          <t>7049808647</t>
        </is>
      </c>
    </row>
    <row r="2926" ht="75" customHeight="1">
      <c r="A2926" s="2">
        <f>HYPERLINK("https://camerareadycosmetics.com/products/rcma-foundation-adjuster-palette", "https://camerareadycosmetics.com/products/rcma-foundation-adjuster-palette")</f>
        <v/>
      </c>
      <c r="B2926" s="2">
        <f>HYPERLINK("https://camerareadycosmetics.com/products/rcma-foundation-adjuster-palette", "https://camerareadycosmetics.com/products/rcma-foundation-adjuster-palette")</f>
        <v/>
      </c>
      <c r="C2926" t="inlineStr">
        <is>
          <t>Foundation Adjuster</t>
        </is>
      </c>
      <c r="D2926" t="inlineStr">
        <is>
          <t>Physicians Formula Shade Adjuster– Foundation Adjusting Drops PF11038 Light &amp; Dark, 0.47 Ounce (Pack of 2)</t>
        </is>
      </c>
      <c r="E2926" s="2">
        <f>HYPERLINK("https://www.amazon.com/Physicians-Formula-Adjuster-Foundation-Adjusting/dp/B07PVQH4TP/ref=sr_1_6?keywords=Foundation+Adjuster&amp;qid=1695565471&amp;sr=8-6", "https://www.amazon.com/Physicians-Formula-Adjuster-Foundation-Adjusting/dp/B07PVQH4TP/ref=sr_1_6?keywords=Foundation+Adjuster&amp;qid=1695565471&amp;sr=8-6")</f>
        <v/>
      </c>
      <c r="F2926" t="inlineStr">
        <is>
          <t>B07PVQH4TP</t>
        </is>
      </c>
      <c r="G2926">
        <f>_xlfn.IMAGE("https://camerareadycosmetics.com/cdn/shop/products/rcma-adjuster-palette-11-Adjuster-open_1000x_21372235-45b5-46d5-b826-83a5172a4f11_50x.jpg?v=1689656567")</f>
        <v/>
      </c>
      <c r="H2926">
        <f>_xlfn.IMAGE("https://m.media-amazon.com/images/I/71lRIBWHyOS._AC_UL320_.jpg")</f>
        <v/>
      </c>
      <c r="K2926" t="inlineStr">
        <is>
          <t>30.0</t>
        </is>
      </c>
      <c r="L2926" t="n">
        <v>29</v>
      </c>
      <c r="M2926" s="1" t="inlineStr">
        <is>
          <t>-3.33%</t>
        </is>
      </c>
      <c r="N2926" t="n">
        <v>4.1</v>
      </c>
      <c r="O2926" t="n">
        <v>168</v>
      </c>
      <c r="Q2926" t="inlineStr">
        <is>
          <t>InStock</t>
        </is>
      </c>
      <c r="R2926" t="inlineStr">
        <is>
          <t>undefined</t>
        </is>
      </c>
      <c r="S2926" t="inlineStr">
        <is>
          <t>7049808647</t>
        </is>
      </c>
    </row>
    <row r="2927" ht="75" customHeight="1">
      <c r="A2927" s="2">
        <f>HYPERLINK("https://camerareadycosmetics.com/products/rcma-foundation-adjuster-palette", "https://camerareadycosmetics.com/products/rcma-foundation-adjuster-palette")</f>
        <v/>
      </c>
      <c r="B2927" s="2">
        <f>HYPERLINK("https://camerareadycosmetics.com/products/rcma-foundation-adjuster-palette", "https://camerareadycosmetics.com/products/rcma-foundation-adjuster-palette")</f>
        <v/>
      </c>
      <c r="C2927" t="inlineStr">
        <is>
          <t>Foundation Adjuster</t>
        </is>
      </c>
      <c r="D2927" t="inlineStr">
        <is>
          <t>TEMPTU S/B Silicone-Based Shade Adjuster: Long-Lasting, Highly-Pigmented Formula For Customizing S/B Foundation Shades, Available in 7 Primary Colors</t>
        </is>
      </c>
      <c r="E2927" s="2">
        <f>HYPERLINK("https://www.amazon.com/Temptu-Adjuster-Yellow-0-25-Fl/dp/B07BZ85N55/ref=sr_1_2?keywords=Foundation+Adjuster&amp;qid=1695565471&amp;sr=8-2", "https://www.amazon.com/Temptu-Adjuster-Yellow-0-25-Fl/dp/B07BZ85N55/ref=sr_1_2?keywords=Foundation+Adjuster&amp;qid=1695565471&amp;sr=8-2")</f>
        <v/>
      </c>
      <c r="F2927" t="inlineStr">
        <is>
          <t>B07BZ85N55</t>
        </is>
      </c>
      <c r="G2927">
        <f>_xlfn.IMAGE("https://camerareadycosmetics.com/cdn/shop/products/rcma-adjuster-palette-11-Adjuster-open_1000x_21372235-45b5-46d5-b826-83a5172a4f11_50x.jpg?v=1689656567")</f>
        <v/>
      </c>
      <c r="H2927">
        <f>_xlfn.IMAGE("https://m.media-amazon.com/images/I/61l-iSDjvKL._AC_UL320_.jpg")</f>
        <v/>
      </c>
      <c r="K2927" t="inlineStr">
        <is>
          <t>30.0</t>
        </is>
      </c>
      <c r="L2927" t="n">
        <v>14</v>
      </c>
      <c r="M2927" s="1" t="inlineStr">
        <is>
          <t>-53.33%</t>
        </is>
      </c>
      <c r="N2927" t="n">
        <v>4.2</v>
      </c>
      <c r="O2927" t="n">
        <v>253</v>
      </c>
      <c r="Q2927" t="inlineStr">
        <is>
          <t>InStock</t>
        </is>
      </c>
      <c r="R2927" t="inlineStr">
        <is>
          <t>undefined</t>
        </is>
      </c>
      <c r="S2927" t="inlineStr">
        <is>
          <t>7049808647</t>
        </is>
      </c>
    </row>
    <row r="2928" ht="75" customHeight="1">
      <c r="A2928" s="2">
        <f>HYPERLINK("https://camerareadycosmetics.com/products/rcma-foundation-adjuster-palette", "https://camerareadycosmetics.com/products/rcma-foundation-adjuster-palette")</f>
        <v/>
      </c>
      <c r="B2928" s="2">
        <f>HYPERLINK("https://camerareadycosmetics.com/products/rcma-foundation-adjuster-palette", "https://camerareadycosmetics.com/products/rcma-foundation-adjuster-palette")</f>
        <v/>
      </c>
      <c r="C2928" t="inlineStr">
        <is>
          <t>Foundation Adjuster</t>
        </is>
      </c>
      <c r="D2928" t="inlineStr">
        <is>
          <t>Foundation Adjuster Warm By Avon</t>
        </is>
      </c>
      <c r="E2928" s="2">
        <f>HYPERLINK("https://www.amazon.com/Ideal-Shade-Foundation-Adjuster-Warm/dp/B007A2U9R0/ref=sr_1_8?keywords=Foundation+Adjuster&amp;qid=1695565471&amp;sr=8-8", "https://www.amazon.com/Ideal-Shade-Foundation-Adjuster-Warm/dp/B007A2U9R0/ref=sr_1_8?keywords=Foundation+Adjuster&amp;qid=1695565471&amp;sr=8-8")</f>
        <v/>
      </c>
      <c r="F2928" t="inlineStr">
        <is>
          <t>B007A2U9R0</t>
        </is>
      </c>
      <c r="G2928">
        <f>_xlfn.IMAGE("https://camerareadycosmetics.com/cdn/shop/products/rcma-adjuster-palette-11-Adjuster-open_1000x_21372235-45b5-46d5-b826-83a5172a4f11_50x.jpg?v=1689656567")</f>
        <v/>
      </c>
      <c r="H2928">
        <f>_xlfn.IMAGE("https://m.media-amazon.com/images/I/31eyaPyeGPL._AC_UL320_.jpg")</f>
        <v/>
      </c>
      <c r="K2928" t="inlineStr">
        <is>
          <t>30.0</t>
        </is>
      </c>
      <c r="L2928" t="n">
        <v>13.99</v>
      </c>
      <c r="M2928" s="1" t="inlineStr">
        <is>
          <t>-53.37%</t>
        </is>
      </c>
      <c r="N2928" t="n">
        <v>4.2</v>
      </c>
      <c r="O2928" t="n">
        <v>13</v>
      </c>
      <c r="Q2928" t="inlineStr">
        <is>
          <t>InStock</t>
        </is>
      </c>
      <c r="R2928" t="inlineStr">
        <is>
          <t>undefined</t>
        </is>
      </c>
      <c r="S2928" t="inlineStr">
        <is>
          <t>7049808647</t>
        </is>
      </c>
    </row>
    <row r="2929" ht="75" customHeight="1">
      <c r="A2929" s="2">
        <f>HYPERLINK("https://camerareadycosmetics.com/products/rcma-foundation-adjuster-palette", "https://camerareadycosmetics.com/products/rcma-foundation-adjuster-palette")</f>
        <v/>
      </c>
      <c r="B2929" s="2">
        <f>HYPERLINK("https://camerareadycosmetics.com/products/rcma-foundation-adjuster-palette", "https://camerareadycosmetics.com/products/rcma-foundation-adjuster-palette")</f>
        <v/>
      </c>
      <c r="C2929" t="inlineStr">
        <is>
          <t>Foundation Adjuster</t>
        </is>
      </c>
      <c r="D2929" t="inlineStr">
        <is>
          <t>Foundation Mixer, Foundation Mixing Pigment, Foundation Shade Adjuster, Liquid Foundation Adjusting Drops, Smooth and Light, Blends Easily with Foundation (#1 Cream)</t>
        </is>
      </c>
      <c r="E2929" s="2">
        <f>HYPERLINK("https://www.amazon.com/Foundation-Mixing-Pigment-Adjuster-Adjusting/dp/B0C4DZRXV8/ref=sr_1_10?keywords=Foundation+Adjuster&amp;qid=1695565471&amp;sr=8-10", "https://www.amazon.com/Foundation-Mixing-Pigment-Adjuster-Adjusting/dp/B0C4DZRXV8/ref=sr_1_10?keywords=Foundation+Adjuster&amp;qid=1695565471&amp;sr=8-10")</f>
        <v/>
      </c>
      <c r="F2929" t="inlineStr">
        <is>
          <t>B0C4DZRXV8</t>
        </is>
      </c>
      <c r="G2929">
        <f>_xlfn.IMAGE("https://camerareadycosmetics.com/cdn/shop/products/rcma-adjuster-palette-11-Adjuster-open_1000x_21372235-45b5-46d5-b826-83a5172a4f11_50x.jpg?v=1689656567")</f>
        <v/>
      </c>
      <c r="H2929">
        <f>_xlfn.IMAGE("https://m.media-amazon.com/images/I/51NFTuqlTML._AC_UL320_.jpg")</f>
        <v/>
      </c>
      <c r="K2929" t="inlineStr">
        <is>
          <t>30.0</t>
        </is>
      </c>
      <c r="L2929" t="n">
        <v>7.99</v>
      </c>
      <c r="M2929" s="1" t="inlineStr">
        <is>
          <t>-73.37%</t>
        </is>
      </c>
      <c r="N2929" t="n">
        <v>4.4</v>
      </c>
      <c r="O2929" t="n">
        <v>22</v>
      </c>
      <c r="Q2929" t="inlineStr">
        <is>
          <t>InStock</t>
        </is>
      </c>
      <c r="R2929" t="inlineStr">
        <is>
          <t>undefined</t>
        </is>
      </c>
      <c r="S2929" t="inlineStr">
        <is>
          <t>7049808647</t>
        </is>
      </c>
    </row>
    <row r="2930" ht="75" customHeight="1">
      <c r="A2930" s="2">
        <f>HYPERLINK("https://camerareadycosmetics.com/products/rcma-foundation-adjuster-palette", "https://camerareadycosmetics.com/products/rcma-foundation-adjuster-palette")</f>
        <v/>
      </c>
      <c r="B2930" s="2">
        <f>HYPERLINK("https://camerareadycosmetics.com/products/rcma-foundation-adjuster-palette", "https://camerareadycosmetics.com/products/rcma-foundation-adjuster-palette")</f>
        <v/>
      </c>
      <c r="C2930" t="inlineStr">
        <is>
          <t>Foundation Adjuster</t>
        </is>
      </c>
      <c r="D2930" t="inlineStr">
        <is>
          <t>Blue Foundation, Blue Pigment Mixer，Corrector Foundation Shade Adjuster, Smooth and Light, Blends Easily With Foundation Warm to Cold(Blue #2)</t>
        </is>
      </c>
      <c r="E2930" s="2">
        <f>HYPERLINK("https://www.amazon.com/Kusslippe-Foundation-Long-Lasting-Highly-Pigmented-Customizing/dp/B09W1J2NB4/ref=sr_1_5?keywords=Foundation+Adjuster&amp;qid=1695565471&amp;sr=8-5", "https://www.amazon.com/Kusslippe-Foundation-Long-Lasting-Highly-Pigmented-Customizing/dp/B09W1J2NB4/ref=sr_1_5?keywords=Foundation+Adjuster&amp;qid=1695565471&amp;sr=8-5")</f>
        <v/>
      </c>
      <c r="F2930" t="inlineStr">
        <is>
          <t>B09W1J2NB4</t>
        </is>
      </c>
      <c r="G2930">
        <f>_xlfn.IMAGE("https://camerareadycosmetics.com/cdn/shop/products/rcma-adjuster-palette-11-Adjuster-open_1000x_21372235-45b5-46d5-b826-83a5172a4f11_50x.jpg?v=1689656567")</f>
        <v/>
      </c>
      <c r="H2930">
        <f>_xlfn.IMAGE("https://m.media-amazon.com/images/I/61mPdmQ+6VL._AC_UL320_.jpg")</f>
        <v/>
      </c>
      <c r="K2930" t="inlineStr">
        <is>
          <t>30.0</t>
        </is>
      </c>
      <c r="L2930" t="n">
        <v>7.35</v>
      </c>
      <c r="M2930" s="1" t="inlineStr">
        <is>
          <t>-75.50%</t>
        </is>
      </c>
      <c r="N2930" t="n">
        <v>4.2</v>
      </c>
      <c r="O2930" t="n">
        <v>47</v>
      </c>
      <c r="Q2930" t="inlineStr">
        <is>
          <t>InStock</t>
        </is>
      </c>
      <c r="R2930" t="inlineStr">
        <is>
          <t>undefined</t>
        </is>
      </c>
      <c r="S2930" t="inlineStr">
        <is>
          <t>7049808647</t>
        </is>
      </c>
    </row>
    <row r="2931" ht="75" customHeight="1">
      <c r="A2931" s="2">
        <f>HYPERLINK("https://camerareadycosmetics.com/products/rcma-foundation-adjuster-palette", "https://camerareadycosmetics.com/products/rcma-foundation-adjuster-palette")</f>
        <v/>
      </c>
      <c r="B2931" s="2">
        <f>HYPERLINK("https://camerareadycosmetics.com/products/rcma-foundation-adjuster-palette", "https://camerareadycosmetics.com/products/rcma-foundation-adjuster-palette")</f>
        <v/>
      </c>
      <c r="C2931" t="inlineStr">
        <is>
          <t>Foundation Adjuster</t>
        </is>
      </c>
      <c r="D2931" t="inlineStr">
        <is>
          <t>Yellow Foundation Mixing Pigment, Yellow Foundation Shade Adjuster Foundation Color Corrector Delicate and Smooth, Easy to Blend Pink to Yellow 03#Maple Leaf,Pack of 1, 0.67oz</t>
        </is>
      </c>
      <c r="E2931" s="2">
        <f>HYPERLINK("https://www.amazon.com/FREEORR-Foundation-Adjuster-Corrector-Delicate/dp/B0BY26XRQ8/ref=sr_1_3?keywords=Foundation+Adjuster&amp;qid=1695565471&amp;sr=8-3", "https://www.amazon.com/FREEORR-Foundation-Adjuster-Corrector-Delicate/dp/B0BY26XRQ8/ref=sr_1_3?keywords=Foundation+Adjuster&amp;qid=1695565471&amp;sr=8-3")</f>
        <v/>
      </c>
      <c r="F2931" t="inlineStr">
        <is>
          <t>B0BY26XRQ8</t>
        </is>
      </c>
      <c r="G2931">
        <f>_xlfn.IMAGE("https://camerareadycosmetics.com/cdn/shop/products/rcma-adjuster-palette-11-Adjuster-open_1000x_21372235-45b5-46d5-b826-83a5172a4f11_50x.jpg?v=1689656567")</f>
        <v/>
      </c>
      <c r="H2931">
        <f>_xlfn.IMAGE("https://m.media-amazon.com/images/I/61LKX3iVf-L._AC_UL320_.jpg")</f>
        <v/>
      </c>
      <c r="K2931" t="inlineStr">
        <is>
          <t>30.0</t>
        </is>
      </c>
      <c r="L2931" t="n">
        <v>5.99</v>
      </c>
      <c r="M2931" s="1" t="inlineStr">
        <is>
          <t>-80.03%</t>
        </is>
      </c>
      <c r="N2931" t="n">
        <v>4.1</v>
      </c>
      <c r="O2931" t="n">
        <v>15</v>
      </c>
      <c r="Q2931" t="inlineStr">
        <is>
          <t>InStock</t>
        </is>
      </c>
      <c r="R2931" t="inlineStr">
        <is>
          <t>undefined</t>
        </is>
      </c>
      <c r="S2931" t="inlineStr">
        <is>
          <t>7049808647</t>
        </is>
      </c>
    </row>
    <row r="2932" ht="75" customHeight="1">
      <c r="A2932" s="2">
        <f>HYPERLINK("https://camerareadycosmetics.com/products/rcma-foundation-adjuster-palette", "https://camerareadycosmetics.com/products/rcma-foundation-adjuster-palette")</f>
        <v/>
      </c>
      <c r="B2932" s="2">
        <f>HYPERLINK("https://camerareadycosmetics.com/products/rcma-foundation-adjuster-palette", "https://camerareadycosmetics.com/products/rcma-foundation-adjuster-palette")</f>
        <v/>
      </c>
      <c r="C2932" t="inlineStr">
        <is>
          <t>Foundation Adjuster</t>
        </is>
      </c>
      <c r="D2932" t="inlineStr">
        <is>
          <t>TEMPTU S/B Silicone-Based Shade Adjuster: Long-Lasting, Highly-Pigmented Formula For Customizing S/B Foundation Shades, Available in 7 Primary Colors</t>
        </is>
      </c>
      <c r="E2932" s="2">
        <f>HYPERLINK("https://www.amazon.com/Temptu-Adjuster-Yellow-0-25-Fl/dp/B07BZ85N55/ref=sr_1_2?keywords=Foundation+Adjuster&amp;qid=1695565471&amp;sr=8-2", "https://www.amazon.com/Temptu-Adjuster-Yellow-0-25-Fl/dp/B07BZ85N55/ref=sr_1_2?keywords=Foundation+Adjuster&amp;qid=1695565471&amp;sr=8-2")</f>
        <v/>
      </c>
      <c r="F2932" t="inlineStr">
        <is>
          <t>B07BZ85N55</t>
        </is>
      </c>
      <c r="G2932">
        <f>_xlfn.IMAGE("https://camerareadycosmetics.com/cdn/shop/products/rcma-adjuster-palette-11-Adjuster-open_1000x_21372235-45b5-46d5-b826-83a5172a4f11_50x.jpg?v=1689656567")</f>
        <v/>
      </c>
      <c r="H2932">
        <f>_xlfn.IMAGE("https://m.media-amazon.com/images/I/61l-iSDjvKL._AC_UL320_.jpg")</f>
        <v/>
      </c>
      <c r="K2932" t="inlineStr">
        <is>
          <t>30.0</t>
        </is>
      </c>
      <c r="L2932" t="n">
        <v>14</v>
      </c>
      <c r="M2932" s="1" t="inlineStr">
        <is>
          <t>-53.33%</t>
        </is>
      </c>
      <c r="N2932" t="n">
        <v>4.2</v>
      </c>
      <c r="O2932" t="n">
        <v>253</v>
      </c>
      <c r="Q2932" t="inlineStr">
        <is>
          <t>InStock</t>
        </is>
      </c>
      <c r="R2932" t="inlineStr">
        <is>
          <t>undefined</t>
        </is>
      </c>
      <c r="S2932" t="inlineStr">
        <is>
          <t>7049808647</t>
        </is>
      </c>
    </row>
    <row r="2933" ht="75" customHeight="1">
      <c r="A2933" s="2">
        <f>HYPERLINK("https://camerareadycosmetics.com/products/rcma-foundation-adjuster-palette", "https://camerareadycosmetics.com/products/rcma-foundation-adjuster-palette")</f>
        <v/>
      </c>
      <c r="B2933" s="2">
        <f>HYPERLINK("https://camerareadycosmetics.com/products/rcma-foundation-adjuster-palette", "https://camerareadycosmetics.com/products/rcma-foundation-adjuster-palette")</f>
        <v/>
      </c>
      <c r="C2933" t="inlineStr">
        <is>
          <t>Foundation Adjuster</t>
        </is>
      </c>
      <c r="D2933" t="inlineStr">
        <is>
          <t>Foundation Adjuster Warm By Avon</t>
        </is>
      </c>
      <c r="E2933" s="2">
        <f>HYPERLINK("https://www.amazon.com/Ideal-Shade-Foundation-Adjuster-Warm/dp/B007A2U9R0/ref=sr_1_8?keywords=Foundation+Adjuster&amp;qid=1695565471&amp;sr=8-8", "https://www.amazon.com/Ideal-Shade-Foundation-Adjuster-Warm/dp/B007A2U9R0/ref=sr_1_8?keywords=Foundation+Adjuster&amp;qid=1695565471&amp;sr=8-8")</f>
        <v/>
      </c>
      <c r="F2933" t="inlineStr">
        <is>
          <t>B007A2U9R0</t>
        </is>
      </c>
      <c r="G2933">
        <f>_xlfn.IMAGE("https://camerareadycosmetics.com/cdn/shop/products/rcma-adjuster-palette-11-Adjuster-open_1000x_21372235-45b5-46d5-b826-83a5172a4f11_50x.jpg?v=1689656567")</f>
        <v/>
      </c>
      <c r="H2933">
        <f>_xlfn.IMAGE("https://m.media-amazon.com/images/I/31eyaPyeGPL._AC_UL320_.jpg")</f>
        <v/>
      </c>
      <c r="K2933" t="inlineStr">
        <is>
          <t>30.0</t>
        </is>
      </c>
      <c r="L2933" t="n">
        <v>13.99</v>
      </c>
      <c r="M2933" s="1" t="inlineStr">
        <is>
          <t>-53.37%</t>
        </is>
      </c>
      <c r="N2933" t="n">
        <v>4.2</v>
      </c>
      <c r="O2933" t="n">
        <v>13</v>
      </c>
      <c r="Q2933" t="inlineStr">
        <is>
          <t>InStock</t>
        </is>
      </c>
      <c r="R2933" t="inlineStr">
        <is>
          <t>undefined</t>
        </is>
      </c>
      <c r="S2933" t="inlineStr">
        <is>
          <t>7049808647</t>
        </is>
      </c>
    </row>
    <row r="2934" ht="75" customHeight="1">
      <c r="A2934" s="2">
        <f>HYPERLINK("https://camerareadycosmetics.com/products/rcma-foundation-adjuster-palette", "https://camerareadycosmetics.com/products/rcma-foundation-adjuster-palette")</f>
        <v/>
      </c>
      <c r="B2934" s="2">
        <f>HYPERLINK("https://camerareadycosmetics.com/products/rcma-foundation-adjuster-palette", "https://camerareadycosmetics.com/products/rcma-foundation-adjuster-palette")</f>
        <v/>
      </c>
      <c r="C2934" t="inlineStr">
        <is>
          <t>Foundation Adjuster</t>
        </is>
      </c>
      <c r="D2934" t="inlineStr">
        <is>
          <t>Foundation Mixer, Foundation Mixing Pigment, Foundation Shade Adjuster, Liquid Foundation Adjusting Drops, Smooth and Light, Blends Easily with Foundation (#1 Cream)</t>
        </is>
      </c>
      <c r="E2934" s="2">
        <f>HYPERLINK("https://www.amazon.com/Foundation-Mixing-Pigment-Adjuster-Adjusting/dp/B0C4DZRXV8/ref=sr_1_10?keywords=Foundation+Adjuster&amp;qid=1695565471&amp;sr=8-10", "https://www.amazon.com/Foundation-Mixing-Pigment-Adjuster-Adjusting/dp/B0C4DZRXV8/ref=sr_1_10?keywords=Foundation+Adjuster&amp;qid=1695565471&amp;sr=8-10")</f>
        <v/>
      </c>
      <c r="F2934" t="inlineStr">
        <is>
          <t>B0C4DZRXV8</t>
        </is>
      </c>
      <c r="G2934">
        <f>_xlfn.IMAGE("https://camerareadycosmetics.com/cdn/shop/products/rcma-adjuster-palette-11-Adjuster-open_1000x_21372235-45b5-46d5-b826-83a5172a4f11_50x.jpg?v=1689656567")</f>
        <v/>
      </c>
      <c r="H2934">
        <f>_xlfn.IMAGE("https://m.media-amazon.com/images/I/51NFTuqlTML._AC_UL320_.jpg")</f>
        <v/>
      </c>
      <c r="K2934" t="inlineStr">
        <is>
          <t>30.0</t>
        </is>
      </c>
      <c r="L2934" t="n">
        <v>7.99</v>
      </c>
      <c r="M2934" s="1" t="inlineStr">
        <is>
          <t>-73.37%</t>
        </is>
      </c>
      <c r="N2934" t="n">
        <v>4.4</v>
      </c>
      <c r="O2934" t="n">
        <v>22</v>
      </c>
      <c r="Q2934" t="inlineStr">
        <is>
          <t>InStock</t>
        </is>
      </c>
      <c r="R2934" t="inlineStr">
        <is>
          <t>undefined</t>
        </is>
      </c>
      <c r="S2934" t="inlineStr">
        <is>
          <t>7049808647</t>
        </is>
      </c>
    </row>
    <row r="2935" ht="75" customHeight="1">
      <c r="A2935" s="2">
        <f>HYPERLINK("https://camerareadycosmetics.com/products/rcma-foundation-adjuster-palette", "https://camerareadycosmetics.com/products/rcma-foundation-adjuster-palette")</f>
        <v/>
      </c>
      <c r="B2935" s="2">
        <f>HYPERLINK("https://camerareadycosmetics.com/products/rcma-foundation-adjuster-palette", "https://camerareadycosmetics.com/products/rcma-foundation-adjuster-palette")</f>
        <v/>
      </c>
      <c r="C2935" t="inlineStr">
        <is>
          <t>Foundation Adjuster</t>
        </is>
      </c>
      <c r="D2935" t="inlineStr">
        <is>
          <t>Blue Foundation, Blue Pigment Mixer，Corrector Foundation Shade Adjuster, Smooth and Light, Blends Easily With Foundation Warm to Cold(Blue #2)</t>
        </is>
      </c>
      <c r="E2935" s="2">
        <f>HYPERLINK("https://www.amazon.com/Kusslippe-Foundation-Long-Lasting-Highly-Pigmented-Customizing/dp/B09W1J2NB4/ref=sr_1_5?keywords=Foundation+Adjuster&amp;qid=1695565471&amp;sr=8-5", "https://www.amazon.com/Kusslippe-Foundation-Long-Lasting-Highly-Pigmented-Customizing/dp/B09W1J2NB4/ref=sr_1_5?keywords=Foundation+Adjuster&amp;qid=1695565471&amp;sr=8-5")</f>
        <v/>
      </c>
      <c r="F2935" t="inlineStr">
        <is>
          <t>B09W1J2NB4</t>
        </is>
      </c>
      <c r="G2935">
        <f>_xlfn.IMAGE("https://camerareadycosmetics.com/cdn/shop/products/rcma-adjuster-palette-11-Adjuster-open_1000x_21372235-45b5-46d5-b826-83a5172a4f11_50x.jpg?v=1689656567")</f>
        <v/>
      </c>
      <c r="H2935">
        <f>_xlfn.IMAGE("https://m.media-amazon.com/images/I/61mPdmQ+6VL._AC_UL320_.jpg")</f>
        <v/>
      </c>
      <c r="K2935" t="inlineStr">
        <is>
          <t>30.0</t>
        </is>
      </c>
      <c r="L2935" t="n">
        <v>7.35</v>
      </c>
      <c r="M2935" s="1" t="inlineStr">
        <is>
          <t>-75.50%</t>
        </is>
      </c>
      <c r="N2935" t="n">
        <v>4.2</v>
      </c>
      <c r="O2935" t="n">
        <v>47</v>
      </c>
      <c r="Q2935" t="inlineStr">
        <is>
          <t>InStock</t>
        </is>
      </c>
      <c r="R2935" t="inlineStr">
        <is>
          <t>undefined</t>
        </is>
      </c>
      <c r="S2935" t="inlineStr">
        <is>
          <t>7049808647</t>
        </is>
      </c>
    </row>
    <row r="2936" ht="75" customHeight="1">
      <c r="A2936" s="2">
        <f>HYPERLINK("https://camerareadycosmetics.com/products/rcma-foundation-adjuster-palette", "https://camerareadycosmetics.com/products/rcma-foundation-adjuster-palette")</f>
        <v/>
      </c>
      <c r="B2936" s="2">
        <f>HYPERLINK("https://camerareadycosmetics.com/products/rcma-foundation-adjuster-palette", "https://camerareadycosmetics.com/products/rcma-foundation-adjuster-palette")</f>
        <v/>
      </c>
      <c r="C2936" t="inlineStr">
        <is>
          <t>Foundation Adjuster</t>
        </is>
      </c>
      <c r="D2936" t="inlineStr">
        <is>
          <t>Yellow Foundation Mixing Pigment, Yellow Foundation Shade Adjuster Foundation Color Corrector Delicate and Smooth, Easy to Blend Pink to Yellow 03#Maple Leaf,Pack of 1, 0.67oz</t>
        </is>
      </c>
      <c r="E2936" s="2">
        <f>HYPERLINK("https://www.amazon.com/FREEORR-Foundation-Adjuster-Corrector-Delicate/dp/B0BY26XRQ8/ref=sr_1_3?keywords=Foundation+Adjuster&amp;qid=1695565471&amp;sr=8-3", "https://www.amazon.com/FREEORR-Foundation-Adjuster-Corrector-Delicate/dp/B0BY26XRQ8/ref=sr_1_3?keywords=Foundation+Adjuster&amp;qid=1695565471&amp;sr=8-3")</f>
        <v/>
      </c>
      <c r="F2936" t="inlineStr">
        <is>
          <t>B0BY26XRQ8</t>
        </is>
      </c>
      <c r="G2936">
        <f>_xlfn.IMAGE("https://camerareadycosmetics.com/cdn/shop/products/rcma-adjuster-palette-11-Adjuster-open_1000x_21372235-45b5-46d5-b826-83a5172a4f11_50x.jpg?v=1689656567")</f>
        <v/>
      </c>
      <c r="H2936">
        <f>_xlfn.IMAGE("https://m.media-amazon.com/images/I/61LKX3iVf-L._AC_UL320_.jpg")</f>
        <v/>
      </c>
      <c r="K2936" t="inlineStr">
        <is>
          <t>30.0</t>
        </is>
      </c>
      <c r="L2936" t="n">
        <v>5.99</v>
      </c>
      <c r="M2936" s="1" t="inlineStr">
        <is>
          <t>-80.03%</t>
        </is>
      </c>
      <c r="N2936" t="n">
        <v>4.1</v>
      </c>
      <c r="O2936" t="n">
        <v>15</v>
      </c>
      <c r="Q2936" t="inlineStr">
        <is>
          <t>InStock</t>
        </is>
      </c>
      <c r="R2936" t="inlineStr">
        <is>
          <t>undefined</t>
        </is>
      </c>
      <c r="S2936" t="inlineStr">
        <is>
          <t>7049808647</t>
        </is>
      </c>
    </row>
    <row r="2937" ht="75" customHeight="1">
      <c r="A2937" s="2">
        <f>HYPERLINK("https://camerareadycosmetics.com/products/rcma-foundation-clear", "https://camerareadycosmetics.com/products/rcma-foundation-clear")</f>
        <v/>
      </c>
      <c r="B2937" s="2">
        <f>HYPERLINK("https://camerareadycosmetics.com/products/rcma-foundation-clear", "https://camerareadycosmetics.com/products/rcma-foundation-clear")</f>
        <v/>
      </c>
      <c r="C2937" t="inlineStr">
        <is>
          <t>Clear Foundation</t>
        </is>
      </c>
      <c r="D2937" t="inlineStr">
        <is>
          <t>BODYOGRAPHY - Foundation Primer (Clear): Flawless Anti-Aging Salon Makeup Primer w/Vitamin E, A, Jojoba, Grapeseed Oil | Control Shine | Gluten-Free, Cruelty-Free, 1 oz.</t>
        </is>
      </c>
      <c r="E2937" s="2">
        <f>HYPERLINK("https://www.amazon.com/Bodyography-Foundation-Primer-Clear-Anti-Aging/dp/B000ME1GUC/ref=sr_1_5?keywords=Clear+Foundation&amp;qid=1695565494&amp;sr=8-5", "https://www.amazon.com/Bodyography-Foundation-Primer-Clear-Anti-Aging/dp/B000ME1GUC/ref=sr_1_5?keywords=Clear+Foundation&amp;qid=1695565494&amp;sr=8-5")</f>
        <v/>
      </c>
      <c r="F2937" t="inlineStr">
        <is>
          <t>B000ME1GUC</t>
        </is>
      </c>
      <c r="G2937">
        <f>_xlfn.IMAGE("https://camerareadycosmetics.com/cdn/shop/products/10568_zoom_1440464293_50x.jpg?v=1689646815")</f>
        <v/>
      </c>
      <c r="H2937">
        <f>_xlfn.IMAGE("https://m.media-amazon.com/images/I/41lJvKO5TjL._AC_UL320_.jpg")</f>
        <v/>
      </c>
      <c r="K2937" t="inlineStr">
        <is>
          <t>23.0</t>
        </is>
      </c>
      <c r="L2937" t="n">
        <v>22.75</v>
      </c>
      <c r="M2937" s="1" t="inlineStr">
        <is>
          <t>-1.09%</t>
        </is>
      </c>
      <c r="N2937" t="n">
        <v>4.5</v>
      </c>
      <c r="O2937" t="n">
        <v>548</v>
      </c>
      <c r="Q2937" t="inlineStr">
        <is>
          <t>InStock</t>
        </is>
      </c>
      <c r="R2937" t="inlineStr">
        <is>
          <t>undefined</t>
        </is>
      </c>
      <c r="S2937" t="inlineStr">
        <is>
          <t>7043306247</t>
        </is>
      </c>
    </row>
    <row r="2938" ht="75" customHeight="1">
      <c r="A2938" s="2">
        <f>HYPERLINK("https://camerareadycosmetics.com/products/rcma-foundation-clear", "https://camerareadycosmetics.com/products/rcma-foundation-clear")</f>
        <v/>
      </c>
      <c r="B2938" s="2">
        <f>HYPERLINK("https://camerareadycosmetics.com/products/rcma-foundation-clear", "https://camerareadycosmetics.com/products/rcma-foundation-clear")</f>
        <v/>
      </c>
      <c r="C2938" t="inlineStr">
        <is>
          <t>Clear Foundation</t>
        </is>
      </c>
      <c r="D2938" t="inlineStr">
        <is>
          <t>Neutrogena SkinClearing Oil-Free Acne and Blemish Fighting Liquid Foundation with Salicylic Acid Acne Medicine, Shine Controlling, for Acne Prone Skin, 10 Classic Ivory, 1 fl. oz</t>
        </is>
      </c>
      <c r="E2938" s="2">
        <f>HYPERLINK("https://www.amazon.com/Neutrogena-Skinclearing-Makeup-Classic-Ivory/dp/B001MS7H1O/ref=sr_1_3?keywords=Clear+Foundation&amp;qid=1695565494&amp;sr=8-3", "https://www.amazon.com/Neutrogena-Skinclearing-Makeup-Classic-Ivory/dp/B001MS7H1O/ref=sr_1_3?keywords=Clear+Foundation&amp;qid=1695565494&amp;sr=8-3")</f>
        <v/>
      </c>
      <c r="F2938" t="inlineStr">
        <is>
          <t>B001MS7H1O</t>
        </is>
      </c>
      <c r="G2938">
        <f>_xlfn.IMAGE("https://camerareadycosmetics.com/cdn/shop/products/10568_zoom_1440464293_50x.jpg?v=1689646815")</f>
        <v/>
      </c>
      <c r="H2938">
        <f>_xlfn.IMAGE("https://m.media-amazon.com/images/I/61b0lrBAKvL._AC_UL320_.jpg")</f>
        <v/>
      </c>
      <c r="K2938" t="inlineStr">
        <is>
          <t>23.0</t>
        </is>
      </c>
      <c r="L2938" t="n">
        <v>7.09</v>
      </c>
      <c r="M2938" s="1" t="inlineStr">
        <is>
          <t>-69.17%</t>
        </is>
      </c>
      <c r="N2938" t="n">
        <v>4.5</v>
      </c>
      <c r="O2938" t="n">
        <v>5006</v>
      </c>
      <c r="Q2938" t="inlineStr">
        <is>
          <t>InStock</t>
        </is>
      </c>
      <c r="R2938" t="inlineStr">
        <is>
          <t>undefined</t>
        </is>
      </c>
      <c r="S2938" t="inlineStr">
        <is>
          <t>7043306247</t>
        </is>
      </c>
    </row>
    <row r="2939" ht="75" customHeight="1">
      <c r="A2939" s="2">
        <f>HYPERLINK("https://camerareadycosmetics.com/products/rcma-foundation-clear", "https://camerareadycosmetics.com/products/rcma-foundation-clear")</f>
        <v/>
      </c>
      <c r="B2939" s="2">
        <f>HYPERLINK("https://camerareadycosmetics.com/products/rcma-foundation-clear", "https://camerareadycosmetics.com/products/rcma-foundation-clear")</f>
        <v/>
      </c>
      <c r="C2939" t="inlineStr">
        <is>
          <t>Clear Foundation</t>
        </is>
      </c>
      <c r="D2939" t="inlineStr">
        <is>
          <t>LAMEL OhMy Clear Face Full Coverage Foundation - Acne Coverage - Salicylic Acid &amp; Tea Tree Extract - Dewy &amp; Flawless Finish - Sensitive Skin Care - Organic &amp; Oil-Free - 401, 1.35 fl.oz</t>
        </is>
      </c>
      <c r="E2939" s="2">
        <f>HYPERLINK("https://www.amazon.com/OhMy-Clear-Face-Foundation-Perfect/dp/B0B2F3HGD2/ref=sr_1_7?keywords=Clear+Foundation&amp;qid=1695565494&amp;sr=8-7", "https://www.amazon.com/OhMy-Clear-Face-Foundation-Perfect/dp/B0B2F3HGD2/ref=sr_1_7?keywords=Clear+Foundation&amp;qid=1695565494&amp;sr=8-7")</f>
        <v/>
      </c>
      <c r="F2939" t="inlineStr">
        <is>
          <t>B0B2F3HGD2</t>
        </is>
      </c>
      <c r="G2939">
        <f>_xlfn.IMAGE("https://camerareadycosmetics.com/cdn/shop/products/10568_zoom_1440464293_50x.jpg?v=1689646815")</f>
        <v/>
      </c>
      <c r="H2939">
        <f>_xlfn.IMAGE("https://m.media-amazon.com/images/I/61HSA1YMP4L._AC_UL320_.jpg")</f>
        <v/>
      </c>
      <c r="K2939" t="inlineStr">
        <is>
          <t>23.0</t>
        </is>
      </c>
      <c r="L2939" t="n">
        <v>6.49</v>
      </c>
      <c r="M2939" s="1" t="inlineStr">
        <is>
          <t>-71.78%</t>
        </is>
      </c>
      <c r="N2939" t="n">
        <v>4.1</v>
      </c>
      <c r="O2939" t="n">
        <v>54</v>
      </c>
      <c r="Q2939" t="inlineStr">
        <is>
          <t>InStock</t>
        </is>
      </c>
      <c r="R2939" t="inlineStr">
        <is>
          <t>undefined</t>
        </is>
      </c>
      <c r="S2939" t="inlineStr">
        <is>
          <t>7043306247</t>
        </is>
      </c>
    </row>
    <row r="2940" ht="75" customHeight="1">
      <c r="A2940" s="2">
        <f>HYPERLINK("https://camerareadycosmetics.com/products/rcma-foundation-clear", "https://camerareadycosmetics.com/products/rcma-foundation-clear")</f>
        <v/>
      </c>
      <c r="B2940" s="2">
        <f>HYPERLINK("https://camerareadycosmetics.com/products/rcma-foundation-clear", "https://camerareadycosmetics.com/products/rcma-foundation-clear")</f>
        <v/>
      </c>
      <c r="C2940" t="inlineStr">
        <is>
          <t>Clear Foundation</t>
        </is>
      </c>
      <c r="D2940" t="inlineStr">
        <is>
          <t>Neutrogena SkinClearing Oil-Free Acne and Blemish Fighting Liquid Foundation with Salicylic Acid Acne Medicine, Shine Controlling, for Acne Prone Skin, 10 Classic Ivory, 1 fl. oz</t>
        </is>
      </c>
      <c r="E2940" s="2">
        <f>HYPERLINK("https://www.amazon.com/Neutrogena-Skinclearing-Makeup-Classic-Ivory/dp/B001MS7H1O/ref=sr_1_3?keywords=Clear+Foundation&amp;qid=1695565494&amp;sr=8-3", "https://www.amazon.com/Neutrogena-Skinclearing-Makeup-Classic-Ivory/dp/B001MS7H1O/ref=sr_1_3?keywords=Clear+Foundation&amp;qid=1695565494&amp;sr=8-3")</f>
        <v/>
      </c>
      <c r="F2940" t="inlineStr">
        <is>
          <t>B001MS7H1O</t>
        </is>
      </c>
      <c r="G2940">
        <f>_xlfn.IMAGE("https://camerareadycosmetics.com/cdn/shop/products/10568_zoom_1440464293_50x.jpg?v=1689646815")</f>
        <v/>
      </c>
      <c r="H2940">
        <f>_xlfn.IMAGE("https://m.media-amazon.com/images/I/61b0lrBAKvL._AC_UL320_.jpg")</f>
        <v/>
      </c>
      <c r="K2940" t="inlineStr">
        <is>
          <t>23.0</t>
        </is>
      </c>
      <c r="L2940" t="n">
        <v>7.09</v>
      </c>
      <c r="M2940" s="1" t="inlineStr">
        <is>
          <t>-69.17%</t>
        </is>
      </c>
      <c r="N2940" t="n">
        <v>4.5</v>
      </c>
      <c r="O2940" t="n">
        <v>5006</v>
      </c>
      <c r="Q2940" t="inlineStr">
        <is>
          <t>InStock</t>
        </is>
      </c>
      <c r="R2940" t="inlineStr">
        <is>
          <t>undefined</t>
        </is>
      </c>
      <c r="S2940" t="inlineStr">
        <is>
          <t>7043306247</t>
        </is>
      </c>
    </row>
    <row r="2941" ht="75" customHeight="1">
      <c r="A2941" s="2">
        <f>HYPERLINK("https://camerareadycosmetics.com/products/rcma-foundation-clear", "https://camerareadycosmetics.com/products/rcma-foundation-clear")</f>
        <v/>
      </c>
      <c r="B2941" s="2">
        <f>HYPERLINK("https://camerareadycosmetics.com/products/rcma-foundation-clear", "https://camerareadycosmetics.com/products/rcma-foundation-clear")</f>
        <v/>
      </c>
      <c r="C2941" t="inlineStr">
        <is>
          <t>Clear Foundation</t>
        </is>
      </c>
      <c r="D2941" t="inlineStr">
        <is>
          <t>LAMEL OhMy Clear Face Full Coverage Foundation - Acne Coverage - Salicylic Acid &amp; Tea Tree Extract - Dewy &amp; Flawless Finish - Sensitive Skin Care - Organic &amp; Oil-Free - 401, 1.35 fl.oz</t>
        </is>
      </c>
      <c r="E2941" s="2">
        <f>HYPERLINK("https://www.amazon.com/OhMy-Clear-Face-Foundation-Perfect/dp/B0B2F3HGD2/ref=sr_1_7?keywords=Clear+Foundation&amp;qid=1695565494&amp;sr=8-7", "https://www.amazon.com/OhMy-Clear-Face-Foundation-Perfect/dp/B0B2F3HGD2/ref=sr_1_7?keywords=Clear+Foundation&amp;qid=1695565494&amp;sr=8-7")</f>
        <v/>
      </c>
      <c r="F2941" t="inlineStr">
        <is>
          <t>B0B2F3HGD2</t>
        </is>
      </c>
      <c r="G2941">
        <f>_xlfn.IMAGE("https://camerareadycosmetics.com/cdn/shop/products/10568_zoom_1440464293_50x.jpg?v=1689646815")</f>
        <v/>
      </c>
      <c r="H2941">
        <f>_xlfn.IMAGE("https://m.media-amazon.com/images/I/61HSA1YMP4L._AC_UL320_.jpg")</f>
        <v/>
      </c>
      <c r="K2941" t="inlineStr">
        <is>
          <t>23.0</t>
        </is>
      </c>
      <c r="L2941" t="n">
        <v>6.49</v>
      </c>
      <c r="M2941" s="1" t="inlineStr">
        <is>
          <t>-71.78%</t>
        </is>
      </c>
      <c r="N2941" t="n">
        <v>4.1</v>
      </c>
      <c r="O2941" t="n">
        <v>54</v>
      </c>
      <c r="Q2941" t="inlineStr">
        <is>
          <t>InStock</t>
        </is>
      </c>
      <c r="R2941" t="inlineStr">
        <is>
          <t>undefined</t>
        </is>
      </c>
      <c r="S2941" t="inlineStr">
        <is>
          <t>7043306247</t>
        </is>
      </c>
    </row>
    <row r="2942" ht="75" customHeight="1">
      <c r="A2942" s="2">
        <f>HYPERLINK("https://camerareadycosmetics.com/products/rcma-highlight-and-contour-palette", "https://camerareadycosmetics.com/products/rcma-highlight-and-contour-palette")</f>
        <v/>
      </c>
      <c r="B2942" s="2">
        <f>HYPERLINK("https://camerareadycosmetics.com/products/rcma-highlight-and-contour-palette", "https://camerareadycosmetics.com/products/rcma-highlight-and-contour-palette")</f>
        <v/>
      </c>
      <c r="C2942" t="inlineStr">
        <is>
          <t>Highlight and Contour Palette</t>
        </is>
      </c>
      <c r="D2942" t="inlineStr">
        <is>
          <t>FOCALLURE 3 Pcs Cream Contour Sticks,Shades with Highlighter &amp; Bronzer &amp; Blush,Non-greasy and Water-resistant Face Contouring Pen,Easy to Sculpt the Face and Create a Lightweight Finishing Makeup,MEDIUM</t>
        </is>
      </c>
      <c r="E2942" s="2">
        <f>HYPERLINK("https://www.amazon.com/FOCALLURE-Highlighter-Non-greasy-Water-resistant-Lightweight/dp/B0B31LHJ33/ref=sr_1_7?keywords=Highlight+and+Contour+Palette&amp;qid=1695565446&amp;sr=8-7", "https://www.amazon.com/FOCALLURE-Highlighter-Non-greasy-Water-resistant-Lightweight/dp/B0B31LHJ33/ref=sr_1_7?keywords=Highlight+and+Contour+Palette&amp;qid=1695565446&amp;sr=8-7")</f>
        <v/>
      </c>
      <c r="F2942" t="inlineStr">
        <is>
          <t>B0B31LHJ33</t>
        </is>
      </c>
      <c r="G2942">
        <f>_xlfn.IMAGE("https://camerareadycosmetics.com/cdn/shop/products/147005000__85141.1438820257.600.600_50x.jpeg?v=1689635738")</f>
        <v/>
      </c>
      <c r="H2942">
        <f>_xlfn.IMAGE("https://m.media-amazon.com/images/I/81cvx6o2eoL._AC_UL320_.jpg")</f>
        <v/>
      </c>
      <c r="K2942" t="inlineStr">
        <is>
          <t>30.0</t>
        </is>
      </c>
      <c r="L2942" t="n">
        <v>17.99</v>
      </c>
      <c r="M2942" s="1" t="inlineStr">
        <is>
          <t>-40.03%</t>
        </is>
      </c>
      <c r="N2942" t="n">
        <v>4.1</v>
      </c>
      <c r="O2942" t="n">
        <v>2025</v>
      </c>
      <c r="Q2942" t="inlineStr">
        <is>
          <t>InStock</t>
        </is>
      </c>
      <c r="R2942" t="inlineStr">
        <is>
          <t>undefined</t>
        </is>
      </c>
      <c r="S2942" t="inlineStr">
        <is>
          <t>7037565191</t>
        </is>
      </c>
    </row>
    <row r="2943" ht="75" customHeight="1">
      <c r="A2943" s="2">
        <f>HYPERLINK("https://camerareadycosmetics.com/products/rcma-highlight-and-contour-palette", "https://camerareadycosmetics.com/products/rcma-highlight-and-contour-palette")</f>
        <v/>
      </c>
      <c r="B2943" s="2">
        <f>HYPERLINK("https://camerareadycosmetics.com/products/rcma-highlight-and-contour-palette", "https://camerareadycosmetics.com/products/rcma-highlight-and-contour-palette")</f>
        <v/>
      </c>
      <c r="C2943" t="inlineStr">
        <is>
          <t>Highlight and Contour Palette</t>
        </is>
      </c>
      <c r="D2943" t="inlineStr">
        <is>
          <t>Makeup Revolution x Roxxsaurus Highlight Contour Palette</t>
        </is>
      </c>
      <c r="E2943" s="2">
        <f>HYPERLINK("https://www.amazon.com/Makeup-Revolution-Roxxsaurus-Highlight-Contour/dp/B07WGHTLLL/ref=sr_1_8?keywords=Highlight+and+Contour+Palette&amp;qid=1695565446&amp;sr=8-8", "https://www.amazon.com/Makeup-Revolution-Roxxsaurus-Highlight-Contour/dp/B07WGHTLLL/ref=sr_1_8?keywords=Highlight+and+Contour+Palette&amp;qid=1695565446&amp;sr=8-8")</f>
        <v/>
      </c>
      <c r="F2943" t="inlineStr">
        <is>
          <t>B07WGHTLLL</t>
        </is>
      </c>
      <c r="G2943">
        <f>_xlfn.IMAGE("https://camerareadycosmetics.com/cdn/shop/products/147005000__85141.1438820257.600.600_50x.jpeg?v=1689635738")</f>
        <v/>
      </c>
      <c r="H2943">
        <f>_xlfn.IMAGE("https://m.media-amazon.com/images/I/41LJrai9h4L._AC_UL320_.jpg")</f>
        <v/>
      </c>
      <c r="K2943" t="inlineStr">
        <is>
          <t>30.0</t>
        </is>
      </c>
      <c r="L2943" t="n">
        <v>15</v>
      </c>
      <c r="M2943" s="1" t="inlineStr">
        <is>
          <t>-50.00%</t>
        </is>
      </c>
      <c r="N2943" t="n">
        <v>4.5</v>
      </c>
      <c r="O2943" t="n">
        <v>320</v>
      </c>
      <c r="Q2943" t="inlineStr">
        <is>
          <t>InStock</t>
        </is>
      </c>
      <c r="R2943" t="inlineStr">
        <is>
          <t>undefined</t>
        </is>
      </c>
      <c r="S2943" t="inlineStr">
        <is>
          <t>7037565191</t>
        </is>
      </c>
    </row>
    <row r="2944" ht="75" customHeight="1">
      <c r="A2944" s="2">
        <f>HYPERLINK("https://camerareadycosmetics.com/products/rcma-highlight-and-contour-palette", "https://camerareadycosmetics.com/products/rcma-highlight-and-contour-palette")</f>
        <v/>
      </c>
      <c r="B2944" s="2">
        <f>HYPERLINK("https://camerareadycosmetics.com/products/rcma-highlight-and-contour-palette", "https://camerareadycosmetics.com/products/rcma-highlight-and-contour-palette")</f>
        <v/>
      </c>
      <c r="C2944" t="inlineStr">
        <is>
          <t>Highlight and Contour Palette</t>
        </is>
      </c>
      <c r="D2944" t="inlineStr">
        <is>
          <t>Profusion Cosmetics Rich Ingredients Long Lasting and Bendability Lightweight Mini Artistry Highlight &amp; Contour II Palette - Medium Dark</t>
        </is>
      </c>
      <c r="E2944" s="2">
        <f>HYPERLINK("https://www.amazon.com/Profusion-Cosmetics-Artistry-Highlight-Contour/dp/B07N7J4YBV/ref=sr_1_4?keywords=Highlight+and+Contour+Palette&amp;qid=1695565446&amp;sr=8-4", "https://www.amazon.com/Profusion-Cosmetics-Artistry-Highlight-Contour/dp/B07N7J4YBV/ref=sr_1_4?keywords=Highlight+and+Contour+Palette&amp;qid=1695565446&amp;sr=8-4")</f>
        <v/>
      </c>
      <c r="F2944" t="inlineStr">
        <is>
          <t>B07N7J4YBV</t>
        </is>
      </c>
      <c r="G2944">
        <f>_xlfn.IMAGE("https://camerareadycosmetics.com/cdn/shop/products/147005000__85141.1438820257.600.600_50x.jpeg?v=1689635738")</f>
        <v/>
      </c>
      <c r="H2944">
        <f>_xlfn.IMAGE("https://m.media-amazon.com/images/I/81U1itkYmaL._AC_UL320_.jpg")</f>
        <v/>
      </c>
      <c r="K2944" t="inlineStr">
        <is>
          <t>30.0</t>
        </is>
      </c>
      <c r="L2944" t="n">
        <v>6.98</v>
      </c>
      <c r="M2944" s="1" t="inlineStr">
        <is>
          <t>-76.73%</t>
        </is>
      </c>
      <c r="N2944" t="n">
        <v>4.1</v>
      </c>
      <c r="O2944" t="n">
        <v>163</v>
      </c>
      <c r="Q2944" t="inlineStr">
        <is>
          <t>InStock</t>
        </is>
      </c>
      <c r="R2944" t="inlineStr">
        <is>
          <t>undefined</t>
        </is>
      </c>
      <c r="S2944" t="inlineStr">
        <is>
          <t>7037565191</t>
        </is>
      </c>
    </row>
    <row r="2945" ht="75" customHeight="1">
      <c r="A2945" s="2">
        <f>HYPERLINK("https://camerareadycosmetics.com/products/rcma-highlight-and-contour-palette", "https://camerareadycosmetics.com/products/rcma-highlight-and-contour-palette")</f>
        <v/>
      </c>
      <c r="B2945" s="2">
        <f>HYPERLINK("https://camerareadycosmetics.com/products/rcma-highlight-and-contour-palette", "https://camerareadycosmetics.com/products/rcma-highlight-and-contour-palette")</f>
        <v/>
      </c>
      <c r="C2945" t="inlineStr">
        <is>
          <t>Highlight and Contour Palette</t>
        </is>
      </c>
      <c r="D2945" t="inlineStr">
        <is>
          <t>W7 Lift &amp; Sculpt Cream Contour Kit - Concealing, Highlighting &amp; Contouring Makeup Palette - Step-by-Step Instructions Included</t>
        </is>
      </c>
      <c r="E2945" s="2">
        <f>HYPERLINK("https://www.amazon.com/W7-Sculpt-Cream-Contour-Step/dp/B074G44PVR/ref=sr_1_1?keywords=Highlight+and+Contour+Palette&amp;qid=1695565446&amp;sr=8-1", "https://www.amazon.com/W7-Sculpt-Cream-Contour-Step/dp/B074G44PVR/ref=sr_1_1?keywords=Highlight+and+Contour+Palette&amp;qid=1695565446&amp;sr=8-1")</f>
        <v/>
      </c>
      <c r="F2945" t="inlineStr">
        <is>
          <t>B074G44PVR</t>
        </is>
      </c>
      <c r="G2945">
        <f>_xlfn.IMAGE("https://camerareadycosmetics.com/cdn/shop/products/147005000__85141.1438820257.600.600_50x.jpeg?v=1689635738")</f>
        <v/>
      </c>
      <c r="H2945">
        <f>_xlfn.IMAGE("https://m.media-amazon.com/images/I/71A15XgwKEL._AC_UL320_.jpg")</f>
        <v/>
      </c>
      <c r="K2945" t="inlineStr">
        <is>
          <t>30.0</t>
        </is>
      </c>
      <c r="L2945" t="n">
        <v>6.95</v>
      </c>
      <c r="M2945" s="1" t="inlineStr">
        <is>
          <t>-76.83%</t>
        </is>
      </c>
      <c r="N2945" t="n">
        <v>4.1</v>
      </c>
      <c r="O2945" t="n">
        <v>4488</v>
      </c>
      <c r="Q2945" t="inlineStr">
        <is>
          <t>InStock</t>
        </is>
      </c>
      <c r="R2945" t="inlineStr">
        <is>
          <t>undefined</t>
        </is>
      </c>
      <c r="S2945" t="inlineStr">
        <is>
          <t>7037565191</t>
        </is>
      </c>
    </row>
    <row r="2946" ht="75" customHeight="1">
      <c r="A2946" s="2">
        <f>HYPERLINK("https://camerareadycosmetics.com/products/rcma-highlight-and-contour-palette", "https://camerareadycosmetics.com/products/rcma-highlight-and-contour-palette")</f>
        <v/>
      </c>
      <c r="B2946" s="2">
        <f>HYPERLINK("https://camerareadycosmetics.com/products/rcma-highlight-and-contour-palette", "https://camerareadycosmetics.com/products/rcma-highlight-and-contour-palette")</f>
        <v/>
      </c>
      <c r="C2946" t="inlineStr">
        <is>
          <t>Highlight and Contour Palette</t>
        </is>
      </c>
      <c r="D2946" t="inlineStr">
        <is>
          <t>Makeup Revolution x Roxxsaurus Highlight Contour Palette</t>
        </is>
      </c>
      <c r="E2946" s="2">
        <f>HYPERLINK("https://www.amazon.com/Makeup-Revolution-Roxxsaurus-Highlight-Contour/dp/B07WGHTLLL/ref=sr_1_8?keywords=Highlight+and+Contour+Palette&amp;qid=1695565446&amp;sr=8-8", "https://www.amazon.com/Makeup-Revolution-Roxxsaurus-Highlight-Contour/dp/B07WGHTLLL/ref=sr_1_8?keywords=Highlight+and+Contour+Palette&amp;qid=1695565446&amp;sr=8-8")</f>
        <v/>
      </c>
      <c r="F2946" t="inlineStr">
        <is>
          <t>B07WGHTLLL</t>
        </is>
      </c>
      <c r="G2946">
        <f>_xlfn.IMAGE("https://camerareadycosmetics.com/cdn/shop/products/147005000__85141.1438820257.600.600_50x.jpeg?v=1689635738")</f>
        <v/>
      </c>
      <c r="H2946">
        <f>_xlfn.IMAGE("https://m.media-amazon.com/images/I/41LJrai9h4L._AC_UL320_.jpg")</f>
        <v/>
      </c>
      <c r="K2946" t="inlineStr">
        <is>
          <t>30.0</t>
        </is>
      </c>
      <c r="L2946" t="n">
        <v>15</v>
      </c>
      <c r="M2946" s="1" t="inlineStr">
        <is>
          <t>-50.00%</t>
        </is>
      </c>
      <c r="N2946" t="n">
        <v>4.5</v>
      </c>
      <c r="O2946" t="n">
        <v>320</v>
      </c>
      <c r="Q2946" t="inlineStr">
        <is>
          <t>InStock</t>
        </is>
      </c>
      <c r="R2946" t="inlineStr">
        <is>
          <t>undefined</t>
        </is>
      </c>
      <c r="S2946" t="inlineStr">
        <is>
          <t>7037565191</t>
        </is>
      </c>
    </row>
    <row r="2947" ht="75" customHeight="1">
      <c r="A2947" s="2">
        <f>HYPERLINK("https://camerareadycosmetics.com/products/rcma-highlight-and-contour-palette", "https://camerareadycosmetics.com/products/rcma-highlight-and-contour-palette")</f>
        <v/>
      </c>
      <c r="B2947" s="2">
        <f>HYPERLINK("https://camerareadycosmetics.com/products/rcma-highlight-and-contour-palette", "https://camerareadycosmetics.com/products/rcma-highlight-and-contour-palette")</f>
        <v/>
      </c>
      <c r="C2947" t="inlineStr">
        <is>
          <t>Highlight and Contour Palette</t>
        </is>
      </c>
      <c r="D2947" t="inlineStr">
        <is>
          <t>Profusion Cosmetics Rich Ingredients Long Lasting and Bendability Lightweight Mini Artistry Highlight &amp; Contour II Palette - Medium Dark</t>
        </is>
      </c>
      <c r="E2947" s="2">
        <f>HYPERLINK("https://www.amazon.com/Profusion-Cosmetics-Artistry-Highlight-Contour/dp/B07N7J4YBV/ref=sr_1_4?keywords=Highlight+and+Contour+Palette&amp;qid=1695565446&amp;sr=8-4", "https://www.amazon.com/Profusion-Cosmetics-Artistry-Highlight-Contour/dp/B07N7J4YBV/ref=sr_1_4?keywords=Highlight+and+Contour+Palette&amp;qid=1695565446&amp;sr=8-4")</f>
        <v/>
      </c>
      <c r="F2947" t="inlineStr">
        <is>
          <t>B07N7J4YBV</t>
        </is>
      </c>
      <c r="G2947">
        <f>_xlfn.IMAGE("https://camerareadycosmetics.com/cdn/shop/products/147005000__85141.1438820257.600.600_50x.jpeg?v=1689635738")</f>
        <v/>
      </c>
      <c r="H2947">
        <f>_xlfn.IMAGE("https://m.media-amazon.com/images/I/81U1itkYmaL._AC_UL320_.jpg")</f>
        <v/>
      </c>
      <c r="K2947" t="inlineStr">
        <is>
          <t>30.0</t>
        </is>
      </c>
      <c r="L2947" t="n">
        <v>6.98</v>
      </c>
      <c r="M2947" s="1" t="inlineStr">
        <is>
          <t>-76.73%</t>
        </is>
      </c>
      <c r="N2947" t="n">
        <v>4.1</v>
      </c>
      <c r="O2947" t="n">
        <v>163</v>
      </c>
      <c r="Q2947" t="inlineStr">
        <is>
          <t>InStock</t>
        </is>
      </c>
      <c r="R2947" t="inlineStr">
        <is>
          <t>undefined</t>
        </is>
      </c>
      <c r="S2947" t="inlineStr">
        <is>
          <t>7037565191</t>
        </is>
      </c>
    </row>
    <row r="2948" ht="75" customHeight="1">
      <c r="A2948" s="2">
        <f>HYPERLINK("https://camerareadycosmetics.com/products/rcma-highlight-and-contour-palette", "https://camerareadycosmetics.com/products/rcma-highlight-and-contour-palette")</f>
        <v/>
      </c>
      <c r="B2948" s="2">
        <f>HYPERLINK("https://camerareadycosmetics.com/products/rcma-highlight-and-contour-palette", "https://camerareadycosmetics.com/products/rcma-highlight-and-contour-palette")</f>
        <v/>
      </c>
      <c r="C2948" t="inlineStr">
        <is>
          <t>Highlight and Contour Palette</t>
        </is>
      </c>
      <c r="D2948" t="inlineStr">
        <is>
          <t>W7 Lift &amp; Sculpt Cream Contour Kit - Concealing, Highlighting &amp; Contouring Makeup Palette - Step-by-Step Instructions Included</t>
        </is>
      </c>
      <c r="E2948" s="2">
        <f>HYPERLINK("https://www.amazon.com/W7-Sculpt-Cream-Contour-Step/dp/B074G44PVR/ref=sr_1_1?keywords=Highlight+and+Contour+Palette&amp;qid=1695565446&amp;sr=8-1", "https://www.amazon.com/W7-Sculpt-Cream-Contour-Step/dp/B074G44PVR/ref=sr_1_1?keywords=Highlight+and+Contour+Palette&amp;qid=1695565446&amp;sr=8-1")</f>
        <v/>
      </c>
      <c r="F2948" t="inlineStr">
        <is>
          <t>B074G44PVR</t>
        </is>
      </c>
      <c r="G2948">
        <f>_xlfn.IMAGE("https://camerareadycosmetics.com/cdn/shop/products/147005000__85141.1438820257.600.600_50x.jpeg?v=1689635738")</f>
        <v/>
      </c>
      <c r="H2948">
        <f>_xlfn.IMAGE("https://m.media-amazon.com/images/I/71A15XgwKEL._AC_UL320_.jpg")</f>
        <v/>
      </c>
      <c r="K2948" t="inlineStr">
        <is>
          <t>30.0</t>
        </is>
      </c>
      <c r="L2948" t="n">
        <v>6.95</v>
      </c>
      <c r="M2948" s="1" t="inlineStr">
        <is>
          <t>-76.83%</t>
        </is>
      </c>
      <c r="N2948" t="n">
        <v>4.1</v>
      </c>
      <c r="O2948" t="n">
        <v>4488</v>
      </c>
      <c r="Q2948" t="inlineStr">
        <is>
          <t>InStock</t>
        </is>
      </c>
      <c r="R2948" t="inlineStr">
        <is>
          <t>undefined</t>
        </is>
      </c>
      <c r="S2948" t="inlineStr">
        <is>
          <t>7037565191</t>
        </is>
      </c>
    </row>
    <row r="2949" ht="75" customHeight="1">
      <c r="A2949" s="2">
        <f>HYPERLINK("https://camerareadycosmetics.com/products/rcma-liquid-concealer", "https://camerareadycosmetics.com/products/rcma-liquid-concealer")</f>
        <v/>
      </c>
      <c r="B2949" s="2">
        <f>HYPERLINK("https://camerareadycosmetics.com/products/rcma-liquid-concealer", "https://camerareadycosmetics.com/products/rcma-liquid-concealer")</f>
        <v/>
      </c>
      <c r="C2949" t="inlineStr">
        <is>
          <t>Liquid Concealer</t>
        </is>
      </c>
      <c r="D2949" t="inlineStr">
        <is>
          <t>Liquid Concealer Makeup, Full Coverage Concealer, Cream Face Concealer with Cushion Applicator, Highly Pigmented, Natural-Looking, Long-lasting, Hydrating, Waterproof Concealer (#05 Natural)</t>
        </is>
      </c>
      <c r="E2949" s="2">
        <f>HYPERLINK("https://www.amazon.com/BEFIVECOK-Applicator-Natural-Looking-Long-lasting-Waterproof/dp/B0C9WHBVL6/ref=sr_1_10?keywords=Liquid+Concealer&amp;qid=1695565470&amp;sr=8-10", "https://www.amazon.com/BEFIVECOK-Applicator-Natural-Looking-Long-lasting-Waterproof/dp/B0C9WHBVL6/ref=sr_1_10?keywords=Liquid+Concealer&amp;qid=1695565470&amp;sr=8-10")</f>
        <v/>
      </c>
      <c r="F2949" t="inlineStr">
        <is>
          <t>B0C9WHBVL6</t>
        </is>
      </c>
      <c r="G2949">
        <f>_xlfn.IMAGE("https://camerareadycosmetics.com/cdn/shop/products/Concealers-N20-300dpi_50x.jpg?v=1626998756")</f>
        <v/>
      </c>
      <c r="H2949">
        <f>_xlfn.IMAGE("https://m.media-amazon.com/images/I/61YHNwABZZL._AC_UL320_.jpg")</f>
        <v/>
      </c>
      <c r="K2949" t="inlineStr">
        <is>
          <t>29.0</t>
        </is>
      </c>
      <c r="L2949" t="n">
        <v>6.79</v>
      </c>
      <c r="M2949" s="1" t="inlineStr">
        <is>
          <t>-76.59%</t>
        </is>
      </c>
      <c r="N2949" t="n">
        <v>4.1</v>
      </c>
      <c r="O2949" t="n">
        <v>6</v>
      </c>
      <c r="Q2949" t="inlineStr">
        <is>
          <t>InStock</t>
        </is>
      </c>
      <c r="R2949" t="inlineStr">
        <is>
          <t>undefined</t>
        </is>
      </c>
      <c r="S2949" t="inlineStr">
        <is>
          <t>6795829969081</t>
        </is>
      </c>
    </row>
    <row r="2950" ht="75" customHeight="1">
      <c r="A2950" s="2">
        <f>HYPERLINK("https://camerareadycosmetics.com/products/rcma-liquid-concealer", "https://camerareadycosmetics.com/products/rcma-liquid-concealer")</f>
        <v/>
      </c>
      <c r="B2950" s="2">
        <f>HYPERLINK("https://camerareadycosmetics.com/products/rcma-liquid-concealer", "https://camerareadycosmetics.com/products/rcma-liquid-concealer")</f>
        <v/>
      </c>
      <c r="C2950" t="inlineStr">
        <is>
          <t>Liquid Concealer</t>
        </is>
      </c>
      <c r="D2950" t="inlineStr">
        <is>
          <t>Maybelline New York Fit Me Liquid Concealer Makeup, Natural Coverage, Lightweight, Conceals, Covers Oil-Free, Light, 1 Count</t>
        </is>
      </c>
      <c r="E2950" s="2">
        <f>HYPERLINK("https://www.amazon.com/Maybelline-Concealer-Natural-Coverage-Oil-Free/dp/B0046VJTX8/ref=sr_1_3?keywords=Liquid+Concealer&amp;qid=1695565470&amp;sr=8-3", "https://www.amazon.com/Maybelline-Concealer-Natural-Coverage-Oil-Free/dp/B0046VJTX8/ref=sr_1_3?keywords=Liquid+Concealer&amp;qid=1695565470&amp;sr=8-3")</f>
        <v/>
      </c>
      <c r="F2950" t="inlineStr">
        <is>
          <t>B0046VJTX8</t>
        </is>
      </c>
      <c r="G2950">
        <f>_xlfn.IMAGE("https://camerareadycosmetics.com/cdn/shop/products/Concealers-N20-300dpi_50x.jpg?v=1626998756")</f>
        <v/>
      </c>
      <c r="H2950">
        <f>_xlfn.IMAGE("https://m.media-amazon.com/images/I/61Bt4CflG7L._AC_UL320_.jpg")</f>
        <v/>
      </c>
      <c r="K2950" t="inlineStr">
        <is>
          <t>29.0</t>
        </is>
      </c>
      <c r="L2950" t="n">
        <v>3.41</v>
      </c>
      <c r="M2950" s="1" t="inlineStr">
        <is>
          <t>-88.24%</t>
        </is>
      </c>
      <c r="N2950" t="n">
        <v>4.4</v>
      </c>
      <c r="O2950" t="n">
        <v>68102</v>
      </c>
      <c r="Q2950" t="inlineStr">
        <is>
          <t>InStock</t>
        </is>
      </c>
      <c r="R2950" t="inlineStr">
        <is>
          <t>undefined</t>
        </is>
      </c>
      <c r="S2950" t="inlineStr">
        <is>
          <t>6795829969081</t>
        </is>
      </c>
    </row>
    <row r="2951" ht="75" customHeight="1">
      <c r="A2951" s="2">
        <f>HYPERLINK("https://camerareadycosmetics.com/products/rcma-liquid-concealer", "https://camerareadycosmetics.com/products/rcma-liquid-concealer")</f>
        <v/>
      </c>
      <c r="B2951" s="2">
        <f>HYPERLINK("https://camerareadycosmetics.com/products/rcma-liquid-concealer", "https://camerareadycosmetics.com/products/rcma-liquid-concealer")</f>
        <v/>
      </c>
      <c r="C2951" t="inlineStr">
        <is>
          <t>Liquid Concealer</t>
        </is>
      </c>
      <c r="D2951" t="inlineStr">
        <is>
          <t>Liquid Concealer Makeup, Full Coverage Concealer, Cream Face Concealer with Cushion Applicator, Highly Pigmented, Natural-Looking, Long-lasting, Hydrating, Waterproof Concealer (#05 Natural)</t>
        </is>
      </c>
      <c r="E2951" s="2">
        <f>HYPERLINK("https://www.amazon.com/BEFIVECOK-Applicator-Natural-Looking-Long-lasting-Waterproof/dp/B0C9WHBVL6/ref=sr_1_10?keywords=Liquid+Concealer&amp;qid=1695565470&amp;sr=8-10", "https://www.amazon.com/BEFIVECOK-Applicator-Natural-Looking-Long-lasting-Waterproof/dp/B0C9WHBVL6/ref=sr_1_10?keywords=Liquid+Concealer&amp;qid=1695565470&amp;sr=8-10")</f>
        <v/>
      </c>
      <c r="F2951" t="inlineStr">
        <is>
          <t>B0C9WHBVL6</t>
        </is>
      </c>
      <c r="G2951">
        <f>_xlfn.IMAGE("https://camerareadycosmetics.com/cdn/shop/products/Concealers-N20-300dpi_50x.jpg?v=1626998756")</f>
        <v/>
      </c>
      <c r="H2951">
        <f>_xlfn.IMAGE("https://m.media-amazon.com/images/I/61YHNwABZZL._AC_UL320_.jpg")</f>
        <v/>
      </c>
      <c r="K2951" t="inlineStr">
        <is>
          <t>29.0</t>
        </is>
      </c>
      <c r="L2951" t="n">
        <v>6.79</v>
      </c>
      <c r="M2951" s="1" t="inlineStr">
        <is>
          <t>-76.59%</t>
        </is>
      </c>
      <c r="N2951" t="n">
        <v>4.1</v>
      </c>
      <c r="O2951" t="n">
        <v>6</v>
      </c>
      <c r="Q2951" t="inlineStr">
        <is>
          <t>InStock</t>
        </is>
      </c>
      <c r="R2951" t="inlineStr">
        <is>
          <t>undefined</t>
        </is>
      </c>
      <c r="S2951" t="inlineStr">
        <is>
          <t>6795829969081</t>
        </is>
      </c>
    </row>
    <row r="2952" ht="75" customHeight="1">
      <c r="A2952" s="2">
        <f>HYPERLINK("https://camerareadycosmetics.com/products/rcma-liquid-concealer", "https://camerareadycosmetics.com/products/rcma-liquid-concealer")</f>
        <v/>
      </c>
      <c r="B2952" s="2">
        <f>HYPERLINK("https://camerareadycosmetics.com/products/rcma-liquid-concealer", "https://camerareadycosmetics.com/products/rcma-liquid-concealer")</f>
        <v/>
      </c>
      <c r="C2952" t="inlineStr">
        <is>
          <t>Liquid Concealer</t>
        </is>
      </c>
      <c r="D2952" t="inlineStr">
        <is>
          <t>Maybelline New York Fit Me Liquid Concealer Makeup, Natural Coverage, Lightweight, Conceals, Covers Oil-Free, Light, 1 Count</t>
        </is>
      </c>
      <c r="E2952" s="2">
        <f>HYPERLINK("https://www.amazon.com/Maybelline-Concealer-Natural-Coverage-Oil-Free/dp/B0046VJTX8/ref=sr_1_3?keywords=Liquid+Concealer&amp;qid=1695565470&amp;sr=8-3", "https://www.amazon.com/Maybelline-Concealer-Natural-Coverage-Oil-Free/dp/B0046VJTX8/ref=sr_1_3?keywords=Liquid+Concealer&amp;qid=1695565470&amp;sr=8-3")</f>
        <v/>
      </c>
      <c r="F2952" t="inlineStr">
        <is>
          <t>B0046VJTX8</t>
        </is>
      </c>
      <c r="G2952">
        <f>_xlfn.IMAGE("https://camerareadycosmetics.com/cdn/shop/products/Concealers-N20-300dpi_50x.jpg?v=1626998756")</f>
        <v/>
      </c>
      <c r="H2952">
        <f>_xlfn.IMAGE("https://m.media-amazon.com/images/I/61Bt4CflG7L._AC_UL320_.jpg")</f>
        <v/>
      </c>
      <c r="K2952" t="inlineStr">
        <is>
          <t>29.0</t>
        </is>
      </c>
      <c r="L2952" t="n">
        <v>3.41</v>
      </c>
      <c r="M2952" s="1" t="inlineStr">
        <is>
          <t>-88.24%</t>
        </is>
      </c>
      <c r="N2952" t="n">
        <v>4.4</v>
      </c>
      <c r="O2952" t="n">
        <v>68102</v>
      </c>
      <c r="Q2952" t="inlineStr">
        <is>
          <t>InStock</t>
        </is>
      </c>
      <c r="R2952" t="inlineStr">
        <is>
          <t>undefined</t>
        </is>
      </c>
      <c r="S2952" t="inlineStr">
        <is>
          <t>6795829969081</t>
        </is>
      </c>
    </row>
    <row r="2953" ht="75" customHeight="1">
      <c r="A2953" s="2">
        <f>HYPERLINK("https://camerareadycosmetics.com/products/rcma-liquid-foundation", "https://camerareadycosmetics.com/products/rcma-liquid-foundation")</f>
        <v/>
      </c>
      <c r="B2953" s="2">
        <f>HYPERLINK("https://camerareadycosmetics.com/products/rcma-liquid-foundation", "https://camerareadycosmetics.com/products/rcma-liquid-foundation")</f>
        <v/>
      </c>
      <c r="C2953" t="inlineStr">
        <is>
          <t>Liquid Foundation</t>
        </is>
      </c>
      <c r="D2953" t="inlineStr">
        <is>
          <t>Revlon Liquid Foundation, Age Defying 3XFace Makeup, Anti-Aging and Firming Formula, SPF 30, Longwear Medium Buildable Coverage with Natural Finish, 005 Fresh Ivory, 1 Fl Oz</t>
        </is>
      </c>
      <c r="E2953" s="2">
        <f>HYPERLINK("https://www.amazon.com/Defying-Foundation-Anti-Aging-Buildable-Coverage/dp/B00I52QPH2/ref=sr_1_10?keywords=Liquid+Foundation&amp;qid=1695565435&amp;sr=8-10", "https://www.amazon.com/Defying-Foundation-Anti-Aging-Buildable-Coverage/dp/B00I52QPH2/ref=sr_1_10?keywords=Liquid+Foundation&amp;qid=1695565435&amp;sr=8-10")</f>
        <v/>
      </c>
      <c r="F2953" t="inlineStr">
        <is>
          <t>B00I52QPH2</t>
        </is>
      </c>
      <c r="G2953">
        <f>_xlfn.IMAGE("https://camerareadycosmetics.com/cdn/shop/products/RCMA-liquid-Foundation-G630-300dpi_50x.jpg?v=1626994841")</f>
        <v/>
      </c>
      <c r="H2953">
        <f>_xlfn.IMAGE("https://m.media-amazon.com/images/I/71poTmbXk2L._AC_UL320_.jpg")</f>
        <v/>
      </c>
      <c r="K2953" t="inlineStr">
        <is>
          <t>36.0</t>
        </is>
      </c>
      <c r="L2953" t="n">
        <v>10.8</v>
      </c>
      <c r="M2953" s="1" t="inlineStr">
        <is>
          <t>-70.00%</t>
        </is>
      </c>
      <c r="N2953" t="n">
        <v>4.6</v>
      </c>
      <c r="O2953" t="n">
        <v>5461</v>
      </c>
      <c r="Q2953" t="inlineStr">
        <is>
          <t>InStock</t>
        </is>
      </c>
      <c r="R2953" t="inlineStr">
        <is>
          <t>undefined</t>
        </is>
      </c>
      <c r="S2953" t="inlineStr">
        <is>
          <t>6798439448761</t>
        </is>
      </c>
    </row>
    <row r="2954" ht="75" customHeight="1">
      <c r="A2954" s="2">
        <f>HYPERLINK("https://camerareadycosmetics.com/products/rcma-liquid-foundation", "https://camerareadycosmetics.com/products/rcma-liquid-foundation")</f>
        <v/>
      </c>
      <c r="B2954" s="2">
        <f>HYPERLINK("https://camerareadycosmetics.com/products/rcma-liquid-foundation", "https://camerareadycosmetics.com/products/rcma-liquid-foundation")</f>
        <v/>
      </c>
      <c r="C2954" t="inlineStr">
        <is>
          <t>Liquid Foundation</t>
        </is>
      </c>
      <c r="D2954" t="inlineStr">
        <is>
          <t>Maybelline Super Stay Full Coverage Liquid Foundation Active Wear Makeup, Up to 30Hr Wear, Transfer, Sweat &amp; Water Resistant, Matte Finish, Classic Ivory, 1 Count</t>
        </is>
      </c>
      <c r="E2954" s="2">
        <f>HYPERLINK("https://www.amazon.com/Maybelline-Coverage-Liquid-Foundation-Classic/dp/B074VD4X89/ref=sr_1_6?keywords=Liquid+Foundation&amp;qid=1695565435&amp;sr=8-6", "https://www.amazon.com/Maybelline-Coverage-Liquid-Foundation-Classic/dp/B074VD4X89/ref=sr_1_6?keywords=Liquid+Foundation&amp;qid=1695565435&amp;sr=8-6")</f>
        <v/>
      </c>
      <c r="F2954" t="inlineStr">
        <is>
          <t>B074VD4X89</t>
        </is>
      </c>
      <c r="G2954">
        <f>_xlfn.IMAGE("https://camerareadycosmetics.com/cdn/shop/products/RCMA-liquid-Foundation-G630-300dpi_50x.jpg?v=1626994841")</f>
        <v/>
      </c>
      <c r="H2954">
        <f>_xlfn.IMAGE("https://m.media-amazon.com/images/I/61XVRjo1KKL._AC_UL320_.jpg")</f>
        <v/>
      </c>
      <c r="K2954" t="inlineStr">
        <is>
          <t>36.0</t>
        </is>
      </c>
      <c r="L2954" t="n">
        <v>10.41</v>
      </c>
      <c r="M2954" s="1" t="inlineStr">
        <is>
          <t>-71.08%</t>
        </is>
      </c>
      <c r="N2954" t="n">
        <v>4.3</v>
      </c>
      <c r="O2954" t="n">
        <v>28580</v>
      </c>
      <c r="Q2954" t="inlineStr">
        <is>
          <t>InStock</t>
        </is>
      </c>
      <c r="R2954" t="inlineStr">
        <is>
          <t>undefined</t>
        </is>
      </c>
      <c r="S2954" t="inlineStr">
        <is>
          <t>6798439448761</t>
        </is>
      </c>
    </row>
    <row r="2955" ht="75" customHeight="1">
      <c r="A2955" s="2">
        <f>HYPERLINK("https://camerareadycosmetics.com/products/rcma-liquid-foundation", "https://camerareadycosmetics.com/products/rcma-liquid-foundation")</f>
        <v/>
      </c>
      <c r="B2955" s="2">
        <f>HYPERLINK("https://camerareadycosmetics.com/products/rcma-liquid-foundation", "https://camerareadycosmetics.com/products/rcma-liquid-foundation")</f>
        <v/>
      </c>
      <c r="C2955" t="inlineStr">
        <is>
          <t>Liquid Foundation</t>
        </is>
      </c>
      <c r="D2955" t="inlineStr">
        <is>
          <t>L’Oréal Paris True Match Super-Blendable Foundation, Medium Coverage Liquid Foundation Makeup with SPF 17, W3, Light Medium, 1 Fl Oz</t>
        </is>
      </c>
      <c r="E2955" s="2">
        <f>HYPERLINK("https://www.amazon.com/LOreal-Paris-Super-Blendable-Foundation-Coverage/dp/B0BCH5PTQ3/ref=sr_1_4?keywords=Liquid+Foundation&amp;qid=1695565435&amp;sr=8-4", "https://www.amazon.com/LOreal-Paris-Super-Blendable-Foundation-Coverage/dp/B0BCH5PTQ3/ref=sr_1_4?keywords=Liquid+Foundation&amp;qid=1695565435&amp;sr=8-4")</f>
        <v/>
      </c>
      <c r="F2955" t="inlineStr">
        <is>
          <t>B0BCH5PTQ3</t>
        </is>
      </c>
      <c r="G2955">
        <f>_xlfn.IMAGE("https://camerareadycosmetics.com/cdn/shop/products/RCMA-liquid-Foundation-G630-300dpi_50x.jpg?v=1626994841")</f>
        <v/>
      </c>
      <c r="H2955">
        <f>_xlfn.IMAGE("https://m.media-amazon.com/images/I/61I5AVMTOnL._AC_UL320_.jpg")</f>
        <v/>
      </c>
      <c r="K2955" t="inlineStr">
        <is>
          <t>36.0</t>
        </is>
      </c>
      <c r="L2955" t="n">
        <v>9.970000000000001</v>
      </c>
      <c r="M2955" s="1" t="inlineStr">
        <is>
          <t>-72.31%</t>
        </is>
      </c>
      <c r="N2955" t="n">
        <v>4.4</v>
      </c>
      <c r="O2955" t="n">
        <v>7101</v>
      </c>
      <c r="Q2955" t="inlineStr">
        <is>
          <t>InStock</t>
        </is>
      </c>
      <c r="R2955" t="inlineStr">
        <is>
          <t>undefined</t>
        </is>
      </c>
      <c r="S2955" t="inlineStr">
        <is>
          <t>6798439448761</t>
        </is>
      </c>
    </row>
    <row r="2956" ht="75" customHeight="1">
      <c r="A2956" s="2">
        <f>HYPERLINK("https://camerareadycosmetics.com/products/rcma-liquid-foundation", "https://camerareadycosmetics.com/products/rcma-liquid-foundation")</f>
        <v/>
      </c>
      <c r="B2956" s="2">
        <f>HYPERLINK("https://camerareadycosmetics.com/products/rcma-liquid-foundation", "https://camerareadycosmetics.com/products/rcma-liquid-foundation")</f>
        <v/>
      </c>
      <c r="C2956" t="inlineStr">
        <is>
          <t>Liquid Foundation</t>
        </is>
      </c>
      <c r="D2956" t="inlineStr">
        <is>
          <t>Neutrogena Healthy Skin Liquid Makeup Foundation, Broad Spectrum SPF 20 Sunscreen, Lightweight &amp; Flawless Coverage Foundation with Antioxidant Vitamin E &amp; Feverfew, Natural Ivory, 1 fl. oz</t>
        </is>
      </c>
      <c r="E2956" s="2">
        <f>HYPERLINK("https://www.amazon.com/Neutrogena-Healthy-Foundation-Spectrum-Natural/dp/B001MS7HFK/ref=sr_1_9?keywords=Liquid+Foundation&amp;qid=1695565435&amp;sr=8-9", "https://www.amazon.com/Neutrogena-Healthy-Foundation-Spectrum-Natural/dp/B001MS7HFK/ref=sr_1_9?keywords=Liquid+Foundation&amp;qid=1695565435&amp;sr=8-9")</f>
        <v/>
      </c>
      <c r="F2956" t="inlineStr">
        <is>
          <t>B001MS7HFK</t>
        </is>
      </c>
      <c r="G2956">
        <f>_xlfn.IMAGE("https://camerareadycosmetics.com/cdn/shop/products/RCMA-liquid-Foundation-G630-300dpi_50x.jpg?v=1626994841")</f>
        <v/>
      </c>
      <c r="H2956">
        <f>_xlfn.IMAGE("https://m.media-amazon.com/images/I/61qJIuc+M4L._AC_UL320_.jpg")</f>
        <v/>
      </c>
      <c r="K2956" t="inlineStr">
        <is>
          <t>36.0</t>
        </is>
      </c>
      <c r="L2956" t="n">
        <v>9.56</v>
      </c>
      <c r="M2956" s="1" t="inlineStr">
        <is>
          <t>-73.44%</t>
        </is>
      </c>
      <c r="N2956" t="n">
        <v>4.4</v>
      </c>
      <c r="O2956" t="n">
        <v>6431</v>
      </c>
      <c r="Q2956" t="inlineStr">
        <is>
          <t>InStock</t>
        </is>
      </c>
      <c r="R2956" t="inlineStr">
        <is>
          <t>undefined</t>
        </is>
      </c>
      <c r="S2956" t="inlineStr">
        <is>
          <t>6798439448761</t>
        </is>
      </c>
    </row>
    <row r="2957" ht="75" customHeight="1">
      <c r="A2957" s="2">
        <f>HYPERLINK("https://camerareadycosmetics.com/products/rcma-liquid-foundation", "https://camerareadycosmetics.com/products/rcma-liquid-foundation")</f>
        <v/>
      </c>
      <c r="B2957" s="2">
        <f>HYPERLINK("https://camerareadycosmetics.com/products/rcma-liquid-foundation", "https://camerareadycosmetics.com/products/rcma-liquid-foundation")</f>
        <v/>
      </c>
      <c r="C2957" t="inlineStr">
        <is>
          <t>Liquid Foundation</t>
        </is>
      </c>
      <c r="D2957" t="inlineStr">
        <is>
          <t>COVERGIRL+OLAY Simply Ageless 3-in-1 Liquid Foundation, Classic Ivory</t>
        </is>
      </c>
      <c r="E2957" s="2">
        <f>HYPERLINK("https://www.amazon.com/COVERGIRL-Ageless-Foundation-Anti-Aging-packaging/dp/B01ACPW1SG/ref=sr_1_5?keywords=Liquid+Foundation&amp;qid=1695565435&amp;sr=8-5", "https://www.amazon.com/COVERGIRL-Ageless-Foundation-Anti-Aging-packaging/dp/B01ACPW1SG/ref=sr_1_5?keywords=Liquid+Foundation&amp;qid=1695565435&amp;sr=8-5")</f>
        <v/>
      </c>
      <c r="F2957" t="inlineStr">
        <is>
          <t>B01ACPW1SG</t>
        </is>
      </c>
      <c r="G2957">
        <f>_xlfn.IMAGE("https://camerareadycosmetics.com/cdn/shop/products/RCMA-liquid-Foundation-G630-300dpi_50x.jpg?v=1626994841")</f>
        <v/>
      </c>
      <c r="H2957">
        <f>_xlfn.IMAGE("https://m.media-amazon.com/images/I/71SHXOgssNL._AC_UL320_.jpg")</f>
        <v/>
      </c>
      <c r="K2957" t="inlineStr">
        <is>
          <t>36.0</t>
        </is>
      </c>
      <c r="L2957" t="n">
        <v>9.19</v>
      </c>
      <c r="M2957" s="1" t="inlineStr">
        <is>
          <t>-74.47%</t>
        </is>
      </c>
      <c r="N2957" t="n">
        <v>4.5</v>
      </c>
      <c r="O2957" t="n">
        <v>35609</v>
      </c>
      <c r="Q2957" t="inlineStr">
        <is>
          <t>InStock</t>
        </is>
      </c>
      <c r="R2957" t="inlineStr">
        <is>
          <t>undefined</t>
        </is>
      </c>
      <c r="S2957" t="inlineStr">
        <is>
          <t>6798439448761</t>
        </is>
      </c>
    </row>
    <row r="2958" ht="75" customHeight="1">
      <c r="A2958" s="2">
        <f>HYPERLINK("https://camerareadycosmetics.com/products/rcma-liquid-foundation", "https://camerareadycosmetics.com/products/rcma-liquid-foundation")</f>
        <v/>
      </c>
      <c r="B2958" s="2">
        <f>HYPERLINK("https://camerareadycosmetics.com/products/rcma-liquid-foundation", "https://camerareadycosmetics.com/products/rcma-liquid-foundation")</f>
        <v/>
      </c>
      <c r="C2958" t="inlineStr">
        <is>
          <t>Liquid Foundation</t>
        </is>
      </c>
      <c r="D2958" t="inlineStr">
        <is>
          <t>Maybelline Fit Me Matte + Poreless Liquid Oil-Free Foundation Makeup, Soft Tan, 1 fl; oz</t>
        </is>
      </c>
      <c r="E2958" s="2">
        <f>HYPERLINK("https://www.amazon.com/Maybelline-Poreless-Liquid-Foundation-Oil-Free/dp/B00PFCSQ6S/ref=sr_1_1?keywords=Liquid+Foundation&amp;qid=1695565435&amp;sr=8-1", "https://www.amazon.com/Maybelline-Poreless-Liquid-Foundation-Oil-Free/dp/B00PFCSQ6S/ref=sr_1_1?keywords=Liquid+Foundation&amp;qid=1695565435&amp;sr=8-1")</f>
        <v/>
      </c>
      <c r="F2958" t="inlineStr">
        <is>
          <t>B00PFCSQ6S</t>
        </is>
      </c>
      <c r="G2958">
        <f>_xlfn.IMAGE("https://camerareadycosmetics.com/cdn/shop/products/RCMA-liquid-Foundation-G630-300dpi_50x.jpg?v=1626994841")</f>
        <v/>
      </c>
      <c r="H2958">
        <f>_xlfn.IMAGE("https://m.media-amazon.com/images/I/71VBCQUezGL._AC_UL320_.jpg")</f>
        <v/>
      </c>
      <c r="K2958" t="inlineStr">
        <is>
          <t>36.0</t>
        </is>
      </c>
      <c r="L2958" t="n">
        <v>5.94</v>
      </c>
      <c r="M2958" s="1" t="inlineStr">
        <is>
          <t>-83.50%</t>
        </is>
      </c>
      <c r="N2958" t="n">
        <v>4.5</v>
      </c>
      <c r="O2958" t="n">
        <v>132610</v>
      </c>
      <c r="Q2958" t="inlineStr">
        <is>
          <t>InStock</t>
        </is>
      </c>
      <c r="R2958" t="inlineStr">
        <is>
          <t>undefined</t>
        </is>
      </c>
      <c r="S2958" t="inlineStr">
        <is>
          <t>6798439448761</t>
        </is>
      </c>
    </row>
    <row r="2959" ht="75" customHeight="1">
      <c r="A2959" s="2">
        <f>HYPERLINK("https://camerareadycosmetics.com/products/rcma-liquid-foundation", "https://camerareadycosmetics.com/products/rcma-liquid-foundation")</f>
        <v/>
      </c>
      <c r="B2959" s="2">
        <f>HYPERLINK("https://camerareadycosmetics.com/products/rcma-liquid-foundation", "https://camerareadycosmetics.com/products/rcma-liquid-foundation")</f>
        <v/>
      </c>
      <c r="C2959" t="inlineStr">
        <is>
          <t>Liquid Foundation</t>
        </is>
      </c>
      <c r="D2959" t="inlineStr">
        <is>
          <t>COVERGIRL Advanced Radiance Age Defying Liquid Foundation in Classic Ivory, Hides Wrinkles &amp; Lines, Sensitive Skin Safe, Packaging May Vvary</t>
        </is>
      </c>
      <c r="E2959" s="2">
        <f>HYPERLINK("https://www.amazon.com/COVERGIRL-Advanced-Foundation-Sensitive-packaging/dp/B000MVE8W8/ref=sr_1_3?keywords=Liquid+Foundation&amp;qid=1695565435&amp;sr=8-3", "https://www.amazon.com/COVERGIRL-Advanced-Foundation-Sensitive-packaging/dp/B000MVE8W8/ref=sr_1_3?keywords=Liquid+Foundation&amp;qid=1695565435&amp;sr=8-3")</f>
        <v/>
      </c>
      <c r="F2959" t="inlineStr">
        <is>
          <t>B000MVE8W8</t>
        </is>
      </c>
      <c r="G2959">
        <f>_xlfn.IMAGE("https://camerareadycosmetics.com/cdn/shop/products/RCMA-liquid-Foundation-G630-300dpi_50x.jpg?v=1626994841")</f>
        <v/>
      </c>
      <c r="H2959">
        <f>_xlfn.IMAGE("https://m.media-amazon.com/images/I/51MsQMNNKkS._AC_UL320_.jpg")</f>
        <v/>
      </c>
      <c r="K2959" t="inlineStr">
        <is>
          <t>36.0</t>
        </is>
      </c>
      <c r="L2959" t="n">
        <v>5.94</v>
      </c>
      <c r="M2959" s="1" t="inlineStr">
        <is>
          <t>-83.50%</t>
        </is>
      </c>
      <c r="N2959" t="n">
        <v>4.5</v>
      </c>
      <c r="O2959" t="n">
        <v>12232</v>
      </c>
      <c r="Q2959" t="inlineStr">
        <is>
          <t>InStock</t>
        </is>
      </c>
      <c r="R2959" t="inlineStr">
        <is>
          <t>undefined</t>
        </is>
      </c>
      <c r="S2959" t="inlineStr">
        <is>
          <t>6798439448761</t>
        </is>
      </c>
    </row>
    <row r="2960" ht="75" customHeight="1">
      <c r="A2960" s="2">
        <f>HYPERLINK("https://camerareadycosmetics.com/products/rcma-liquid-foundation", "https://camerareadycosmetics.com/products/rcma-liquid-foundation")</f>
        <v/>
      </c>
      <c r="B2960" s="2">
        <f>HYPERLINK("https://camerareadycosmetics.com/products/rcma-liquid-foundation", "https://camerareadycosmetics.com/products/rcma-liquid-foundation")</f>
        <v/>
      </c>
      <c r="C2960" t="inlineStr">
        <is>
          <t>Liquid Foundation</t>
        </is>
      </c>
      <c r="D2960" t="inlineStr">
        <is>
          <t>Revlon Liquid Foundation, Age Defying 3XFace Makeup, Anti-Aging and Firming Formula, SPF 30, Longwear Medium Buildable Coverage with Natural Finish, 005 Fresh Ivory, 1 Fl Oz</t>
        </is>
      </c>
      <c r="E2960" s="2">
        <f>HYPERLINK("https://www.amazon.com/Defying-Foundation-Anti-Aging-Buildable-Coverage/dp/B00I52QPH2/ref=sr_1_10?keywords=Liquid+Foundation&amp;qid=1695565435&amp;sr=8-10", "https://www.amazon.com/Defying-Foundation-Anti-Aging-Buildable-Coverage/dp/B00I52QPH2/ref=sr_1_10?keywords=Liquid+Foundation&amp;qid=1695565435&amp;sr=8-10")</f>
        <v/>
      </c>
      <c r="F2960" t="inlineStr">
        <is>
          <t>B00I52QPH2</t>
        </is>
      </c>
      <c r="G2960">
        <f>_xlfn.IMAGE("https://camerareadycosmetics.com/cdn/shop/products/RCMA-liquid-Foundation-G630-300dpi_50x.jpg?v=1626994841")</f>
        <v/>
      </c>
      <c r="H2960">
        <f>_xlfn.IMAGE("https://m.media-amazon.com/images/I/71poTmbXk2L._AC_UL320_.jpg")</f>
        <v/>
      </c>
      <c r="K2960" t="inlineStr">
        <is>
          <t>36.0</t>
        </is>
      </c>
      <c r="L2960" t="n">
        <v>10.8</v>
      </c>
      <c r="M2960" s="1" t="inlineStr">
        <is>
          <t>-70.00%</t>
        </is>
      </c>
      <c r="N2960" t="n">
        <v>4.6</v>
      </c>
      <c r="O2960" t="n">
        <v>5461</v>
      </c>
      <c r="Q2960" t="inlineStr">
        <is>
          <t>InStock</t>
        </is>
      </c>
      <c r="R2960" t="inlineStr">
        <is>
          <t>undefined</t>
        </is>
      </c>
      <c r="S2960" t="inlineStr">
        <is>
          <t>6798439448761</t>
        </is>
      </c>
    </row>
    <row r="2961" ht="75" customHeight="1">
      <c r="A2961" s="2">
        <f>HYPERLINK("https://camerareadycosmetics.com/products/rcma-liquid-foundation", "https://camerareadycosmetics.com/products/rcma-liquid-foundation")</f>
        <v/>
      </c>
      <c r="B2961" s="2">
        <f>HYPERLINK("https://camerareadycosmetics.com/products/rcma-liquid-foundation", "https://camerareadycosmetics.com/products/rcma-liquid-foundation")</f>
        <v/>
      </c>
      <c r="C2961" t="inlineStr">
        <is>
          <t>Liquid Foundation</t>
        </is>
      </c>
      <c r="D2961" t="inlineStr">
        <is>
          <t>Maybelline Super Stay Full Coverage Liquid Foundation Active Wear Makeup, Up to 30Hr Wear, Transfer, Sweat &amp; Water Resistant, Matte Finish, Classic Ivory, 1 Count</t>
        </is>
      </c>
      <c r="E2961" s="2">
        <f>HYPERLINK("https://www.amazon.com/Maybelline-Coverage-Liquid-Foundation-Classic/dp/B074VD4X89/ref=sr_1_6?keywords=Liquid+Foundation&amp;qid=1695565435&amp;sr=8-6", "https://www.amazon.com/Maybelline-Coverage-Liquid-Foundation-Classic/dp/B074VD4X89/ref=sr_1_6?keywords=Liquid+Foundation&amp;qid=1695565435&amp;sr=8-6")</f>
        <v/>
      </c>
      <c r="F2961" t="inlineStr">
        <is>
          <t>B074VD4X89</t>
        </is>
      </c>
      <c r="G2961">
        <f>_xlfn.IMAGE("https://camerareadycosmetics.com/cdn/shop/products/RCMA-liquid-Foundation-G630-300dpi_50x.jpg?v=1626994841")</f>
        <v/>
      </c>
      <c r="H2961">
        <f>_xlfn.IMAGE("https://m.media-amazon.com/images/I/61XVRjo1KKL._AC_UL320_.jpg")</f>
        <v/>
      </c>
      <c r="K2961" t="inlineStr">
        <is>
          <t>36.0</t>
        </is>
      </c>
      <c r="L2961" t="n">
        <v>10.41</v>
      </c>
      <c r="M2961" s="1" t="inlineStr">
        <is>
          <t>-71.08%</t>
        </is>
      </c>
      <c r="N2961" t="n">
        <v>4.3</v>
      </c>
      <c r="O2961" t="n">
        <v>28580</v>
      </c>
      <c r="Q2961" t="inlineStr">
        <is>
          <t>InStock</t>
        </is>
      </c>
      <c r="R2961" t="inlineStr">
        <is>
          <t>undefined</t>
        </is>
      </c>
      <c r="S2961" t="inlineStr">
        <is>
          <t>6798439448761</t>
        </is>
      </c>
    </row>
    <row r="2962" ht="75" customHeight="1">
      <c r="A2962" s="2">
        <f>HYPERLINK("https://camerareadycosmetics.com/products/rcma-liquid-foundation", "https://camerareadycosmetics.com/products/rcma-liquid-foundation")</f>
        <v/>
      </c>
      <c r="B2962" s="2">
        <f>HYPERLINK("https://camerareadycosmetics.com/products/rcma-liquid-foundation", "https://camerareadycosmetics.com/products/rcma-liquid-foundation")</f>
        <v/>
      </c>
      <c r="C2962" t="inlineStr">
        <is>
          <t>Liquid Foundation</t>
        </is>
      </c>
      <c r="D2962" t="inlineStr">
        <is>
          <t>L’Oréal Paris True Match Super-Blendable Foundation, Medium Coverage Liquid Foundation Makeup with SPF 17, W3, Light Medium, 1 Fl Oz</t>
        </is>
      </c>
      <c r="E2962" s="2">
        <f>HYPERLINK("https://www.amazon.com/LOreal-Paris-Super-Blendable-Foundation-Coverage/dp/B0BCH5PTQ3/ref=sr_1_4?keywords=Liquid+Foundation&amp;qid=1695565435&amp;sr=8-4", "https://www.amazon.com/LOreal-Paris-Super-Blendable-Foundation-Coverage/dp/B0BCH5PTQ3/ref=sr_1_4?keywords=Liquid+Foundation&amp;qid=1695565435&amp;sr=8-4")</f>
        <v/>
      </c>
      <c r="F2962" t="inlineStr">
        <is>
          <t>B0BCH5PTQ3</t>
        </is>
      </c>
      <c r="G2962">
        <f>_xlfn.IMAGE("https://camerareadycosmetics.com/cdn/shop/products/RCMA-liquid-Foundation-G630-300dpi_50x.jpg?v=1626994841")</f>
        <v/>
      </c>
      <c r="H2962">
        <f>_xlfn.IMAGE("https://m.media-amazon.com/images/I/61I5AVMTOnL._AC_UL320_.jpg")</f>
        <v/>
      </c>
      <c r="K2962" t="inlineStr">
        <is>
          <t>36.0</t>
        </is>
      </c>
      <c r="L2962" t="n">
        <v>9.970000000000001</v>
      </c>
      <c r="M2962" s="1" t="inlineStr">
        <is>
          <t>-72.31%</t>
        </is>
      </c>
      <c r="N2962" t="n">
        <v>4.4</v>
      </c>
      <c r="O2962" t="n">
        <v>7101</v>
      </c>
      <c r="Q2962" t="inlineStr">
        <is>
          <t>InStock</t>
        </is>
      </c>
      <c r="R2962" t="inlineStr">
        <is>
          <t>undefined</t>
        </is>
      </c>
      <c r="S2962" t="inlineStr">
        <is>
          <t>6798439448761</t>
        </is>
      </c>
    </row>
    <row r="2963" ht="75" customHeight="1">
      <c r="A2963" s="2">
        <f>HYPERLINK("https://camerareadycosmetics.com/products/rcma-liquid-foundation", "https://camerareadycosmetics.com/products/rcma-liquid-foundation")</f>
        <v/>
      </c>
      <c r="B2963" s="2">
        <f>HYPERLINK("https://camerareadycosmetics.com/products/rcma-liquid-foundation", "https://camerareadycosmetics.com/products/rcma-liquid-foundation")</f>
        <v/>
      </c>
      <c r="C2963" t="inlineStr">
        <is>
          <t>Liquid Foundation</t>
        </is>
      </c>
      <c r="D2963" t="inlineStr">
        <is>
          <t>Neutrogena Healthy Skin Liquid Makeup Foundation, Broad Spectrum SPF 20 Sunscreen, Lightweight &amp; Flawless Coverage Foundation with Antioxidant Vitamin E &amp; Feverfew, Natural Ivory, 1 fl. oz</t>
        </is>
      </c>
      <c r="E2963" s="2">
        <f>HYPERLINK("https://www.amazon.com/Neutrogena-Healthy-Foundation-Spectrum-Natural/dp/B001MS7HFK/ref=sr_1_9?keywords=Liquid+Foundation&amp;qid=1695565435&amp;sr=8-9", "https://www.amazon.com/Neutrogena-Healthy-Foundation-Spectrum-Natural/dp/B001MS7HFK/ref=sr_1_9?keywords=Liquid+Foundation&amp;qid=1695565435&amp;sr=8-9")</f>
        <v/>
      </c>
      <c r="F2963" t="inlineStr">
        <is>
          <t>B001MS7HFK</t>
        </is>
      </c>
      <c r="G2963">
        <f>_xlfn.IMAGE("https://camerareadycosmetics.com/cdn/shop/products/RCMA-liquid-Foundation-G630-300dpi_50x.jpg?v=1626994841")</f>
        <v/>
      </c>
      <c r="H2963">
        <f>_xlfn.IMAGE("https://m.media-amazon.com/images/I/61qJIuc+M4L._AC_UL320_.jpg")</f>
        <v/>
      </c>
      <c r="K2963" t="inlineStr">
        <is>
          <t>36.0</t>
        </is>
      </c>
      <c r="L2963" t="n">
        <v>9.56</v>
      </c>
      <c r="M2963" s="1" t="inlineStr">
        <is>
          <t>-73.44%</t>
        </is>
      </c>
      <c r="N2963" t="n">
        <v>4.4</v>
      </c>
      <c r="O2963" t="n">
        <v>6431</v>
      </c>
      <c r="Q2963" t="inlineStr">
        <is>
          <t>InStock</t>
        </is>
      </c>
      <c r="R2963" t="inlineStr">
        <is>
          <t>undefined</t>
        </is>
      </c>
      <c r="S2963" t="inlineStr">
        <is>
          <t>6798439448761</t>
        </is>
      </c>
    </row>
    <row r="2964" ht="75" customHeight="1">
      <c r="A2964" s="2">
        <f>HYPERLINK("https://camerareadycosmetics.com/products/rcma-liquid-foundation", "https://camerareadycosmetics.com/products/rcma-liquid-foundation")</f>
        <v/>
      </c>
      <c r="B2964" s="2">
        <f>HYPERLINK("https://camerareadycosmetics.com/products/rcma-liquid-foundation", "https://camerareadycosmetics.com/products/rcma-liquid-foundation")</f>
        <v/>
      </c>
      <c r="C2964" t="inlineStr">
        <is>
          <t>Liquid Foundation</t>
        </is>
      </c>
      <c r="D2964" t="inlineStr">
        <is>
          <t>COVERGIRL+OLAY Simply Ageless 3-in-1 Liquid Foundation, Classic Ivory</t>
        </is>
      </c>
      <c r="E2964" s="2">
        <f>HYPERLINK("https://www.amazon.com/COVERGIRL-Ageless-Foundation-Anti-Aging-packaging/dp/B01ACPW1SG/ref=sr_1_5?keywords=Liquid+Foundation&amp;qid=1695565435&amp;sr=8-5", "https://www.amazon.com/COVERGIRL-Ageless-Foundation-Anti-Aging-packaging/dp/B01ACPW1SG/ref=sr_1_5?keywords=Liquid+Foundation&amp;qid=1695565435&amp;sr=8-5")</f>
        <v/>
      </c>
      <c r="F2964" t="inlineStr">
        <is>
          <t>B01ACPW1SG</t>
        </is>
      </c>
      <c r="G2964">
        <f>_xlfn.IMAGE("https://camerareadycosmetics.com/cdn/shop/products/RCMA-liquid-Foundation-G630-300dpi_50x.jpg?v=1626994841")</f>
        <v/>
      </c>
      <c r="H2964">
        <f>_xlfn.IMAGE("https://m.media-amazon.com/images/I/71SHXOgssNL._AC_UL320_.jpg")</f>
        <v/>
      </c>
      <c r="K2964" t="inlineStr">
        <is>
          <t>36.0</t>
        </is>
      </c>
      <c r="L2964" t="n">
        <v>9.19</v>
      </c>
      <c r="M2964" s="1" t="inlineStr">
        <is>
          <t>-74.47%</t>
        </is>
      </c>
      <c r="N2964" t="n">
        <v>4.5</v>
      </c>
      <c r="O2964" t="n">
        <v>35609</v>
      </c>
      <c r="Q2964" t="inlineStr">
        <is>
          <t>InStock</t>
        </is>
      </c>
      <c r="R2964" t="inlineStr">
        <is>
          <t>undefined</t>
        </is>
      </c>
      <c r="S2964" t="inlineStr">
        <is>
          <t>6798439448761</t>
        </is>
      </c>
    </row>
    <row r="2965" ht="75" customHeight="1">
      <c r="A2965" s="2">
        <f>HYPERLINK("https://camerareadycosmetics.com/products/rcma-liquid-foundation", "https://camerareadycosmetics.com/products/rcma-liquid-foundation")</f>
        <v/>
      </c>
      <c r="B2965" s="2">
        <f>HYPERLINK("https://camerareadycosmetics.com/products/rcma-liquid-foundation", "https://camerareadycosmetics.com/products/rcma-liquid-foundation")</f>
        <v/>
      </c>
      <c r="C2965" t="inlineStr">
        <is>
          <t>Liquid Foundation</t>
        </is>
      </c>
      <c r="D2965" t="inlineStr">
        <is>
          <t>Maybelline Fit Me Matte + Poreless Liquid Oil-Free Foundation Makeup, Soft Tan, 1 fl; oz</t>
        </is>
      </c>
      <c r="E2965" s="2">
        <f>HYPERLINK("https://www.amazon.com/Maybelline-Poreless-Liquid-Foundation-Oil-Free/dp/B00PFCSQ6S/ref=sr_1_1?keywords=Liquid+Foundation&amp;qid=1695565435&amp;sr=8-1", "https://www.amazon.com/Maybelline-Poreless-Liquid-Foundation-Oil-Free/dp/B00PFCSQ6S/ref=sr_1_1?keywords=Liquid+Foundation&amp;qid=1695565435&amp;sr=8-1")</f>
        <v/>
      </c>
      <c r="F2965" t="inlineStr">
        <is>
          <t>B00PFCSQ6S</t>
        </is>
      </c>
      <c r="G2965">
        <f>_xlfn.IMAGE("https://camerareadycosmetics.com/cdn/shop/products/RCMA-liquid-Foundation-G630-300dpi_50x.jpg?v=1626994841")</f>
        <v/>
      </c>
      <c r="H2965">
        <f>_xlfn.IMAGE("https://m.media-amazon.com/images/I/71VBCQUezGL._AC_UL320_.jpg")</f>
        <v/>
      </c>
      <c r="K2965" t="inlineStr">
        <is>
          <t>36.0</t>
        </is>
      </c>
      <c r="L2965" t="n">
        <v>5.94</v>
      </c>
      <c r="M2965" s="1" t="inlineStr">
        <is>
          <t>-83.50%</t>
        </is>
      </c>
      <c r="N2965" t="n">
        <v>4.5</v>
      </c>
      <c r="O2965" t="n">
        <v>132610</v>
      </c>
      <c r="Q2965" t="inlineStr">
        <is>
          <t>InStock</t>
        </is>
      </c>
      <c r="R2965" t="inlineStr">
        <is>
          <t>undefined</t>
        </is>
      </c>
      <c r="S2965" t="inlineStr">
        <is>
          <t>6798439448761</t>
        </is>
      </c>
    </row>
    <row r="2966" ht="75" customHeight="1">
      <c r="A2966" s="2">
        <f>HYPERLINK("https://camerareadycosmetics.com/products/rcma-liquid-foundation", "https://camerareadycosmetics.com/products/rcma-liquid-foundation")</f>
        <v/>
      </c>
      <c r="B2966" s="2">
        <f>HYPERLINK("https://camerareadycosmetics.com/products/rcma-liquid-foundation", "https://camerareadycosmetics.com/products/rcma-liquid-foundation")</f>
        <v/>
      </c>
      <c r="C2966" t="inlineStr">
        <is>
          <t>Liquid Foundation</t>
        </is>
      </c>
      <c r="D2966" t="inlineStr">
        <is>
          <t>COVERGIRL Advanced Radiance Age Defying Liquid Foundation in Classic Ivory, Hides Wrinkles &amp; Lines, Sensitive Skin Safe, Packaging May Vvary</t>
        </is>
      </c>
      <c r="E2966" s="2">
        <f>HYPERLINK("https://www.amazon.com/COVERGIRL-Advanced-Foundation-Sensitive-packaging/dp/B000MVE8W8/ref=sr_1_3?keywords=Liquid+Foundation&amp;qid=1695565435&amp;sr=8-3", "https://www.amazon.com/COVERGIRL-Advanced-Foundation-Sensitive-packaging/dp/B000MVE8W8/ref=sr_1_3?keywords=Liquid+Foundation&amp;qid=1695565435&amp;sr=8-3")</f>
        <v/>
      </c>
      <c r="F2966" t="inlineStr">
        <is>
          <t>B000MVE8W8</t>
        </is>
      </c>
      <c r="G2966">
        <f>_xlfn.IMAGE("https://camerareadycosmetics.com/cdn/shop/products/RCMA-liquid-Foundation-G630-300dpi_50x.jpg?v=1626994841")</f>
        <v/>
      </c>
      <c r="H2966">
        <f>_xlfn.IMAGE("https://m.media-amazon.com/images/I/51MsQMNNKkS._AC_UL320_.jpg")</f>
        <v/>
      </c>
      <c r="K2966" t="inlineStr">
        <is>
          <t>36.0</t>
        </is>
      </c>
      <c r="L2966" t="n">
        <v>5.94</v>
      </c>
      <c r="M2966" s="1" t="inlineStr">
        <is>
          <t>-83.50%</t>
        </is>
      </c>
      <c r="N2966" t="n">
        <v>4.5</v>
      </c>
      <c r="O2966" t="n">
        <v>12232</v>
      </c>
      <c r="Q2966" t="inlineStr">
        <is>
          <t>InStock</t>
        </is>
      </c>
      <c r="R2966" t="inlineStr">
        <is>
          <t>undefined</t>
        </is>
      </c>
      <c r="S2966" t="inlineStr">
        <is>
          <t>6798439448761</t>
        </is>
      </c>
    </row>
    <row r="2967" ht="75" customHeight="1">
      <c r="A2967" s="2">
        <f>HYPERLINK("https://camerareadycosmetics.com/products/rcma-makeup-four-color-foundation", "https://camerareadycosmetics.com/products/rcma-makeup-four-color-foundation")</f>
        <v/>
      </c>
      <c r="B2967" s="2">
        <f>HYPERLINK("https://camerareadycosmetics.com/products/rcma-vk-foundation-palette", "https://camerareadycosmetics.com/products/rcma-vk-foundation-palette")</f>
        <v/>
      </c>
      <c r="C2967" t="inlineStr">
        <is>
          <t>Makeup Four Color Foundation</t>
        </is>
      </c>
      <c r="D2967" t="inlineStr">
        <is>
          <t>Wunder2 Last Foundation Makeup 24+ Hour Liquid Full Coverage Waterproof with Hyaluronic Acid, Nude Color</t>
        </is>
      </c>
      <c r="E2967" s="2">
        <f>HYPERLINK("https://www.amazon.com/WUNDER2-FOUNDATION-Flawless-Coverage-Foundation/dp/B079X55W28/ref=sr_1_7?keywords=Makeup+Four+Color+Foundation&amp;qid=1695565445&amp;sr=8-7", "https://www.amazon.com/WUNDER2-FOUNDATION-Flawless-Coverage-Foundation/dp/B079X55W28/ref=sr_1_7?keywords=Makeup+Four+Color+Foundation&amp;qid=1695565445&amp;sr=8-7")</f>
        <v/>
      </c>
      <c r="F2967" t="inlineStr">
        <is>
          <t>B079X55W28</t>
        </is>
      </c>
      <c r="G2967">
        <f>_xlfn.IMAGE("https://camerareadycosmetics.com/cdn/shop/products/14631_zoom_1435074763_50x.jpg?v=1689638091")</f>
        <v/>
      </c>
      <c r="H2967">
        <f>_xlfn.IMAGE("https://m.media-amazon.com/images/I/51J5CwxZTLL._AC_UL320_.jpg")</f>
        <v/>
      </c>
      <c r="K2967" t="inlineStr">
        <is>
          <t>27.0</t>
        </is>
      </c>
      <c r="L2967" t="n">
        <v>29.95</v>
      </c>
      <c r="M2967" s="1" t="inlineStr">
        <is>
          <t>10.93%</t>
        </is>
      </c>
      <c r="N2967" t="n">
        <v>4.1</v>
      </c>
      <c r="O2967" t="n">
        <v>3041</v>
      </c>
      <c r="Q2967" t="inlineStr">
        <is>
          <t>InStock</t>
        </is>
      </c>
      <c r="R2967" t="inlineStr">
        <is>
          <t>undefined</t>
        </is>
      </c>
      <c r="S2967" t="inlineStr">
        <is>
          <t>7038685383</t>
        </is>
      </c>
    </row>
    <row r="2968" ht="75" customHeight="1">
      <c r="A2968" s="2">
        <f>HYPERLINK("https://camerareadycosmetics.com/products/rcma-makeup-four-color-foundation", "https://camerareadycosmetics.com/products/rcma-makeup-four-color-foundation")</f>
        <v/>
      </c>
      <c r="B2968" s="2">
        <f>HYPERLINK("https://camerareadycosmetics.com/products/rcma-vk-foundation-palette", "https://camerareadycosmetics.com/products/rcma-vk-foundation-palette")</f>
        <v/>
      </c>
      <c r="C2968" t="inlineStr">
        <is>
          <t>Makeup Four Color Foundation</t>
        </is>
      </c>
      <c r="D2968" t="inlineStr">
        <is>
          <t>Liquid Concealer Makeup-Color Corrector Concealer 4 Pcs, Lightweight Moisturizing Liquid Foundation Makeup Full Coverage, Natural Waterproof Green Purple Correcting Concealer for Dark Circles Dry Skin</t>
        </is>
      </c>
      <c r="E2968" s="2">
        <f>HYPERLINK("https://www.amazon.com/Makeup-Color-Lightweight-Moisturizing-Foundation-Waterproof/dp/B09TB2K6Q6/ref=sr_1_2?keywords=Makeup+Four+Color+Foundation&amp;qid=1695565445&amp;sr=8-2", "https://www.amazon.com/Makeup-Color-Lightweight-Moisturizing-Foundation-Waterproof/dp/B09TB2K6Q6/ref=sr_1_2?keywords=Makeup+Four+Color+Foundation&amp;qid=1695565445&amp;sr=8-2")</f>
        <v/>
      </c>
      <c r="F2968" t="inlineStr">
        <is>
          <t>B09TB2K6Q6</t>
        </is>
      </c>
      <c r="G2968">
        <f>_xlfn.IMAGE("https://camerareadycosmetics.com/cdn/shop/products/14631_zoom_1435074763_50x.jpg?v=1689638091")</f>
        <v/>
      </c>
      <c r="H2968">
        <f>_xlfn.IMAGE("https://m.media-amazon.com/images/I/617vjINPO-L._AC_UL320_.jpg")</f>
        <v/>
      </c>
      <c r="K2968" t="inlineStr">
        <is>
          <t>27.0</t>
        </is>
      </c>
      <c r="L2968" t="n">
        <v>11.99</v>
      </c>
      <c r="M2968" s="1" t="inlineStr">
        <is>
          <t>-55.59%</t>
        </is>
      </c>
      <c r="N2968" t="n">
        <v>3.5</v>
      </c>
      <c r="O2968" t="n">
        <v>7</v>
      </c>
      <c r="Q2968" t="inlineStr">
        <is>
          <t>InStock</t>
        </is>
      </c>
      <c r="R2968" t="inlineStr">
        <is>
          <t>undefined</t>
        </is>
      </c>
      <c r="S2968" t="inlineStr">
        <is>
          <t>7038685383</t>
        </is>
      </c>
    </row>
    <row r="2969" ht="75" customHeight="1">
      <c r="A2969" s="2">
        <f>HYPERLINK("https://camerareadycosmetics.com/products/rcma-makeup-four-color-foundation", "https://camerareadycosmetics.com/products/rcma-makeup-four-color-foundation")</f>
        <v/>
      </c>
      <c r="B2969" s="2">
        <f>HYPERLINK("https://camerareadycosmetics.com/products/rcma-vk-foundation-palette", "https://camerareadycosmetics.com/products/rcma-vk-foundation-palette")</f>
        <v/>
      </c>
      <c r="C2969" t="inlineStr">
        <is>
          <t>Makeup Four Color Foundation</t>
        </is>
      </c>
      <c r="D2969" t="inlineStr">
        <is>
          <t>ADVERSA - Vegan Matte Liquid Foundation - Face Makeup, Full Coverage Foundation Makeup, Beauty &amp; Personal Care - Cruelty Free, Gluten Free - 0.88 Fl oz/25g, Color 400</t>
        </is>
      </c>
      <c r="E2969" s="2">
        <f>HYPERLINK("https://www.amazon.com/ADVERSA-Foundation-Coverage-Personal-Magnesium/dp/B07SBXKB14/ref=sr_1_5?keywords=Makeup+Four+Color+Foundation&amp;qid=1695565445&amp;sr=8-5", "https://www.amazon.com/ADVERSA-Foundation-Coverage-Personal-Magnesium/dp/B07SBXKB14/ref=sr_1_5?keywords=Makeup+Four+Color+Foundation&amp;qid=1695565445&amp;sr=8-5")</f>
        <v/>
      </c>
      <c r="F2969" t="inlineStr">
        <is>
          <t>B07SBXKB14</t>
        </is>
      </c>
      <c r="G2969">
        <f>_xlfn.IMAGE("https://camerareadycosmetics.com/cdn/shop/products/14631_zoom_1435074763_50x.jpg?v=1689638091")</f>
        <v/>
      </c>
      <c r="H2969">
        <f>_xlfn.IMAGE("https://m.media-amazon.com/images/I/71EPhtqXlcL._AC_UL320_.jpg")</f>
        <v/>
      </c>
      <c r="K2969" t="inlineStr">
        <is>
          <t>27.0</t>
        </is>
      </c>
      <c r="L2969" t="n">
        <v>9.99</v>
      </c>
      <c r="M2969" s="1" t="inlineStr">
        <is>
          <t>-63.00%</t>
        </is>
      </c>
      <c r="N2969" t="n">
        <v>4.4</v>
      </c>
      <c r="O2969" t="n">
        <v>353</v>
      </c>
      <c r="Q2969" t="inlineStr">
        <is>
          <t>InStock</t>
        </is>
      </c>
      <c r="R2969" t="inlineStr">
        <is>
          <t>undefined</t>
        </is>
      </c>
      <c r="S2969" t="inlineStr">
        <is>
          <t>7038685383</t>
        </is>
      </c>
    </row>
    <row r="2970" ht="75" customHeight="1">
      <c r="A2970" s="2">
        <f>HYPERLINK("https://camerareadycosmetics.com/products/rcma-makeup-four-color-foundation", "https://camerareadycosmetics.com/products/rcma-makeup-four-color-foundation")</f>
        <v/>
      </c>
      <c r="B2970" s="2">
        <f>HYPERLINK("https://camerareadycosmetics.com/products/rcma-vk-foundation-palette", "https://camerareadycosmetics.com/products/rcma-vk-foundation-palette")</f>
        <v/>
      </c>
      <c r="C2970" t="inlineStr">
        <is>
          <t>Makeup Four Color Foundation</t>
        </is>
      </c>
      <c r="D2970" t="inlineStr">
        <is>
          <t>2 Pack TLM Color Changing Foundation Liquid Base Makeup Naturally Moisturizing Sunscreen Brightening Complexion Concealer Foundation 30ml</t>
        </is>
      </c>
      <c r="E2970" s="2">
        <f>HYPERLINK("https://www.amazon.com/Foundation-Naturally-Moisturizing-Brightening-Complexion/dp/B0BM5M7YBT/ref=sr_1_9?keywords=Makeup+Four+Color+Foundation&amp;qid=1695565445&amp;sr=8-9", "https://www.amazon.com/Foundation-Naturally-Moisturizing-Brightening-Complexion/dp/B0BM5M7YBT/ref=sr_1_9?keywords=Makeup+Four+Color+Foundation&amp;qid=1695565445&amp;sr=8-9")</f>
        <v/>
      </c>
      <c r="F2970" t="inlineStr">
        <is>
          <t>B0BM5M7YBT</t>
        </is>
      </c>
      <c r="G2970">
        <f>_xlfn.IMAGE("https://camerareadycosmetics.com/cdn/shop/products/14631_zoom_1435074763_50x.jpg?v=1689638091")</f>
        <v/>
      </c>
      <c r="H2970">
        <f>_xlfn.IMAGE("https://m.media-amazon.com/images/I/71NjAYrvj5L._AC_UL320_.jpg")</f>
        <v/>
      </c>
      <c r="K2970" t="inlineStr">
        <is>
          <t>27.0</t>
        </is>
      </c>
      <c r="L2970" t="n">
        <v>9.960000000000001</v>
      </c>
      <c r="M2970" s="1" t="inlineStr">
        <is>
          <t>-63.11%</t>
        </is>
      </c>
      <c r="N2970" t="n">
        <v>4.3</v>
      </c>
      <c r="O2970" t="n">
        <v>73</v>
      </c>
      <c r="Q2970" t="inlineStr">
        <is>
          <t>InStock</t>
        </is>
      </c>
      <c r="R2970" t="inlineStr">
        <is>
          <t>undefined</t>
        </is>
      </c>
      <c r="S2970" t="inlineStr">
        <is>
          <t>7038685383</t>
        </is>
      </c>
    </row>
    <row r="2971" ht="75" customHeight="1">
      <c r="A2971" s="2">
        <f>HYPERLINK("https://camerareadycosmetics.com/products/rcma-makeup-four-color-foundation", "https://camerareadycosmetics.com/products/rcma-makeup-four-color-foundation")</f>
        <v/>
      </c>
      <c r="B2971" s="2">
        <f>HYPERLINK("https://camerareadycosmetics.com/products/rcma-vk-foundation-palette", "https://camerareadycosmetics.com/products/rcma-vk-foundation-palette")</f>
        <v/>
      </c>
      <c r="C2971" t="inlineStr">
        <is>
          <t>Makeup Four Color Foundation</t>
        </is>
      </c>
      <c r="D2971" t="inlineStr">
        <is>
          <t>LAMUSELAND 4 Colors Face Velvet Foundation Liquid Makeup Beauty Cosmetic 35g (01 LIGHT)</t>
        </is>
      </c>
      <c r="E2971" s="2">
        <f>HYPERLINK("https://www.amazon.com/LAMUSELAND-Colors-Velvet-Foundation-Cosmetic/dp/B08P3BFRRN/ref=sr_1_3?keywords=Makeup+Four+Color+Foundation&amp;qid=1695565445&amp;sr=8-3", "https://www.amazon.com/LAMUSELAND-Colors-Velvet-Foundation-Cosmetic/dp/B08P3BFRRN/ref=sr_1_3?keywords=Makeup+Four+Color+Foundation&amp;qid=1695565445&amp;sr=8-3")</f>
        <v/>
      </c>
      <c r="F2971" t="inlineStr">
        <is>
          <t>B08P3BFRRN</t>
        </is>
      </c>
      <c r="G2971">
        <f>_xlfn.IMAGE("https://camerareadycosmetics.com/cdn/shop/products/14631_zoom_1435074763_50x.jpg?v=1689638091")</f>
        <v/>
      </c>
      <c r="H2971">
        <f>_xlfn.IMAGE("https://m.media-amazon.com/images/I/510KEQwHMnL._AC_UL320_.jpg")</f>
        <v/>
      </c>
      <c r="K2971" t="inlineStr">
        <is>
          <t>27.0</t>
        </is>
      </c>
      <c r="L2971" t="n">
        <v>7.99</v>
      </c>
      <c r="M2971" s="1" t="inlineStr">
        <is>
          <t>-70.41%</t>
        </is>
      </c>
      <c r="N2971" t="n">
        <v>4.2</v>
      </c>
      <c r="O2971" t="n">
        <v>31</v>
      </c>
      <c r="Q2971" t="inlineStr">
        <is>
          <t>InStock</t>
        </is>
      </c>
      <c r="R2971" t="inlineStr">
        <is>
          <t>undefined</t>
        </is>
      </c>
      <c r="S2971" t="inlineStr">
        <is>
          <t>7038685383</t>
        </is>
      </c>
    </row>
    <row r="2972" ht="75" customHeight="1">
      <c r="A2972" s="2">
        <f>HYPERLINK("https://camerareadycosmetics.com/products/rcma-makeup-four-color-foundation", "https://camerareadycosmetics.com/products/rcma-makeup-four-color-foundation")</f>
        <v/>
      </c>
      <c r="B2972" s="2">
        <f>HYPERLINK("https://camerareadycosmetics.com/products/rcma-vk-foundation-palette", "https://camerareadycosmetics.com/products/rcma-vk-foundation-palette")</f>
        <v/>
      </c>
      <c r="C2972" t="inlineStr">
        <is>
          <t>Makeup Four Color Foundation</t>
        </is>
      </c>
      <c r="D2972" t="inlineStr">
        <is>
          <t>Liquid Concealer Makeup-Color Corrector Concealer 4 Pcs, Lightweight Moisturizing Liquid Foundation Makeup Full Coverage, Natural Waterproof Green Purple Correcting Concealer for Dark Circles Dry Skin</t>
        </is>
      </c>
      <c r="E2972" s="2">
        <f>HYPERLINK("https://www.amazon.com/Makeup-Color-Lightweight-Moisturizing-Foundation-Waterproof/dp/B09TB2K6Q6/ref=sr_1_2?keywords=Makeup+Four+Color+Foundation&amp;qid=1695565445&amp;sr=8-2", "https://www.amazon.com/Makeup-Color-Lightweight-Moisturizing-Foundation-Waterproof/dp/B09TB2K6Q6/ref=sr_1_2?keywords=Makeup+Four+Color+Foundation&amp;qid=1695565445&amp;sr=8-2")</f>
        <v/>
      </c>
      <c r="F2972" t="inlineStr">
        <is>
          <t>B09TB2K6Q6</t>
        </is>
      </c>
      <c r="G2972">
        <f>_xlfn.IMAGE("https://camerareadycosmetics.com/cdn/shop/products/14631_zoom_1435074763_50x.jpg?v=1689638091")</f>
        <v/>
      </c>
      <c r="H2972">
        <f>_xlfn.IMAGE("https://m.media-amazon.com/images/I/617vjINPO-L._AC_UL320_.jpg")</f>
        <v/>
      </c>
      <c r="K2972" t="inlineStr">
        <is>
          <t>27.0</t>
        </is>
      </c>
      <c r="L2972" t="n">
        <v>11.99</v>
      </c>
      <c r="M2972" s="1" t="inlineStr">
        <is>
          <t>-55.59%</t>
        </is>
      </c>
      <c r="N2972" t="n">
        <v>3.5</v>
      </c>
      <c r="O2972" t="n">
        <v>7</v>
      </c>
      <c r="Q2972" t="inlineStr">
        <is>
          <t>InStock</t>
        </is>
      </c>
      <c r="R2972" t="inlineStr">
        <is>
          <t>undefined</t>
        </is>
      </c>
      <c r="S2972" t="inlineStr">
        <is>
          <t>7038685383</t>
        </is>
      </c>
    </row>
    <row r="2973" ht="75" customHeight="1">
      <c r="A2973" s="2">
        <f>HYPERLINK("https://camerareadycosmetics.com/products/rcma-makeup-four-color-foundation", "https://camerareadycosmetics.com/products/rcma-makeup-four-color-foundation")</f>
        <v/>
      </c>
      <c r="B2973" s="2">
        <f>HYPERLINK("https://camerareadycosmetics.com/products/rcma-vk-foundation-palette", "https://camerareadycosmetics.com/products/rcma-vk-foundation-palette")</f>
        <v/>
      </c>
      <c r="C2973" t="inlineStr">
        <is>
          <t>Makeup Four Color Foundation</t>
        </is>
      </c>
      <c r="D2973" t="inlineStr">
        <is>
          <t>ADVERSA - Vegan Matte Liquid Foundation - Face Makeup, Full Coverage Foundation Makeup, Beauty &amp; Personal Care - Cruelty Free, Gluten Free - 0.88 Fl oz/25g, Color 400</t>
        </is>
      </c>
      <c r="E2973" s="2">
        <f>HYPERLINK("https://www.amazon.com/ADVERSA-Foundation-Coverage-Personal-Magnesium/dp/B07SBXKB14/ref=sr_1_5?keywords=Makeup+Four+Color+Foundation&amp;qid=1695565445&amp;sr=8-5", "https://www.amazon.com/ADVERSA-Foundation-Coverage-Personal-Magnesium/dp/B07SBXKB14/ref=sr_1_5?keywords=Makeup+Four+Color+Foundation&amp;qid=1695565445&amp;sr=8-5")</f>
        <v/>
      </c>
      <c r="F2973" t="inlineStr">
        <is>
          <t>B07SBXKB14</t>
        </is>
      </c>
      <c r="G2973">
        <f>_xlfn.IMAGE("https://camerareadycosmetics.com/cdn/shop/products/14631_zoom_1435074763_50x.jpg?v=1689638091")</f>
        <v/>
      </c>
      <c r="H2973">
        <f>_xlfn.IMAGE("https://m.media-amazon.com/images/I/71EPhtqXlcL._AC_UL320_.jpg")</f>
        <v/>
      </c>
      <c r="K2973" t="inlineStr">
        <is>
          <t>27.0</t>
        </is>
      </c>
      <c r="L2973" t="n">
        <v>9.99</v>
      </c>
      <c r="M2973" s="1" t="inlineStr">
        <is>
          <t>-63.00%</t>
        </is>
      </c>
      <c r="N2973" t="n">
        <v>4.4</v>
      </c>
      <c r="O2973" t="n">
        <v>353</v>
      </c>
      <c r="Q2973" t="inlineStr">
        <is>
          <t>InStock</t>
        </is>
      </c>
      <c r="R2973" t="inlineStr">
        <is>
          <t>undefined</t>
        </is>
      </c>
      <c r="S2973" t="inlineStr">
        <is>
          <t>7038685383</t>
        </is>
      </c>
    </row>
    <row r="2974" ht="75" customHeight="1">
      <c r="A2974" s="2">
        <f>HYPERLINK("https://camerareadycosmetics.com/products/rcma-makeup-four-color-foundation", "https://camerareadycosmetics.com/products/rcma-makeup-four-color-foundation")</f>
        <v/>
      </c>
      <c r="B2974" s="2">
        <f>HYPERLINK("https://camerareadycosmetics.com/products/rcma-vk-foundation-palette", "https://camerareadycosmetics.com/products/rcma-vk-foundation-palette")</f>
        <v/>
      </c>
      <c r="C2974" t="inlineStr">
        <is>
          <t>Makeup Four Color Foundation</t>
        </is>
      </c>
      <c r="D2974" t="inlineStr">
        <is>
          <t>2 Pack TLM Color Changing Foundation Liquid Base Makeup Naturally Moisturizing Sunscreen Brightening Complexion Concealer Foundation 30ml</t>
        </is>
      </c>
      <c r="E2974" s="2">
        <f>HYPERLINK("https://www.amazon.com/Foundation-Naturally-Moisturizing-Brightening-Complexion/dp/B0BM5M7YBT/ref=sr_1_9?keywords=Makeup+Four+Color+Foundation&amp;qid=1695565445&amp;sr=8-9", "https://www.amazon.com/Foundation-Naturally-Moisturizing-Brightening-Complexion/dp/B0BM5M7YBT/ref=sr_1_9?keywords=Makeup+Four+Color+Foundation&amp;qid=1695565445&amp;sr=8-9")</f>
        <v/>
      </c>
      <c r="F2974" t="inlineStr">
        <is>
          <t>B0BM5M7YBT</t>
        </is>
      </c>
      <c r="G2974">
        <f>_xlfn.IMAGE("https://camerareadycosmetics.com/cdn/shop/products/14631_zoom_1435074763_50x.jpg?v=1689638091")</f>
        <v/>
      </c>
      <c r="H2974">
        <f>_xlfn.IMAGE("https://m.media-amazon.com/images/I/71NjAYrvj5L._AC_UL320_.jpg")</f>
        <v/>
      </c>
      <c r="K2974" t="inlineStr">
        <is>
          <t>27.0</t>
        </is>
      </c>
      <c r="L2974" t="n">
        <v>9.960000000000001</v>
      </c>
      <c r="M2974" s="1" t="inlineStr">
        <is>
          <t>-63.11%</t>
        </is>
      </c>
      <c r="N2974" t="n">
        <v>4.3</v>
      </c>
      <c r="O2974" t="n">
        <v>73</v>
      </c>
      <c r="Q2974" t="inlineStr">
        <is>
          <t>InStock</t>
        </is>
      </c>
      <c r="R2974" t="inlineStr">
        <is>
          <t>undefined</t>
        </is>
      </c>
      <c r="S2974" t="inlineStr">
        <is>
          <t>7038685383</t>
        </is>
      </c>
    </row>
    <row r="2975" ht="75" customHeight="1">
      <c r="A2975" s="2">
        <f>HYPERLINK("https://camerareadycosmetics.com/products/rcma-makeup-four-color-foundation", "https://camerareadycosmetics.com/products/rcma-makeup-four-color-foundation")</f>
        <v/>
      </c>
      <c r="B2975" s="2">
        <f>HYPERLINK("https://camerareadycosmetics.com/products/rcma-vk-foundation-palette", "https://camerareadycosmetics.com/products/rcma-vk-foundation-palette")</f>
        <v/>
      </c>
      <c r="C2975" t="inlineStr">
        <is>
          <t>Makeup Four Color Foundation</t>
        </is>
      </c>
      <c r="D2975" t="inlineStr">
        <is>
          <t>LAMUSELAND 4 Colors Face Velvet Foundation Liquid Makeup Beauty Cosmetic 35g (01 LIGHT)</t>
        </is>
      </c>
      <c r="E2975" s="2">
        <f>HYPERLINK("https://www.amazon.com/LAMUSELAND-Colors-Velvet-Foundation-Cosmetic/dp/B08P3BFRRN/ref=sr_1_3?keywords=Makeup+Four+Color+Foundation&amp;qid=1695565445&amp;sr=8-3", "https://www.amazon.com/LAMUSELAND-Colors-Velvet-Foundation-Cosmetic/dp/B08P3BFRRN/ref=sr_1_3?keywords=Makeup+Four+Color+Foundation&amp;qid=1695565445&amp;sr=8-3")</f>
        <v/>
      </c>
      <c r="F2975" t="inlineStr">
        <is>
          <t>B08P3BFRRN</t>
        </is>
      </c>
      <c r="G2975">
        <f>_xlfn.IMAGE("https://camerareadycosmetics.com/cdn/shop/products/14631_zoom_1435074763_50x.jpg?v=1689638091")</f>
        <v/>
      </c>
      <c r="H2975">
        <f>_xlfn.IMAGE("https://m.media-amazon.com/images/I/510KEQwHMnL._AC_UL320_.jpg")</f>
        <v/>
      </c>
      <c r="K2975" t="inlineStr">
        <is>
          <t>27.0</t>
        </is>
      </c>
      <c r="L2975" t="n">
        <v>7.99</v>
      </c>
      <c r="M2975" s="1" t="inlineStr">
        <is>
          <t>-70.41%</t>
        </is>
      </c>
      <c r="N2975" t="n">
        <v>4.2</v>
      </c>
      <c r="O2975" t="n">
        <v>31</v>
      </c>
      <c r="Q2975" t="inlineStr">
        <is>
          <t>InStock</t>
        </is>
      </c>
      <c r="R2975" t="inlineStr">
        <is>
          <t>undefined</t>
        </is>
      </c>
      <c r="S2975" t="inlineStr">
        <is>
          <t>7038685383</t>
        </is>
      </c>
    </row>
    <row r="2976" ht="75" customHeight="1">
      <c r="A2976" s="2">
        <f>HYPERLINK("https://camerareadycosmetics.com/products/rcma-makeup-translucent-powder-3-oz", "https://camerareadycosmetics.com/products/rcma-makeup-translucent-powder-3-oz")</f>
        <v/>
      </c>
      <c r="B2976" s="2">
        <f>HYPERLINK("https://camerareadycosmetics.com/products/rcma-makeup-translucent-powder-3-oz", "https://camerareadycosmetics.com/products/rcma-makeup-translucent-powder-3-oz")</f>
        <v/>
      </c>
      <c r="C2976" t="inlineStr">
        <is>
          <t>Translucent Powder</t>
        </is>
      </c>
      <c r="D2976" t="inlineStr">
        <is>
          <t>Loose Setting Powder - Translucent - Laura Mercier - 29g/1oz</t>
        </is>
      </c>
      <c r="E2976" s="2">
        <f>HYPERLINK("https://www.amazon.com/Loose-Setting-Powder-Translucent-Mercier/dp/B01DOTB7Z0/ref=sr_1_8?keywords=Translucent+Powder&amp;qid=1695565427&amp;sr=8-8", "https://www.amazon.com/Loose-Setting-Powder-Translucent-Mercier/dp/B01DOTB7Z0/ref=sr_1_8?keywords=Translucent+Powder&amp;qid=1695565427&amp;sr=8-8")</f>
        <v/>
      </c>
      <c r="F2976" t="inlineStr">
        <is>
          <t>B01DOTB7Z0</t>
        </is>
      </c>
      <c r="G2976">
        <f>_xlfn.IMAGE("https://camerareadycosmetics.com/cdn/shop/products/rcma-Translucent-Powder-01-back-new_50x.jpg?v=1601646340")</f>
        <v/>
      </c>
      <c r="H2976">
        <f>_xlfn.IMAGE("https://m.media-amazon.com/images/I/51kE5LZsnXL._AC_UL320_.jpg")</f>
        <v/>
      </c>
      <c r="K2976" t="inlineStr">
        <is>
          <t>14.0</t>
        </is>
      </c>
      <c r="L2976" t="n">
        <v>39.95</v>
      </c>
      <c r="M2976" s="1" t="inlineStr">
        <is>
          <t>185.36%</t>
        </is>
      </c>
      <c r="N2976" t="n">
        <v>4.4</v>
      </c>
      <c r="O2976" t="n">
        <v>259</v>
      </c>
      <c r="Q2976" t="inlineStr">
        <is>
          <t>InStock</t>
        </is>
      </c>
      <c r="R2976" t="inlineStr">
        <is>
          <t>undefined</t>
        </is>
      </c>
      <c r="S2976" t="inlineStr">
        <is>
          <t>7050065863</t>
        </is>
      </c>
    </row>
    <row r="2977" ht="75" customHeight="1">
      <c r="A2977" s="2">
        <f>HYPERLINK("https://camerareadycosmetics.com/products/rcma-makeup-translucent-powder-3-oz", "https://camerareadycosmetics.com/products/rcma-makeup-translucent-powder-3-oz")</f>
        <v/>
      </c>
      <c r="B2977" s="2">
        <f>HYPERLINK("https://camerareadycosmetics.com/products/rcma-makeup-translucent-powder-3-oz", "https://camerareadycosmetics.com/products/rcma-makeup-translucent-powder-3-oz")</f>
        <v/>
      </c>
      <c r="C2977" t="inlineStr">
        <is>
          <t>Translucent Powder</t>
        </is>
      </c>
      <c r="D2977" t="inlineStr">
        <is>
          <t>NYX PROFESSIONAL MAKEUP HD Studio Finishing Powder, Loose Setting Powder - Translucent Finish</t>
        </is>
      </c>
      <c r="E2977" s="2">
        <f>HYPERLINK("https://www.amazon.com/NYX-Professional-Makeup-Finishing-Translucent/dp/B009GLQG6Q/ref=sr_1_5?keywords=Translucent+Powder&amp;qid=1695565427&amp;sr=8-5", "https://www.amazon.com/NYX-Professional-Makeup-Finishing-Translucent/dp/B009GLQG6Q/ref=sr_1_5?keywords=Translucent+Powder&amp;qid=1695565427&amp;sr=8-5")</f>
        <v/>
      </c>
      <c r="F2977" t="inlineStr">
        <is>
          <t>B009GLQG6Q</t>
        </is>
      </c>
      <c r="G2977">
        <f>_xlfn.IMAGE("https://camerareadycosmetics.com/cdn/shop/products/rcma-Translucent-Powder-01-back-new_50x.jpg?v=1601646340")</f>
        <v/>
      </c>
      <c r="H2977">
        <f>_xlfn.IMAGE("https://m.media-amazon.com/images/I/5196xGH0ZvL._AC_UL320_.jpg")</f>
        <v/>
      </c>
      <c r="K2977" t="inlineStr">
        <is>
          <t>14.0</t>
        </is>
      </c>
      <c r="L2977" t="n">
        <v>9.16</v>
      </c>
      <c r="M2977" s="1" t="inlineStr">
        <is>
          <t>-34.57%</t>
        </is>
      </c>
      <c r="N2977" t="n">
        <v>4.3</v>
      </c>
      <c r="O2977" t="n">
        <v>14881</v>
      </c>
      <c r="Q2977" t="inlineStr">
        <is>
          <t>InStock</t>
        </is>
      </c>
      <c r="R2977" t="inlineStr">
        <is>
          <t>undefined</t>
        </is>
      </c>
      <c r="S2977" t="inlineStr">
        <is>
          <t>7050065863</t>
        </is>
      </c>
    </row>
    <row r="2978" ht="75" customHeight="1">
      <c r="A2978" s="2">
        <f>HYPERLINK("https://camerareadycosmetics.com/products/rcma-makeup-translucent-powder-3-oz", "https://camerareadycosmetics.com/products/rcma-makeup-translucent-powder-3-oz")</f>
        <v/>
      </c>
      <c r="B2978" s="2">
        <f>HYPERLINK("https://camerareadycosmetics.com/products/rcma-makeup-translucent-powder-3-oz", "https://camerareadycosmetics.com/products/rcma-makeup-translucent-powder-3-oz")</f>
        <v/>
      </c>
      <c r="C2978" t="inlineStr">
        <is>
          <t>Translucent Powder</t>
        </is>
      </c>
      <c r="D2978" t="inlineStr">
        <is>
          <t>Airspun Loose Powder Translucent</t>
        </is>
      </c>
      <c r="E2978" s="2">
        <f>HYPERLINK("https://www.amazon.com/Airspun-Loose-Powder-Translucent/dp/B0BDW1MN6Y/ref=sr_1_1?keywords=Translucent+Powder&amp;qid=1695565427&amp;sr=8-1", "https://www.amazon.com/Airspun-Loose-Powder-Translucent/dp/B0BDW1MN6Y/ref=sr_1_1?keywords=Translucent+Powder&amp;qid=1695565427&amp;sr=8-1")</f>
        <v/>
      </c>
      <c r="F2978" t="inlineStr">
        <is>
          <t>B0BDW1MN6Y</t>
        </is>
      </c>
      <c r="G2978">
        <f>_xlfn.IMAGE("https://camerareadycosmetics.com/cdn/shop/products/rcma-Translucent-Powder-01-back-new_50x.jpg?v=1601646340")</f>
        <v/>
      </c>
      <c r="H2978">
        <f>_xlfn.IMAGE("https://m.media-amazon.com/images/I/71LmPo4Zt5L._AC_UL320_.jpg")</f>
        <v/>
      </c>
      <c r="K2978" t="inlineStr">
        <is>
          <t>14.0</t>
        </is>
      </c>
      <c r="L2978" t="n">
        <v>6.99</v>
      </c>
      <c r="M2978" s="1" t="inlineStr">
        <is>
          <t>-50.07%</t>
        </is>
      </c>
      <c r="N2978" t="n">
        <v>4.5</v>
      </c>
      <c r="O2978" t="n">
        <v>3218</v>
      </c>
      <c r="Q2978" t="inlineStr">
        <is>
          <t>InStock</t>
        </is>
      </c>
      <c r="R2978" t="inlineStr">
        <is>
          <t>undefined</t>
        </is>
      </c>
      <c r="S2978" t="inlineStr">
        <is>
          <t>7050065863</t>
        </is>
      </c>
    </row>
    <row r="2979" ht="75" customHeight="1">
      <c r="A2979" s="2">
        <f>HYPERLINK("https://camerareadycosmetics.com/products/rcma-makeup-translucent-powder-3-oz", "https://camerareadycosmetics.com/products/rcma-makeup-translucent-powder-3-oz")</f>
        <v/>
      </c>
      <c r="B2979" s="2">
        <f>HYPERLINK("https://camerareadycosmetics.com/products/rcma-makeup-translucent-powder-3-oz", "https://camerareadycosmetics.com/products/rcma-makeup-translucent-powder-3-oz")</f>
        <v/>
      </c>
      <c r="C2979" t="inlineStr">
        <is>
          <t>Translucent Powder</t>
        </is>
      </c>
      <c r="D2979" t="inlineStr">
        <is>
          <t>Maybelline New York Fit Me Matte + Poreless Pressed Face Powder Makeup &amp; Setting Powder, Translucent, 1 Count</t>
        </is>
      </c>
      <c r="E2979" s="2">
        <f>HYPERLINK("https://www.amazon.com/Maybelline-New-York-Poreless-Translucent/dp/B00PFCSNWA/ref=sr_1_3?keywords=Translucent+Powder&amp;qid=1695565427&amp;sr=8-3", "https://www.amazon.com/Maybelline-New-York-Poreless-Translucent/dp/B00PFCSNWA/ref=sr_1_3?keywords=Translucent+Powder&amp;qid=1695565427&amp;sr=8-3")</f>
        <v/>
      </c>
      <c r="F2979" t="inlineStr">
        <is>
          <t>B00PFCSNWA</t>
        </is>
      </c>
      <c r="G2979">
        <f>_xlfn.IMAGE("https://camerareadycosmetics.com/cdn/shop/products/rcma-Translucent-Powder-01-back-new_50x.jpg?v=1601646340")</f>
        <v/>
      </c>
      <c r="H2979">
        <f>_xlfn.IMAGE("https://m.media-amazon.com/images/I/81GXjEwGRPL._AC_UL320_.jpg")</f>
        <v/>
      </c>
      <c r="K2979" t="inlineStr">
        <is>
          <t>14.0</t>
        </is>
      </c>
      <c r="L2979" t="n">
        <v>6.94</v>
      </c>
      <c r="M2979" s="1" t="inlineStr">
        <is>
          <t>-50.43%</t>
        </is>
      </c>
      <c r="N2979" t="n">
        <v>4.6</v>
      </c>
      <c r="O2979" t="n">
        <v>66784</v>
      </c>
      <c r="Q2979" t="inlineStr">
        <is>
          <t>InStock</t>
        </is>
      </c>
      <c r="R2979" t="inlineStr">
        <is>
          <t>undefined</t>
        </is>
      </c>
      <c r="S2979" t="inlineStr">
        <is>
          <t>7050065863</t>
        </is>
      </c>
    </row>
    <row r="2980" ht="75" customHeight="1">
      <c r="A2980" s="2">
        <f>HYPERLINK("https://camerareadycosmetics.com/products/rcma-makeup-translucent-powder-3-oz", "https://camerareadycosmetics.com/products/rcma-makeup-translucent-powder-3-oz")</f>
        <v/>
      </c>
      <c r="B2980" s="2">
        <f>HYPERLINK("https://camerareadycosmetics.com/products/rcma-makeup-translucent-powder-3-oz", "https://camerareadycosmetics.com/products/rcma-makeup-translucent-powder-3-oz")</f>
        <v/>
      </c>
      <c r="C2980" t="inlineStr">
        <is>
          <t>Translucent Powder</t>
        </is>
      </c>
      <c r="D2980" t="inlineStr">
        <is>
          <t>Coty Airspun Loose Face Powder, Translucent Extra Coverage, Shelf</t>
        </is>
      </c>
      <c r="E2980" s="2">
        <f>HYPERLINK("https://www.amazon.com/Airspun-Loose-Powder-Translucent-Coverage/dp/B0BDW27227/ref=sr_1_7?keywords=Translucent+Powder&amp;qid=1695565427&amp;sr=8-7", "https://www.amazon.com/Airspun-Loose-Powder-Translucent-Coverage/dp/B0BDW27227/ref=sr_1_7?keywords=Translucent+Powder&amp;qid=1695565427&amp;sr=8-7")</f>
        <v/>
      </c>
      <c r="F2980" t="inlineStr">
        <is>
          <t>B0BDW27227</t>
        </is>
      </c>
      <c r="G2980">
        <f>_xlfn.IMAGE("https://camerareadycosmetics.com/cdn/shop/products/rcma-Translucent-Powder-01-back-new_50x.jpg?v=1601646340")</f>
        <v/>
      </c>
      <c r="H2980">
        <f>_xlfn.IMAGE("https://m.media-amazon.com/images/I/71LmPo4Zt5L._AC_UL320_.jpg")</f>
        <v/>
      </c>
      <c r="K2980" t="inlineStr">
        <is>
          <t>14.0</t>
        </is>
      </c>
      <c r="L2980" t="n">
        <v>6.74</v>
      </c>
      <c r="M2980" s="1" t="inlineStr">
        <is>
          <t>-51.86%</t>
        </is>
      </c>
      <c r="N2980" t="n">
        <v>4.5</v>
      </c>
      <c r="O2980" t="n">
        <v>1168</v>
      </c>
      <c r="Q2980" t="inlineStr">
        <is>
          <t>InStock</t>
        </is>
      </c>
      <c r="R2980" t="inlineStr">
        <is>
          <t>undefined</t>
        </is>
      </c>
      <c r="S2980" t="inlineStr">
        <is>
          <t>7050065863</t>
        </is>
      </c>
    </row>
    <row r="2981" ht="75" customHeight="1">
      <c r="A2981" s="2">
        <f>HYPERLINK("https://camerareadycosmetics.com/products/rcma-makeup-translucent-powder-3-oz", "https://camerareadycosmetics.com/products/rcma-makeup-translucent-powder-3-oz")</f>
        <v/>
      </c>
      <c r="B2981" s="2">
        <f>HYPERLINK("https://camerareadycosmetics.com/products/rcma-makeup-translucent-powder-3-oz", "https://camerareadycosmetics.com/products/rcma-makeup-translucent-powder-3-oz")</f>
        <v/>
      </c>
      <c r="C2981" t="inlineStr">
        <is>
          <t>Translucent Powder</t>
        </is>
      </c>
      <c r="D2981" t="inlineStr">
        <is>
          <t>COVERGIRL Clean Invisible Loose Powder - Loose Powder, Setting Powder, Vegan Formula - Translucent Light, 20g (0.7 oz)</t>
        </is>
      </c>
      <c r="E2981" s="2">
        <f>HYPERLINK("https://www.amazon.com/Clean-Invisible-Loose-Powder-Translucent/dp/B0BBSTNF4T/ref=sr_1_9?keywords=Translucent+Powder&amp;qid=1695565427&amp;sr=8-9", "https://www.amazon.com/Clean-Invisible-Loose-Powder-Translucent/dp/B0BBSTNF4T/ref=sr_1_9?keywords=Translucent+Powder&amp;qid=1695565427&amp;sr=8-9")</f>
        <v/>
      </c>
      <c r="F2981" t="inlineStr">
        <is>
          <t>B0BBSTNF4T</t>
        </is>
      </c>
      <c r="G2981">
        <f>_xlfn.IMAGE("https://camerareadycosmetics.com/cdn/shop/products/rcma-Translucent-Powder-01-back-new_50x.jpg?v=1601646340")</f>
        <v/>
      </c>
      <c r="H2981">
        <f>_xlfn.IMAGE("https://m.media-amazon.com/images/I/714MhcL8mQL._AC_UL320_.jpg")</f>
        <v/>
      </c>
      <c r="K2981" t="inlineStr">
        <is>
          <t>14.0</t>
        </is>
      </c>
      <c r="L2981" t="n">
        <v>6.38</v>
      </c>
      <c r="M2981" s="1" t="inlineStr">
        <is>
          <t>-54.43%</t>
        </is>
      </c>
      <c r="N2981" t="n">
        <v>4.4</v>
      </c>
      <c r="O2981" t="n">
        <v>581</v>
      </c>
      <c r="Q2981" t="inlineStr">
        <is>
          <t>InStock</t>
        </is>
      </c>
      <c r="R2981" t="inlineStr">
        <is>
          <t>undefined</t>
        </is>
      </c>
      <c r="S2981" t="inlineStr">
        <is>
          <t>7050065863</t>
        </is>
      </c>
    </row>
    <row r="2982" ht="75" customHeight="1">
      <c r="A2982" s="2">
        <f>HYPERLINK("https://camerareadycosmetics.com/products/rcma-makeup-translucent-powder-3-oz", "https://camerareadycosmetics.com/products/rcma-makeup-translucent-powder-3-oz")</f>
        <v/>
      </c>
      <c r="B2982" s="2">
        <f>HYPERLINK("https://camerareadycosmetics.com/products/rcma-makeup-translucent-powder-3-oz", "https://camerareadycosmetics.com/products/rcma-makeup-translucent-powder-3-oz")</f>
        <v/>
      </c>
      <c r="C2982" t="inlineStr">
        <is>
          <t>Translucent Powder</t>
        </is>
      </c>
      <c r="D2982" t="inlineStr">
        <is>
          <t>wet n wild Photo Focus Loose Baking Setting Powder, Highlighter Makeup, Fair to Medium &amp; Tan Skin Tones, Translucent</t>
        </is>
      </c>
      <c r="E2982" s="2">
        <f>HYPERLINK("https://www.amazon.com/Wet-Wild-PhotoFocus-Setting-Translucent/dp/B0847R7J4N/ref=sr_1_6?keywords=Translucent+Powder&amp;qid=1695565427&amp;rdc=1&amp;sr=8-6", "https://www.amazon.com/Wet-Wild-PhotoFocus-Setting-Translucent/dp/B0847R7J4N/ref=sr_1_6?keywords=Translucent+Powder&amp;qid=1695565427&amp;rdc=1&amp;sr=8-6")</f>
        <v/>
      </c>
      <c r="F2982" t="inlineStr">
        <is>
          <t>B0847R7J4N</t>
        </is>
      </c>
      <c r="G2982">
        <f>_xlfn.IMAGE("https://camerareadycosmetics.com/cdn/shop/products/rcma-Translucent-Powder-01-back-new_50x.jpg?v=1601646340")</f>
        <v/>
      </c>
      <c r="H2982">
        <f>_xlfn.IMAGE("https://m.media-amazon.com/images/I/7105byI342L._AC_UL320_.jpg")</f>
        <v/>
      </c>
      <c r="K2982" t="inlineStr">
        <is>
          <t>14.0</t>
        </is>
      </c>
      <c r="L2982" t="n">
        <v>6.38</v>
      </c>
      <c r="M2982" s="1" t="inlineStr">
        <is>
          <t>-54.43%</t>
        </is>
      </c>
      <c r="N2982" t="n">
        <v>4.6</v>
      </c>
      <c r="O2982" t="n">
        <v>4320</v>
      </c>
      <c r="Q2982" t="inlineStr">
        <is>
          <t>InStock</t>
        </is>
      </c>
      <c r="R2982" t="inlineStr">
        <is>
          <t>undefined</t>
        </is>
      </c>
      <c r="S2982" t="inlineStr">
        <is>
          <t>7050065863</t>
        </is>
      </c>
    </row>
    <row r="2983" ht="75" customHeight="1">
      <c r="A2983" s="2">
        <f>HYPERLINK("https://camerareadycosmetics.com/products/rcma-makeup-translucent-powder-3-oz", "https://camerareadycosmetics.com/products/rcma-makeup-translucent-powder-3-oz")</f>
        <v/>
      </c>
      <c r="B2983" s="2">
        <f>HYPERLINK("https://camerareadycosmetics.com/products/rcma-makeup-translucent-powder-3-oz", "https://camerareadycosmetics.com/products/rcma-makeup-translucent-powder-3-oz")</f>
        <v/>
      </c>
      <c r="C2983" t="inlineStr">
        <is>
          <t>Translucent Powder</t>
        </is>
      </c>
      <c r="D2983" t="inlineStr">
        <is>
          <t>Wet n Wild Bare Focus Clarifying Finishing Powder | Matte | Pressed Setting Powder Translucent</t>
        </is>
      </c>
      <c r="E2983" s="2">
        <f>HYPERLINK("https://www.amazon.com/Clarifying-Finishing-Pressed-Setting-Translucent/dp/B09NX3HBLB/ref=sr_1_4?keywords=Translucent+Powder&amp;qid=1695565427&amp;rdc=1&amp;sr=8-4", "https://www.amazon.com/Clarifying-Finishing-Pressed-Setting-Translucent/dp/B09NX3HBLB/ref=sr_1_4?keywords=Translucent+Powder&amp;qid=1695565427&amp;rdc=1&amp;sr=8-4")</f>
        <v/>
      </c>
      <c r="F2983" t="inlineStr">
        <is>
          <t>B09NX3HBLB</t>
        </is>
      </c>
      <c r="G2983">
        <f>_xlfn.IMAGE("https://camerareadycosmetics.com/cdn/shop/products/rcma-Translucent-Powder-01-back-new_50x.jpg?v=1601646340")</f>
        <v/>
      </c>
      <c r="H2983">
        <f>_xlfn.IMAGE("https://m.media-amazon.com/images/I/71l5i9eUK7L._AC_UL320_.jpg")</f>
        <v/>
      </c>
      <c r="K2983" t="inlineStr">
        <is>
          <t>14.0</t>
        </is>
      </c>
      <c r="L2983" t="n">
        <v>3.28</v>
      </c>
      <c r="M2983" s="1" t="inlineStr">
        <is>
          <t>-76.57%</t>
        </is>
      </c>
      <c r="N2983" t="n">
        <v>4.3</v>
      </c>
      <c r="O2983" t="n">
        <v>3893</v>
      </c>
      <c r="Q2983" t="inlineStr">
        <is>
          <t>InStock</t>
        </is>
      </c>
      <c r="R2983" t="inlineStr">
        <is>
          <t>undefined</t>
        </is>
      </c>
      <c r="S2983" t="inlineStr">
        <is>
          <t>7050065863</t>
        </is>
      </c>
    </row>
    <row r="2984" ht="75" customHeight="1">
      <c r="A2984" s="2">
        <f>HYPERLINK("https://camerareadycosmetics.com/products/rcma-makeup-translucent-powder-3-oz", "https://camerareadycosmetics.com/products/rcma-makeup-translucent-powder-3-oz")</f>
        <v/>
      </c>
      <c r="B2984" s="2">
        <f>HYPERLINK("https://camerareadycosmetics.com/products/rcma-makeup-translucent-powder-3-oz", "https://camerareadycosmetics.com/products/rcma-makeup-translucent-powder-3-oz")</f>
        <v/>
      </c>
      <c r="C2984" t="inlineStr">
        <is>
          <t>Translucent Powder</t>
        </is>
      </c>
      <c r="D2984" t="inlineStr">
        <is>
          <t>Airspun Loose Powder Translucent</t>
        </is>
      </c>
      <c r="E2984" s="2">
        <f>HYPERLINK("https://www.amazon.com/Airspun-Loose-Powder-Translucent/dp/B0BDW1MN6Y/ref=sr_1_1?keywords=Translucent+Powder&amp;qid=1695565427&amp;sr=8-1", "https://www.amazon.com/Airspun-Loose-Powder-Translucent/dp/B0BDW1MN6Y/ref=sr_1_1?keywords=Translucent+Powder&amp;qid=1695565427&amp;sr=8-1")</f>
        <v/>
      </c>
      <c r="F2984" t="inlineStr">
        <is>
          <t>B0BDW1MN6Y</t>
        </is>
      </c>
      <c r="G2984">
        <f>_xlfn.IMAGE("https://camerareadycosmetics.com/cdn/shop/products/rcma-Translucent-Powder-01-back-new_50x.jpg?v=1601646340")</f>
        <v/>
      </c>
      <c r="H2984">
        <f>_xlfn.IMAGE("https://m.media-amazon.com/images/I/71LmPo4Zt5L._AC_UL320_.jpg")</f>
        <v/>
      </c>
      <c r="K2984" t="inlineStr">
        <is>
          <t>14.0</t>
        </is>
      </c>
      <c r="L2984" t="n">
        <v>6.99</v>
      </c>
      <c r="M2984" s="1" t="inlineStr">
        <is>
          <t>-50.07%</t>
        </is>
      </c>
      <c r="N2984" t="n">
        <v>4.5</v>
      </c>
      <c r="O2984" t="n">
        <v>3218</v>
      </c>
      <c r="Q2984" t="inlineStr">
        <is>
          <t>InStock</t>
        </is>
      </c>
      <c r="R2984" t="inlineStr">
        <is>
          <t>undefined</t>
        </is>
      </c>
      <c r="S2984" t="inlineStr">
        <is>
          <t>7050065863</t>
        </is>
      </c>
    </row>
    <row r="2985" ht="75" customHeight="1">
      <c r="A2985" s="2">
        <f>HYPERLINK("https://camerareadycosmetics.com/products/rcma-makeup-translucent-powder-3-oz", "https://camerareadycosmetics.com/products/rcma-makeup-translucent-powder-3-oz")</f>
        <v/>
      </c>
      <c r="B2985" s="2">
        <f>HYPERLINK("https://camerareadycosmetics.com/products/rcma-makeup-translucent-powder-3-oz", "https://camerareadycosmetics.com/products/rcma-makeup-translucent-powder-3-oz")</f>
        <v/>
      </c>
      <c r="C2985" t="inlineStr">
        <is>
          <t>Translucent Powder</t>
        </is>
      </c>
      <c r="D2985" t="inlineStr">
        <is>
          <t>Maybelline New York Fit Me Matte + Poreless Pressed Face Powder Makeup &amp; Setting Powder, Translucent, 1 Count</t>
        </is>
      </c>
      <c r="E2985" s="2">
        <f>HYPERLINK("https://www.amazon.com/Maybelline-New-York-Poreless-Translucent/dp/B00PFCSNWA/ref=sr_1_3?keywords=Translucent+Powder&amp;qid=1695565427&amp;sr=8-3", "https://www.amazon.com/Maybelline-New-York-Poreless-Translucent/dp/B00PFCSNWA/ref=sr_1_3?keywords=Translucent+Powder&amp;qid=1695565427&amp;sr=8-3")</f>
        <v/>
      </c>
      <c r="F2985" t="inlineStr">
        <is>
          <t>B00PFCSNWA</t>
        </is>
      </c>
      <c r="G2985">
        <f>_xlfn.IMAGE("https://camerareadycosmetics.com/cdn/shop/products/rcma-Translucent-Powder-01-back-new_50x.jpg?v=1601646340")</f>
        <v/>
      </c>
      <c r="H2985">
        <f>_xlfn.IMAGE("https://m.media-amazon.com/images/I/81GXjEwGRPL._AC_UL320_.jpg")</f>
        <v/>
      </c>
      <c r="K2985" t="inlineStr">
        <is>
          <t>14.0</t>
        </is>
      </c>
      <c r="L2985" t="n">
        <v>6.94</v>
      </c>
      <c r="M2985" s="1" t="inlineStr">
        <is>
          <t>-50.43%</t>
        </is>
      </c>
      <c r="N2985" t="n">
        <v>4.6</v>
      </c>
      <c r="O2985" t="n">
        <v>66784</v>
      </c>
      <c r="Q2985" t="inlineStr">
        <is>
          <t>InStock</t>
        </is>
      </c>
      <c r="R2985" t="inlineStr">
        <is>
          <t>undefined</t>
        </is>
      </c>
      <c r="S2985" t="inlineStr">
        <is>
          <t>7050065863</t>
        </is>
      </c>
    </row>
    <row r="2986" ht="75" customHeight="1">
      <c r="A2986" s="2">
        <f>HYPERLINK("https://camerareadycosmetics.com/products/rcma-makeup-translucent-powder-3-oz", "https://camerareadycosmetics.com/products/rcma-makeup-translucent-powder-3-oz")</f>
        <v/>
      </c>
      <c r="B2986" s="2">
        <f>HYPERLINK("https://camerareadycosmetics.com/products/rcma-makeup-translucent-powder-3-oz", "https://camerareadycosmetics.com/products/rcma-makeup-translucent-powder-3-oz")</f>
        <v/>
      </c>
      <c r="C2986" t="inlineStr">
        <is>
          <t>Translucent Powder</t>
        </is>
      </c>
      <c r="D2986" t="inlineStr">
        <is>
          <t>Coty Airspun Loose Face Powder, Translucent Extra Coverage, Shelf</t>
        </is>
      </c>
      <c r="E2986" s="2">
        <f>HYPERLINK("https://www.amazon.com/Airspun-Loose-Powder-Translucent-Coverage/dp/B0BDW27227/ref=sr_1_7?keywords=Translucent+Powder&amp;qid=1695565427&amp;sr=8-7", "https://www.amazon.com/Airspun-Loose-Powder-Translucent-Coverage/dp/B0BDW27227/ref=sr_1_7?keywords=Translucent+Powder&amp;qid=1695565427&amp;sr=8-7")</f>
        <v/>
      </c>
      <c r="F2986" t="inlineStr">
        <is>
          <t>B0BDW27227</t>
        </is>
      </c>
      <c r="G2986">
        <f>_xlfn.IMAGE("https://camerareadycosmetics.com/cdn/shop/products/rcma-Translucent-Powder-01-back-new_50x.jpg?v=1601646340")</f>
        <v/>
      </c>
      <c r="H2986">
        <f>_xlfn.IMAGE("https://m.media-amazon.com/images/I/71LmPo4Zt5L._AC_UL320_.jpg")</f>
        <v/>
      </c>
      <c r="K2986" t="inlineStr">
        <is>
          <t>14.0</t>
        </is>
      </c>
      <c r="L2986" t="n">
        <v>6.74</v>
      </c>
      <c r="M2986" s="1" t="inlineStr">
        <is>
          <t>-51.86%</t>
        </is>
      </c>
      <c r="N2986" t="n">
        <v>4.5</v>
      </c>
      <c r="O2986" t="n">
        <v>1168</v>
      </c>
      <c r="Q2986" t="inlineStr">
        <is>
          <t>InStock</t>
        </is>
      </c>
      <c r="R2986" t="inlineStr">
        <is>
          <t>undefined</t>
        </is>
      </c>
      <c r="S2986" t="inlineStr">
        <is>
          <t>7050065863</t>
        </is>
      </c>
    </row>
    <row r="2987" ht="75" customHeight="1">
      <c r="A2987" s="2">
        <f>HYPERLINK("https://camerareadycosmetics.com/products/rcma-makeup-translucent-powder-3-oz", "https://camerareadycosmetics.com/products/rcma-makeup-translucent-powder-3-oz")</f>
        <v/>
      </c>
      <c r="B2987" s="2">
        <f>HYPERLINK("https://camerareadycosmetics.com/products/rcma-makeup-translucent-powder-3-oz", "https://camerareadycosmetics.com/products/rcma-makeup-translucent-powder-3-oz")</f>
        <v/>
      </c>
      <c r="C2987" t="inlineStr">
        <is>
          <t>Translucent Powder</t>
        </is>
      </c>
      <c r="D2987" t="inlineStr">
        <is>
          <t>COVERGIRL Clean Invisible Loose Powder - Loose Powder, Setting Powder, Vegan Formula - Translucent Light, 20g (0.7 oz)</t>
        </is>
      </c>
      <c r="E2987" s="2">
        <f>HYPERLINK("https://www.amazon.com/Clean-Invisible-Loose-Powder-Translucent/dp/B0BBSTNF4T/ref=sr_1_9?keywords=Translucent+Powder&amp;qid=1695565427&amp;sr=8-9", "https://www.amazon.com/Clean-Invisible-Loose-Powder-Translucent/dp/B0BBSTNF4T/ref=sr_1_9?keywords=Translucent+Powder&amp;qid=1695565427&amp;sr=8-9")</f>
        <v/>
      </c>
      <c r="F2987" t="inlineStr">
        <is>
          <t>B0BBSTNF4T</t>
        </is>
      </c>
      <c r="G2987">
        <f>_xlfn.IMAGE("https://camerareadycosmetics.com/cdn/shop/products/rcma-Translucent-Powder-01-back-new_50x.jpg?v=1601646340")</f>
        <v/>
      </c>
      <c r="H2987">
        <f>_xlfn.IMAGE("https://m.media-amazon.com/images/I/714MhcL8mQL._AC_UL320_.jpg")</f>
        <v/>
      </c>
      <c r="K2987" t="inlineStr">
        <is>
          <t>14.0</t>
        </is>
      </c>
      <c r="L2987" t="n">
        <v>6.38</v>
      </c>
      <c r="M2987" s="1" t="inlineStr">
        <is>
          <t>-54.43%</t>
        </is>
      </c>
      <c r="N2987" t="n">
        <v>4.4</v>
      </c>
      <c r="O2987" t="n">
        <v>581</v>
      </c>
      <c r="Q2987" t="inlineStr">
        <is>
          <t>InStock</t>
        </is>
      </c>
      <c r="R2987" t="inlineStr">
        <is>
          <t>undefined</t>
        </is>
      </c>
      <c r="S2987" t="inlineStr">
        <is>
          <t>7050065863</t>
        </is>
      </c>
    </row>
    <row r="2988" ht="75" customHeight="1">
      <c r="A2988" s="2">
        <f>HYPERLINK("https://camerareadycosmetics.com/products/rcma-makeup-translucent-powder-3-oz", "https://camerareadycosmetics.com/products/rcma-makeup-translucent-powder-3-oz")</f>
        <v/>
      </c>
      <c r="B2988" s="2">
        <f>HYPERLINK("https://camerareadycosmetics.com/products/rcma-makeup-translucent-powder-3-oz", "https://camerareadycosmetics.com/products/rcma-makeup-translucent-powder-3-oz")</f>
        <v/>
      </c>
      <c r="C2988" t="inlineStr">
        <is>
          <t>Translucent Powder</t>
        </is>
      </c>
      <c r="D2988" t="inlineStr">
        <is>
          <t>wet n wild Photo Focus Loose Baking Setting Powder, Highlighter Makeup, Fair to Medium &amp; Tan Skin Tones, Translucent</t>
        </is>
      </c>
      <c r="E2988" s="2">
        <f>HYPERLINK("https://www.amazon.com/Wet-Wild-PhotoFocus-Setting-Translucent/dp/B0847R7J4N/ref=sr_1_6?keywords=Translucent+Powder&amp;qid=1695565427&amp;rdc=1&amp;sr=8-6", "https://www.amazon.com/Wet-Wild-PhotoFocus-Setting-Translucent/dp/B0847R7J4N/ref=sr_1_6?keywords=Translucent+Powder&amp;qid=1695565427&amp;rdc=1&amp;sr=8-6")</f>
        <v/>
      </c>
      <c r="F2988" t="inlineStr">
        <is>
          <t>B0847R7J4N</t>
        </is>
      </c>
      <c r="G2988">
        <f>_xlfn.IMAGE("https://camerareadycosmetics.com/cdn/shop/products/rcma-Translucent-Powder-01-back-new_50x.jpg?v=1601646340")</f>
        <v/>
      </c>
      <c r="H2988">
        <f>_xlfn.IMAGE("https://m.media-amazon.com/images/I/7105byI342L._AC_UL320_.jpg")</f>
        <v/>
      </c>
      <c r="K2988" t="inlineStr">
        <is>
          <t>14.0</t>
        </is>
      </c>
      <c r="L2988" t="n">
        <v>6.38</v>
      </c>
      <c r="M2988" s="1" t="inlineStr">
        <is>
          <t>-54.43%</t>
        </is>
      </c>
      <c r="N2988" t="n">
        <v>4.6</v>
      </c>
      <c r="O2988" t="n">
        <v>4320</v>
      </c>
      <c r="Q2988" t="inlineStr">
        <is>
          <t>InStock</t>
        </is>
      </c>
      <c r="R2988" t="inlineStr">
        <is>
          <t>undefined</t>
        </is>
      </c>
      <c r="S2988" t="inlineStr">
        <is>
          <t>7050065863</t>
        </is>
      </c>
    </row>
    <row r="2989" ht="75" customHeight="1">
      <c r="A2989" s="2">
        <f>HYPERLINK("https://camerareadycosmetics.com/products/rcma-makeup-translucent-powder-3-oz", "https://camerareadycosmetics.com/products/rcma-makeup-translucent-powder-3-oz")</f>
        <v/>
      </c>
      <c r="B2989" s="2">
        <f>HYPERLINK("https://camerareadycosmetics.com/products/rcma-makeup-translucent-powder-3-oz", "https://camerareadycosmetics.com/products/rcma-makeup-translucent-powder-3-oz")</f>
        <v/>
      </c>
      <c r="C2989" t="inlineStr">
        <is>
          <t>Translucent Powder</t>
        </is>
      </c>
      <c r="D2989" t="inlineStr">
        <is>
          <t>Wet n Wild Bare Focus Clarifying Finishing Powder | Matte | Pressed Setting Powder Translucent</t>
        </is>
      </c>
      <c r="E2989" s="2">
        <f>HYPERLINK("https://www.amazon.com/Clarifying-Finishing-Pressed-Setting-Translucent/dp/B09NX3HBLB/ref=sr_1_4?keywords=Translucent+Powder&amp;qid=1695565427&amp;rdc=1&amp;sr=8-4", "https://www.amazon.com/Clarifying-Finishing-Pressed-Setting-Translucent/dp/B09NX3HBLB/ref=sr_1_4?keywords=Translucent+Powder&amp;qid=1695565427&amp;rdc=1&amp;sr=8-4")</f>
        <v/>
      </c>
      <c r="F2989" t="inlineStr">
        <is>
          <t>B09NX3HBLB</t>
        </is>
      </c>
      <c r="G2989">
        <f>_xlfn.IMAGE("https://camerareadycosmetics.com/cdn/shop/products/rcma-Translucent-Powder-01-back-new_50x.jpg?v=1601646340")</f>
        <v/>
      </c>
      <c r="H2989">
        <f>_xlfn.IMAGE("https://m.media-amazon.com/images/I/71l5i9eUK7L._AC_UL320_.jpg")</f>
        <v/>
      </c>
      <c r="K2989" t="inlineStr">
        <is>
          <t>14.0</t>
        </is>
      </c>
      <c r="L2989" t="n">
        <v>3.28</v>
      </c>
      <c r="M2989" s="1" t="inlineStr">
        <is>
          <t>-76.57%</t>
        </is>
      </c>
      <c r="N2989" t="n">
        <v>4.3</v>
      </c>
      <c r="O2989" t="n">
        <v>3893</v>
      </c>
      <c r="Q2989" t="inlineStr">
        <is>
          <t>InStock</t>
        </is>
      </c>
      <c r="R2989" t="inlineStr">
        <is>
          <t>undefined</t>
        </is>
      </c>
      <c r="S2989" t="inlineStr">
        <is>
          <t>7050065863</t>
        </is>
      </c>
    </row>
    <row r="2990" ht="75" customHeight="1">
      <c r="A2990" s="2">
        <f>HYPERLINK("https://camerareadycosmetics.com/products/rcma-no-color-powder-3-oz", "https://camerareadycosmetics.com/products/rcma-no-color-powder-3-oz")</f>
        <v/>
      </c>
      <c r="B2990" s="2">
        <f>HYPERLINK("https://camerareadycosmetics.com/products/rcma-no-color-powder-3-oz", "https://camerareadycosmetics.com/products/rcma-no-color-powder-3-oz")</f>
        <v/>
      </c>
      <c r="C2990" t="inlineStr">
        <is>
          <t>No Color Powder</t>
        </is>
      </c>
      <c r="D2990" t="inlineStr">
        <is>
          <t>RCMA Premiere Loose Powders - No Color Powder Talc &amp; Paraben Free Translucent Foundation or Finishing HD Pro Makeup with Blurring Smoothing Effect</t>
        </is>
      </c>
      <c r="E2990" s="2">
        <f>HYPERLINK("https://www.amazon.com/RCMA-Premiere-Loose-Powders-Translucent/dp/B0BGQF57G2/ref=sr_1_6?keywords=No+Color+Powder&amp;qid=1695565413&amp;sr=8-6", "https://www.amazon.com/RCMA-Premiere-Loose-Powders-Translucent/dp/B0BGQF57G2/ref=sr_1_6?keywords=No+Color+Powder&amp;qid=1695565413&amp;sr=8-6")</f>
        <v/>
      </c>
      <c r="F2990" t="inlineStr">
        <is>
          <t>B0BGQF57G2</t>
        </is>
      </c>
      <c r="G2990">
        <f>_xlfn.IMAGE("https://camerareadycosmetics.com/cdn/shop/products/rcma-no-color-swifter-copy_50x.jpg?v=1689625676")</f>
        <v/>
      </c>
      <c r="H2990">
        <f>_xlfn.IMAGE("https://m.media-amazon.com/images/I/612eU+6QcFL._AC_UL320_.jpg")</f>
        <v/>
      </c>
      <c r="K2990" t="inlineStr">
        <is>
          <t>14.0</t>
        </is>
      </c>
      <c r="L2990" t="n">
        <v>27.99</v>
      </c>
      <c r="M2990" s="1" t="inlineStr">
        <is>
          <t>99.93%</t>
        </is>
      </c>
      <c r="N2990" t="n">
        <v>5</v>
      </c>
      <c r="O2990" t="n">
        <v>3</v>
      </c>
      <c r="Q2990" t="inlineStr">
        <is>
          <t>InStock</t>
        </is>
      </c>
      <c r="R2990" t="inlineStr">
        <is>
          <t>undefined</t>
        </is>
      </c>
      <c r="S2990" t="inlineStr">
        <is>
          <t>7034553031</t>
        </is>
      </c>
    </row>
    <row r="2991" ht="75" customHeight="1">
      <c r="A2991" s="2">
        <f>HYPERLINK("https://camerareadycosmetics.com/products/rcma-no-color-powder-3-oz", "https://camerareadycosmetics.com/products/rcma-no-color-powder-3-oz")</f>
        <v/>
      </c>
      <c r="B2991" s="2">
        <f>HYPERLINK("https://camerareadycosmetics.com/products/rcma-no-color-powder-3-oz", "https://camerareadycosmetics.com/products/rcma-no-color-powder-3-oz")</f>
        <v/>
      </c>
      <c r="C2991" t="inlineStr">
        <is>
          <t>No Color Powder</t>
        </is>
      </c>
      <c r="D2991" t="inlineStr">
        <is>
          <t>RCMA No-Color Loose Pressed Setting Powder, Neutral Finishing Foundation with Cacao Seed Butter, Smooth Face - Everyday or Professional Makeup for Theater, Movies</t>
        </is>
      </c>
      <c r="E2991" s="2">
        <f>HYPERLINK("https://www.amazon.com/RCMA-No-Color-Pressed-Finishing-Foundation/dp/B0923BHTWL/ref=sr_1_4?keywords=No+Color+Powder&amp;qid=1695565413&amp;sr=8-4", "https://www.amazon.com/RCMA-No-Color-Pressed-Finishing-Foundation/dp/B0923BHTWL/ref=sr_1_4?keywords=No+Color+Powder&amp;qid=1695565413&amp;sr=8-4")</f>
        <v/>
      </c>
      <c r="F2991" t="inlineStr">
        <is>
          <t>B0923BHTWL</t>
        </is>
      </c>
      <c r="G2991">
        <f>_xlfn.IMAGE("https://camerareadycosmetics.com/cdn/shop/products/rcma-no-color-swifter-copy_50x.jpg?v=1689625676")</f>
        <v/>
      </c>
      <c r="H2991">
        <f>_xlfn.IMAGE("https://m.media-amazon.com/images/I/71qDiUVfiwL._AC_UL320_.jpg")</f>
        <v/>
      </c>
      <c r="K2991" t="inlineStr">
        <is>
          <t>14.0</t>
        </is>
      </c>
      <c r="L2991" t="n">
        <v>23.99</v>
      </c>
      <c r="M2991" s="1" t="inlineStr">
        <is>
          <t>71.36%</t>
        </is>
      </c>
      <c r="N2991" t="n">
        <v>3.4</v>
      </c>
      <c r="O2991" t="n">
        <v>9</v>
      </c>
      <c r="Q2991" t="inlineStr">
        <is>
          <t>InStock</t>
        </is>
      </c>
      <c r="R2991" t="inlineStr">
        <is>
          <t>undefined</t>
        </is>
      </c>
      <c r="S2991" t="inlineStr">
        <is>
          <t>7034553031</t>
        </is>
      </c>
    </row>
    <row r="2992" ht="75" customHeight="1">
      <c r="A2992" s="2">
        <f>HYPERLINK("https://camerareadycosmetics.com/products/rcma-no-color-powder-3-oz", "https://camerareadycosmetics.com/products/rcma-no-color-powder-3-oz")</f>
        <v/>
      </c>
      <c r="B2992" s="2">
        <f>HYPERLINK("https://camerareadycosmetics.com/products/rcma-no-color-powder-3-oz", "https://camerareadycosmetics.com/products/rcma-no-color-powder-3-oz")</f>
        <v/>
      </c>
      <c r="C2992" t="inlineStr">
        <is>
          <t>No Color Powder</t>
        </is>
      </c>
      <c r="D2992" t="inlineStr">
        <is>
          <t>RCMA No-Color Powder, 3oz.</t>
        </is>
      </c>
      <c r="E2992" s="2">
        <f>HYPERLINK("https://www.amazon.com/RCMA-2954-No-Color-Powder-3oz/dp/B071ZSMHZW/ref=sr_1_2?keywords=No+Color+Powder&amp;qid=1695565413&amp;sr=8-2", "https://www.amazon.com/RCMA-2954-No-Color-Powder-3oz/dp/B071ZSMHZW/ref=sr_1_2?keywords=No+Color+Powder&amp;qid=1695565413&amp;sr=8-2")</f>
        <v/>
      </c>
      <c r="F2992" t="inlineStr">
        <is>
          <t>B071ZSMHZW</t>
        </is>
      </c>
      <c r="G2992">
        <f>_xlfn.IMAGE("https://camerareadycosmetics.com/cdn/shop/products/rcma-no-color-swifter-copy_50x.jpg?v=1689625676")</f>
        <v/>
      </c>
      <c r="H2992">
        <f>_xlfn.IMAGE("https://m.media-amazon.com/images/I/51CcBZZ12JL._AC_UL320_.jpg")</f>
        <v/>
      </c>
      <c r="K2992" t="inlineStr">
        <is>
          <t>14.0</t>
        </is>
      </c>
      <c r="L2992" t="n">
        <v>22.99</v>
      </c>
      <c r="M2992" s="1" t="inlineStr">
        <is>
          <t>64.21%</t>
        </is>
      </c>
      <c r="N2992" t="n">
        <v>4.6</v>
      </c>
      <c r="O2992" t="n">
        <v>951</v>
      </c>
      <c r="Q2992" t="inlineStr">
        <is>
          <t>InStock</t>
        </is>
      </c>
      <c r="R2992" t="inlineStr">
        <is>
          <t>undefined</t>
        </is>
      </c>
      <c r="S2992" t="inlineStr">
        <is>
          <t>7034553031</t>
        </is>
      </c>
    </row>
    <row r="2993" ht="75" customHeight="1">
      <c r="A2993" s="2">
        <f>HYPERLINK("https://camerareadycosmetics.com/products/rcma-no-color-powder-3-oz", "https://camerareadycosmetics.com/products/rcma-no-color-powder-3-oz")</f>
        <v/>
      </c>
      <c r="B2993" s="2">
        <f>HYPERLINK("https://camerareadycosmetics.com/products/rcma-no-color-powder-3-oz", "https://camerareadycosmetics.com/products/rcma-no-color-powder-3-oz")</f>
        <v/>
      </c>
      <c r="C2993" t="inlineStr">
        <is>
          <t>No Color Powder</t>
        </is>
      </c>
      <c r="D2993" t="inlineStr">
        <is>
          <t>Sacha Buttercup No Color Face Powder Compact. Translucent Powder, Controls Oils &amp; Shine. Invisible on all Skin Tones, 0.45 oz.</t>
        </is>
      </c>
      <c r="E2993" s="2">
        <f>HYPERLINK("https://www.amazon.com/Sacha-Buttercup-Compact-Translucent-Invisible/dp/B09HJGFQWC/ref=sr_1_5?keywords=No+Color+Powder&amp;qid=1695565413&amp;sr=8-5", "https://www.amazon.com/Sacha-Buttercup-Compact-Translucent-Invisible/dp/B09HJGFQWC/ref=sr_1_5?keywords=No+Color+Powder&amp;qid=1695565413&amp;sr=8-5")</f>
        <v/>
      </c>
      <c r="F2993" t="inlineStr">
        <is>
          <t>B09HJGFQWC</t>
        </is>
      </c>
      <c r="G2993">
        <f>_xlfn.IMAGE("https://camerareadycosmetics.com/cdn/shop/products/rcma-no-color-swifter-copy_50x.jpg?v=1689625676")</f>
        <v/>
      </c>
      <c r="H2993">
        <f>_xlfn.IMAGE("https://m.media-amazon.com/images/I/51NegXsORxL._AC_UL320_.jpg")</f>
        <v/>
      </c>
      <c r="K2993" t="inlineStr">
        <is>
          <t>14.0</t>
        </is>
      </c>
      <c r="L2993" t="n">
        <v>22</v>
      </c>
      <c r="M2993" s="1" t="inlineStr">
        <is>
          <t>57.14%</t>
        </is>
      </c>
      <c r="N2993" t="n">
        <v>4.2</v>
      </c>
      <c r="O2993" t="n">
        <v>265</v>
      </c>
      <c r="Q2993" t="inlineStr">
        <is>
          <t>InStock</t>
        </is>
      </c>
      <c r="R2993" t="inlineStr">
        <is>
          <t>undefined</t>
        </is>
      </c>
      <c r="S2993" t="inlineStr">
        <is>
          <t>7034553031</t>
        </is>
      </c>
    </row>
    <row r="2994" ht="75" customHeight="1">
      <c r="A2994" s="2">
        <f>HYPERLINK("https://camerareadycosmetics.com/products/rcma-no-color-powder-3-oz", "https://camerareadycosmetics.com/products/rcma-no-color-powder-3-oz")</f>
        <v/>
      </c>
      <c r="B2994" s="2">
        <f>HYPERLINK("https://camerareadycosmetics.com/products/rcma-no-color-powder-3-oz", "https://camerareadycosmetics.com/products/rcma-no-color-powder-3-oz")</f>
        <v/>
      </c>
      <c r="C2994" t="inlineStr">
        <is>
          <t>No Color Powder</t>
        </is>
      </c>
      <c r="D2994" t="inlineStr">
        <is>
          <t>RCMA The "Original" No Color Powder No pigment No Perfume Flawless Finish Professional Makeup - Shaker Top Bottle 3 Ounces - Movie / Everyday Makeup, White</t>
        </is>
      </c>
      <c r="E2994" s="2">
        <f>HYPERLINK("https://www.amazon.com/RCMA-Powder-Shaker-Bottle-Authentic/dp/B01E1WYSN2/ref=sr_1_1?keywords=No+Color+Powder&amp;qid=1695565413&amp;sr=8-1", "https://www.amazon.com/RCMA-Powder-Shaker-Bottle-Authentic/dp/B01E1WYSN2/ref=sr_1_1?keywords=No+Color+Powder&amp;qid=1695565413&amp;sr=8-1")</f>
        <v/>
      </c>
      <c r="F2994" t="inlineStr">
        <is>
          <t>B01E1WYSN2</t>
        </is>
      </c>
      <c r="G2994">
        <f>_xlfn.IMAGE("https://camerareadycosmetics.com/cdn/shop/products/rcma-no-color-swifter-copy_50x.jpg?v=1689625676")</f>
        <v/>
      </c>
      <c r="H2994">
        <f>_xlfn.IMAGE("https://m.media-amazon.com/images/I/51YpLwJEb8L._AC_UL320_.jpg")</f>
        <v/>
      </c>
      <c r="K2994" t="inlineStr">
        <is>
          <t>14.0</t>
        </is>
      </c>
      <c r="L2994" t="n">
        <v>21.99</v>
      </c>
      <c r="M2994" s="1" t="inlineStr">
        <is>
          <t>57.07%</t>
        </is>
      </c>
      <c r="N2994" t="n">
        <v>4.6</v>
      </c>
      <c r="O2994" t="n">
        <v>1775</v>
      </c>
      <c r="Q2994" t="inlineStr">
        <is>
          <t>InStock</t>
        </is>
      </c>
      <c r="R2994" t="inlineStr">
        <is>
          <t>undefined</t>
        </is>
      </c>
      <c r="S2994" t="inlineStr">
        <is>
          <t>7034553031</t>
        </is>
      </c>
    </row>
    <row r="2995" ht="75" customHeight="1">
      <c r="A2995" s="2">
        <f>HYPERLINK("https://camerareadycosmetics.com/products/rcma-no-color-powder-3-oz", "https://camerareadycosmetics.com/products/rcma-no-color-powder-3-oz")</f>
        <v/>
      </c>
      <c r="B2995" s="2">
        <f>HYPERLINK("https://camerareadycosmetics.com/products/rcma-no-color-powder-3-oz", "https://camerareadycosmetics.com/products/rcma-no-color-powder-3-oz")</f>
        <v/>
      </c>
      <c r="C2995" t="inlineStr">
        <is>
          <t>No Color Powder</t>
        </is>
      </c>
      <c r="D2995" t="inlineStr">
        <is>
          <t>Pure Zivaª Large Size Pressed HD Translucent Neutral No Color Invisible Matte Finishing Setting Powder Shine Free Reduce Fine Lines and Wrinkles Oil-free No Animal Testing Cruelty Talc &amp; Paraben Free</t>
        </is>
      </c>
      <c r="E2995" s="2">
        <f>HYPERLINK("https://www.amazon.com/Pure-Ziva-Translucent-Colorless-Mattifying/dp/B014CI3YHG/ref=sr_1_3?keywords=No+Color+Powder&amp;qid=1695565413&amp;sr=8-3", "https://www.amazon.com/Pure-Ziva-Translucent-Colorless-Mattifying/dp/B014CI3YHG/ref=sr_1_3?keywords=No+Color+Powder&amp;qid=1695565413&amp;sr=8-3")</f>
        <v/>
      </c>
      <c r="F2995" t="inlineStr">
        <is>
          <t>B014CI3YHG</t>
        </is>
      </c>
      <c r="G2995">
        <f>_xlfn.IMAGE("https://camerareadycosmetics.com/cdn/shop/products/rcma-no-color-swifter-copy_50x.jpg?v=1689625676")</f>
        <v/>
      </c>
      <c r="H2995">
        <f>_xlfn.IMAGE("https://m.media-amazon.com/images/I/714KkcABwBL._AC_UL320_.jpg")</f>
        <v/>
      </c>
      <c r="K2995" t="inlineStr">
        <is>
          <t>14.0</t>
        </is>
      </c>
      <c r="L2995" t="n">
        <v>14.99</v>
      </c>
      <c r="M2995" s="1" t="inlineStr">
        <is>
          <t>7.07%</t>
        </is>
      </c>
      <c r="N2995" t="n">
        <v>3.8</v>
      </c>
      <c r="O2995" t="n">
        <v>54</v>
      </c>
      <c r="Q2995" t="inlineStr">
        <is>
          <t>InStock</t>
        </is>
      </c>
      <c r="R2995" t="inlineStr">
        <is>
          <t>undefined</t>
        </is>
      </c>
      <c r="S2995" t="inlineStr">
        <is>
          <t>7034553031</t>
        </is>
      </c>
    </row>
    <row r="2996" ht="75" customHeight="1">
      <c r="A2996" s="2">
        <f>HYPERLINK("https://camerareadycosmetics.com/products/rcma-no-color-pressed-powder", "https://camerareadycosmetics.com/products/rcma-no-color-pressed-powder")</f>
        <v/>
      </c>
      <c r="B2996" s="2">
        <f>HYPERLINK("https://camerareadycosmetics.com/products/rcma-no-color-pressed-powder", "https://camerareadycosmetics.com/products/rcma-no-color-pressed-powder")</f>
        <v/>
      </c>
      <c r="C2996" t="inlineStr">
        <is>
          <t>Pressed Colorless Setting Powder</t>
        </is>
      </c>
      <c r="D2996" t="inlineStr">
        <is>
          <t>LAURA GELLER NEW YORK Matte Maker Pressed Setting Powder - Translucent - Setting Powder &amp; Finishing Powder - Oil-Control - Filter-Like Matte Finish - All Skin Types</t>
        </is>
      </c>
      <c r="E2996" s="2">
        <f>HYPERLINK("https://www.amazon.com/LAURA-GELLER-NEW-YORK-Pressed/dp/B0CB6YR1FM/ref=sr_1_5?keywords=Pressed+Colorless+Setting+Powder&amp;qid=1695565434&amp;sr=8-5", "https://www.amazon.com/LAURA-GELLER-NEW-YORK-Pressed/dp/B0CB6YR1FM/ref=sr_1_5?keywords=Pressed+Colorless+Setting+Powder&amp;qid=1695565434&amp;sr=8-5")</f>
        <v/>
      </c>
      <c r="F2996" t="inlineStr">
        <is>
          <t>B0CB6YR1FM</t>
        </is>
      </c>
      <c r="G2996">
        <f>_xlfn.IMAGE("https://camerareadycosmetics.com/cdn/shop/products/rcma-no-color-pressedpowder1_1_50x.jpg?v=1574361637")</f>
        <v/>
      </c>
      <c r="H2996">
        <f>_xlfn.IMAGE("https://m.media-amazon.com/images/I/71pMmfLeelL._AC_UL320_.jpg")</f>
        <v/>
      </c>
      <c r="K2996" t="inlineStr">
        <is>
          <t>18.0</t>
        </is>
      </c>
      <c r="L2996" t="n">
        <v>27</v>
      </c>
      <c r="M2996" s="1" t="inlineStr">
        <is>
          <t>50.00%</t>
        </is>
      </c>
      <c r="N2996" t="n">
        <v>4.9</v>
      </c>
      <c r="O2996" t="n">
        <v>52</v>
      </c>
      <c r="Q2996" t="inlineStr">
        <is>
          <t>InStock</t>
        </is>
      </c>
      <c r="R2996" t="inlineStr">
        <is>
          <t>undefined</t>
        </is>
      </c>
      <c r="S2996" t="inlineStr">
        <is>
          <t>4339786711151</t>
        </is>
      </c>
    </row>
    <row r="2997" ht="75" customHeight="1">
      <c r="A2997" s="2">
        <f>HYPERLINK("https://camerareadycosmetics.com/products/rcma-no-color-pressed-powder", "https://camerareadycosmetics.com/products/rcma-no-color-pressed-powder")</f>
        <v/>
      </c>
      <c r="B2997" s="2">
        <f>HYPERLINK("https://camerareadycosmetics.com/products/rcma-no-color-pressed-powder", "https://camerareadycosmetics.com/products/rcma-no-color-pressed-powder")</f>
        <v/>
      </c>
      <c r="C2997" t="inlineStr">
        <is>
          <t>Pressed Colorless Setting Powder</t>
        </is>
      </c>
      <c r="D2997" t="inlineStr">
        <is>
          <t>NYX PROFESSIONAL MAKEUP HD Finishing Powder, Pressed Setting Powder - Translucent</t>
        </is>
      </c>
      <c r="E2997" s="2">
        <f>HYPERLINK("https://www.amazon.com/NYX-PROFESSIONAL-MAKEUP-Definition-Translucent/dp/B014WOHZES/ref=sr_1_9?keywords=Pressed+Colorless+Setting+Powder&amp;qid=1695565434&amp;sr=8-9", "https://www.amazon.com/NYX-PROFESSIONAL-MAKEUP-Definition-Translucent/dp/B014WOHZES/ref=sr_1_9?keywords=Pressed+Colorless+Setting+Powder&amp;qid=1695565434&amp;sr=8-9")</f>
        <v/>
      </c>
      <c r="F2997" t="inlineStr">
        <is>
          <t>B014WOHZES</t>
        </is>
      </c>
      <c r="G2997">
        <f>_xlfn.IMAGE("https://camerareadycosmetics.com/cdn/shop/products/rcma-no-color-pressedpowder1_1_50x.jpg?v=1574361637")</f>
        <v/>
      </c>
      <c r="H2997">
        <f>_xlfn.IMAGE("https://m.media-amazon.com/images/I/818RJ9MCfNL._AC_UL320_.jpg")</f>
        <v/>
      </c>
      <c r="K2997" t="inlineStr">
        <is>
          <t>18.0</t>
        </is>
      </c>
      <c r="L2997" t="n">
        <v>10.37</v>
      </c>
      <c r="M2997" s="1" t="inlineStr">
        <is>
          <t>-42.39%</t>
        </is>
      </c>
      <c r="N2997" t="n">
        <v>4.5</v>
      </c>
      <c r="O2997" t="n">
        <v>8265</v>
      </c>
      <c r="Q2997" t="inlineStr">
        <is>
          <t>InStock</t>
        </is>
      </c>
      <c r="R2997" t="inlineStr">
        <is>
          <t>undefined</t>
        </is>
      </c>
      <c r="S2997" t="inlineStr">
        <is>
          <t>4339786711151</t>
        </is>
      </c>
    </row>
    <row r="2998" ht="75" customHeight="1">
      <c r="A2998" s="2">
        <f>HYPERLINK("https://camerareadycosmetics.com/products/rcma-no-color-pressed-powder", "https://camerareadycosmetics.com/products/rcma-no-color-pressed-powder")</f>
        <v/>
      </c>
      <c r="B2998" s="2">
        <f>HYPERLINK("https://camerareadycosmetics.com/products/rcma-no-color-pressed-powder", "https://camerareadycosmetics.com/products/rcma-no-color-pressed-powder")</f>
        <v/>
      </c>
      <c r="C2998" t="inlineStr">
        <is>
          <t>Pressed Colorless Setting Powder</t>
        </is>
      </c>
      <c r="D2998" t="inlineStr">
        <is>
          <t>Maybelline New York Fit Me Matte + Poreless Pressed Face Powder Makeup &amp; Setting Powder, Translucent, 1 Count</t>
        </is>
      </c>
      <c r="E2998" s="2">
        <f>HYPERLINK("https://www.amazon.com/Maybelline-New-York-Poreless-Translucent/dp/B00PFCSNWA/ref=sr_1_4?keywords=Pressed+Colorless+Setting+Powder&amp;qid=1695565434&amp;sr=8-4", "https://www.amazon.com/Maybelline-New-York-Poreless-Translucent/dp/B00PFCSNWA/ref=sr_1_4?keywords=Pressed+Colorless+Setting+Powder&amp;qid=1695565434&amp;sr=8-4")</f>
        <v/>
      </c>
      <c r="F2998" t="inlineStr">
        <is>
          <t>B00PFCSNWA</t>
        </is>
      </c>
      <c r="G2998">
        <f>_xlfn.IMAGE("https://camerareadycosmetics.com/cdn/shop/products/rcma-no-color-pressedpowder1_1_50x.jpg?v=1574361637")</f>
        <v/>
      </c>
      <c r="H2998">
        <f>_xlfn.IMAGE("https://m.media-amazon.com/images/I/81GXjEwGRPL._AC_UL320_.jpg")</f>
        <v/>
      </c>
      <c r="K2998" t="inlineStr">
        <is>
          <t>18.0</t>
        </is>
      </c>
      <c r="L2998" t="n">
        <v>6.94</v>
      </c>
      <c r="M2998" s="1" t="inlineStr">
        <is>
          <t>-61.44%</t>
        </is>
      </c>
      <c r="N2998" t="n">
        <v>4.6</v>
      </c>
      <c r="O2998" t="n">
        <v>66784</v>
      </c>
      <c r="Q2998" t="inlineStr">
        <is>
          <t>InStock</t>
        </is>
      </c>
      <c r="R2998" t="inlineStr">
        <is>
          <t>undefined</t>
        </is>
      </c>
      <c r="S2998" t="inlineStr">
        <is>
          <t>4339786711151</t>
        </is>
      </c>
    </row>
    <row r="2999" ht="75" customHeight="1">
      <c r="A2999" s="2">
        <f>HYPERLINK("https://camerareadycosmetics.com/products/rcma-no-color-pressed-powder", "https://camerareadycosmetics.com/products/rcma-no-color-pressed-powder")</f>
        <v/>
      </c>
      <c r="B2999" s="2">
        <f>HYPERLINK("https://camerareadycosmetics.com/products/rcma-no-color-pressed-powder", "https://camerareadycosmetics.com/products/rcma-no-color-pressed-powder")</f>
        <v/>
      </c>
      <c r="C2999" t="inlineStr">
        <is>
          <t>Pressed Colorless Setting Powder</t>
        </is>
      </c>
      <c r="D2999" t="inlineStr">
        <is>
          <t>Wet n Wild Bare Focus Clarifying Finishing Powder | Matte | Pressed Setting Powder Translucent</t>
        </is>
      </c>
      <c r="E2999" s="2">
        <f>HYPERLINK("https://www.amazon.com/Clarifying-Finishing-Pressed-Setting-Translucent/dp/B09NX3HBLB/ref=sr_1_2?keywords=Pressed+Colorless+Setting+Powder&amp;qid=1695565434&amp;rdc=1&amp;sr=8-2", "https://www.amazon.com/Clarifying-Finishing-Pressed-Setting-Translucent/dp/B09NX3HBLB/ref=sr_1_2?keywords=Pressed+Colorless+Setting+Powder&amp;qid=1695565434&amp;rdc=1&amp;sr=8-2")</f>
        <v/>
      </c>
      <c r="F2999" t="inlineStr">
        <is>
          <t>B09NX3HBLB</t>
        </is>
      </c>
      <c r="G2999">
        <f>_xlfn.IMAGE("https://camerareadycosmetics.com/cdn/shop/products/rcma-no-color-pressedpowder1_1_50x.jpg?v=1574361637")</f>
        <v/>
      </c>
      <c r="H2999">
        <f>_xlfn.IMAGE("https://m.media-amazon.com/images/I/71l5i9eUK7L._AC_UL320_.jpg")</f>
        <v/>
      </c>
      <c r="K2999" t="inlineStr">
        <is>
          <t>18.0</t>
        </is>
      </c>
      <c r="L2999" t="n">
        <v>3.28</v>
      </c>
      <c r="M2999" s="1" t="inlineStr">
        <is>
          <t>-81.78%</t>
        </is>
      </c>
      <c r="N2999" t="n">
        <v>4.3</v>
      </c>
      <c r="O2999" t="n">
        <v>3893</v>
      </c>
      <c r="Q2999" t="inlineStr">
        <is>
          <t>InStock</t>
        </is>
      </c>
      <c r="R2999" t="inlineStr">
        <is>
          <t>undefined</t>
        </is>
      </c>
      <c r="S2999" t="inlineStr">
        <is>
          <t>4339786711151</t>
        </is>
      </c>
    </row>
    <row r="3000" ht="75" customHeight="1">
      <c r="A3000" s="2">
        <f>HYPERLINK("https://camerareadycosmetics.com/products/rcma-no-color-pressed-powder", "https://camerareadycosmetics.com/products/rcma-no-color-pressed-powder")</f>
        <v/>
      </c>
      <c r="B3000" s="2">
        <f>HYPERLINK("https://camerareadycosmetics.com/products/rcma-no-color-pressed-powder", "https://camerareadycosmetics.com/products/rcma-no-color-pressed-powder")</f>
        <v/>
      </c>
      <c r="C3000" t="inlineStr">
        <is>
          <t>Pressed Colorless Setting Powder</t>
        </is>
      </c>
      <c r="D3000" t="inlineStr">
        <is>
          <t>Maybelline New York Fit Me Matte + Poreless Pressed Face Powder Makeup &amp; Setting Powder, Translucent, 1 Count</t>
        </is>
      </c>
      <c r="E3000" s="2">
        <f>HYPERLINK("https://www.amazon.com/Maybelline-New-York-Poreless-Translucent/dp/B00PFCSNWA/ref=sr_1_4?keywords=Pressed+Colorless+Setting+Powder&amp;qid=1695565434&amp;sr=8-4", "https://www.amazon.com/Maybelline-New-York-Poreless-Translucent/dp/B00PFCSNWA/ref=sr_1_4?keywords=Pressed+Colorless+Setting+Powder&amp;qid=1695565434&amp;sr=8-4")</f>
        <v/>
      </c>
      <c r="F3000" t="inlineStr">
        <is>
          <t>B00PFCSNWA</t>
        </is>
      </c>
      <c r="G3000">
        <f>_xlfn.IMAGE("https://camerareadycosmetics.com/cdn/shop/products/rcma-no-color-pressedpowder1_1_50x.jpg?v=1574361637")</f>
        <v/>
      </c>
      <c r="H3000">
        <f>_xlfn.IMAGE("https://m.media-amazon.com/images/I/81GXjEwGRPL._AC_UL320_.jpg")</f>
        <v/>
      </c>
      <c r="K3000" t="inlineStr">
        <is>
          <t>18.0</t>
        </is>
      </c>
      <c r="L3000" t="n">
        <v>6.94</v>
      </c>
      <c r="M3000" s="1" t="inlineStr">
        <is>
          <t>-61.44%</t>
        </is>
      </c>
      <c r="N3000" t="n">
        <v>4.6</v>
      </c>
      <c r="O3000" t="n">
        <v>66784</v>
      </c>
      <c r="Q3000" t="inlineStr">
        <is>
          <t>InStock</t>
        </is>
      </c>
      <c r="R3000" t="inlineStr">
        <is>
          <t>undefined</t>
        </is>
      </c>
      <c r="S3000" t="inlineStr">
        <is>
          <t>4339786711151</t>
        </is>
      </c>
    </row>
    <row r="3001" ht="75" customHeight="1">
      <c r="A3001" s="2">
        <f>HYPERLINK("https://camerareadycosmetics.com/products/rcma-no-color-pressed-powder", "https://camerareadycosmetics.com/products/rcma-no-color-pressed-powder")</f>
        <v/>
      </c>
      <c r="B3001" s="2">
        <f>HYPERLINK("https://camerareadycosmetics.com/products/rcma-no-color-pressed-powder", "https://camerareadycosmetics.com/products/rcma-no-color-pressed-powder")</f>
        <v/>
      </c>
      <c r="C3001" t="inlineStr">
        <is>
          <t>Pressed Colorless Setting Powder</t>
        </is>
      </c>
      <c r="D3001" t="inlineStr">
        <is>
          <t>Wet n Wild Bare Focus Clarifying Finishing Powder | Matte | Pressed Setting Powder Translucent</t>
        </is>
      </c>
      <c r="E3001" s="2">
        <f>HYPERLINK("https://www.amazon.com/Clarifying-Finishing-Pressed-Setting-Translucent/dp/B09NX3HBLB/ref=sr_1_2?keywords=Pressed+Colorless+Setting+Powder&amp;qid=1695565434&amp;rdc=1&amp;sr=8-2", "https://www.amazon.com/Clarifying-Finishing-Pressed-Setting-Translucent/dp/B09NX3HBLB/ref=sr_1_2?keywords=Pressed+Colorless+Setting+Powder&amp;qid=1695565434&amp;rdc=1&amp;sr=8-2")</f>
        <v/>
      </c>
      <c r="F3001" t="inlineStr">
        <is>
          <t>B09NX3HBLB</t>
        </is>
      </c>
      <c r="G3001">
        <f>_xlfn.IMAGE("https://camerareadycosmetics.com/cdn/shop/products/rcma-no-color-pressedpowder1_1_50x.jpg?v=1574361637")</f>
        <v/>
      </c>
      <c r="H3001">
        <f>_xlfn.IMAGE("https://m.media-amazon.com/images/I/71l5i9eUK7L._AC_UL320_.jpg")</f>
        <v/>
      </c>
      <c r="K3001" t="inlineStr">
        <is>
          <t>18.0</t>
        </is>
      </c>
      <c r="L3001" t="n">
        <v>3.28</v>
      </c>
      <c r="M3001" s="1" t="inlineStr">
        <is>
          <t>-81.78%</t>
        </is>
      </c>
      <c r="N3001" t="n">
        <v>4.3</v>
      </c>
      <c r="O3001" t="n">
        <v>3893</v>
      </c>
      <c r="Q3001" t="inlineStr">
        <is>
          <t>InStock</t>
        </is>
      </c>
      <c r="R3001" t="inlineStr">
        <is>
          <t>undefined</t>
        </is>
      </c>
      <c r="S3001" t="inlineStr">
        <is>
          <t>4339786711151</t>
        </is>
      </c>
    </row>
    <row r="3002" ht="75" customHeight="1">
      <c r="A3002" s="2">
        <f>HYPERLINK("https://camerareadycosmetics.com/products/rcma-over-powder", "https://camerareadycosmetics.com/products/rcma-over-powder")</f>
        <v/>
      </c>
      <c r="B3002" s="2">
        <f>HYPERLINK("https://camerareadycosmetics.com/products/rcma-over-powder", "https://camerareadycosmetics.com/products/rcma-over-powder")</f>
        <v/>
      </c>
      <c r="C3002" t="inlineStr">
        <is>
          <t>Over-Powder</t>
        </is>
      </c>
      <c r="D3002" t="inlineStr">
        <is>
          <t>Ritual 50 and Over Vegan Plant Based Protein Powder with BCAA: 20g Organic Pea Protein from Regenerative Farms in USA, Hand-Crafted Vanilla, 3rd Party Tested, Gluten-Free, Dairy-Free, Non-GMO, 1 Lbs</t>
        </is>
      </c>
      <c r="E3002" s="2">
        <f>HYPERLINK("https://www.amazon.com/Ritual-Vegan-Plant-Protein-Powder/dp/B09W34LQGX/ref=sr_1_8?keywords=Over-Powder&amp;qid=1695565493&amp;sr=8-8", "https://www.amazon.com/Ritual-Vegan-Plant-Protein-Powder/dp/B09W34LQGX/ref=sr_1_8?keywords=Over-Powder&amp;qid=1695565493&amp;sr=8-8")</f>
        <v/>
      </c>
      <c r="F3002" t="inlineStr">
        <is>
          <t>B09W34LQGX</t>
        </is>
      </c>
      <c r="G3002">
        <f>_xlfn.IMAGE("https://camerareadycosmetics.com/cdn/shop/products/RCMA_Over_Powder_swat__45764.1413224864.600.600_50x.jpeg?v=1689645709")</f>
        <v/>
      </c>
      <c r="H3002">
        <f>_xlfn.IMAGE("https://m.media-amazon.com/images/I/7125yw5buDL._AC_UL320_.jpg")</f>
        <v/>
      </c>
      <c r="K3002" t="inlineStr">
        <is>
          <t>18.0</t>
        </is>
      </c>
      <c r="L3002" t="n">
        <v>44.5</v>
      </c>
      <c r="M3002" s="1" t="inlineStr">
        <is>
          <t>147.22%</t>
        </is>
      </c>
      <c r="N3002" t="n">
        <v>4.2</v>
      </c>
      <c r="O3002" t="n">
        <v>244</v>
      </c>
      <c r="Q3002" t="inlineStr">
        <is>
          <t>InStock</t>
        </is>
      </c>
      <c r="R3002" t="inlineStr">
        <is>
          <t>undefined</t>
        </is>
      </c>
      <c r="S3002" t="inlineStr">
        <is>
          <t>7042134087</t>
        </is>
      </c>
    </row>
    <row r="3003" ht="75" customHeight="1">
      <c r="A3003" s="2">
        <f>HYPERLINK("https://camerareadycosmetics.com/products/rcma-over-powder", "https://camerareadycosmetics.com/products/rcma-over-powder")</f>
        <v/>
      </c>
      <c r="B3003" s="2">
        <f>HYPERLINK("https://camerareadycosmetics.com/products/rcma-over-powder", "https://camerareadycosmetics.com/products/rcma-over-powder")</f>
        <v/>
      </c>
      <c r="C3003" t="inlineStr">
        <is>
          <t>Over-Powder</t>
        </is>
      </c>
      <c r="D3003" t="inlineStr">
        <is>
          <t>KEVIN MURPHY Doo Over Dry Powder Finishing Hairspray, 8.52 Ounce</t>
        </is>
      </c>
      <c r="E3003" s="2">
        <f>HYPERLINK("https://www.amazon.com/Kevin-Murphy-Powder-Finishing-Hairspray/dp/B016RHITHU/ref=sr_1_1?keywords=Over-Powder&amp;qid=1695565493&amp;sr=8-1", "https://www.amazon.com/Kevin-Murphy-Powder-Finishing-Hairspray/dp/B016RHITHU/ref=sr_1_1?keywords=Over-Powder&amp;qid=1695565493&amp;sr=8-1")</f>
        <v/>
      </c>
      <c r="F3003" t="inlineStr">
        <is>
          <t>B016RHITHU</t>
        </is>
      </c>
      <c r="G3003">
        <f>_xlfn.IMAGE("https://camerareadycosmetics.com/cdn/shop/products/RCMA_Over_Powder_swat__45764.1413224864.600.600_50x.jpeg?v=1689645709")</f>
        <v/>
      </c>
      <c r="H3003">
        <f>_xlfn.IMAGE("https://m.media-amazon.com/images/I/61fkqHYqJoL._AC_UL320_.jpg")</f>
        <v/>
      </c>
      <c r="K3003" t="inlineStr">
        <is>
          <t>18.0</t>
        </is>
      </c>
      <c r="L3003" t="n">
        <v>31.48</v>
      </c>
      <c r="M3003" s="1" t="inlineStr">
        <is>
          <t>74.89%</t>
        </is>
      </c>
      <c r="N3003" t="n">
        <v>4.2</v>
      </c>
      <c r="O3003" t="n">
        <v>776</v>
      </c>
      <c r="Q3003" t="inlineStr">
        <is>
          <t>InStock</t>
        </is>
      </c>
      <c r="R3003" t="inlineStr">
        <is>
          <t>undefined</t>
        </is>
      </c>
      <c r="S3003" t="inlineStr">
        <is>
          <t>7042134087</t>
        </is>
      </c>
    </row>
    <row r="3004" ht="75" customHeight="1">
      <c r="A3004" s="2">
        <f>HYPERLINK("https://camerareadycosmetics.com/products/rcma-over-powder", "https://camerareadycosmetics.com/products/rcma-over-powder")</f>
        <v/>
      </c>
      <c r="B3004" s="2">
        <f>HYPERLINK("https://camerareadycosmetics.com/products/rcma-over-powder", "https://camerareadycosmetics.com/products/rcma-over-powder")</f>
        <v/>
      </c>
      <c r="C3004" t="inlineStr">
        <is>
          <t>Over-Powder</t>
        </is>
      </c>
      <c r="D3004" t="inlineStr">
        <is>
          <t>Coffee Over Cardio Hydrate - Hydration Supplement, Electrolyte Powder, with Pink Himalayan Salt, Sugar Free - Add to Water (30 Servings) (Boom Pop)</t>
        </is>
      </c>
      <c r="E3004" s="2">
        <f>HYPERLINK("https://www.amazon.com/CoffeeOverCardio-Hydrate-Hydration-Supplement-Electrolyte/dp/B095XQKF2N/ref=sr_1_3?keywords=Over-Powder&amp;qid=1695565493&amp;sr=8-3", "https://www.amazon.com/CoffeeOverCardio-Hydrate-Hydration-Supplement-Electrolyte/dp/B095XQKF2N/ref=sr_1_3?keywords=Over-Powder&amp;qid=1695565493&amp;sr=8-3")</f>
        <v/>
      </c>
      <c r="F3004" t="inlineStr">
        <is>
          <t>B095XQKF2N</t>
        </is>
      </c>
      <c r="G3004">
        <f>_xlfn.IMAGE("https://camerareadycosmetics.com/cdn/shop/products/RCMA_Over_Powder_swat__45764.1413224864.600.600_50x.jpeg?v=1689645709")</f>
        <v/>
      </c>
      <c r="H3004">
        <f>_xlfn.IMAGE("https://m.media-amazon.com/images/I/71p7kcpMJVS._AC_UL320_.jpg")</f>
        <v/>
      </c>
      <c r="K3004" t="inlineStr">
        <is>
          <t>18.0</t>
        </is>
      </c>
      <c r="L3004" t="n">
        <v>19.99</v>
      </c>
      <c r="M3004" s="1" t="inlineStr">
        <is>
          <t>11.06%</t>
        </is>
      </c>
      <c r="N3004" t="n">
        <v>4.7</v>
      </c>
      <c r="O3004" t="n">
        <v>6</v>
      </c>
      <c r="Q3004" t="inlineStr">
        <is>
          <t>InStock</t>
        </is>
      </c>
      <c r="R3004" t="inlineStr">
        <is>
          <t>undefined</t>
        </is>
      </c>
      <c r="S3004" t="inlineStr">
        <is>
          <t>7042134087</t>
        </is>
      </c>
    </row>
    <row r="3005" ht="75" customHeight="1">
      <c r="A3005" s="2">
        <f>HYPERLINK("https://camerareadycosmetics.com/products/rcma-over-powder", "https://camerareadycosmetics.com/products/rcma-over-powder")</f>
        <v/>
      </c>
      <c r="B3005" s="2">
        <f>HYPERLINK("https://camerareadycosmetics.com/products/rcma-over-powder", "https://camerareadycosmetics.com/products/rcma-over-powder")</f>
        <v/>
      </c>
      <c r="C3005" t="inlineStr">
        <is>
          <t>Over-Powder</t>
        </is>
      </c>
      <c r="D3005" t="inlineStr">
        <is>
          <t>Coffee Over Cardio Hydrate Electrolyte Powder, Sugar-Free Hydration Powder with Pink Himalayan Salt and CocOganic Coconut Water (Pink Lemonade, 30 Servings)</t>
        </is>
      </c>
      <c r="E3005" s="2">
        <f>HYPERLINK("https://www.amazon.com/Coffee-Over-Cardio-Electrolyte-Sugar-Free/dp/B081QS5HD8/ref=sr_1_2?keywords=Over-Powder&amp;qid=1695565493&amp;sr=8-2", "https://www.amazon.com/Coffee-Over-Cardio-Electrolyte-Sugar-Free/dp/B081QS5HD8/ref=sr_1_2?keywords=Over-Powder&amp;qid=1695565493&amp;sr=8-2")</f>
        <v/>
      </c>
      <c r="F3005" t="inlineStr">
        <is>
          <t>B081QS5HD8</t>
        </is>
      </c>
      <c r="G3005">
        <f>_xlfn.IMAGE("https://camerareadycosmetics.com/cdn/shop/products/RCMA_Over_Powder_swat__45764.1413224864.600.600_50x.jpeg?v=1689645709")</f>
        <v/>
      </c>
      <c r="H3005">
        <f>_xlfn.IMAGE("https://m.media-amazon.com/images/I/71oR+PMgLKL._AC_UL320_.jpg")</f>
        <v/>
      </c>
      <c r="K3005" t="inlineStr">
        <is>
          <t>18.0</t>
        </is>
      </c>
      <c r="L3005" t="n">
        <v>19.99</v>
      </c>
      <c r="M3005" s="1" t="inlineStr">
        <is>
          <t>11.06%</t>
        </is>
      </c>
      <c r="N3005" t="n">
        <v>4.2</v>
      </c>
      <c r="O3005" t="n">
        <v>90</v>
      </c>
      <c r="Q3005" t="inlineStr">
        <is>
          <t>InStock</t>
        </is>
      </c>
      <c r="R3005" t="inlineStr">
        <is>
          <t>undefined</t>
        </is>
      </c>
      <c r="S3005" t="inlineStr">
        <is>
          <t>7042134087</t>
        </is>
      </c>
    </row>
    <row r="3006" ht="75" customHeight="1">
      <c r="A3006" s="2">
        <f>HYPERLINK("https://camerareadycosmetics.com/products/rcma-over-powder", "https://camerareadycosmetics.com/products/rcma-over-powder")</f>
        <v/>
      </c>
      <c r="B3006" s="2">
        <f>HYPERLINK("https://camerareadycosmetics.com/products/rcma-over-powder", "https://camerareadycosmetics.com/products/rcma-over-powder")</f>
        <v/>
      </c>
      <c r="C3006" t="inlineStr">
        <is>
          <t>Over-Powder</t>
        </is>
      </c>
      <c r="D3006" t="inlineStr">
        <is>
          <t>COVERGIRL Clean Pressed Powder, Warm Beige</t>
        </is>
      </c>
      <c r="E3006" s="2">
        <f>HYPERLINK("https://www.amazon.com/COVERGIRL-Pressed-Powder-Foundation-Packaging/dp/B00CHHJFV4/ref=sr_1_9?keywords=Over-Powder&amp;qid=1695565493&amp;sr=8-9", "https://www.amazon.com/COVERGIRL-Pressed-Powder-Foundation-Packaging/dp/B00CHHJFV4/ref=sr_1_9?keywords=Over-Powder&amp;qid=1695565493&amp;sr=8-9")</f>
        <v/>
      </c>
      <c r="F3006" t="inlineStr">
        <is>
          <t>B00CHHJFV4</t>
        </is>
      </c>
      <c r="G3006">
        <f>_xlfn.IMAGE("https://camerareadycosmetics.com/cdn/shop/products/RCMA_Over_Powder_swat__45764.1413224864.600.600_50x.jpeg?v=1689645709")</f>
        <v/>
      </c>
      <c r="H3006">
        <f>_xlfn.IMAGE("https://m.media-amazon.com/images/I/714r1XPbDzL._AC_UL320_.jpg")</f>
        <v/>
      </c>
      <c r="K3006" t="inlineStr">
        <is>
          <t>18.0</t>
        </is>
      </c>
      <c r="L3006" t="n">
        <v>8.49</v>
      </c>
      <c r="M3006" s="1" t="inlineStr">
        <is>
          <t>-52.83%</t>
        </is>
      </c>
      <c r="N3006" t="n">
        <v>4.6</v>
      </c>
      <c r="O3006" t="n">
        <v>609</v>
      </c>
      <c r="Q3006" t="inlineStr">
        <is>
          <t>InStock</t>
        </is>
      </c>
      <c r="R3006" t="inlineStr">
        <is>
          <t>undefined</t>
        </is>
      </c>
      <c r="S3006" t="inlineStr">
        <is>
          <t>7042134087</t>
        </is>
      </c>
    </row>
    <row r="3007" ht="75" customHeight="1">
      <c r="A3007" s="2">
        <f>HYPERLINK("https://camerareadycosmetics.com/products/rcma-over-powder", "https://camerareadycosmetics.com/products/rcma-over-powder")</f>
        <v/>
      </c>
      <c r="B3007" s="2">
        <f>HYPERLINK("https://camerareadycosmetics.com/products/rcma-over-powder", "https://camerareadycosmetics.com/products/rcma-over-powder")</f>
        <v/>
      </c>
      <c r="C3007" t="inlineStr">
        <is>
          <t>Over-Powder</t>
        </is>
      </c>
      <c r="D3007" t="inlineStr">
        <is>
          <t>Covergirl Clean Pressed Powder, Creamy Natural</t>
        </is>
      </c>
      <c r="E3007" s="2">
        <f>HYPERLINK("https://www.amazon.com/Covergirl-Pressed-Powder-Creamy-Natural/dp/B00C6781U6/ref=sr_1_5?keywords=Over-Powder&amp;qid=1695565493&amp;sr=8-5", "https://www.amazon.com/Covergirl-Pressed-Powder-Creamy-Natural/dp/B00C6781U6/ref=sr_1_5?keywords=Over-Powder&amp;qid=1695565493&amp;sr=8-5")</f>
        <v/>
      </c>
      <c r="F3007" t="inlineStr">
        <is>
          <t>B00C6781U6</t>
        </is>
      </c>
      <c r="G3007">
        <f>_xlfn.IMAGE("https://camerareadycosmetics.com/cdn/shop/products/RCMA_Over_Powder_swat__45764.1413224864.600.600_50x.jpeg?v=1689645709")</f>
        <v/>
      </c>
      <c r="H3007">
        <f>_xlfn.IMAGE("https://m.media-amazon.com/images/I/51gC+JnF8BL._AC_UL320_.jpg")</f>
        <v/>
      </c>
      <c r="K3007" t="inlineStr">
        <is>
          <t>18.0</t>
        </is>
      </c>
      <c r="L3007" t="n">
        <v>6.39</v>
      </c>
      <c r="M3007" s="1" t="inlineStr">
        <is>
          <t>-64.50%</t>
        </is>
      </c>
      <c r="N3007" t="n">
        <v>4.7</v>
      </c>
      <c r="O3007" t="n">
        <v>2640</v>
      </c>
      <c r="Q3007" t="inlineStr">
        <is>
          <t>InStock</t>
        </is>
      </c>
      <c r="R3007" t="inlineStr">
        <is>
          <t>undefined</t>
        </is>
      </c>
      <c r="S3007" t="inlineStr">
        <is>
          <t>7042134087</t>
        </is>
      </c>
    </row>
    <row r="3008" ht="75" customHeight="1">
      <c r="A3008" s="2">
        <f>HYPERLINK("https://camerareadycosmetics.com/products/rcma-over-powder", "https://camerareadycosmetics.com/products/rcma-over-powder")</f>
        <v/>
      </c>
      <c r="B3008" s="2">
        <f>HYPERLINK("https://camerareadycosmetics.com/products/rcma-over-powder", "https://camerareadycosmetics.com/products/rcma-over-powder")</f>
        <v/>
      </c>
      <c r="C3008" t="inlineStr">
        <is>
          <t>Over-Powder</t>
        </is>
      </c>
      <c r="D3008" t="inlineStr">
        <is>
          <t>COVERGIRL Clean Pressed Powder, Warm Beige</t>
        </is>
      </c>
      <c r="E3008" s="2">
        <f>HYPERLINK("https://www.amazon.com/COVERGIRL-Pressed-Powder-Foundation-Packaging/dp/B00CHHJFV4/ref=sr_1_9?keywords=Over-Powder&amp;qid=1695565493&amp;sr=8-9", "https://www.amazon.com/COVERGIRL-Pressed-Powder-Foundation-Packaging/dp/B00CHHJFV4/ref=sr_1_9?keywords=Over-Powder&amp;qid=1695565493&amp;sr=8-9")</f>
        <v/>
      </c>
      <c r="F3008" t="inlineStr">
        <is>
          <t>B00CHHJFV4</t>
        </is>
      </c>
      <c r="G3008">
        <f>_xlfn.IMAGE("https://camerareadycosmetics.com/cdn/shop/products/RCMA_Over_Powder_swat__45764.1413224864.600.600_50x.jpeg?v=1689645709")</f>
        <v/>
      </c>
      <c r="H3008">
        <f>_xlfn.IMAGE("https://m.media-amazon.com/images/I/714r1XPbDzL._AC_UL320_.jpg")</f>
        <v/>
      </c>
      <c r="K3008" t="inlineStr">
        <is>
          <t>18.0</t>
        </is>
      </c>
      <c r="L3008" t="n">
        <v>8.49</v>
      </c>
      <c r="M3008" s="1" t="inlineStr">
        <is>
          <t>-52.83%</t>
        </is>
      </c>
      <c r="N3008" t="n">
        <v>4.6</v>
      </c>
      <c r="O3008" t="n">
        <v>609</v>
      </c>
      <c r="Q3008" t="inlineStr">
        <is>
          <t>InStock</t>
        </is>
      </c>
      <c r="R3008" t="inlineStr">
        <is>
          <t>undefined</t>
        </is>
      </c>
      <c r="S3008" t="inlineStr">
        <is>
          <t>7042134087</t>
        </is>
      </c>
    </row>
    <row r="3009" ht="75" customHeight="1">
      <c r="A3009" s="2">
        <f>HYPERLINK("https://camerareadycosmetics.com/products/rcma-over-powder", "https://camerareadycosmetics.com/products/rcma-over-powder")</f>
        <v/>
      </c>
      <c r="B3009" s="2">
        <f>HYPERLINK("https://camerareadycosmetics.com/products/rcma-over-powder", "https://camerareadycosmetics.com/products/rcma-over-powder")</f>
        <v/>
      </c>
      <c r="C3009" t="inlineStr">
        <is>
          <t>Over-Powder</t>
        </is>
      </c>
      <c r="D3009" t="inlineStr">
        <is>
          <t>Covergirl Clean Pressed Powder, Creamy Natural</t>
        </is>
      </c>
      <c r="E3009" s="2">
        <f>HYPERLINK("https://www.amazon.com/Covergirl-Pressed-Powder-Creamy-Natural/dp/B00C6781U6/ref=sr_1_5?keywords=Over-Powder&amp;qid=1695565493&amp;sr=8-5", "https://www.amazon.com/Covergirl-Pressed-Powder-Creamy-Natural/dp/B00C6781U6/ref=sr_1_5?keywords=Over-Powder&amp;qid=1695565493&amp;sr=8-5")</f>
        <v/>
      </c>
      <c r="F3009" t="inlineStr">
        <is>
          <t>B00C6781U6</t>
        </is>
      </c>
      <c r="G3009">
        <f>_xlfn.IMAGE("https://camerareadycosmetics.com/cdn/shop/products/RCMA_Over_Powder_swat__45764.1413224864.600.600_50x.jpeg?v=1689645709")</f>
        <v/>
      </c>
      <c r="H3009">
        <f>_xlfn.IMAGE("https://m.media-amazon.com/images/I/51gC+JnF8BL._AC_UL320_.jpg")</f>
        <v/>
      </c>
      <c r="K3009" t="inlineStr">
        <is>
          <t>18.0</t>
        </is>
      </c>
      <c r="L3009" t="n">
        <v>6.39</v>
      </c>
      <c r="M3009" s="1" t="inlineStr">
        <is>
          <t>-64.50%</t>
        </is>
      </c>
      <c r="N3009" t="n">
        <v>4.7</v>
      </c>
      <c r="O3009" t="n">
        <v>2640</v>
      </c>
      <c r="Q3009" t="inlineStr">
        <is>
          <t>InStock</t>
        </is>
      </c>
      <c r="R3009" t="inlineStr">
        <is>
          <t>undefined</t>
        </is>
      </c>
      <c r="S3009" t="inlineStr">
        <is>
          <t>7042134087</t>
        </is>
      </c>
    </row>
    <row r="3010" ht="75" customHeight="1">
      <c r="A3010" s="2">
        <f>HYPERLINK("https://camerareadycosmetics.com/products/rcma-premiere-talc-free-loose-powder", "https://camerareadycosmetics.com/products/rcma-premiere-talc-free-loose-powder")</f>
        <v/>
      </c>
      <c r="B3010" s="2">
        <f>HYPERLINK("https://camerareadycosmetics.com/products/rcma-premiere-talc-free-loose-powder", "https://camerareadycosmetics.com/products/rcma-premiere-talc-free-loose-powder")</f>
        <v/>
      </c>
      <c r="C3010" t="inlineStr">
        <is>
          <t>Loose Setting Powder</t>
        </is>
      </c>
      <c r="D3010" t="inlineStr">
        <is>
          <t>Dermablend Loose Setting Powder, Face Powder Makeup &amp; Finishing Powder for Light, Medium &amp; Tan Skin Tones</t>
        </is>
      </c>
      <c r="E3010" s="2">
        <f>HYPERLINK("https://www.amazon.com/Dermablend-Setting-Powder-Original-Translucent/dp/B0002RI2PG/ref=sr_1_9?keywords=Loose+Setting+Powder&amp;qid=1695565576&amp;sr=8-9", "https://www.amazon.com/Dermablend-Setting-Powder-Original-Translucent/dp/B0002RI2PG/ref=sr_1_9?keywords=Loose+Setting+Powder&amp;qid=1695565576&amp;sr=8-9")</f>
        <v/>
      </c>
      <c r="F3010" t="inlineStr">
        <is>
          <t>B0002RI2PG</t>
        </is>
      </c>
      <c r="G3010">
        <f>_xlfn.IMAGE("https://camerareadycosmetics.com/cdn/shop/products/Loose-Powder-09-AMBER-300dpi-_1_50x.jpg?v=1625607094")</f>
        <v/>
      </c>
      <c r="H3010">
        <f>_xlfn.IMAGE("https://m.media-amazon.com/images/I/81vfjuL7gCL._AC_UL320_.jpg")</f>
        <v/>
      </c>
      <c r="K3010" t="inlineStr">
        <is>
          <t>26.0</t>
        </is>
      </c>
      <c r="L3010" t="n">
        <v>32</v>
      </c>
      <c r="M3010" s="1" t="inlineStr">
        <is>
          <t>23.08%</t>
        </is>
      </c>
      <c r="N3010" t="n">
        <v>4.4</v>
      </c>
      <c r="O3010" t="n">
        <v>14476</v>
      </c>
      <c r="Q3010" t="inlineStr">
        <is>
          <t>InStock</t>
        </is>
      </c>
      <c r="R3010" t="inlineStr">
        <is>
          <t>undefined</t>
        </is>
      </c>
      <c r="S3010" t="inlineStr">
        <is>
          <t>6795630641337</t>
        </is>
      </c>
    </row>
    <row r="3011" ht="75" customHeight="1">
      <c r="A3011" s="2">
        <f>HYPERLINK("https://camerareadycosmetics.com/products/rcma-premiere-talc-free-loose-powder", "https://camerareadycosmetics.com/products/rcma-premiere-talc-free-loose-powder")</f>
        <v/>
      </c>
      <c r="B3011" s="2">
        <f>HYPERLINK("https://camerareadycosmetics.com/products/rcma-premiere-talc-free-loose-powder", "https://camerareadycosmetics.com/products/rcma-premiere-talc-free-loose-powder")</f>
        <v/>
      </c>
      <c r="C3011" t="inlineStr">
        <is>
          <t>Loose Setting Powder</t>
        </is>
      </c>
      <c r="D3011" t="inlineStr">
        <is>
          <t>DEALPLUSDEAL Beauty Creations Loose Setting Powder Minimizes Pores and Fine Lines Matte Finish Natural Face Makeup Translucent Dream</t>
        </is>
      </c>
      <c r="E3011" s="2">
        <f>HYPERLINK("https://www.amazon.com/DEALPLUSDEAL-Creations-Setting-Minimizes-Translucent/dp/B0BXMR6ZPG/ref=sr_1_10?keywords=Loose+Setting+Powder&amp;qid=1695565576&amp;sr=8-10", "https://www.amazon.com/DEALPLUSDEAL-Creations-Setting-Minimizes-Translucent/dp/B0BXMR6ZPG/ref=sr_1_10?keywords=Loose+Setting+Powder&amp;qid=1695565576&amp;sr=8-10")</f>
        <v/>
      </c>
      <c r="F3011" t="inlineStr">
        <is>
          <t>B0BXMR6ZPG</t>
        </is>
      </c>
      <c r="G3011">
        <f>_xlfn.IMAGE("https://camerareadycosmetics.com/cdn/shop/products/Loose-Powder-09-AMBER-300dpi-_1_50x.jpg?v=1625607094")</f>
        <v/>
      </c>
      <c r="H3011">
        <f>_xlfn.IMAGE("https://m.media-amazon.com/images/I/61hUlQIZX6L._AC_UL320_.jpg")</f>
        <v/>
      </c>
      <c r="K3011" t="inlineStr">
        <is>
          <t>26.0</t>
        </is>
      </c>
      <c r="L3011" t="n">
        <v>9.81</v>
      </c>
      <c r="M3011" s="1" t="inlineStr">
        <is>
          <t>-62.27%</t>
        </is>
      </c>
      <c r="N3011" t="n">
        <v>4.6</v>
      </c>
      <c r="O3011" t="n">
        <v>40</v>
      </c>
      <c r="Q3011" t="inlineStr">
        <is>
          <t>InStock</t>
        </is>
      </c>
      <c r="R3011" t="inlineStr">
        <is>
          <t>undefined</t>
        </is>
      </c>
      <c r="S3011" t="inlineStr">
        <is>
          <t>6795630641337</t>
        </is>
      </c>
    </row>
    <row r="3012" ht="75" customHeight="1">
      <c r="A3012" s="2">
        <f>HYPERLINK("https://camerareadycosmetics.com/products/rcma-premiere-talc-free-loose-powder", "https://camerareadycosmetics.com/products/rcma-premiere-talc-free-loose-powder")</f>
        <v/>
      </c>
      <c r="B3012" s="2">
        <f>HYPERLINK("https://camerareadycosmetics.com/products/rcma-premiere-talc-free-loose-powder", "https://camerareadycosmetics.com/products/rcma-premiere-talc-free-loose-powder")</f>
        <v/>
      </c>
      <c r="C3012" t="inlineStr">
        <is>
          <t>Loose Setting Powder</t>
        </is>
      </c>
      <c r="D3012" t="inlineStr">
        <is>
          <t>Maybelline New York Fit Me Loose Setting Powder, Face Powder Makeup &amp; Finishing Powder, Fair Light, 1 Count</t>
        </is>
      </c>
      <c r="E3012" s="2">
        <f>HYPERLINK("https://www.amazon.com/Maybelline-Loose-Finishing-Powder-Light/dp/B06XDX6YGD/ref=sr_1_1?keywords=Loose+Setting+Powder&amp;qid=1695565576&amp;sr=8-1", "https://www.amazon.com/Maybelline-Loose-Finishing-Powder-Light/dp/B06XDX6YGD/ref=sr_1_1?keywords=Loose+Setting+Powder&amp;qid=1695565576&amp;sr=8-1")</f>
        <v/>
      </c>
      <c r="F3012" t="inlineStr">
        <is>
          <t>B06XDX6YGD</t>
        </is>
      </c>
      <c r="G3012">
        <f>_xlfn.IMAGE("https://camerareadycosmetics.com/cdn/shop/products/Loose-Powder-09-AMBER-300dpi-_1_50x.jpg?v=1625607094")</f>
        <v/>
      </c>
      <c r="H3012">
        <f>_xlfn.IMAGE("https://m.media-amazon.com/images/I/81cXivuoitL._AC_UL320_.jpg")</f>
        <v/>
      </c>
      <c r="K3012" t="inlineStr">
        <is>
          <t>26.0</t>
        </is>
      </c>
      <c r="L3012" t="n">
        <v>7.89</v>
      </c>
      <c r="M3012" s="1" t="inlineStr">
        <is>
          <t>-69.65%</t>
        </is>
      </c>
      <c r="N3012" t="n">
        <v>4.6</v>
      </c>
      <c r="O3012" t="n">
        <v>40731</v>
      </c>
      <c r="Q3012" t="inlineStr">
        <is>
          <t>InStock</t>
        </is>
      </c>
      <c r="R3012" t="inlineStr">
        <is>
          <t>undefined</t>
        </is>
      </c>
      <c r="S3012" t="inlineStr">
        <is>
          <t>6795630641337</t>
        </is>
      </c>
    </row>
    <row r="3013" ht="75" customHeight="1">
      <c r="A3013" s="2">
        <f>HYPERLINK("https://camerareadycosmetics.com/products/rcma-premiere-talc-free-loose-powder", "https://camerareadycosmetics.com/products/rcma-premiere-talc-free-loose-powder")</f>
        <v/>
      </c>
      <c r="B3013" s="2">
        <f>HYPERLINK("https://camerareadycosmetics.com/products/rcma-premiere-talc-free-loose-powder", "https://camerareadycosmetics.com/products/rcma-premiere-talc-free-loose-powder")</f>
        <v/>
      </c>
      <c r="C3013" t="inlineStr">
        <is>
          <t>Loose Setting Powder</t>
        </is>
      </c>
      <c r="D3013" t="inlineStr">
        <is>
          <t>COVERGIRL Clean Invisible Loose Powder - Loose Powder, Setting Powder, Vegan Formula - Translucent Light, 20g (0.7 oz)</t>
        </is>
      </c>
      <c r="E3013" s="2">
        <f>HYPERLINK("https://www.amazon.com/Clean-Invisible-Loose-Powder-Translucent/dp/B0BBSTNF4T/ref=sr_1_7?keywords=Loose+Setting+Powder&amp;qid=1695565576&amp;sr=8-7", "https://www.amazon.com/Clean-Invisible-Loose-Powder-Translucent/dp/B0BBSTNF4T/ref=sr_1_7?keywords=Loose+Setting+Powder&amp;qid=1695565576&amp;sr=8-7")</f>
        <v/>
      </c>
      <c r="F3013" t="inlineStr">
        <is>
          <t>B0BBSTNF4T</t>
        </is>
      </c>
      <c r="G3013">
        <f>_xlfn.IMAGE("https://camerareadycosmetics.com/cdn/shop/products/Loose-Powder-09-AMBER-300dpi-_1_50x.jpg?v=1625607094")</f>
        <v/>
      </c>
      <c r="H3013">
        <f>_xlfn.IMAGE("https://m.media-amazon.com/images/I/714MhcL8mQL._AC_UL320_.jpg")</f>
        <v/>
      </c>
      <c r="K3013" t="inlineStr">
        <is>
          <t>26.0</t>
        </is>
      </c>
      <c r="L3013" t="n">
        <v>6.38</v>
      </c>
      <c r="M3013" s="1" t="inlineStr">
        <is>
          <t>-75.46%</t>
        </is>
      </c>
      <c r="N3013" t="n">
        <v>4.4</v>
      </c>
      <c r="O3013" t="n">
        <v>581</v>
      </c>
      <c r="Q3013" t="inlineStr">
        <is>
          <t>InStock</t>
        </is>
      </c>
      <c r="R3013" t="inlineStr">
        <is>
          <t>undefined</t>
        </is>
      </c>
      <c r="S3013" t="inlineStr">
        <is>
          <t>6795630641337</t>
        </is>
      </c>
    </row>
    <row r="3014" ht="75" customHeight="1">
      <c r="A3014" s="2">
        <f>HYPERLINK("https://camerareadycosmetics.com/products/rcma-premiere-talc-free-loose-powder", "https://camerareadycosmetics.com/products/rcma-premiere-talc-free-loose-powder")</f>
        <v/>
      </c>
      <c r="B3014" s="2">
        <f>HYPERLINK("https://camerareadycosmetics.com/products/rcma-premiere-talc-free-loose-powder", "https://camerareadycosmetics.com/products/rcma-premiere-talc-free-loose-powder")</f>
        <v/>
      </c>
      <c r="C3014" t="inlineStr">
        <is>
          <t>Loose Setting Powder</t>
        </is>
      </c>
      <c r="D3014" t="inlineStr">
        <is>
          <t>Loose Setting Powder By Wet n Wild Photo Focus Loose Finishing Powder Off-White Translucent</t>
        </is>
      </c>
      <c r="E3014" s="2">
        <f>HYPERLINK("https://www.amazon.com/Photo-Setting-Powder-Off-White-Translucent/dp/B09NXM2YWP/ref=sr_1_5?keywords=Loose+Setting+Powder&amp;qid=1695565576&amp;rdc=1&amp;sr=8-5", "https://www.amazon.com/Photo-Setting-Powder-Off-White-Translucent/dp/B09NXM2YWP/ref=sr_1_5?keywords=Loose+Setting+Powder&amp;qid=1695565576&amp;rdc=1&amp;sr=8-5")</f>
        <v/>
      </c>
      <c r="F3014" t="inlineStr">
        <is>
          <t>B09NXM2YWP</t>
        </is>
      </c>
      <c r="G3014">
        <f>_xlfn.IMAGE("https://camerareadycosmetics.com/cdn/shop/products/Loose-Powder-09-AMBER-300dpi-_1_50x.jpg?v=1625607094")</f>
        <v/>
      </c>
      <c r="H3014">
        <f>_xlfn.IMAGE("https://m.media-amazon.com/images/I/71j-eG-S0wL._AC_UL320_.jpg")</f>
        <v/>
      </c>
      <c r="K3014" t="inlineStr">
        <is>
          <t>26.0</t>
        </is>
      </c>
      <c r="L3014" t="n">
        <v>5.59</v>
      </c>
      <c r="M3014" s="1" t="inlineStr">
        <is>
          <t>-78.50%</t>
        </is>
      </c>
      <c r="N3014" t="n">
        <v>4.6</v>
      </c>
      <c r="O3014" t="n">
        <v>4320</v>
      </c>
      <c r="Q3014" t="inlineStr">
        <is>
          <t>InStock</t>
        </is>
      </c>
      <c r="R3014" t="inlineStr">
        <is>
          <t>undefined</t>
        </is>
      </c>
      <c r="S3014" t="inlineStr">
        <is>
          <t>6795630641337</t>
        </is>
      </c>
    </row>
    <row r="3015" ht="75" customHeight="1">
      <c r="A3015" s="2">
        <f>HYPERLINK("https://camerareadycosmetics.com/products/rcma-premiere-talc-free-loose-powder", "https://camerareadycosmetics.com/products/rcma-premiere-talc-free-loose-powder")</f>
        <v/>
      </c>
      <c r="B3015" s="2">
        <f>HYPERLINK("https://camerareadycosmetics.com/products/rcma-premiere-talc-free-loose-powder", "https://camerareadycosmetics.com/products/rcma-premiere-talc-free-loose-powder")</f>
        <v/>
      </c>
      <c r="C3015" t="inlineStr">
        <is>
          <t>Loose Setting Powder</t>
        </is>
      </c>
      <c r="D3015" t="inlineStr">
        <is>
          <t>DEALPLUSDEAL Beauty Creations Loose Setting Powder Minimizes Pores and Fine Lines Matte Finish Natural Face Makeup Translucent Dream</t>
        </is>
      </c>
      <c r="E3015" s="2">
        <f>HYPERLINK("https://www.amazon.com/DEALPLUSDEAL-Creations-Setting-Minimizes-Translucent/dp/B0BXMR6ZPG/ref=sr_1_10?keywords=Loose+Setting+Powder&amp;qid=1695565576&amp;sr=8-10", "https://www.amazon.com/DEALPLUSDEAL-Creations-Setting-Minimizes-Translucent/dp/B0BXMR6ZPG/ref=sr_1_10?keywords=Loose+Setting+Powder&amp;qid=1695565576&amp;sr=8-10")</f>
        <v/>
      </c>
      <c r="F3015" t="inlineStr">
        <is>
          <t>B0BXMR6ZPG</t>
        </is>
      </c>
      <c r="G3015">
        <f>_xlfn.IMAGE("https://camerareadycosmetics.com/cdn/shop/products/Loose-Powder-09-AMBER-300dpi-_1_50x.jpg?v=1625607094")</f>
        <v/>
      </c>
      <c r="H3015">
        <f>_xlfn.IMAGE("https://m.media-amazon.com/images/I/61hUlQIZX6L._AC_UL320_.jpg")</f>
        <v/>
      </c>
      <c r="K3015" t="inlineStr">
        <is>
          <t>26.0</t>
        </is>
      </c>
      <c r="L3015" t="n">
        <v>9.81</v>
      </c>
      <c r="M3015" s="1" t="inlineStr">
        <is>
          <t>-62.27%</t>
        </is>
      </c>
      <c r="N3015" t="n">
        <v>4.6</v>
      </c>
      <c r="O3015" t="n">
        <v>40</v>
      </c>
      <c r="Q3015" t="inlineStr">
        <is>
          <t>InStock</t>
        </is>
      </c>
      <c r="R3015" t="inlineStr">
        <is>
          <t>undefined</t>
        </is>
      </c>
      <c r="S3015" t="inlineStr">
        <is>
          <t>6795630641337</t>
        </is>
      </c>
    </row>
    <row r="3016" ht="75" customHeight="1">
      <c r="A3016" s="2">
        <f>HYPERLINK("https://camerareadycosmetics.com/products/rcma-premiere-talc-free-loose-powder", "https://camerareadycosmetics.com/products/rcma-premiere-talc-free-loose-powder")</f>
        <v/>
      </c>
      <c r="B3016" s="2">
        <f>HYPERLINK("https://camerareadycosmetics.com/products/rcma-premiere-talc-free-loose-powder", "https://camerareadycosmetics.com/products/rcma-premiere-talc-free-loose-powder")</f>
        <v/>
      </c>
      <c r="C3016" t="inlineStr">
        <is>
          <t>Loose Setting Powder</t>
        </is>
      </c>
      <c r="D3016" t="inlineStr">
        <is>
          <t>Maybelline New York Fit Me Loose Setting Powder, Face Powder Makeup &amp; Finishing Powder, Fair Light, 1 Count</t>
        </is>
      </c>
      <c r="E3016" s="2">
        <f>HYPERLINK("https://www.amazon.com/Maybelline-Loose-Finishing-Powder-Light/dp/B06XDX6YGD/ref=sr_1_1?keywords=Loose+Setting+Powder&amp;qid=1695565576&amp;sr=8-1", "https://www.amazon.com/Maybelline-Loose-Finishing-Powder-Light/dp/B06XDX6YGD/ref=sr_1_1?keywords=Loose+Setting+Powder&amp;qid=1695565576&amp;sr=8-1")</f>
        <v/>
      </c>
      <c r="F3016" t="inlineStr">
        <is>
          <t>B06XDX6YGD</t>
        </is>
      </c>
      <c r="G3016">
        <f>_xlfn.IMAGE("https://camerareadycosmetics.com/cdn/shop/products/Loose-Powder-09-AMBER-300dpi-_1_50x.jpg?v=1625607094")</f>
        <v/>
      </c>
      <c r="H3016">
        <f>_xlfn.IMAGE("https://m.media-amazon.com/images/I/81cXivuoitL._AC_UL320_.jpg")</f>
        <v/>
      </c>
      <c r="K3016" t="inlineStr">
        <is>
          <t>26.0</t>
        </is>
      </c>
      <c r="L3016" t="n">
        <v>7.89</v>
      </c>
      <c r="M3016" s="1" t="inlineStr">
        <is>
          <t>-69.65%</t>
        </is>
      </c>
      <c r="N3016" t="n">
        <v>4.6</v>
      </c>
      <c r="O3016" t="n">
        <v>40731</v>
      </c>
      <c r="Q3016" t="inlineStr">
        <is>
          <t>InStock</t>
        </is>
      </c>
      <c r="R3016" t="inlineStr">
        <is>
          <t>undefined</t>
        </is>
      </c>
      <c r="S3016" t="inlineStr">
        <is>
          <t>6795630641337</t>
        </is>
      </c>
    </row>
    <row r="3017" ht="75" customHeight="1">
      <c r="A3017" s="2">
        <f>HYPERLINK("https://camerareadycosmetics.com/products/rcma-premiere-talc-free-loose-powder", "https://camerareadycosmetics.com/products/rcma-premiere-talc-free-loose-powder")</f>
        <v/>
      </c>
      <c r="B3017" s="2">
        <f>HYPERLINK("https://camerareadycosmetics.com/products/rcma-premiere-talc-free-loose-powder", "https://camerareadycosmetics.com/products/rcma-premiere-talc-free-loose-powder")</f>
        <v/>
      </c>
      <c r="C3017" t="inlineStr">
        <is>
          <t>Loose Setting Powder</t>
        </is>
      </c>
      <c r="D3017" t="inlineStr">
        <is>
          <t>COVERGIRL Clean Invisible Loose Powder - Loose Powder, Setting Powder, Vegan Formula - Translucent Light, 20g (0.7 oz)</t>
        </is>
      </c>
      <c r="E3017" s="2">
        <f>HYPERLINK("https://www.amazon.com/Clean-Invisible-Loose-Powder-Translucent/dp/B0BBSTNF4T/ref=sr_1_7?keywords=Loose+Setting+Powder&amp;qid=1695565576&amp;sr=8-7", "https://www.amazon.com/Clean-Invisible-Loose-Powder-Translucent/dp/B0BBSTNF4T/ref=sr_1_7?keywords=Loose+Setting+Powder&amp;qid=1695565576&amp;sr=8-7")</f>
        <v/>
      </c>
      <c r="F3017" t="inlineStr">
        <is>
          <t>B0BBSTNF4T</t>
        </is>
      </c>
      <c r="G3017">
        <f>_xlfn.IMAGE("https://camerareadycosmetics.com/cdn/shop/products/Loose-Powder-09-AMBER-300dpi-_1_50x.jpg?v=1625607094")</f>
        <v/>
      </c>
      <c r="H3017">
        <f>_xlfn.IMAGE("https://m.media-amazon.com/images/I/714MhcL8mQL._AC_UL320_.jpg")</f>
        <v/>
      </c>
      <c r="K3017" t="inlineStr">
        <is>
          <t>26.0</t>
        </is>
      </c>
      <c r="L3017" t="n">
        <v>6.38</v>
      </c>
      <c r="M3017" s="1" t="inlineStr">
        <is>
          <t>-75.46%</t>
        </is>
      </c>
      <c r="N3017" t="n">
        <v>4.4</v>
      </c>
      <c r="O3017" t="n">
        <v>581</v>
      </c>
      <c r="Q3017" t="inlineStr">
        <is>
          <t>InStock</t>
        </is>
      </c>
      <c r="R3017" t="inlineStr">
        <is>
          <t>undefined</t>
        </is>
      </c>
      <c r="S3017" t="inlineStr">
        <is>
          <t>6795630641337</t>
        </is>
      </c>
    </row>
    <row r="3018" ht="75" customHeight="1">
      <c r="A3018" s="2">
        <f>HYPERLINK("https://camerareadycosmetics.com/products/rcma-premiere-talc-free-loose-powder", "https://camerareadycosmetics.com/products/rcma-premiere-talc-free-loose-powder")</f>
        <v/>
      </c>
      <c r="B3018" s="2">
        <f>HYPERLINK("https://camerareadycosmetics.com/products/rcma-premiere-talc-free-loose-powder", "https://camerareadycosmetics.com/products/rcma-premiere-talc-free-loose-powder")</f>
        <v/>
      </c>
      <c r="C3018" t="inlineStr">
        <is>
          <t>Loose Setting Powder</t>
        </is>
      </c>
      <c r="D3018" t="inlineStr">
        <is>
          <t>Loose Setting Powder By Wet n Wild Photo Focus Loose Finishing Powder Off-White Translucent</t>
        </is>
      </c>
      <c r="E3018" s="2">
        <f>HYPERLINK("https://www.amazon.com/Photo-Setting-Powder-Off-White-Translucent/dp/B09NXM2YWP/ref=sr_1_5?keywords=Loose+Setting+Powder&amp;qid=1695565576&amp;rdc=1&amp;sr=8-5", "https://www.amazon.com/Photo-Setting-Powder-Off-White-Translucent/dp/B09NXM2YWP/ref=sr_1_5?keywords=Loose+Setting+Powder&amp;qid=1695565576&amp;rdc=1&amp;sr=8-5")</f>
        <v/>
      </c>
      <c r="F3018" t="inlineStr">
        <is>
          <t>B09NXM2YWP</t>
        </is>
      </c>
      <c r="G3018">
        <f>_xlfn.IMAGE("https://camerareadycosmetics.com/cdn/shop/products/Loose-Powder-09-AMBER-300dpi-_1_50x.jpg?v=1625607094")</f>
        <v/>
      </c>
      <c r="H3018">
        <f>_xlfn.IMAGE("https://m.media-amazon.com/images/I/71j-eG-S0wL._AC_UL320_.jpg")</f>
        <v/>
      </c>
      <c r="K3018" t="inlineStr">
        <is>
          <t>26.0</t>
        </is>
      </c>
      <c r="L3018" t="n">
        <v>5.59</v>
      </c>
      <c r="M3018" s="1" t="inlineStr">
        <is>
          <t>-78.50%</t>
        </is>
      </c>
      <c r="N3018" t="n">
        <v>4.6</v>
      </c>
      <c r="O3018" t="n">
        <v>4320</v>
      </c>
      <c r="Q3018" t="inlineStr">
        <is>
          <t>InStock</t>
        </is>
      </c>
      <c r="R3018" t="inlineStr">
        <is>
          <t>undefined</t>
        </is>
      </c>
      <c r="S3018" t="inlineStr">
        <is>
          <t>6795630641337</t>
        </is>
      </c>
    </row>
    <row r="3019" ht="75" customHeight="1">
      <c r="A3019" s="2">
        <f>HYPERLINK("https://camerareadycosmetics.com/products/rcma-vk-foundation-palette", "https://camerareadycosmetics.com/products/rcma-vk-foundation-palette")</f>
        <v/>
      </c>
      <c r="B3019" s="2">
        <f>HYPERLINK("https://camerareadycosmetics.com/products/rcma-vk-foundation-palette", "https://camerareadycosmetics.com/products/rcma-vk-foundation-palette")</f>
        <v/>
      </c>
      <c r="C3019" t="inlineStr">
        <is>
          <t>Cream Foundation Palette</t>
        </is>
      </c>
      <c r="D3019" t="inlineStr">
        <is>
          <t>Aesthetica Cosmetics Cream Contour and Highlighting Makeup Kit - Contouring Foundation/Concealer Palette - Vegan, Cruelty Free &amp; Hypoallergenic - Step-by-Step Instructions Included</t>
        </is>
      </c>
      <c r="E3019" s="2">
        <f>HYPERLINK("https://www.amazon.com/Aesthetica-Cosmetics-Contour-Highlighting-Makeup/dp/B014PVXY5W/ref=sr_1_5?keywords=Cream+Foundation+Palette&amp;qid=1695565411&amp;sr=8-5", "https://www.amazon.com/Aesthetica-Cosmetics-Contour-Highlighting-Makeup/dp/B014PVXY5W/ref=sr_1_5?keywords=Cream+Foundation+Palette&amp;qid=1695565411&amp;sr=8-5")</f>
        <v/>
      </c>
      <c r="F3019" t="inlineStr">
        <is>
          <t>B014PVXY5W</t>
        </is>
      </c>
      <c r="G3019">
        <f>_xlfn.IMAGE("https://camerareadycosmetics.com/cdn/shop/products/RCMA_VK_FOUNDATION_PALETTE_50x.jpg?v=1689625666")</f>
        <v/>
      </c>
      <c r="H3019">
        <f>_xlfn.IMAGE("https://m.media-amazon.com/images/I/61bI3ej7scL._AC_UL320_.jpg")</f>
        <v/>
      </c>
      <c r="K3019" t="inlineStr">
        <is>
          <t>72.0</t>
        </is>
      </c>
      <c r="L3019" t="n">
        <v>29.97</v>
      </c>
      <c r="M3019" s="1" t="inlineStr">
        <is>
          <t>-58.38%</t>
        </is>
      </c>
      <c r="N3019" t="n">
        <v>4.3</v>
      </c>
      <c r="O3019" t="n">
        <v>5584</v>
      </c>
      <c r="Q3019" t="inlineStr">
        <is>
          <t>InStock</t>
        </is>
      </c>
      <c r="R3019" t="inlineStr">
        <is>
          <t>undefined</t>
        </is>
      </c>
      <c r="S3019" t="inlineStr">
        <is>
          <t>7034552007</t>
        </is>
      </c>
    </row>
    <row r="3020" ht="75" customHeight="1">
      <c r="A3020" s="2">
        <f>HYPERLINK("https://camerareadycosmetics.com/products/rcma-vk-foundation-palette", "https://camerareadycosmetics.com/products/rcma-vk-foundation-palette")</f>
        <v/>
      </c>
      <c r="B3020" s="2">
        <f>HYPERLINK("https://camerareadycosmetics.com/products/rcma-vk-foundation-palette", "https://camerareadycosmetics.com/products/rcma-vk-foundation-palette")</f>
        <v/>
      </c>
      <c r="C3020" t="inlineStr">
        <is>
          <t>Cream Foundation Palette</t>
        </is>
      </c>
      <c r="D3020" t="inlineStr">
        <is>
          <t>SHANY Professional Cream Foundation and Camouflage Concealer - 15 Color Palette</t>
        </is>
      </c>
      <c r="E3020" s="2" t="n"/>
      <c r="F3020" t="inlineStr">
        <is>
          <t>B0061KQEVW</t>
        </is>
      </c>
      <c r="G3020">
        <f>_xlfn.IMAGE("https://camerareadycosmetics.com/cdn/shop/products/RCMA_VK_FOUNDATION_PALETTE_50x.jpg?v=1689625666")</f>
        <v/>
      </c>
      <c r="H3020">
        <f>_xlfn.IMAGE("https://m.media-amazon.com/images/I/71U6mlxxCcL._AC_UL320_.jpg")</f>
        <v/>
      </c>
      <c r="K3020" t="inlineStr">
        <is>
          <t>72.0</t>
        </is>
      </c>
      <c r="L3020" t="n">
        <v>18.95</v>
      </c>
      <c r="M3020" s="1" t="inlineStr">
        <is>
          <t>-73.68%</t>
        </is>
      </c>
      <c r="N3020" t="n">
        <v>4.2</v>
      </c>
      <c r="O3020" t="n">
        <v>1314</v>
      </c>
      <c r="Q3020" t="inlineStr">
        <is>
          <t>InStock</t>
        </is>
      </c>
      <c r="R3020" t="inlineStr">
        <is>
          <t>undefined</t>
        </is>
      </c>
      <c r="S3020" t="inlineStr">
        <is>
          <t>7034552007</t>
        </is>
      </c>
    </row>
    <row r="3021" ht="75" customHeight="1">
      <c r="A3021" s="2">
        <f>HYPERLINK("https://camerareadycosmetics.com/products/rcma-vk-foundation-palette", "https://camerareadycosmetics.com/products/rcma-vk-foundation-palette")</f>
        <v/>
      </c>
      <c r="B3021" s="2">
        <f>HYPERLINK("https://camerareadycosmetics.com/products/rcma-vk-foundation-palette", "https://camerareadycosmetics.com/products/rcma-vk-foundation-palette")</f>
        <v/>
      </c>
      <c r="C3021" t="inlineStr">
        <is>
          <t>Cream Foundation Palette</t>
        </is>
      </c>
      <c r="D3021" t="inlineStr">
        <is>
          <t>SHANY Professional Cream Foundation and Camouflage Concealer - 15 Color Palette</t>
        </is>
      </c>
      <c r="E3021" s="2">
        <f>HYPERLINK("https://www.amazon.com/SHANY-Cosmetics-Professional-Foundation-Camouflage/dp/B0061KQEVW/ref=sr_1_3?keywords=Cream+Foundation+Palette&amp;qid=1695565411&amp;sr=8-3", "https://www.amazon.com/SHANY-Cosmetics-Professional-Foundation-Camouflage/dp/B0061KQEVW/ref=sr_1_3?keywords=Cream+Foundation+Palette&amp;qid=1695565411&amp;sr=8-3")</f>
        <v/>
      </c>
      <c r="F3021" t="inlineStr">
        <is>
          <t>B0061KQEVW</t>
        </is>
      </c>
      <c r="G3021">
        <f>_xlfn.IMAGE("https://camerareadycosmetics.com/cdn/shop/products/RCMA_VK_FOUNDATION_PALETTE_50x.jpg?v=1689625666")</f>
        <v/>
      </c>
      <c r="H3021">
        <f>_xlfn.IMAGE("https://m.media-amazon.com/images/I/71U6mlxxCcL._AC_UL320_.jpg")</f>
        <v/>
      </c>
      <c r="K3021" t="inlineStr">
        <is>
          <t>72.0</t>
        </is>
      </c>
      <c r="L3021" t="n">
        <v>18.95</v>
      </c>
      <c r="M3021" s="1" t="inlineStr">
        <is>
          <t>-73.68%</t>
        </is>
      </c>
      <c r="N3021" t="n">
        <v>4.2</v>
      </c>
      <c r="O3021" t="n">
        <v>1314</v>
      </c>
      <c r="Q3021" t="inlineStr">
        <is>
          <t>InStock</t>
        </is>
      </c>
      <c r="R3021" t="inlineStr">
        <is>
          <t>undefined</t>
        </is>
      </c>
      <c r="S3021" t="inlineStr">
        <is>
          <t>7034552007</t>
        </is>
      </c>
    </row>
    <row r="3022" ht="75" customHeight="1">
      <c r="A3022" s="2">
        <f>HYPERLINK("https://camerareadycosmetics.com/products/rcma-vk-foundation-palette", "https://camerareadycosmetics.com/products/rcma-vk-foundation-palette")</f>
        <v/>
      </c>
      <c r="B3022" s="2">
        <f>HYPERLINK("https://camerareadycosmetics.com/products/rcma-vk-foundation-palette", "https://camerareadycosmetics.com/products/rcma-vk-foundation-palette")</f>
        <v/>
      </c>
      <c r="C3022" t="inlineStr">
        <is>
          <t>Cream Foundation Palette</t>
        </is>
      </c>
      <c r="D3022" t="inlineStr">
        <is>
          <t>12 Colors Cream Blush Palette, Color Correcting Concealer Cream Contour, Long Wearing Smudge Proof Blendable Matte Finish Blush Powder Highlighter and Concealer Foundation Palette Makeup (02)</t>
        </is>
      </c>
      <c r="E3022" s="2">
        <f>HYPERLINK("https://www.amazon.com/HOSAILY-Correcting-Concealer-Highlighter-Foundation/dp/B0C6G9HKQG/ref=sr_1_2?keywords=Cream+Foundation+Palette&amp;qid=1695565411&amp;sr=8-2", "https://www.amazon.com/HOSAILY-Correcting-Concealer-Highlighter-Foundation/dp/B0C6G9HKQG/ref=sr_1_2?keywords=Cream+Foundation+Palette&amp;qid=1695565411&amp;sr=8-2")</f>
        <v/>
      </c>
      <c r="F3022" t="inlineStr">
        <is>
          <t>B0C6G9HKQG</t>
        </is>
      </c>
      <c r="G3022">
        <f>_xlfn.IMAGE("https://camerareadycosmetics.com/cdn/shop/products/RCMA_VK_FOUNDATION_PALETTE_50x.jpg?v=1689625666")</f>
        <v/>
      </c>
      <c r="H3022">
        <f>_xlfn.IMAGE("https://m.media-amazon.com/images/I/61NlUj-UEZL._AC_UL320_.jpg")</f>
        <v/>
      </c>
      <c r="K3022" t="inlineStr">
        <is>
          <t>72.0</t>
        </is>
      </c>
      <c r="L3022" t="n">
        <v>11.99</v>
      </c>
      <c r="M3022" s="1" t="inlineStr">
        <is>
          <t>-83.35%</t>
        </is>
      </c>
      <c r="N3022" t="n">
        <v>4.3</v>
      </c>
      <c r="O3022" t="n">
        <v>41</v>
      </c>
      <c r="Q3022" t="inlineStr">
        <is>
          <t>InStock</t>
        </is>
      </c>
      <c r="R3022" t="inlineStr">
        <is>
          <t>undefined</t>
        </is>
      </c>
      <c r="S3022" t="inlineStr">
        <is>
          <t>7034552007</t>
        </is>
      </c>
    </row>
    <row r="3023" ht="75" customHeight="1">
      <c r="A3023" s="2">
        <f>HYPERLINK("https://camerareadycosmetics.com/products/rcma-vk-foundation-palette", "https://camerareadycosmetics.com/products/rcma-vk-foundation-palette")</f>
        <v/>
      </c>
      <c r="B3023" s="2">
        <f>HYPERLINK("https://camerareadycosmetics.com/products/rcma-vk-foundation-palette", "https://camerareadycosmetics.com/products/rcma-vk-foundation-palette")</f>
        <v/>
      </c>
      <c r="C3023" t="inlineStr">
        <is>
          <t>Cream Foundation Palette</t>
        </is>
      </c>
      <c r="D3023" t="inlineStr">
        <is>
          <t>12 Colors Cream Concealer Foundation Palette, Long-Wearing Smudge Proof Blendable Full Coverage Cream Contour Blush Highlighter Color Correcting Concealer Foundation Palette Makeup</t>
        </is>
      </c>
      <c r="E3023" s="2">
        <f>HYPERLINK("https://www.amazon.com/HOSAILY-Foundation-Long-Wearing-Highlighter-Correcting/dp/B0C98W8L8L/ref=sr_1_4?keywords=Cream+Foundation+Palette&amp;qid=1695565411&amp;sr=8-4", "https://www.amazon.com/HOSAILY-Foundation-Long-Wearing-Highlighter-Correcting/dp/B0C98W8L8L/ref=sr_1_4?keywords=Cream+Foundation+Palette&amp;qid=1695565411&amp;sr=8-4")</f>
        <v/>
      </c>
      <c r="F3023" t="inlineStr">
        <is>
          <t>B0C98W8L8L</t>
        </is>
      </c>
      <c r="G3023">
        <f>_xlfn.IMAGE("https://camerareadycosmetics.com/cdn/shop/products/RCMA_VK_FOUNDATION_PALETTE_50x.jpg?v=1689625666")</f>
        <v/>
      </c>
      <c r="H3023">
        <f>_xlfn.IMAGE("https://m.media-amazon.com/images/I/61YKhiH+vmL._AC_UL320_.jpg")</f>
        <v/>
      </c>
      <c r="K3023" t="inlineStr">
        <is>
          <t>72.0</t>
        </is>
      </c>
      <c r="L3023" t="n">
        <v>11.99</v>
      </c>
      <c r="M3023" s="1" t="inlineStr">
        <is>
          <t>-83.35%</t>
        </is>
      </c>
      <c r="N3023" t="n">
        <v>4.5</v>
      </c>
      <c r="O3023" t="n">
        <v>4</v>
      </c>
      <c r="Q3023" t="inlineStr">
        <is>
          <t>InStock</t>
        </is>
      </c>
      <c r="R3023" t="inlineStr">
        <is>
          <t>undefined</t>
        </is>
      </c>
      <c r="S3023" t="inlineStr">
        <is>
          <t>7034552007</t>
        </is>
      </c>
    </row>
    <row r="3024" ht="75" customHeight="1">
      <c r="A3024" s="2">
        <f>HYPERLINK("https://camerareadycosmetics.com/products/rcma-vk-foundation-palette", "https://camerareadycosmetics.com/products/rcma-vk-foundation-palette")</f>
        <v/>
      </c>
      <c r="B3024" s="2">
        <f>HYPERLINK("https://camerareadycosmetics.com/products/rcma-vk-foundation-palette", "https://camerareadycosmetics.com/products/rcma-vk-foundation-palette")</f>
        <v/>
      </c>
      <c r="C3024" t="inlineStr">
        <is>
          <t>Cream Foundation Palette</t>
        </is>
      </c>
      <c r="D3024" t="inlineStr">
        <is>
          <t>Ruby Kisses Flawless Finish with 3D Contour Cream Makeup Palette – Lightweight, Multi-Palette, Contouring Foundation, Creamy, Sculpt &amp;Highlighting, Define Cheekbones (Dark Medium)</t>
        </is>
      </c>
      <c r="E3024" s="2">
        <f>HYPERLINK("https://www.amazon.com/Ruby-Kisses-Flawless-Contour-Palette/dp/B01N8QGSAH/ref=sr_1_1?keywords=Cream+Foundation+Palette&amp;qid=1695565411&amp;sr=8-1", "https://www.amazon.com/Ruby-Kisses-Flawless-Contour-Palette/dp/B01N8QGSAH/ref=sr_1_1?keywords=Cream+Foundation+Palette&amp;qid=1695565411&amp;sr=8-1")</f>
        <v/>
      </c>
      <c r="F3024" t="inlineStr">
        <is>
          <t>B01N8QGSAH</t>
        </is>
      </c>
      <c r="G3024">
        <f>_xlfn.IMAGE("https://camerareadycosmetics.com/cdn/shop/products/RCMA_VK_FOUNDATION_PALETTE_50x.jpg?v=1689625666")</f>
        <v/>
      </c>
      <c r="H3024">
        <f>_xlfn.IMAGE("https://m.media-amazon.com/images/I/61nSG7vRjRS._AC_UL320_.jpg")</f>
        <v/>
      </c>
      <c r="K3024" t="inlineStr">
        <is>
          <t>72.0</t>
        </is>
      </c>
      <c r="L3024" t="n">
        <v>8.15</v>
      </c>
      <c r="M3024" s="1" t="inlineStr">
        <is>
          <t>-88.68%</t>
        </is>
      </c>
      <c r="N3024" t="n">
        <v>4.2</v>
      </c>
      <c r="O3024" t="n">
        <v>3554</v>
      </c>
      <c r="Q3024" t="inlineStr">
        <is>
          <t>InStock</t>
        </is>
      </c>
      <c r="R3024" t="inlineStr">
        <is>
          <t>undefined</t>
        </is>
      </c>
      <c r="S3024" t="inlineStr">
        <is>
          <t>7034552007</t>
        </is>
      </c>
    </row>
    <row r="3025" ht="75" customHeight="1">
      <c r="A3025" s="2">
        <f>HYPERLINK("https://camerareadycosmetics.com/products/rcma-vk-foundation-palette", "https://camerareadycosmetics.com/products/rcma-vk-foundation-palette")</f>
        <v/>
      </c>
      <c r="B3025" s="2">
        <f>HYPERLINK("https://camerareadycosmetics.com/products/rcma-vk-foundation-palette", "https://camerareadycosmetics.com/products/rcma-vk-foundation-palette")</f>
        <v/>
      </c>
      <c r="C3025" t="inlineStr">
        <is>
          <t>Cream Foundation Palette</t>
        </is>
      </c>
      <c r="D3025" t="inlineStr">
        <is>
          <t>Aesthetica Cosmetics Cream Contour and Highlighting Makeup Kit - Contouring Foundation/Concealer Palette - Vegan, Cruelty Free &amp; Hypoallergenic - Step-by-Step Instructions Included</t>
        </is>
      </c>
      <c r="E3025" s="2">
        <f>HYPERLINK("https://www.amazon.com/Aesthetica-Cosmetics-Contour-Highlighting-Makeup/dp/B014PVXY5W/ref=sr_1_5?keywords=Cream+Foundation+Palette&amp;qid=1695565411&amp;sr=8-5", "https://www.amazon.com/Aesthetica-Cosmetics-Contour-Highlighting-Makeup/dp/B014PVXY5W/ref=sr_1_5?keywords=Cream+Foundation+Palette&amp;qid=1695565411&amp;sr=8-5")</f>
        <v/>
      </c>
      <c r="F3025" t="inlineStr">
        <is>
          <t>B014PVXY5W</t>
        </is>
      </c>
      <c r="G3025">
        <f>_xlfn.IMAGE("https://camerareadycosmetics.com/cdn/shop/products/RCMA_VK_FOUNDATION_PALETTE_50x.jpg?v=1689625666")</f>
        <v/>
      </c>
      <c r="H3025">
        <f>_xlfn.IMAGE("https://m.media-amazon.com/images/I/61bI3ej7scL._AC_UL320_.jpg")</f>
        <v/>
      </c>
      <c r="K3025" t="inlineStr">
        <is>
          <t>72.0</t>
        </is>
      </c>
      <c r="L3025" t="n">
        <v>29.97</v>
      </c>
      <c r="M3025" s="1" t="inlineStr">
        <is>
          <t>-58.38%</t>
        </is>
      </c>
      <c r="N3025" t="n">
        <v>4.3</v>
      </c>
      <c r="O3025" t="n">
        <v>5584</v>
      </c>
      <c r="Q3025" t="inlineStr">
        <is>
          <t>InStock</t>
        </is>
      </c>
      <c r="R3025" t="inlineStr">
        <is>
          <t>undefined</t>
        </is>
      </c>
      <c r="S3025" t="inlineStr">
        <is>
          <t>7034552007</t>
        </is>
      </c>
    </row>
    <row r="3026" ht="75" customHeight="1">
      <c r="A3026" s="2">
        <f>HYPERLINK("https://camerareadycosmetics.com/products/rcma-vk-foundation-palette", "https://camerareadycosmetics.com/products/rcma-vk-foundation-palette")</f>
        <v/>
      </c>
      <c r="B3026" s="2">
        <f>HYPERLINK("https://camerareadycosmetics.com/products/rcma-vk-foundation-palette", "https://camerareadycosmetics.com/products/rcma-vk-foundation-palette")</f>
        <v/>
      </c>
      <c r="C3026" t="inlineStr">
        <is>
          <t>Cream Foundation Palette</t>
        </is>
      </c>
      <c r="D3026" t="inlineStr">
        <is>
          <t>SHANY Professional Cream Foundation and Camouflage Concealer - 15 Color Palette</t>
        </is>
      </c>
      <c r="E3026" s="2" t="n"/>
      <c r="F3026" t="inlineStr">
        <is>
          <t>B0061KQEVW</t>
        </is>
      </c>
      <c r="G3026">
        <f>_xlfn.IMAGE("https://camerareadycosmetics.com/cdn/shop/products/RCMA_VK_FOUNDATION_PALETTE_50x.jpg?v=1689625666")</f>
        <v/>
      </c>
      <c r="H3026">
        <f>_xlfn.IMAGE("https://m.media-amazon.com/images/I/71U6mlxxCcL._AC_UL320_.jpg")</f>
        <v/>
      </c>
      <c r="K3026" t="inlineStr">
        <is>
          <t>72.0</t>
        </is>
      </c>
      <c r="L3026" t="n">
        <v>18.95</v>
      </c>
      <c r="M3026" s="1" t="inlineStr">
        <is>
          <t>-73.68%</t>
        </is>
      </c>
      <c r="N3026" t="n">
        <v>4.2</v>
      </c>
      <c r="O3026" t="n">
        <v>1314</v>
      </c>
      <c r="Q3026" t="inlineStr">
        <is>
          <t>InStock</t>
        </is>
      </c>
      <c r="R3026" t="inlineStr">
        <is>
          <t>undefined</t>
        </is>
      </c>
      <c r="S3026" t="inlineStr">
        <is>
          <t>7034552007</t>
        </is>
      </c>
    </row>
    <row r="3027" ht="75" customHeight="1">
      <c r="A3027" s="2">
        <f>HYPERLINK("https://camerareadycosmetics.com/products/rcma-vk-foundation-palette", "https://camerareadycosmetics.com/products/rcma-vk-foundation-palette")</f>
        <v/>
      </c>
      <c r="B3027" s="2">
        <f>HYPERLINK("https://camerareadycosmetics.com/products/rcma-vk-foundation-palette", "https://camerareadycosmetics.com/products/rcma-vk-foundation-palette")</f>
        <v/>
      </c>
      <c r="C3027" t="inlineStr">
        <is>
          <t>Cream Foundation Palette</t>
        </is>
      </c>
      <c r="D3027" t="inlineStr">
        <is>
          <t>SHANY Professional Cream Foundation and Camouflage Concealer - 15 Color Palette</t>
        </is>
      </c>
      <c r="E3027" s="2">
        <f>HYPERLINK("https://www.amazon.com/SHANY-Cosmetics-Professional-Foundation-Camouflage/dp/B0061KQEVW/ref=sr_1_3?keywords=Cream+Foundation+Palette&amp;qid=1695565411&amp;sr=8-3", "https://www.amazon.com/SHANY-Cosmetics-Professional-Foundation-Camouflage/dp/B0061KQEVW/ref=sr_1_3?keywords=Cream+Foundation+Palette&amp;qid=1695565411&amp;sr=8-3")</f>
        <v/>
      </c>
      <c r="F3027" t="inlineStr">
        <is>
          <t>B0061KQEVW</t>
        </is>
      </c>
      <c r="G3027">
        <f>_xlfn.IMAGE("https://camerareadycosmetics.com/cdn/shop/products/RCMA_VK_FOUNDATION_PALETTE_50x.jpg?v=1689625666")</f>
        <v/>
      </c>
      <c r="H3027">
        <f>_xlfn.IMAGE("https://m.media-amazon.com/images/I/71U6mlxxCcL._AC_UL320_.jpg")</f>
        <v/>
      </c>
      <c r="K3027" t="inlineStr">
        <is>
          <t>72.0</t>
        </is>
      </c>
      <c r="L3027" t="n">
        <v>18.95</v>
      </c>
      <c r="M3027" s="1" t="inlineStr">
        <is>
          <t>-73.68%</t>
        </is>
      </c>
      <c r="N3027" t="n">
        <v>4.2</v>
      </c>
      <c r="O3027" t="n">
        <v>1314</v>
      </c>
      <c r="Q3027" t="inlineStr">
        <is>
          <t>InStock</t>
        </is>
      </c>
      <c r="R3027" t="inlineStr">
        <is>
          <t>undefined</t>
        </is>
      </c>
      <c r="S3027" t="inlineStr">
        <is>
          <t>7034552007</t>
        </is>
      </c>
    </row>
    <row r="3028" ht="75" customHeight="1">
      <c r="A3028" s="2">
        <f>HYPERLINK("https://camerareadycosmetics.com/products/rcma-vk-foundation-palette", "https://camerareadycosmetics.com/products/rcma-vk-foundation-palette")</f>
        <v/>
      </c>
      <c r="B3028" s="2">
        <f>HYPERLINK("https://camerareadycosmetics.com/products/rcma-vk-foundation-palette", "https://camerareadycosmetics.com/products/rcma-vk-foundation-palette")</f>
        <v/>
      </c>
      <c r="C3028" t="inlineStr">
        <is>
          <t>Cream Foundation Palette</t>
        </is>
      </c>
      <c r="D3028" t="inlineStr">
        <is>
          <t>12 Colors Cream Blush Palette, Color Correcting Concealer Cream Contour, Long Wearing Smudge Proof Blendable Matte Finish Blush Powder Highlighter and Concealer Foundation Palette Makeup (02)</t>
        </is>
      </c>
      <c r="E3028" s="2">
        <f>HYPERLINK("https://www.amazon.com/HOSAILY-Correcting-Concealer-Highlighter-Foundation/dp/B0C6G9HKQG/ref=sr_1_2?keywords=Cream+Foundation+Palette&amp;qid=1695565411&amp;sr=8-2", "https://www.amazon.com/HOSAILY-Correcting-Concealer-Highlighter-Foundation/dp/B0C6G9HKQG/ref=sr_1_2?keywords=Cream+Foundation+Palette&amp;qid=1695565411&amp;sr=8-2")</f>
        <v/>
      </c>
      <c r="F3028" t="inlineStr">
        <is>
          <t>B0C6G9HKQG</t>
        </is>
      </c>
      <c r="G3028">
        <f>_xlfn.IMAGE("https://camerareadycosmetics.com/cdn/shop/products/RCMA_VK_FOUNDATION_PALETTE_50x.jpg?v=1689625666")</f>
        <v/>
      </c>
      <c r="H3028">
        <f>_xlfn.IMAGE("https://m.media-amazon.com/images/I/61NlUj-UEZL._AC_UL320_.jpg")</f>
        <v/>
      </c>
      <c r="K3028" t="inlineStr">
        <is>
          <t>72.0</t>
        </is>
      </c>
      <c r="L3028" t="n">
        <v>11.99</v>
      </c>
      <c r="M3028" s="1" t="inlineStr">
        <is>
          <t>-83.35%</t>
        </is>
      </c>
      <c r="N3028" t="n">
        <v>4.3</v>
      </c>
      <c r="O3028" t="n">
        <v>41</v>
      </c>
      <c r="Q3028" t="inlineStr">
        <is>
          <t>InStock</t>
        </is>
      </c>
      <c r="R3028" t="inlineStr">
        <is>
          <t>undefined</t>
        </is>
      </c>
      <c r="S3028" t="inlineStr">
        <is>
          <t>7034552007</t>
        </is>
      </c>
    </row>
    <row r="3029" ht="75" customHeight="1">
      <c r="A3029" s="2">
        <f>HYPERLINK("https://camerareadycosmetics.com/products/rcma-vk-foundation-palette", "https://camerareadycosmetics.com/products/rcma-vk-foundation-palette")</f>
        <v/>
      </c>
      <c r="B3029" s="2">
        <f>HYPERLINK("https://camerareadycosmetics.com/products/rcma-vk-foundation-palette", "https://camerareadycosmetics.com/products/rcma-vk-foundation-palette")</f>
        <v/>
      </c>
      <c r="C3029" t="inlineStr">
        <is>
          <t>Cream Foundation Palette</t>
        </is>
      </c>
      <c r="D3029" t="inlineStr">
        <is>
          <t>12 Colors Cream Concealer Foundation Palette, Long-Wearing Smudge Proof Blendable Full Coverage Cream Contour Blush Highlighter Color Correcting Concealer Foundation Palette Makeup</t>
        </is>
      </c>
      <c r="E3029" s="2">
        <f>HYPERLINK("https://www.amazon.com/HOSAILY-Foundation-Long-Wearing-Highlighter-Correcting/dp/B0C98W8L8L/ref=sr_1_4?keywords=Cream+Foundation+Palette&amp;qid=1695565411&amp;sr=8-4", "https://www.amazon.com/HOSAILY-Foundation-Long-Wearing-Highlighter-Correcting/dp/B0C98W8L8L/ref=sr_1_4?keywords=Cream+Foundation+Palette&amp;qid=1695565411&amp;sr=8-4")</f>
        <v/>
      </c>
      <c r="F3029" t="inlineStr">
        <is>
          <t>B0C98W8L8L</t>
        </is>
      </c>
      <c r="G3029">
        <f>_xlfn.IMAGE("https://camerareadycosmetics.com/cdn/shop/products/RCMA_VK_FOUNDATION_PALETTE_50x.jpg?v=1689625666")</f>
        <v/>
      </c>
      <c r="H3029">
        <f>_xlfn.IMAGE("https://m.media-amazon.com/images/I/61YKhiH+vmL._AC_UL320_.jpg")</f>
        <v/>
      </c>
      <c r="K3029" t="inlineStr">
        <is>
          <t>72.0</t>
        </is>
      </c>
      <c r="L3029" t="n">
        <v>11.99</v>
      </c>
      <c r="M3029" s="1" t="inlineStr">
        <is>
          <t>-83.35%</t>
        </is>
      </c>
      <c r="N3029" t="n">
        <v>4.5</v>
      </c>
      <c r="O3029" t="n">
        <v>4</v>
      </c>
      <c r="Q3029" t="inlineStr">
        <is>
          <t>InStock</t>
        </is>
      </c>
      <c r="R3029" t="inlineStr">
        <is>
          <t>undefined</t>
        </is>
      </c>
      <c r="S3029" t="inlineStr">
        <is>
          <t>7034552007</t>
        </is>
      </c>
    </row>
    <row r="3030" ht="75" customHeight="1">
      <c r="A3030" s="2">
        <f>HYPERLINK("https://camerareadycosmetics.com/products/rcma-vk-foundation-palette", "https://camerareadycosmetics.com/products/rcma-vk-foundation-palette")</f>
        <v/>
      </c>
      <c r="B3030" s="2">
        <f>HYPERLINK("https://camerareadycosmetics.com/products/rcma-vk-foundation-palette", "https://camerareadycosmetics.com/products/rcma-vk-foundation-palette")</f>
        <v/>
      </c>
      <c r="C3030" t="inlineStr">
        <is>
          <t>Cream Foundation Palette</t>
        </is>
      </c>
      <c r="D3030" t="inlineStr">
        <is>
          <t>Ruby Kisses Flawless Finish with 3D Contour Cream Makeup Palette – Lightweight, Multi-Palette, Contouring Foundation, Creamy, Sculpt &amp;Highlighting, Define Cheekbones (Dark Medium)</t>
        </is>
      </c>
      <c r="E3030" s="2">
        <f>HYPERLINK("https://www.amazon.com/Ruby-Kisses-Flawless-Contour-Palette/dp/B01N8QGSAH/ref=sr_1_1?keywords=Cream+Foundation+Palette&amp;qid=1695565411&amp;sr=8-1", "https://www.amazon.com/Ruby-Kisses-Flawless-Contour-Palette/dp/B01N8QGSAH/ref=sr_1_1?keywords=Cream+Foundation+Palette&amp;qid=1695565411&amp;sr=8-1")</f>
        <v/>
      </c>
      <c r="F3030" t="inlineStr">
        <is>
          <t>B01N8QGSAH</t>
        </is>
      </c>
      <c r="G3030">
        <f>_xlfn.IMAGE("https://camerareadycosmetics.com/cdn/shop/products/RCMA_VK_FOUNDATION_PALETTE_50x.jpg?v=1689625666")</f>
        <v/>
      </c>
      <c r="H3030">
        <f>_xlfn.IMAGE("https://m.media-amazon.com/images/I/61nSG7vRjRS._AC_UL320_.jpg")</f>
        <v/>
      </c>
      <c r="K3030" t="inlineStr">
        <is>
          <t>72.0</t>
        </is>
      </c>
      <c r="L3030" t="n">
        <v>8.15</v>
      </c>
      <c r="M3030" s="1" t="inlineStr">
        <is>
          <t>-88.68%</t>
        </is>
      </c>
      <c r="N3030" t="n">
        <v>4.2</v>
      </c>
      <c r="O3030" t="n">
        <v>3554</v>
      </c>
      <c r="Q3030" t="inlineStr">
        <is>
          <t>InStock</t>
        </is>
      </c>
      <c r="R3030" t="inlineStr">
        <is>
          <t>undefined</t>
        </is>
      </c>
      <c r="S3030" t="inlineStr">
        <is>
          <t>7034552007</t>
        </is>
      </c>
    </row>
    <row r="3031" ht="75" customHeight="1">
      <c r="A3031" s="2">
        <f>HYPERLINK("https://camerareadycosmetics.com/products/rcma-vk-pro-palette-1", "https://camerareadycosmetics.com/products/rcma-vk-pro-palette-1")</f>
        <v/>
      </c>
      <c r="B3031" s="2">
        <f>HYPERLINK("https://camerareadycosmetics.com/products/rcma-vk-foundation-palette", "https://camerareadycosmetics.com/products/rcma-vk-foundation-palette")</f>
        <v/>
      </c>
      <c r="C3031" t="inlineStr">
        <is>
          <t>VK Pro Palette #1</t>
        </is>
      </c>
      <c r="D3031" t="inlineStr">
        <is>
          <t>RCMA Vincent Kehoe 18 Part Foundation/Concealer Palette #10, HD Look, Perfect Finish, Professional Makeup for Movies, Theater or Everyday Use</t>
        </is>
      </c>
      <c r="E3031" s="2">
        <f>HYPERLINK("https://www.amazon.com/RCMA-VK-18-Part-Palette/dp/B01ETVT9O8/ref=sr_1_1?keywords=VK+Pro+Palette&amp;qid=1695565486&amp;sr=8-1", "https://www.amazon.com/RCMA-VK-18-Part-Palette/dp/B01ETVT9O8/ref=sr_1_1?keywords=VK+Pro+Palette&amp;qid=1695565486&amp;sr=8-1")</f>
        <v/>
      </c>
      <c r="F3031" t="inlineStr">
        <is>
          <t>B01ETVT9O8</t>
        </is>
      </c>
      <c r="G3031">
        <f>_xlfn.IMAGE("https://camerareadycosmetics.com/cdn/shop/products/RCMA-vk-pro-palette-pre-filled-open-front_7fd9ba4d-2002-49fe-9ad6-cdac3f8645c3_50x.jpg?v=1508337299")</f>
        <v/>
      </c>
      <c r="H3031">
        <f>_xlfn.IMAGE("https://m.media-amazon.com/images/I/61aDPu2sKRL._AC_UL320_.jpg")</f>
        <v/>
      </c>
      <c r="K3031" t="inlineStr">
        <is>
          <t>98.0</t>
        </is>
      </c>
      <c r="L3031" t="n">
        <v>76.98999999999999</v>
      </c>
      <c r="M3031" s="1" t="inlineStr">
        <is>
          <t>-21.44%</t>
        </is>
      </c>
      <c r="N3031" t="n">
        <v>4.1</v>
      </c>
      <c r="O3031" t="n">
        <v>20</v>
      </c>
      <c r="Q3031" t="inlineStr">
        <is>
          <t>InStock</t>
        </is>
      </c>
      <c r="R3031" t="inlineStr">
        <is>
          <t>undefined</t>
        </is>
      </c>
      <c r="S3031" t="inlineStr">
        <is>
          <t>124481372170</t>
        </is>
      </c>
    </row>
    <row r="3032" ht="75" customHeight="1">
      <c r="A3032" s="2">
        <f>HYPERLINK("https://camerareadycosmetics.com/products/red-carpet-kolour", "https://camerareadycosmetics.com/products/red-carpet-kolour")</f>
        <v/>
      </c>
      <c r="B3032" s="2">
        <f>HYPERLINK("https://camerareadycosmetics.com/products/red-carpet-kolour", "https://camerareadycosmetics.com/products/red-carpet-kolour")</f>
        <v/>
      </c>
      <c r="C3032" t="inlineStr">
        <is>
          <t>- Body Glow</t>
        </is>
      </c>
      <c r="D3032" t="inlineStr">
        <is>
          <t>Glow Fairy Retinol Body Lotion - Anti Aging Firming Cream - Wrinkles, Stretch Marks, Dark Spots, Fine Lines, Firming &amp; Scaly Skin</t>
        </is>
      </c>
      <c r="E3032" s="2">
        <f>HYPERLINK("https://www.amazon.com/Glow-Fairy-Retinol-Body-Lotion/dp/B0979SYYCL/ref=sr_1_4?keywords=-+Body+Glow&amp;qid=1695565486&amp;sr=8-4", "https://www.amazon.com/Glow-Fairy-Retinol-Body-Lotion/dp/B0979SYYCL/ref=sr_1_4?keywords=-+Body+Glow&amp;qid=1695565486&amp;sr=8-4")</f>
        <v/>
      </c>
      <c r="F3032" t="inlineStr">
        <is>
          <t>B0979SYYCL</t>
        </is>
      </c>
      <c r="G3032">
        <f>_xlfn.IMAGE("https://camerareadycosmetics.com/cdn/shop/products/rck_bronzed-tan_1_50x.jpg?v=1689646445")</f>
        <v/>
      </c>
      <c r="H3032">
        <f>_xlfn.IMAGE("https://m.media-amazon.com/images/I/51Q+Ey+A-HL._AC_UL320_.jpg")</f>
        <v/>
      </c>
      <c r="K3032" t="inlineStr">
        <is>
          <t>39.0</t>
        </is>
      </c>
      <c r="L3032" t="n">
        <v>44.95</v>
      </c>
      <c r="M3032" s="1" t="inlineStr">
        <is>
          <t>15.26%</t>
        </is>
      </c>
      <c r="N3032" t="n">
        <v>3.6</v>
      </c>
      <c r="O3032" t="n">
        <v>447</v>
      </c>
      <c r="Q3032" t="inlineStr">
        <is>
          <t>InStock</t>
        </is>
      </c>
      <c r="R3032" t="inlineStr">
        <is>
          <t>39.0</t>
        </is>
      </c>
      <c r="S3032" t="inlineStr">
        <is>
          <t>7042791815</t>
        </is>
      </c>
    </row>
    <row r="3033" ht="75" customHeight="1">
      <c r="A3033" s="2">
        <f>HYPERLINK("https://camerareadycosmetics.com/products/red-carpet-kolour", "https://camerareadycosmetics.com/products/red-carpet-kolour")</f>
        <v/>
      </c>
      <c r="B3033" s="2">
        <f>HYPERLINK("https://camerareadycosmetics.com/products/red-carpet-kolour", "https://camerareadycosmetics.com/products/red-carpet-kolour")</f>
        <v/>
      </c>
      <c r="C3033" t="inlineStr">
        <is>
          <t>- Body Glow</t>
        </is>
      </c>
      <c r="D3033" t="inlineStr">
        <is>
          <t>Kopari Sun Shield Body Glow | SPF 50 UV Protection Sheer Sunscreen Gold Shimmer Mica | Sweat and Water Resistant | Antioxidant Vitamin E Vegan Cruelty Free | Macadamia Hibiscus Avocado Coconut Oils</t>
        </is>
      </c>
      <c r="E3033" s="2">
        <f>HYPERLINK("https://www.amazon.com/Kopari-Protection-Sunscreen-Resistant-Antioxidant/dp/B09VK1W6S7/ref=sr_1_3?keywords=-+Body+Glow&amp;qid=1695565486&amp;sr=8-3", "https://www.amazon.com/Kopari-Protection-Sunscreen-Resistant-Antioxidant/dp/B09VK1W6S7/ref=sr_1_3?keywords=-+Body+Glow&amp;qid=1695565486&amp;sr=8-3")</f>
        <v/>
      </c>
      <c r="F3033" t="inlineStr">
        <is>
          <t>B09VK1W6S7</t>
        </is>
      </c>
      <c r="G3033">
        <f>_xlfn.IMAGE("https://camerareadycosmetics.com/cdn/shop/products/rck_bronzed-tan_1_50x.jpg?v=1689646445")</f>
        <v/>
      </c>
      <c r="H3033">
        <f>_xlfn.IMAGE("https://m.media-amazon.com/images/I/51IPLlMYNWL._AC_UL320_.jpg")</f>
        <v/>
      </c>
      <c r="K3033" t="inlineStr">
        <is>
          <t>39.0</t>
        </is>
      </c>
      <c r="L3033" t="n">
        <v>42</v>
      </c>
      <c r="M3033" s="1" t="inlineStr">
        <is>
          <t>7.69%</t>
        </is>
      </c>
      <c r="N3033" t="n">
        <v>4.3</v>
      </c>
      <c r="O3033" t="n">
        <v>399</v>
      </c>
      <c r="Q3033" t="inlineStr">
        <is>
          <t>InStock</t>
        </is>
      </c>
      <c r="R3033" t="inlineStr">
        <is>
          <t>39.0</t>
        </is>
      </c>
      <c r="S3033" t="inlineStr">
        <is>
          <t>7042791815</t>
        </is>
      </c>
    </row>
    <row r="3034" ht="75" customHeight="1">
      <c r="A3034" s="2">
        <f>HYPERLINK("https://camerareadycosmetics.com/products/red-carpet-kolour", "https://camerareadycosmetics.com/products/red-carpet-kolour")</f>
        <v/>
      </c>
      <c r="B3034" s="2">
        <f>HYPERLINK("https://camerareadycosmetics.com/products/red-carpet-kolour", "https://camerareadycosmetics.com/products/red-carpet-kolour")</f>
        <v/>
      </c>
      <c r="C3034" t="inlineStr">
        <is>
          <t>- Body Glow</t>
        </is>
      </c>
      <c r="D3034" t="inlineStr">
        <is>
          <t>Instant Glow Face &amp; Body Bronzer Makeup 100ml, 3.38 fl. oz.</t>
        </is>
      </c>
      <c r="E3034" s="2">
        <f>HYPERLINK("https://www.amazon.com/Tropez-Instant-Bronzer-Makeup-100ml/dp/B09KNLBD5M/ref=sr_1_8?keywords=-+Body+Glow&amp;qid=1695565486&amp;sr=8-8", "https://www.amazon.com/Tropez-Instant-Bronzer-Makeup-100ml/dp/B09KNLBD5M/ref=sr_1_8?keywords=-+Body+Glow&amp;qid=1695565486&amp;sr=8-8")</f>
        <v/>
      </c>
      <c r="F3034" t="inlineStr">
        <is>
          <t>B09KNLBD5M</t>
        </is>
      </c>
      <c r="G3034">
        <f>_xlfn.IMAGE("https://camerareadycosmetics.com/cdn/shop/products/rck_bronzed-tan_1_50x.jpg?v=1689646445")</f>
        <v/>
      </c>
      <c r="H3034">
        <f>_xlfn.IMAGE("https://m.media-amazon.com/images/I/61pTKP-HnpL._AC_UL320_.jpg")</f>
        <v/>
      </c>
      <c r="K3034" t="inlineStr">
        <is>
          <t>39.0</t>
        </is>
      </c>
      <c r="L3034" t="n">
        <v>25</v>
      </c>
      <c r="M3034" s="1" t="inlineStr">
        <is>
          <t>-35.90%</t>
        </is>
      </c>
      <c r="N3034" t="n">
        <v>4.1</v>
      </c>
      <c r="O3034" t="n">
        <v>255</v>
      </c>
      <c r="Q3034" t="inlineStr">
        <is>
          <t>InStock</t>
        </is>
      </c>
      <c r="R3034" t="inlineStr">
        <is>
          <t>39.0</t>
        </is>
      </c>
      <c r="S3034" t="inlineStr">
        <is>
          <t>7042791815</t>
        </is>
      </c>
    </row>
    <row r="3035" ht="75" customHeight="1">
      <c r="A3035" s="2">
        <f>HYPERLINK("https://camerareadycosmetics.com/products/red-carpet-kolour", "https://camerareadycosmetics.com/products/red-carpet-kolour")</f>
        <v/>
      </c>
      <c r="B3035" s="2">
        <f>HYPERLINK("https://camerareadycosmetics.com/products/red-carpet-kolour", "https://camerareadycosmetics.com/products/red-carpet-kolour")</f>
        <v/>
      </c>
      <c r="C3035" t="inlineStr">
        <is>
          <t>- Body Glow</t>
        </is>
      </c>
      <c r="D3035" t="inlineStr">
        <is>
          <t>Unilever Vaseline Cocoa Shimmer Jelly Stick GLOW UP Body Luminizer For Dewy Radiant Skin 1.4 oz - 3 Count</t>
        </is>
      </c>
      <c r="E3035" s="2">
        <f>HYPERLINK("https://www.amazon.com/Unilever-Vaseline-Shimmer-Luminizer-Radiant/dp/B0B18YXF8S/ref=sr_1_6?keywords=-+Body+Glow&amp;qid=1695565486&amp;sr=8-6", "https://www.amazon.com/Unilever-Vaseline-Shimmer-Luminizer-Radiant/dp/B0B18YXF8S/ref=sr_1_6?keywords=-+Body+Glow&amp;qid=1695565486&amp;sr=8-6")</f>
        <v/>
      </c>
      <c r="F3035" t="inlineStr">
        <is>
          <t>B0B18YXF8S</t>
        </is>
      </c>
      <c r="G3035">
        <f>_xlfn.IMAGE("https://camerareadycosmetics.com/cdn/shop/products/rck_bronzed-tan_1_50x.jpg?v=1689646445")</f>
        <v/>
      </c>
      <c r="H3035">
        <f>_xlfn.IMAGE("https://m.media-amazon.com/images/I/41dLDuaEOeL._AC_UL320_.jpg")</f>
        <v/>
      </c>
      <c r="K3035" t="inlineStr">
        <is>
          <t>39.0</t>
        </is>
      </c>
      <c r="L3035" t="n">
        <v>17.97</v>
      </c>
      <c r="M3035" s="1" t="inlineStr">
        <is>
          <t>-53.92%</t>
        </is>
      </c>
      <c r="N3035" t="n">
        <v>4.5</v>
      </c>
      <c r="O3035" t="n">
        <v>358</v>
      </c>
      <c r="Q3035" t="inlineStr">
        <is>
          <t>InStock</t>
        </is>
      </c>
      <c r="R3035" t="inlineStr">
        <is>
          <t>39.0</t>
        </is>
      </c>
      <c r="S3035" t="inlineStr">
        <is>
          <t>7042791815</t>
        </is>
      </c>
    </row>
    <row r="3036" ht="75" customHeight="1">
      <c r="A3036" s="2">
        <f>HYPERLINK("https://camerareadycosmetics.com/products/red-carpet-kolour", "https://camerareadycosmetics.com/products/red-carpet-kolour")</f>
        <v/>
      </c>
      <c r="B3036" s="2">
        <f>HYPERLINK("https://camerareadycosmetics.com/products/red-carpet-kolour", "https://camerareadycosmetics.com/products/red-carpet-kolour")</f>
        <v/>
      </c>
      <c r="C3036" t="inlineStr">
        <is>
          <t>- Body Glow</t>
        </is>
      </c>
      <c r="D3036" t="inlineStr">
        <is>
          <t>Vaseline Illuminate Me Shimmering Body Oil Created for Melanin Rich Skin, Illuminates Skin with Finishing Touch of Shimmer for Glowing Skin 3.3 oz</t>
        </is>
      </c>
      <c r="E3036" s="2">
        <f>HYPERLINK("https://www.amazon.com/Vaseline-Illuminate-Shimmering-Illuminates-Finishing/dp/B089NCFBQZ/ref=sr_1_2?keywords=-+Body+Glow&amp;qid=1695565486&amp;sr=8-2", "https://www.amazon.com/Vaseline-Illuminate-Shimmering-Illuminates-Finishing/dp/B089NCFBQZ/ref=sr_1_2?keywords=-+Body+Glow&amp;qid=1695565486&amp;sr=8-2")</f>
        <v/>
      </c>
      <c r="F3036" t="inlineStr">
        <is>
          <t>B089NCFBQZ</t>
        </is>
      </c>
      <c r="G3036">
        <f>_xlfn.IMAGE("https://camerareadycosmetics.com/cdn/shop/products/rck_bronzed-tan_1_50x.jpg?v=1689646445")</f>
        <v/>
      </c>
      <c r="H3036">
        <f>_xlfn.IMAGE("https://m.media-amazon.com/images/I/81G12XsnNnL._AC_UL320_.jpg")</f>
        <v/>
      </c>
      <c r="K3036" t="inlineStr">
        <is>
          <t>39.0</t>
        </is>
      </c>
      <c r="L3036" t="n">
        <v>17.68</v>
      </c>
      <c r="M3036" s="1" t="inlineStr">
        <is>
          <t>-54.67%</t>
        </is>
      </c>
      <c r="N3036" t="n">
        <v>4.6</v>
      </c>
      <c r="O3036" t="n">
        <v>6258</v>
      </c>
      <c r="Q3036" t="inlineStr">
        <is>
          <t>InStock</t>
        </is>
      </c>
      <c r="R3036" t="inlineStr">
        <is>
          <t>39.0</t>
        </is>
      </c>
      <c r="S3036" t="inlineStr">
        <is>
          <t>7042791815</t>
        </is>
      </c>
    </row>
    <row r="3037" ht="75" customHeight="1">
      <c r="A3037" s="2">
        <f>HYPERLINK("https://camerareadycosmetics.com/products/red-carpet-kolour", "https://camerareadycosmetics.com/products/red-carpet-kolour")</f>
        <v/>
      </c>
      <c r="B3037" s="2">
        <f>HYPERLINK("https://camerareadycosmetics.com/products/red-carpet-kolour", "https://camerareadycosmetics.com/products/red-carpet-kolour")</f>
        <v/>
      </c>
      <c r="C3037" t="inlineStr">
        <is>
          <t>- Body Glow</t>
        </is>
      </c>
      <c r="D3037" t="inlineStr">
        <is>
          <t>PHOERA Body Shimmer Luminizer, Waterproof Moisturizing and Glow For Face &amp; Body, Radiance All In One Makeup, Face Body Glow Illuminator, Body Highlighter 1fl.oz. (101 Rose Gold)</t>
        </is>
      </c>
      <c r="E3037" s="2">
        <f>HYPERLINK("https://www.amazon.com/Luminizer-Waterproof-Moisturizing-Illuminator-Highlighter/dp/B09M73MTSM/ref=sr_1_7?keywords=-+Body+Glow&amp;qid=1695565486&amp;sr=8-7", "https://www.amazon.com/Luminizer-Waterproof-Moisturizing-Illuminator-Highlighter/dp/B09M73MTSM/ref=sr_1_7?keywords=-+Body+Glow&amp;qid=1695565486&amp;sr=8-7")</f>
        <v/>
      </c>
      <c r="F3037" t="inlineStr">
        <is>
          <t>B09M73MTSM</t>
        </is>
      </c>
      <c r="G3037">
        <f>_xlfn.IMAGE("https://camerareadycosmetics.com/cdn/shop/products/rck_bronzed-tan_1_50x.jpg?v=1689646445")</f>
        <v/>
      </c>
      <c r="H3037">
        <f>_xlfn.IMAGE("https://m.media-amazon.com/images/I/61w4hCWebkL._AC_UL320_.jpg")</f>
        <v/>
      </c>
      <c r="K3037" t="inlineStr">
        <is>
          <t>39.0</t>
        </is>
      </c>
      <c r="L3037" t="n">
        <v>12.99</v>
      </c>
      <c r="M3037" s="1" t="inlineStr">
        <is>
          <t>-66.69%</t>
        </is>
      </c>
      <c r="N3037" t="n">
        <v>4.3</v>
      </c>
      <c r="O3037" t="n">
        <v>229</v>
      </c>
      <c r="Q3037" t="inlineStr">
        <is>
          <t>InStock</t>
        </is>
      </c>
      <c r="R3037" t="inlineStr">
        <is>
          <t>39.0</t>
        </is>
      </c>
      <c r="S3037" t="inlineStr">
        <is>
          <t>7042791815</t>
        </is>
      </c>
    </row>
    <row r="3038" ht="75" customHeight="1">
      <c r="A3038" s="2">
        <f>HYPERLINK("https://camerareadycosmetics.com/products/red-carpet-kolour", "https://camerareadycosmetics.com/products/red-carpet-kolour")</f>
        <v/>
      </c>
      <c r="B3038" s="2">
        <f>HYPERLINK("https://camerareadycosmetics.com/products/red-carpet-kolour", "https://camerareadycosmetics.com/products/red-carpet-kolour")</f>
        <v/>
      </c>
      <c r="C3038" t="inlineStr">
        <is>
          <t>- Body Glow</t>
        </is>
      </c>
      <c r="D3038" t="inlineStr">
        <is>
          <t>LATIBELL Glow in The Dark Body Glitter Gel, UV Body Glitter Glow in The Dark, Neon Body Glitter Face Glitter Gel, Chunky Glitter Makeup Festival Party Rave Accessories - 2.4 oz (Blue)</t>
        </is>
      </c>
      <c r="E3038" s="2">
        <f>HYPERLINK("https://www.amazon.com/LATIBELL-Glitter-Chunky-Festival-Accessories/dp/B0BDKQ7TFQ/ref=sr_1_5?keywords=-+Body+Glow&amp;qid=1695565486&amp;sr=8-5", "https://www.amazon.com/LATIBELL-Glitter-Chunky-Festival-Accessories/dp/B0BDKQ7TFQ/ref=sr_1_5?keywords=-+Body+Glow&amp;qid=1695565486&amp;sr=8-5")</f>
        <v/>
      </c>
      <c r="F3038" t="inlineStr">
        <is>
          <t>B0BDKQ7TFQ</t>
        </is>
      </c>
      <c r="G3038">
        <f>_xlfn.IMAGE("https://camerareadycosmetics.com/cdn/shop/products/rck_bronzed-tan_1_50x.jpg?v=1689646445")</f>
        <v/>
      </c>
      <c r="H3038">
        <f>_xlfn.IMAGE("https://m.media-amazon.com/images/I/71LtM0rgKrL._AC_UL320_.jpg")</f>
        <v/>
      </c>
      <c r="K3038" t="inlineStr">
        <is>
          <t>39.0</t>
        </is>
      </c>
      <c r="L3038" t="n">
        <v>12.98</v>
      </c>
      <c r="M3038" s="1" t="inlineStr">
        <is>
          <t>-66.72%</t>
        </is>
      </c>
      <c r="N3038" t="n">
        <v>4.4</v>
      </c>
      <c r="O3038" t="n">
        <v>114</v>
      </c>
      <c r="Q3038" t="inlineStr">
        <is>
          <t>InStock</t>
        </is>
      </c>
      <c r="R3038" t="inlineStr">
        <is>
          <t>39.0</t>
        </is>
      </c>
      <c r="S3038" t="inlineStr">
        <is>
          <t>7042791815</t>
        </is>
      </c>
    </row>
    <row r="3039" ht="75" customHeight="1">
      <c r="A3039" s="2">
        <f>HYPERLINK("https://camerareadycosmetics.com/products/red-carpet-kolour", "https://camerareadycosmetics.com/products/red-carpet-kolour")</f>
        <v/>
      </c>
      <c r="B3039" s="2">
        <f>HYPERLINK("https://camerareadycosmetics.com/products/red-carpet-kolour", "https://camerareadycosmetics.com/products/red-carpet-kolour")</f>
        <v/>
      </c>
      <c r="C3039" t="inlineStr">
        <is>
          <t>- Body Glow</t>
        </is>
      </c>
      <c r="D3039" t="inlineStr">
        <is>
          <t>Body Shimmer Oil, Waterproof Long Lasting Moisturizing Body Luminizer Glow For Face , Liquid Illuminator Highlighter 1oz/Jars, Makeup Brush Include (Glistening Bronze #03)</t>
        </is>
      </c>
      <c r="E3039" s="2">
        <f>HYPERLINK("https://www.amazon.com/Waterproof-Moisturizing-Illuminator-Highlighter-Glistening/dp/B0B7SNJR5D/ref=sr_1_1?keywords=-+Body+Glow&amp;qid=1695565486&amp;sr=8-1", "https://www.amazon.com/Waterproof-Moisturizing-Illuminator-Highlighter-Glistening/dp/B0B7SNJR5D/ref=sr_1_1?keywords=-+Body+Glow&amp;qid=1695565486&amp;sr=8-1")</f>
        <v/>
      </c>
      <c r="F3039" t="inlineStr">
        <is>
          <t>B0B7SNJR5D</t>
        </is>
      </c>
      <c r="G3039">
        <f>_xlfn.IMAGE("https://camerareadycosmetics.com/cdn/shop/products/rck_bronzed-tan_1_50x.jpg?v=1689646445")</f>
        <v/>
      </c>
      <c r="H3039">
        <f>_xlfn.IMAGE("https://m.media-amazon.com/images/I/61LmCtUP2oL._AC_UL320_.jpg")</f>
        <v/>
      </c>
      <c r="K3039" t="inlineStr">
        <is>
          <t>39.0</t>
        </is>
      </c>
      <c r="L3039" t="n">
        <v>9.99</v>
      </c>
      <c r="M3039" s="1" t="inlineStr">
        <is>
          <t>-74.38%</t>
        </is>
      </c>
      <c r="N3039" t="n">
        <v>4.3</v>
      </c>
      <c r="O3039" t="n">
        <v>561</v>
      </c>
      <c r="Q3039" t="inlineStr">
        <is>
          <t>InStock</t>
        </is>
      </c>
      <c r="R3039" t="inlineStr">
        <is>
          <t>39.0</t>
        </is>
      </c>
      <c r="S3039" t="inlineStr">
        <is>
          <t>7042791815</t>
        </is>
      </c>
    </row>
    <row r="3040" ht="75" customHeight="1">
      <c r="A3040" s="2">
        <f>HYPERLINK("https://camerareadycosmetics.com/products/red-carpet-kolour", "https://camerareadycosmetics.com/products/red-carpet-kolour")</f>
        <v/>
      </c>
      <c r="B3040" s="2">
        <f>HYPERLINK("https://camerareadycosmetics.com/products/red-carpet-kolour", "https://camerareadycosmetics.com/products/red-carpet-kolour")</f>
        <v/>
      </c>
      <c r="C3040" t="inlineStr">
        <is>
          <t>- Body Glow</t>
        </is>
      </c>
      <c r="D3040" t="inlineStr">
        <is>
          <t>20Sheet Glow in The Dark Temporary Tattoos 160+Styles Aldult Fluorescence UV Neon Body Face Fake Waterproof Tattoo Stickers for Women Men,Rave Festival Accessory Party Supplies</t>
        </is>
      </c>
      <c r="E3040" s="2">
        <f>HYPERLINK("https://www.amazon.com/Temporary-Fluorescence-Waterproof-Stickers-Accessory/dp/B0B53RFWZN/ref=sr_1_10?keywords=-+Body+Glow&amp;qid=1695565486&amp;sr=8-10", "https://www.amazon.com/Temporary-Fluorescence-Waterproof-Stickers-Accessory/dp/B0B53RFWZN/ref=sr_1_10?keywords=-+Body+Glow&amp;qid=1695565486&amp;sr=8-10")</f>
        <v/>
      </c>
      <c r="F3040" t="inlineStr">
        <is>
          <t>B0B53RFWZN</t>
        </is>
      </c>
      <c r="G3040">
        <f>_xlfn.IMAGE("https://camerareadycosmetics.com/cdn/shop/products/rck_bronzed-tan_1_50x.jpg?v=1689646445")</f>
        <v/>
      </c>
      <c r="H3040">
        <f>_xlfn.IMAGE("https://m.media-amazon.com/images/I/91asJhC+FxL._AC_UL320_.jpg")</f>
        <v/>
      </c>
      <c r="K3040" t="inlineStr">
        <is>
          <t>39.0</t>
        </is>
      </c>
      <c r="L3040" t="n">
        <v>9.789999999999999</v>
      </c>
      <c r="M3040" s="1" t="inlineStr">
        <is>
          <t>-74.90%</t>
        </is>
      </c>
      <c r="N3040" t="n">
        <v>4.4</v>
      </c>
      <c r="O3040" t="n">
        <v>399</v>
      </c>
      <c r="Q3040" t="inlineStr">
        <is>
          <t>InStock</t>
        </is>
      </c>
      <c r="R3040" t="inlineStr">
        <is>
          <t>39.0</t>
        </is>
      </c>
      <c r="S3040" t="inlineStr">
        <is>
          <t>7042791815</t>
        </is>
      </c>
    </row>
    <row r="3041" ht="75" customHeight="1">
      <c r="A3041" s="2">
        <f>HYPERLINK("https://camerareadycosmetics.com/products/red-carpet-kolour", "https://camerareadycosmetics.com/products/red-carpet-kolour")</f>
        <v/>
      </c>
      <c r="B3041" s="2">
        <f>HYPERLINK("https://camerareadycosmetics.com/products/red-carpet-kolour", "https://camerareadycosmetics.com/products/red-carpet-kolour")</f>
        <v/>
      </c>
      <c r="C3041" t="inlineStr">
        <is>
          <t>- Body Glow</t>
        </is>
      </c>
      <c r="D3041" t="inlineStr">
        <is>
          <t>Unilever Vaseline Cocoa Shimmer Jelly Stick GLOW UP Body Luminizer For Dewy Radiant Skin 1.4 oz - 3 Count</t>
        </is>
      </c>
      <c r="E3041" s="2">
        <f>HYPERLINK("https://www.amazon.com/Unilever-Vaseline-Shimmer-Luminizer-Radiant/dp/B0B18YXF8S/ref=sr_1_6?keywords=-+Body+Glow&amp;qid=1695565486&amp;sr=8-6", "https://www.amazon.com/Unilever-Vaseline-Shimmer-Luminizer-Radiant/dp/B0B18YXF8S/ref=sr_1_6?keywords=-+Body+Glow&amp;qid=1695565486&amp;sr=8-6")</f>
        <v/>
      </c>
      <c r="F3041" t="inlineStr">
        <is>
          <t>B0B18YXF8S</t>
        </is>
      </c>
      <c r="G3041">
        <f>_xlfn.IMAGE("https://camerareadycosmetics.com/cdn/shop/products/rck_bronzed-tan_1_50x.jpg?v=1689646445")</f>
        <v/>
      </c>
      <c r="H3041">
        <f>_xlfn.IMAGE("https://m.media-amazon.com/images/I/41dLDuaEOeL._AC_UL320_.jpg")</f>
        <v/>
      </c>
      <c r="K3041" t="inlineStr">
        <is>
          <t>39.0</t>
        </is>
      </c>
      <c r="L3041" t="n">
        <v>17.97</v>
      </c>
      <c r="M3041" s="1" t="inlineStr">
        <is>
          <t>-53.92%</t>
        </is>
      </c>
      <c r="N3041" t="n">
        <v>4.5</v>
      </c>
      <c r="O3041" t="n">
        <v>358</v>
      </c>
      <c r="Q3041" t="inlineStr">
        <is>
          <t>InStock</t>
        </is>
      </c>
      <c r="R3041" t="inlineStr">
        <is>
          <t>39.0</t>
        </is>
      </c>
      <c r="S3041" t="inlineStr">
        <is>
          <t>7042791815</t>
        </is>
      </c>
    </row>
    <row r="3042" ht="75" customHeight="1">
      <c r="A3042" s="2">
        <f>HYPERLINK("https://camerareadycosmetics.com/products/red-carpet-kolour", "https://camerareadycosmetics.com/products/red-carpet-kolour")</f>
        <v/>
      </c>
      <c r="B3042" s="2">
        <f>HYPERLINK("https://camerareadycosmetics.com/products/red-carpet-kolour", "https://camerareadycosmetics.com/products/red-carpet-kolour")</f>
        <v/>
      </c>
      <c r="C3042" t="inlineStr">
        <is>
          <t>- Body Glow</t>
        </is>
      </c>
      <c r="D3042" t="inlineStr">
        <is>
          <t>Vaseline Illuminate Me Shimmering Body Oil Created for Melanin Rich Skin, Illuminates Skin with Finishing Touch of Shimmer for Glowing Skin 3.3 oz</t>
        </is>
      </c>
      <c r="E3042" s="2">
        <f>HYPERLINK("https://www.amazon.com/Vaseline-Illuminate-Shimmering-Illuminates-Finishing/dp/B089NCFBQZ/ref=sr_1_2?keywords=-+Body+Glow&amp;qid=1695565486&amp;sr=8-2", "https://www.amazon.com/Vaseline-Illuminate-Shimmering-Illuminates-Finishing/dp/B089NCFBQZ/ref=sr_1_2?keywords=-+Body+Glow&amp;qid=1695565486&amp;sr=8-2")</f>
        <v/>
      </c>
      <c r="F3042" t="inlineStr">
        <is>
          <t>B089NCFBQZ</t>
        </is>
      </c>
      <c r="G3042">
        <f>_xlfn.IMAGE("https://camerareadycosmetics.com/cdn/shop/products/rck_bronzed-tan_1_50x.jpg?v=1689646445")</f>
        <v/>
      </c>
      <c r="H3042">
        <f>_xlfn.IMAGE("https://m.media-amazon.com/images/I/81G12XsnNnL._AC_UL320_.jpg")</f>
        <v/>
      </c>
      <c r="K3042" t="inlineStr">
        <is>
          <t>39.0</t>
        </is>
      </c>
      <c r="L3042" t="n">
        <v>17.68</v>
      </c>
      <c r="M3042" s="1" t="inlineStr">
        <is>
          <t>-54.67%</t>
        </is>
      </c>
      <c r="N3042" t="n">
        <v>4.6</v>
      </c>
      <c r="O3042" t="n">
        <v>6258</v>
      </c>
      <c r="Q3042" t="inlineStr">
        <is>
          <t>InStock</t>
        </is>
      </c>
      <c r="R3042" t="inlineStr">
        <is>
          <t>39.0</t>
        </is>
      </c>
      <c r="S3042" t="inlineStr">
        <is>
          <t>7042791815</t>
        </is>
      </c>
    </row>
    <row r="3043" ht="75" customHeight="1">
      <c r="A3043" s="2">
        <f>HYPERLINK("https://camerareadycosmetics.com/products/red-carpet-kolour", "https://camerareadycosmetics.com/products/red-carpet-kolour")</f>
        <v/>
      </c>
      <c r="B3043" s="2">
        <f>HYPERLINK("https://camerareadycosmetics.com/products/red-carpet-kolour", "https://camerareadycosmetics.com/products/red-carpet-kolour")</f>
        <v/>
      </c>
      <c r="C3043" t="inlineStr">
        <is>
          <t>- Body Glow</t>
        </is>
      </c>
      <c r="D3043" t="inlineStr">
        <is>
          <t>PHOERA Body Shimmer Luminizer, Waterproof Moisturizing and Glow For Face &amp; Body, Radiance All In One Makeup, Face Body Glow Illuminator, Body Highlighter 1fl.oz. (101 Rose Gold)</t>
        </is>
      </c>
      <c r="E3043" s="2">
        <f>HYPERLINK("https://www.amazon.com/Luminizer-Waterproof-Moisturizing-Illuminator-Highlighter/dp/B09M73MTSM/ref=sr_1_7?keywords=-+Body+Glow&amp;qid=1695565486&amp;sr=8-7", "https://www.amazon.com/Luminizer-Waterproof-Moisturizing-Illuminator-Highlighter/dp/B09M73MTSM/ref=sr_1_7?keywords=-+Body+Glow&amp;qid=1695565486&amp;sr=8-7")</f>
        <v/>
      </c>
      <c r="F3043" t="inlineStr">
        <is>
          <t>B09M73MTSM</t>
        </is>
      </c>
      <c r="G3043">
        <f>_xlfn.IMAGE("https://camerareadycosmetics.com/cdn/shop/products/rck_bronzed-tan_1_50x.jpg?v=1689646445")</f>
        <v/>
      </c>
      <c r="H3043">
        <f>_xlfn.IMAGE("https://m.media-amazon.com/images/I/61w4hCWebkL._AC_UL320_.jpg")</f>
        <v/>
      </c>
      <c r="K3043" t="inlineStr">
        <is>
          <t>39.0</t>
        </is>
      </c>
      <c r="L3043" t="n">
        <v>12.99</v>
      </c>
      <c r="M3043" s="1" t="inlineStr">
        <is>
          <t>-66.69%</t>
        </is>
      </c>
      <c r="N3043" t="n">
        <v>4.3</v>
      </c>
      <c r="O3043" t="n">
        <v>229</v>
      </c>
      <c r="Q3043" t="inlineStr">
        <is>
          <t>InStock</t>
        </is>
      </c>
      <c r="R3043" t="inlineStr">
        <is>
          <t>39.0</t>
        </is>
      </c>
      <c r="S3043" t="inlineStr">
        <is>
          <t>7042791815</t>
        </is>
      </c>
    </row>
    <row r="3044" ht="75" customHeight="1">
      <c r="A3044" s="2">
        <f>HYPERLINK("https://camerareadycosmetics.com/products/red-carpet-kolour", "https://camerareadycosmetics.com/products/red-carpet-kolour")</f>
        <v/>
      </c>
      <c r="B3044" s="2">
        <f>HYPERLINK("https://camerareadycosmetics.com/products/red-carpet-kolour", "https://camerareadycosmetics.com/products/red-carpet-kolour")</f>
        <v/>
      </c>
      <c r="C3044" t="inlineStr">
        <is>
          <t>- Body Glow</t>
        </is>
      </c>
      <c r="D3044" t="inlineStr">
        <is>
          <t>LATIBELL Glow in The Dark Body Glitter Gel, UV Body Glitter Glow in The Dark, Neon Body Glitter Face Glitter Gel, Chunky Glitter Makeup Festival Party Rave Accessories - 2.4 oz (Blue)</t>
        </is>
      </c>
      <c r="E3044" s="2">
        <f>HYPERLINK("https://www.amazon.com/LATIBELL-Glitter-Chunky-Festival-Accessories/dp/B0BDKQ7TFQ/ref=sr_1_5?keywords=-+Body+Glow&amp;qid=1695565486&amp;sr=8-5", "https://www.amazon.com/LATIBELL-Glitter-Chunky-Festival-Accessories/dp/B0BDKQ7TFQ/ref=sr_1_5?keywords=-+Body+Glow&amp;qid=1695565486&amp;sr=8-5")</f>
        <v/>
      </c>
      <c r="F3044" t="inlineStr">
        <is>
          <t>B0BDKQ7TFQ</t>
        </is>
      </c>
      <c r="G3044">
        <f>_xlfn.IMAGE("https://camerareadycosmetics.com/cdn/shop/products/rck_bronzed-tan_1_50x.jpg?v=1689646445")</f>
        <v/>
      </c>
      <c r="H3044">
        <f>_xlfn.IMAGE("https://m.media-amazon.com/images/I/71LtM0rgKrL._AC_UL320_.jpg")</f>
        <v/>
      </c>
      <c r="K3044" t="inlineStr">
        <is>
          <t>39.0</t>
        </is>
      </c>
      <c r="L3044" t="n">
        <v>12.98</v>
      </c>
      <c r="M3044" s="1" t="inlineStr">
        <is>
          <t>-66.72%</t>
        </is>
      </c>
      <c r="N3044" t="n">
        <v>4.4</v>
      </c>
      <c r="O3044" t="n">
        <v>114</v>
      </c>
      <c r="Q3044" t="inlineStr">
        <is>
          <t>InStock</t>
        </is>
      </c>
      <c r="R3044" t="inlineStr">
        <is>
          <t>39.0</t>
        </is>
      </c>
      <c r="S3044" t="inlineStr">
        <is>
          <t>7042791815</t>
        </is>
      </c>
    </row>
    <row r="3045" ht="75" customHeight="1">
      <c r="A3045" s="2">
        <f>HYPERLINK("https://camerareadycosmetics.com/products/red-carpet-kolour", "https://camerareadycosmetics.com/products/red-carpet-kolour")</f>
        <v/>
      </c>
      <c r="B3045" s="2">
        <f>HYPERLINK("https://camerareadycosmetics.com/products/red-carpet-kolour", "https://camerareadycosmetics.com/products/red-carpet-kolour")</f>
        <v/>
      </c>
      <c r="C3045" t="inlineStr">
        <is>
          <t>- Body Glow</t>
        </is>
      </c>
      <c r="D3045" t="inlineStr">
        <is>
          <t>Body Shimmer Oil, Waterproof Long Lasting Moisturizing Body Luminizer Glow For Face , Liquid Illuminator Highlighter 1oz/Jars, Makeup Brush Include (Glistening Bronze #03)</t>
        </is>
      </c>
      <c r="E3045" s="2">
        <f>HYPERLINK("https://www.amazon.com/Waterproof-Moisturizing-Illuminator-Highlighter-Glistening/dp/B0B7SNJR5D/ref=sr_1_1?keywords=-+Body+Glow&amp;qid=1695565486&amp;sr=8-1", "https://www.amazon.com/Waterproof-Moisturizing-Illuminator-Highlighter-Glistening/dp/B0B7SNJR5D/ref=sr_1_1?keywords=-+Body+Glow&amp;qid=1695565486&amp;sr=8-1")</f>
        <v/>
      </c>
      <c r="F3045" t="inlineStr">
        <is>
          <t>B0B7SNJR5D</t>
        </is>
      </c>
      <c r="G3045">
        <f>_xlfn.IMAGE("https://camerareadycosmetics.com/cdn/shop/products/rck_bronzed-tan_1_50x.jpg?v=1689646445")</f>
        <v/>
      </c>
      <c r="H3045">
        <f>_xlfn.IMAGE("https://m.media-amazon.com/images/I/61LmCtUP2oL._AC_UL320_.jpg")</f>
        <v/>
      </c>
      <c r="K3045" t="inlineStr">
        <is>
          <t>39.0</t>
        </is>
      </c>
      <c r="L3045" t="n">
        <v>9.99</v>
      </c>
      <c r="M3045" s="1" t="inlineStr">
        <is>
          <t>-74.38%</t>
        </is>
      </c>
      <c r="N3045" t="n">
        <v>4.3</v>
      </c>
      <c r="O3045" t="n">
        <v>561</v>
      </c>
      <c r="Q3045" t="inlineStr">
        <is>
          <t>InStock</t>
        </is>
      </c>
      <c r="R3045" t="inlineStr">
        <is>
          <t>39.0</t>
        </is>
      </c>
      <c r="S3045" t="inlineStr">
        <is>
          <t>7042791815</t>
        </is>
      </c>
    </row>
    <row r="3046" ht="75" customHeight="1">
      <c r="A3046" s="2">
        <f>HYPERLINK("https://camerareadycosmetics.com/products/red-carpet-kolour", "https://camerareadycosmetics.com/products/red-carpet-kolour")</f>
        <v/>
      </c>
      <c r="B3046" s="2">
        <f>HYPERLINK("https://camerareadycosmetics.com/products/red-carpet-kolour", "https://camerareadycosmetics.com/products/red-carpet-kolour")</f>
        <v/>
      </c>
      <c r="C3046" t="inlineStr">
        <is>
          <t>- Body Glow</t>
        </is>
      </c>
      <c r="D3046" t="inlineStr">
        <is>
          <t>20Sheet Glow in The Dark Temporary Tattoos 160+Styles Aldult Fluorescence UV Neon Body Face Fake Waterproof Tattoo Stickers for Women Men,Rave Festival Accessory Party Supplies</t>
        </is>
      </c>
      <c r="E3046" s="2">
        <f>HYPERLINK("https://www.amazon.com/Temporary-Fluorescence-Waterproof-Stickers-Accessory/dp/B0B53RFWZN/ref=sr_1_10?keywords=-+Body+Glow&amp;qid=1695565486&amp;sr=8-10", "https://www.amazon.com/Temporary-Fluorescence-Waterproof-Stickers-Accessory/dp/B0B53RFWZN/ref=sr_1_10?keywords=-+Body+Glow&amp;qid=1695565486&amp;sr=8-10")</f>
        <v/>
      </c>
      <c r="F3046" t="inlineStr">
        <is>
          <t>B0B53RFWZN</t>
        </is>
      </c>
      <c r="G3046">
        <f>_xlfn.IMAGE("https://camerareadycosmetics.com/cdn/shop/products/rck_bronzed-tan_1_50x.jpg?v=1689646445")</f>
        <v/>
      </c>
      <c r="H3046">
        <f>_xlfn.IMAGE("https://m.media-amazon.com/images/I/91asJhC+FxL._AC_UL320_.jpg")</f>
        <v/>
      </c>
      <c r="K3046" t="inlineStr">
        <is>
          <t>39.0</t>
        </is>
      </c>
      <c r="L3046" t="n">
        <v>9.789999999999999</v>
      </c>
      <c r="M3046" s="1" t="inlineStr">
        <is>
          <t>-74.90%</t>
        </is>
      </c>
      <c r="N3046" t="n">
        <v>4.4</v>
      </c>
      <c r="O3046" t="n">
        <v>399</v>
      </c>
      <c r="Q3046" t="inlineStr">
        <is>
          <t>InStock</t>
        </is>
      </c>
      <c r="R3046" t="inlineStr">
        <is>
          <t>39.0</t>
        </is>
      </c>
      <c r="S3046" t="inlineStr">
        <is>
          <t>7042791815</t>
        </is>
      </c>
    </row>
    <row r="3047" ht="75" customHeight="1">
      <c r="A3047" s="2">
        <f>HYPERLINK("https://camerareadycosmetics.com/products/rituel-de-fille-color-nectar-pigment-balm", "https://camerareadycosmetics.com/products/rituel-de-fille-color-nectar-pigment-balm")</f>
        <v/>
      </c>
      <c r="B3047" s="2">
        <f>HYPERLINK("https://camerareadycosmetics.com/products/rituel-de-fille-color-nectar-pigment-balm", "https://camerareadycosmetics.com/products/rituel-de-fille-color-nectar-pigment-balm")</f>
        <v/>
      </c>
      <c r="C3047" t="inlineStr">
        <is>
          <t>Color Nectar Pigment Balm</t>
        </is>
      </c>
      <c r="D3047" t="inlineStr">
        <is>
          <t>Rituel de Fille Color Nectar Pigment Balm - Cream Eyeshadow, Face Blush, and Lip (Bee Sting)</t>
        </is>
      </c>
      <c r="E3047" s="2">
        <f>HYPERLINK("https://www.amazon.com/Rituel-Fille-Color-Nectar-Pigment/dp/B08MCLMVGD/ref=sr_1_1?keywords=Color+Nectar+Pigment+Balm&amp;qid=1695565714&amp;sr=8-1", "https://www.amazon.com/Rituel-Fille-Color-Nectar-Pigment/dp/B08MCLMVGD/ref=sr_1_1?keywords=Color+Nectar+Pigment+Balm&amp;qid=1695565714&amp;sr=8-1")</f>
        <v/>
      </c>
      <c r="F3047" t="inlineStr">
        <is>
          <t>B08MCLMVGD</t>
        </is>
      </c>
      <c r="G3047">
        <f>_xlfn.IMAGE("https://camerareadycosmetics.com/cdn/shop/products/Hummingbird-Color-Nectar-Pigment-Balm-Swirl_2000px_2000x_5bb60b04-c9a0-43b6-b0bc-864e946da181_50x.jpg?v=1632760313")</f>
        <v/>
      </c>
      <c r="H3047">
        <f>_xlfn.IMAGE("https://m.media-amazon.com/images/I/61UJJAAetNL._AC_UL320_.jpg")</f>
        <v/>
      </c>
      <c r="K3047" t="inlineStr">
        <is>
          <t>26.0</t>
        </is>
      </c>
      <c r="L3047" t="n">
        <v>30</v>
      </c>
      <c r="M3047" s="1" t="inlineStr">
        <is>
          <t>15.38%</t>
        </is>
      </c>
      <c r="N3047" t="n">
        <v>4.2</v>
      </c>
      <c r="O3047" t="n">
        <v>22</v>
      </c>
      <c r="Q3047" t="inlineStr">
        <is>
          <t>InStock</t>
        </is>
      </c>
      <c r="R3047" t="inlineStr">
        <is>
          <t>undefined</t>
        </is>
      </c>
      <c r="S3047" t="inlineStr">
        <is>
          <t>6048169689273</t>
        </is>
      </c>
    </row>
    <row r="3048" ht="75" customHeight="1">
      <c r="A3048" s="2">
        <f>HYPERLINK("https://camerareadycosmetics.com/products/rituel-de-fille-color-nectar-pigment-balm", "https://camerareadycosmetics.com/products/rituel-de-fille-color-nectar-pigment-balm")</f>
        <v/>
      </c>
      <c r="B3048" s="2">
        <f>HYPERLINK("https://camerareadycosmetics.com/products/rituel-de-fille-color-nectar-pigment-balm", "https://camerareadycosmetics.com/products/rituel-de-fille-color-nectar-pigment-balm")</f>
        <v/>
      </c>
      <c r="C3048" t="inlineStr">
        <is>
          <t>Color Nectar Pigment Balm</t>
        </is>
      </c>
      <c r="D3048" t="inlineStr">
        <is>
          <t>Julep It's Balm: Tinted Lip Balm + Buildable Lip Color - Nectar Pink Creme - Natural Gloss Finish - Hydrating Vitamin E Core - Vegan</t>
        </is>
      </c>
      <c r="E3048" s="2">
        <f>HYPERLINK("https://www.amazon.com/Julep-Buildable-Lipstick-Cracked-Chapped/dp/B01FSJV44S/ref=sr_1_2?keywords=Color+Nectar+Pigment+Balm&amp;qid=1695565714&amp;sr=8-2", "https://www.amazon.com/Julep-Buildable-Lipstick-Cracked-Chapped/dp/B01FSJV44S/ref=sr_1_2?keywords=Color+Nectar+Pigment+Balm&amp;qid=1695565714&amp;sr=8-2")</f>
        <v/>
      </c>
      <c r="F3048" t="inlineStr">
        <is>
          <t>B01FSJV44S</t>
        </is>
      </c>
      <c r="G3048">
        <f>_xlfn.IMAGE("https://camerareadycosmetics.com/cdn/shop/products/Hummingbird-Color-Nectar-Pigment-Balm-Swirl_2000px_2000x_5bb60b04-c9a0-43b6-b0bc-864e946da181_50x.jpg?v=1632760313")</f>
        <v/>
      </c>
      <c r="H3048">
        <f>_xlfn.IMAGE("https://m.media-amazon.com/images/I/61Ktp4cHpeL._AC_UL320_.jpg")</f>
        <v/>
      </c>
      <c r="K3048" t="inlineStr">
        <is>
          <t>26.0</t>
        </is>
      </c>
      <c r="L3048" t="n">
        <v>12</v>
      </c>
      <c r="M3048" s="1" t="inlineStr">
        <is>
          <t>-53.85%</t>
        </is>
      </c>
      <c r="N3048" t="n">
        <v>4.1</v>
      </c>
      <c r="O3048" t="n">
        <v>8794</v>
      </c>
      <c r="Q3048" t="inlineStr">
        <is>
          <t>InStock</t>
        </is>
      </c>
      <c r="R3048" t="inlineStr">
        <is>
          <t>undefined</t>
        </is>
      </c>
      <c r="S3048" t="inlineStr">
        <is>
          <t>6048169689273</t>
        </is>
      </c>
    </row>
    <row r="3049" ht="75" customHeight="1">
      <c r="A3049" s="2">
        <f>HYPERLINK("https://camerareadycosmetics.com/products/rituel-de-fille-color-nectar-pigment-balm", "https://camerareadycosmetics.com/products/rituel-de-fille-color-nectar-pigment-balm")</f>
        <v/>
      </c>
      <c r="B3049" s="2">
        <f>HYPERLINK("https://camerareadycosmetics.com/products/rituel-de-fille-color-nectar-pigment-balm", "https://camerareadycosmetics.com/products/rituel-de-fille-color-nectar-pigment-balm")</f>
        <v/>
      </c>
      <c r="C3049" t="inlineStr">
        <is>
          <t>Color Nectar Pigment Balm</t>
        </is>
      </c>
      <c r="D3049" t="inlineStr">
        <is>
          <t>Julep It's Balm: Tinted Lip Balm + Buildable Lip Color - Nectar Pink Creme - Natural Gloss Finish - Hydrating Vitamin E Core - Vegan</t>
        </is>
      </c>
      <c r="E3049" s="2">
        <f>HYPERLINK("https://www.amazon.com/Julep-Buildable-Lipstick-Cracked-Chapped/dp/B01FSJV44S/ref=sr_1_2?keywords=Color+Nectar+Pigment+Balm&amp;qid=1695565714&amp;sr=8-2", "https://www.amazon.com/Julep-Buildable-Lipstick-Cracked-Chapped/dp/B01FSJV44S/ref=sr_1_2?keywords=Color+Nectar+Pigment+Balm&amp;qid=1695565714&amp;sr=8-2")</f>
        <v/>
      </c>
      <c r="F3049" t="inlineStr">
        <is>
          <t>B01FSJV44S</t>
        </is>
      </c>
      <c r="G3049">
        <f>_xlfn.IMAGE("https://camerareadycosmetics.com/cdn/shop/products/Hummingbird-Color-Nectar-Pigment-Balm-Swirl_2000px_2000x_5bb60b04-c9a0-43b6-b0bc-864e946da181_50x.jpg?v=1632760313")</f>
        <v/>
      </c>
      <c r="H3049">
        <f>_xlfn.IMAGE("https://m.media-amazon.com/images/I/61Ktp4cHpeL._AC_UL320_.jpg")</f>
        <v/>
      </c>
      <c r="K3049" t="inlineStr">
        <is>
          <t>26.0</t>
        </is>
      </c>
      <c r="L3049" t="n">
        <v>12</v>
      </c>
      <c r="M3049" s="1" t="inlineStr">
        <is>
          <t>-53.85%</t>
        </is>
      </c>
      <c r="N3049" t="n">
        <v>4.1</v>
      </c>
      <c r="O3049" t="n">
        <v>8794</v>
      </c>
      <c r="Q3049" t="inlineStr">
        <is>
          <t>InStock</t>
        </is>
      </c>
      <c r="R3049" t="inlineStr">
        <is>
          <t>undefined</t>
        </is>
      </c>
      <c r="S3049" t="inlineStr">
        <is>
          <t>6048169689273</t>
        </is>
      </c>
    </row>
    <row r="3050" ht="75" customHeight="1">
      <c r="A3050" s="2">
        <f>HYPERLINK("https://camerareadycosmetics.com/products/rituel-de-fille-enchanted-lip-sheer", "https://camerareadycosmetics.com/products/rituel-de-fille-enchanted-lip-sheer")</f>
        <v/>
      </c>
      <c r="B3050" s="2">
        <f>HYPERLINK("https://camerareadycosmetics.com/products/rituel-de-fille-enchanted-lip-sheer", "https://camerareadycosmetics.com/products/rituel-de-fille-enchanted-lip-sheer")</f>
        <v/>
      </c>
      <c r="C3050" t="inlineStr">
        <is>
          <t>Enchanted Lip Sheer</t>
        </is>
      </c>
      <c r="D3050" t="inlineStr">
        <is>
          <t>Rituel de Fille Enchanted Lip Sheer - Semi-Matte Moisture Lipstick, Whitethorn</t>
        </is>
      </c>
      <c r="E3050" s="2">
        <f>HYPERLINK("https://www.amazon.com/Rituel-Fille-Enchanted-Lip-Sheer/dp/B01H5NVZJO/ref=sr_1_1?keywords=Enchanted+Lip+Sheer&amp;qid=1695565611&amp;sr=8-1", "https://www.amazon.com/Rituel-Fille-Enchanted-Lip-Sheer/dp/B01H5NVZJO/ref=sr_1_1?keywords=Enchanted+Lip+Sheer&amp;qid=1695565611&amp;sr=8-1")</f>
        <v/>
      </c>
      <c r="F3050" t="inlineStr">
        <is>
          <t>B01H5NVZJO</t>
        </is>
      </c>
      <c r="G3050">
        <f>_xlfn.IMAGE("https://camerareadycosmetics.com/cdn/shop/products/Rue_swirl_1000__26265.1438466372.1280.1280.jpgc-2_50x.jpg?v=1506756507")</f>
        <v/>
      </c>
      <c r="H3050">
        <f>_xlfn.IMAGE("https://m.media-amazon.com/images/I/71f4iruAtCL._AC_UL320_.jpg")</f>
        <v/>
      </c>
      <c r="K3050" t="inlineStr">
        <is>
          <t>25.0</t>
        </is>
      </c>
      <c r="L3050" t="n">
        <v>29</v>
      </c>
      <c r="M3050" s="1" t="inlineStr">
        <is>
          <t>16.00%</t>
        </is>
      </c>
      <c r="N3050" t="n">
        <v>3.9</v>
      </c>
      <c r="O3050" t="n">
        <v>70</v>
      </c>
      <c r="Q3050" t="inlineStr">
        <is>
          <t>InStock</t>
        </is>
      </c>
      <c r="R3050" t="inlineStr">
        <is>
          <t>undefined</t>
        </is>
      </c>
      <c r="S3050" t="inlineStr">
        <is>
          <t>11033920458</t>
        </is>
      </c>
    </row>
    <row r="3051" ht="75" customHeight="1">
      <c r="A3051" s="2">
        <f>HYPERLINK("https://camerareadycosmetics.com/products/rituel-de-fille-inner-glow-creme-pigment", "https://camerareadycosmetics.com/products/rituel-de-fille-inner-glow-creme-pigment")</f>
        <v/>
      </c>
      <c r="B3051" s="2">
        <f>HYPERLINK("https://camerareadycosmetics.com/products/rituel-de-fille-inner-glow-creme-pigment", "https://camerareadycosmetics.com/products/rituel-de-fille-inner-glow-creme-pigment")</f>
        <v/>
      </c>
      <c r="C3051" t="inlineStr">
        <is>
          <t>Inner Glow Creme Pigment</t>
        </is>
      </c>
      <c r="D3051" t="inlineStr">
        <is>
          <t>Rituel de Fille Inner Glow Crème Pigment - Cream Shadow/Blush/Lip, Desire</t>
        </is>
      </c>
      <c r="E3051" s="2">
        <f>HYPERLINK("https://www.amazon.com/Rituel-Fille-Inner-Cr%C3%A8me-Pigment/dp/B07KPM8TGV/ref=sr_1_1?keywords=Inner+Glow+Creme+Pigment&amp;qid=1695565559&amp;sr=8-1", "https://www.amazon.com/Rituel-Fille-Inner-Cr%C3%A8me-Pigment/dp/B07KPM8TGV/ref=sr_1_1?keywords=Inner+Glow+Creme+Pigment&amp;qid=1695565559&amp;sr=8-1")</f>
        <v/>
      </c>
      <c r="F3051" t="inlineStr">
        <is>
          <t>B07KPM8TGV</t>
        </is>
      </c>
      <c r="G3051">
        <f>_xlfn.IMAGE("https://camerareadycosmetics.com/cdn/shop/products/Delirium__72218.1437612422.1280.1280.jpgc-2_50x.jpg?v=1554916580")</f>
        <v/>
      </c>
      <c r="H3051">
        <f>_xlfn.IMAGE("https://m.media-amazon.com/images/I/714pE9ePo1L._AC_UL320_.jpg")</f>
        <v/>
      </c>
      <c r="K3051" t="inlineStr">
        <is>
          <t>32.0</t>
        </is>
      </c>
      <c r="L3051" t="n">
        <v>36</v>
      </c>
      <c r="M3051" s="1" t="inlineStr">
        <is>
          <t>12.50%</t>
        </is>
      </c>
      <c r="N3051" t="n">
        <v>4.5</v>
      </c>
      <c r="O3051" t="n">
        <v>60</v>
      </c>
      <c r="Q3051" t="inlineStr">
        <is>
          <t>InStock</t>
        </is>
      </c>
      <c r="R3051" t="inlineStr">
        <is>
          <t>undefined</t>
        </is>
      </c>
      <c r="S3051" t="inlineStr">
        <is>
          <t>11035984906</t>
        </is>
      </c>
    </row>
    <row r="3052" ht="75" customHeight="1">
      <c r="A3052" s="2">
        <f>HYPERLINK("https://camerareadycosmetics.com/products/rituel-de-fille-rare-light-luminizer", "https://camerareadycosmetics.com/products/rituel-de-fille-rare-light-luminizer")</f>
        <v/>
      </c>
      <c r="B3052" s="2">
        <f>HYPERLINK("https://camerareadycosmetics.com/products/rituel-de-fille-rare-light-luminizer", "https://camerareadycosmetics.com/products/rituel-de-fille-rare-light-luminizer")</f>
        <v/>
      </c>
      <c r="C3052" t="inlineStr">
        <is>
          <t>Rare Light Luminizer</t>
        </is>
      </c>
      <c r="D3052" t="inlineStr">
        <is>
          <t>Rare Light Crème Luminizer - Cream Highlighter, Solaris</t>
        </is>
      </c>
      <c r="E3052" s="2">
        <f>HYPERLINK("https://www.amazon.com/Rituel-Fille-Light-Cr%C3%A8me-Luminizer/dp/B07KPL5GDQ/ref=sr_1_1?keywords=Rare+Light+Luminizer&amp;qid=1695565548&amp;sr=8-1", "https://www.amazon.com/Rituel-Fille-Light-Cr%C3%A8me-Luminizer/dp/B07KPL5GDQ/ref=sr_1_1?keywords=Rare+Light+Luminizer&amp;qid=1695565548&amp;sr=8-1")</f>
        <v/>
      </c>
      <c r="F3052" t="inlineStr">
        <is>
          <t>B07KPL5GDQ</t>
        </is>
      </c>
      <c r="G3052">
        <f>_xlfn.IMAGE("https://camerareadycosmetics.com/cdn/shop/products/stellaris-rare-light-creme-luminizer-swirl-high-res_800x_e802cedd-6926-4467-acc1-a273655af1c4_50x.jpg?v=1536423116")</f>
        <v/>
      </c>
      <c r="H3052">
        <f>_xlfn.IMAGE("https://m.media-amazon.com/images/I/711Pbk75-lL._AC_UL320_.jpg")</f>
        <v/>
      </c>
      <c r="K3052" t="inlineStr">
        <is>
          <t>32.0</t>
        </is>
      </c>
      <c r="L3052" t="n">
        <v>36</v>
      </c>
      <c r="M3052" s="1" t="inlineStr">
        <is>
          <t>12.50%</t>
        </is>
      </c>
      <c r="N3052" t="n">
        <v>4.3</v>
      </c>
      <c r="O3052" t="n">
        <v>34</v>
      </c>
      <c r="Q3052" t="inlineStr">
        <is>
          <t>InStock</t>
        </is>
      </c>
      <c r="R3052" t="inlineStr">
        <is>
          <t>undefined</t>
        </is>
      </c>
      <c r="S3052" t="inlineStr">
        <is>
          <t>11034712266</t>
        </is>
      </c>
    </row>
    <row r="3053" ht="75" customHeight="1">
      <c r="A3053" s="2">
        <f>HYPERLINK("https://camerareadycosmetics.com/products/rituel-de-fille-the-ethereal-veil-conceal-and-cover", "https://camerareadycosmetics.com/products/rituel-de-fille-the-ethereal-veil-conceal-and-cover")</f>
        <v/>
      </c>
      <c r="B3053" s="2">
        <f>HYPERLINK("https://camerareadycosmetics.com/products/rituel-de-fille-the-ethereal-veil-conceal-and-cover", "https://camerareadycosmetics.com/products/rituel-de-fille-the-ethereal-veil-conceal-and-cover")</f>
        <v/>
      </c>
      <c r="C3053" t="inlineStr">
        <is>
          <t>Rituel de Fille The Ethereal Veil Conceal and Cover</t>
        </is>
      </c>
      <c r="D3053" t="inlineStr">
        <is>
          <t>Rituel de Fille The Ethereal Veil Conceal &amp; Cover - Base/Concealer, Eris</t>
        </is>
      </c>
      <c r="E3053" s="2">
        <f>HYPERLINK("https://www.amazon.com/Rituel-Fille-Ethereal-Conceal-Cover/dp/B07KPJSN3V/ref=sr_1_1?keywords=Rituel+de+Fille+The+Ethereal+Veil+Conceal+and+Cover&amp;qid=1695565662&amp;sr=8-1", "https://www.amazon.com/Rituel-Fille-Ethereal-Conceal-Cover/dp/B07KPJSN3V/ref=sr_1_1?keywords=Rituel+de+Fille+The+Ethereal+Veil+Conceal+and+Cover&amp;qid=1695565662&amp;sr=8-1")</f>
        <v/>
      </c>
      <c r="F3053" t="inlineStr">
        <is>
          <t>B07KPJSN3V</t>
        </is>
      </c>
      <c r="G3053">
        <f>_xlfn.IMAGE("https://camerareadycosmetics.com/cdn/shop/products/08-cyllene_rituel-de-fille-ethereal-veil_50x.jpg?v=1626067505")</f>
        <v/>
      </c>
      <c r="H3053">
        <f>_xlfn.IMAGE("https://m.media-amazon.com/images/I/71fXz-rT2zL._AC_UL320_.jpg")</f>
        <v/>
      </c>
      <c r="K3053" t="inlineStr">
        <is>
          <t>34.0</t>
        </is>
      </c>
      <c r="L3053" t="n">
        <v>38</v>
      </c>
      <c r="M3053" s="1" t="inlineStr">
        <is>
          <t>11.76%</t>
        </is>
      </c>
      <c r="N3053" t="n">
        <v>4.1</v>
      </c>
      <c r="O3053" t="n">
        <v>62</v>
      </c>
      <c r="Q3053" t="inlineStr">
        <is>
          <t>InStock</t>
        </is>
      </c>
      <c r="R3053" t="inlineStr">
        <is>
          <t>undefined</t>
        </is>
      </c>
      <c r="S3053" t="inlineStr">
        <is>
          <t>1327544369263</t>
        </is>
      </c>
    </row>
    <row r="3054" ht="75" customHeight="1">
      <c r="A3054" s="2">
        <f>HYPERLINK("https://camerareadycosmetics.com/products/rms-beauty-back2brow-powder", "https://camerareadycosmetics.com/products/rms-beauty-back2brow-powder")</f>
        <v/>
      </c>
      <c r="B3054" s="2">
        <f>HYPERLINK("https://camerareadycosmetics.com/products/rms-beauty-back2brow-powder", "https://camerareadycosmetics.com/products/rms-beauty-back2brow-powder")</f>
        <v/>
      </c>
      <c r="C3054" t="inlineStr">
        <is>
          <t>Back2Brow Powder</t>
        </is>
      </c>
      <c r="D3054" t="inlineStr">
        <is>
          <t>RMS Beauty Back2Brow Powder, Eyebrow Powder &amp; Eyebrow Tint in Taupe Light Brown &amp; Blonde Eyebrow Color, Auburn &amp; Brown Brow Powder, Brown &amp; Black Eyebrow Makeup, Eyebrow Palette, Eyebrow Filler</t>
        </is>
      </c>
      <c r="E3054" s="2">
        <f>HYPERLINK("https://www.amazon.com/RMS-Beauty-Back2Brow-Eyebrow-Powder/dp/B08F2XWTBX/ref=sr_1_1?keywords=Back2Brow+Powder&amp;qid=1695565885&amp;sr=8-1", "https://www.amazon.com/RMS-Beauty-Back2Brow-Eyebrow-Powder/dp/B08F2XWTBX/ref=sr_1_1?keywords=Back2Brow+Powder&amp;qid=1695565885&amp;sr=8-1")</f>
        <v/>
      </c>
      <c r="F3054" t="inlineStr">
        <is>
          <t>B08F2XWTBX</t>
        </is>
      </c>
      <c r="G3054">
        <f>_xlfn.IMAGE("https://camerareadycosmetics.com/cdn/shop/files/b2bpowder-ppage-900x1084-lifestyle_1_50x.jpg?v=1688678646")</f>
        <v/>
      </c>
      <c r="H3054">
        <f>_xlfn.IMAGE("https://m.media-amazon.com/images/I/81ynHowvNnL._AC_UL320_.jpg")</f>
        <v/>
      </c>
      <c r="K3054" t="inlineStr">
        <is>
          <t>27.0</t>
        </is>
      </c>
      <c r="L3054" t="n">
        <v>27</v>
      </c>
      <c r="M3054" s="1" t="inlineStr">
        <is>
          <t>0.00%</t>
        </is>
      </c>
      <c r="N3054" t="n">
        <v>4.3</v>
      </c>
      <c r="O3054" t="n">
        <v>102</v>
      </c>
      <c r="Q3054" t="inlineStr">
        <is>
          <t>InStock</t>
        </is>
      </c>
      <c r="R3054" t="inlineStr">
        <is>
          <t>27.0</t>
        </is>
      </c>
      <c r="S3054" t="inlineStr">
        <is>
          <t>7595115872441</t>
        </is>
      </c>
    </row>
    <row r="3055" ht="75" customHeight="1">
      <c r="A3055" s="2">
        <f>HYPERLINK("https://camerareadycosmetics.com/products/rms-beauty-buriti-bronzer", "https://camerareadycosmetics.com/products/rms-beauty-buriti-bronzer")</f>
        <v/>
      </c>
      <c r="B3055" s="2">
        <f>HYPERLINK("https://camerareadycosmetics.com/products/rms-beauty-buriti-bronzer", "https://camerareadycosmetics.com/products/rms-beauty-buriti-bronzer")</f>
        <v/>
      </c>
      <c r="C3055" t="inlineStr">
        <is>
          <t>Buriti Bronzer</t>
        </is>
      </c>
      <c r="D3055" t="inlineStr">
        <is>
          <t>RMS Beauty Buriti Bronzer - Face &amp; Body Makeup for the Appearance of Glowing &amp; Healthy Skin - Cruelty-Free, Natural Moisturizing Formula (0.2 Ounce)</t>
        </is>
      </c>
      <c r="E3055" s="2">
        <f>HYPERLINK("https://www.amazon.com/RMS-Beauty-Buriti-Bronzer-Ounce/dp/B01LYNWJ2M/ref=sr_1_1?keywords=Buriti+Bronzer&amp;qid=1695565657&amp;sr=8-1", "https://www.amazon.com/RMS-Beauty-Buriti-Bronzer-Ounce/dp/B01LYNWJ2M/ref=sr_1_1?keywords=Buriti+Bronzer&amp;qid=1695565657&amp;sr=8-1")</f>
        <v/>
      </c>
      <c r="F3055" t="inlineStr">
        <is>
          <t>B01LYNWJ2M</t>
        </is>
      </c>
      <c r="G3055">
        <f>_xlfn.IMAGE("https://camerareadycosmetics.com/cdn/shop/products/Buriti_Bronzer_updated_SHOP_50x.jpg?v=1691125873")</f>
        <v/>
      </c>
      <c r="H3055">
        <f>_xlfn.IMAGE("https://m.media-amazon.com/images/I/910PzcQ+AyL._AC_UL320_.jpg")</f>
        <v/>
      </c>
      <c r="K3055" t="inlineStr">
        <is>
          <t>28.0</t>
        </is>
      </c>
      <c r="L3055" t="n">
        <v>28</v>
      </c>
      <c r="M3055" s="1" t="inlineStr">
        <is>
          <t>0.00%</t>
        </is>
      </c>
      <c r="N3055" t="n">
        <v>4.3</v>
      </c>
      <c r="O3055" t="n">
        <v>102</v>
      </c>
      <c r="Q3055" t="inlineStr">
        <is>
          <t>InStock</t>
        </is>
      </c>
      <c r="R3055" t="inlineStr">
        <is>
          <t>undefined</t>
        </is>
      </c>
      <c r="S3055" t="inlineStr">
        <is>
          <t>9716684426</t>
        </is>
      </c>
    </row>
    <row r="3056" ht="75" customHeight="1">
      <c r="A3056" s="2">
        <f>HYPERLINK("https://camerareadycosmetics.com/products/rms-beauty-eyelights-cream-eyeshadow", "https://camerareadycosmetics.com/products/rms-beauty-eyelights-cream-eyeshadow")</f>
        <v/>
      </c>
      <c r="B3056" s="2">
        <f>HYPERLINK("https://camerareadycosmetics.com/products/rms-beauty-eyelights-cream-eyeshadow", "https://camerareadycosmetics.com/products/rms-beauty-eyelights-cream-eyeshadow")</f>
        <v/>
      </c>
      <c r="C3056" t="inlineStr">
        <is>
          <t>Eyelights Cream Eyeshadow</t>
        </is>
      </c>
      <c r="D3056" t="inlineStr">
        <is>
          <t>RMS Beauty Eyelights Cream Eyeshadow - Metallic Eyeshadow Eyelid Color, Eye Shadow Eye Makeup Essentials, Shimmer Eyeshadow, Cream Eye Shadow, Cream Liquid Eyeshadow, Glitter Eyeshadow Make Up</t>
        </is>
      </c>
      <c r="E3056" s="2">
        <f>HYPERLINK("https://www.amazon.com/RMS-Beauty-Eyelight-Cream-Eyeshadow/dp/B09NZV9HLF/ref=sr_1_1?keywords=Eyelights+Cream+Eyeshadow&amp;qid=1695565723&amp;sr=8-1", "https://www.amazon.com/RMS-Beauty-Eyelight-Cream-Eyeshadow/dp/B09NZV9HLF/ref=sr_1_1?keywords=Eyelights+Cream+Eyeshadow&amp;qid=1695565723&amp;sr=8-1")</f>
        <v/>
      </c>
      <c r="F3056" t="inlineStr">
        <is>
          <t>B09NZV9HLF</t>
        </is>
      </c>
      <c r="G3056">
        <f>_xlfn.IMAGE("https://camerareadycosmetics.com/cdn/shop/products/EYELIGHTS-FLARE-KEYcopy_1024x_ec823690-21f2-4c2e-b53f-d8b1e5724cb5_50x.jpg?v=1653593843")</f>
        <v/>
      </c>
      <c r="H3056">
        <f>_xlfn.IMAGE("https://m.media-amazon.com/images/I/91W941MD4hL._AC_UL320_.jpg")</f>
        <v/>
      </c>
      <c r="K3056" t="inlineStr">
        <is>
          <t>28.0</t>
        </is>
      </c>
      <c r="L3056" t="n">
        <v>28</v>
      </c>
      <c r="M3056" s="1" t="inlineStr">
        <is>
          <t>0.00%</t>
        </is>
      </c>
      <c r="N3056" t="n">
        <v>4.1</v>
      </c>
      <c r="O3056" t="n">
        <v>120</v>
      </c>
      <c r="Q3056" t="inlineStr">
        <is>
          <t>InStock</t>
        </is>
      </c>
      <c r="R3056" t="inlineStr">
        <is>
          <t>undefined</t>
        </is>
      </c>
      <c r="S3056" t="inlineStr">
        <is>
          <t>7335565361337</t>
        </is>
      </c>
    </row>
    <row r="3057" ht="75" customHeight="1">
      <c r="A3057" s="2">
        <f>HYPERLINK("https://camerareadycosmetics.com/products/rms-beauty-go-nude-lip-pencil", "https://camerareadycosmetics.com/products/rms-beauty-go-nude-lip-pencil")</f>
        <v/>
      </c>
      <c r="B3057" s="2">
        <f>HYPERLINK("https://camerareadycosmetics.com/products/rms-beauty-go-nude-lip-pencil", "https://camerareadycosmetics.com/products/rms-beauty-go-nude-lip-pencil")</f>
        <v/>
      </c>
      <c r="C3057" t="inlineStr">
        <is>
          <t>Go Nude Lip Pencil</t>
        </is>
      </c>
      <c r="D3057" t="inlineStr">
        <is>
          <t>RMS Beauty Go Nude Lip Pencil, Lip Liner &amp; Lip Pencil Sharpener, Long Lasting Lip Liners, Water Resistant Lip Pencil Liner, Nude Brown Lip Liner &amp; Red Lip Liner, Lip Liner Pencil Set with Jojoba Oil</t>
        </is>
      </c>
      <c r="E3057" s="2">
        <f>HYPERLINK("https://www.amazon.com/RMS-Beauty-Sharpener-Lasting-Resistant/dp/B0C26NHLP8/ref=sr_1_1?keywords=Go+Nude+Lip+Pencil&amp;qid=1695565789&amp;sr=8-1", "https://www.amazon.com/RMS-Beauty-Sharpener-Lasting-Resistant/dp/B0C26NHLP8/ref=sr_1_1?keywords=Go+Nude+Lip+Pencil&amp;qid=1695565789&amp;sr=8-1")</f>
        <v/>
      </c>
      <c r="F3057" t="inlineStr">
        <is>
          <t>B0C26NHLP8</t>
        </is>
      </c>
      <c r="G3057">
        <f>_xlfn.IMAGE("https://camerareadycosmetics.com/cdn/shop/products/rms-lipliner_0001_sunsetnude1_50x.jpg?v=1677029135")</f>
        <v/>
      </c>
      <c r="H3057">
        <f>_xlfn.IMAGE("https://m.media-amazon.com/images/I/615MQCDN6dL._AC_UL320_.jpg")</f>
        <v/>
      </c>
      <c r="K3057" t="inlineStr">
        <is>
          <t>22.0</t>
        </is>
      </c>
      <c r="L3057" t="n">
        <v>22</v>
      </c>
      <c r="M3057" s="1" t="inlineStr">
        <is>
          <t>0.00%</t>
        </is>
      </c>
      <c r="N3057" t="n">
        <v>5</v>
      </c>
      <c r="O3057" t="n">
        <v>1</v>
      </c>
      <c r="Q3057" t="inlineStr">
        <is>
          <t>InStock</t>
        </is>
      </c>
      <c r="R3057" t="inlineStr">
        <is>
          <t>22.0</t>
        </is>
      </c>
      <c r="S3057" t="inlineStr">
        <is>
          <t>7570759745721</t>
        </is>
      </c>
    </row>
    <row r="3058" ht="75" customHeight="1">
      <c r="A3058" s="2">
        <f>HYPERLINK("https://camerareadycosmetics.com/products/rms-beauty-go-nude-lip-pencil", "https://camerareadycosmetics.com/products/rms-beauty-go-nude-lip-pencil")</f>
        <v/>
      </c>
      <c r="B3058" s="2">
        <f>HYPERLINK("https://camerareadycosmetics.com/products/rms-beauty-go-nude-lip-pencil", "https://camerareadycosmetics.com/products/rms-beauty-go-nude-lip-pencil")</f>
        <v/>
      </c>
      <c r="C3058" t="inlineStr">
        <is>
          <t>Go Nude Lip Pencil</t>
        </is>
      </c>
      <c r="D3058" t="inlineStr">
        <is>
          <t>Matte Lip Liner Pencil Set 5 Colors Smooth Lip Liner Long-Lasting Waterproof Nude Liner Pencil for Defining &amp; Filling Lips</t>
        </is>
      </c>
      <c r="E3058" s="2">
        <f>HYPERLINK("https://www.amazon.com/Petansy-Long-Lasting-Waterproof-Defining-Filling/dp/B0C8N7SWHP/ref=sr_1_7?keywords=Go+Nude+Lip+Pencil&amp;qid=1695565789&amp;sr=8-7", "https://www.amazon.com/Petansy-Long-Lasting-Waterproof-Defining-Filling/dp/B0C8N7SWHP/ref=sr_1_7?keywords=Go+Nude+Lip+Pencil&amp;qid=1695565789&amp;sr=8-7")</f>
        <v/>
      </c>
      <c r="F3058" t="inlineStr">
        <is>
          <t>B0C8N7SWHP</t>
        </is>
      </c>
      <c r="G3058">
        <f>_xlfn.IMAGE("https://camerareadycosmetics.com/cdn/shop/products/rms-lipliner_0001_sunsetnude1_50x.jpg?v=1677029135")</f>
        <v/>
      </c>
      <c r="H3058">
        <f>_xlfn.IMAGE("https://m.media-amazon.com/images/I/611bpsuM16L._AC_UL320_.jpg")</f>
        <v/>
      </c>
      <c r="K3058" t="inlineStr">
        <is>
          <t>22.0</t>
        </is>
      </c>
      <c r="L3058" t="n">
        <v>9.890000000000001</v>
      </c>
      <c r="M3058" s="1" t="inlineStr">
        <is>
          <t>-55.05%</t>
        </is>
      </c>
      <c r="N3058" t="n">
        <v>2</v>
      </c>
      <c r="O3058" t="n">
        <v>1</v>
      </c>
      <c r="Q3058" t="inlineStr">
        <is>
          <t>InStock</t>
        </is>
      </c>
      <c r="R3058" t="inlineStr">
        <is>
          <t>22.0</t>
        </is>
      </c>
      <c r="S3058" t="inlineStr">
        <is>
          <t>7570759745721</t>
        </is>
      </c>
    </row>
    <row r="3059" ht="75" customHeight="1">
      <c r="A3059" s="2">
        <f>HYPERLINK("https://camerareadycosmetics.com/products/rms-beauty-go-nude-lip-pencil", "https://camerareadycosmetics.com/products/rms-beauty-go-nude-lip-pencil")</f>
        <v/>
      </c>
      <c r="B3059" s="2">
        <f>HYPERLINK("https://camerareadycosmetics.com/products/rms-beauty-go-nude-lip-pencil", "https://camerareadycosmetics.com/products/rms-beauty-go-nude-lip-pencil")</f>
        <v/>
      </c>
      <c r="C3059" t="inlineStr">
        <is>
          <t>Go Nude Lip Pencil</t>
        </is>
      </c>
      <c r="D3059" t="inlineStr">
        <is>
          <t>NYX PROFESSIONAL MAKEUP Line Loud Lip Liner, Longwear and Pigmented Lip Pencil with Jojoba Oil &amp; Vitamin E - Global Citizen (Medium Neutral Nude)</t>
        </is>
      </c>
      <c r="E3059" s="2">
        <f>HYPERLINK("https://www.amazon.com/PROFESSIONAL-MAKEUP-Line-Loud-Liner/dp/B09ZK7DYRQ/ref=sr_1_10?keywords=Go+Nude+Lip+Pencil&amp;qid=1695565789&amp;sr=8-10", "https://www.amazon.com/PROFESSIONAL-MAKEUP-Line-Loud-Liner/dp/B09ZK7DYRQ/ref=sr_1_10?keywords=Go+Nude+Lip+Pencil&amp;qid=1695565789&amp;sr=8-10")</f>
        <v/>
      </c>
      <c r="F3059" t="inlineStr">
        <is>
          <t>B09ZK7DYRQ</t>
        </is>
      </c>
      <c r="G3059">
        <f>_xlfn.IMAGE("https://camerareadycosmetics.com/cdn/shop/products/rms-lipliner_0001_sunsetnude1_50x.jpg?v=1677029135")</f>
        <v/>
      </c>
      <c r="H3059">
        <f>_xlfn.IMAGE("https://m.media-amazon.com/images/I/61+Bxu5akxL._AC_UL320_.jpg")</f>
        <v/>
      </c>
      <c r="K3059" t="inlineStr">
        <is>
          <t>22.0</t>
        </is>
      </c>
      <c r="L3059" t="n">
        <v>7.5</v>
      </c>
      <c r="M3059" s="1" t="inlineStr">
        <is>
          <t>-65.91%</t>
        </is>
      </c>
      <c r="N3059" t="n">
        <v>4.3</v>
      </c>
      <c r="O3059" t="n">
        <v>1508</v>
      </c>
      <c r="Q3059" t="inlineStr">
        <is>
          <t>InStock</t>
        </is>
      </c>
      <c r="R3059" t="inlineStr">
        <is>
          <t>22.0</t>
        </is>
      </c>
      <c r="S3059" t="inlineStr">
        <is>
          <t>7570759745721</t>
        </is>
      </c>
    </row>
    <row r="3060" ht="75" customHeight="1">
      <c r="A3060" s="2">
        <f>HYPERLINK("https://camerareadycosmetics.com/products/rms-beauty-go-nude-lip-pencil", "https://camerareadycosmetics.com/products/rms-beauty-go-nude-lip-pencil")</f>
        <v/>
      </c>
      <c r="B3060" s="2">
        <f>HYPERLINK("https://camerareadycosmetics.com/products/rms-beauty-go-nude-lip-pencil", "https://camerareadycosmetics.com/products/rms-beauty-go-nude-lip-pencil")</f>
        <v/>
      </c>
      <c r="C3060" t="inlineStr">
        <is>
          <t>Go Nude Lip Pencil</t>
        </is>
      </c>
      <c r="D3060" t="inlineStr">
        <is>
          <t>NYX PROFESSIONAL MAKEUP Mechanical Lip Liner Pencil, Nude</t>
        </is>
      </c>
      <c r="E3060" s="2">
        <f>HYPERLINK("https://www.amazon.com/NYX-Mechanical-Lip-Pencil-Nude/dp/B005G9LPH2/ref=sr_1_6?keywords=Go+Nude+Lip+Pencil&amp;qid=1695565789&amp;sr=8-6", "https://www.amazon.com/NYX-Mechanical-Lip-Pencil-Nude/dp/B005G9LPH2/ref=sr_1_6?keywords=Go+Nude+Lip+Pencil&amp;qid=1695565789&amp;sr=8-6")</f>
        <v/>
      </c>
      <c r="F3060" t="inlineStr">
        <is>
          <t>B005G9LPH2</t>
        </is>
      </c>
      <c r="G3060">
        <f>_xlfn.IMAGE("https://camerareadycosmetics.com/cdn/shop/products/rms-lipliner_0001_sunsetnude1_50x.jpg?v=1677029135")</f>
        <v/>
      </c>
      <c r="H3060">
        <f>_xlfn.IMAGE("https://m.media-amazon.com/images/I/41-zzJ4tVFL._AC_UL320_.jpg")</f>
        <v/>
      </c>
      <c r="K3060" t="inlineStr">
        <is>
          <t>22.0</t>
        </is>
      </c>
      <c r="L3060" t="n">
        <v>5</v>
      </c>
      <c r="M3060" s="1" t="inlineStr">
        <is>
          <t>-77.27%</t>
        </is>
      </c>
      <c r="N3060" t="n">
        <v>4.5</v>
      </c>
      <c r="O3060" t="n">
        <v>9817</v>
      </c>
      <c r="Q3060" t="inlineStr">
        <is>
          <t>InStock</t>
        </is>
      </c>
      <c r="R3060" t="inlineStr">
        <is>
          <t>22.0</t>
        </is>
      </c>
      <c r="S3060" t="inlineStr">
        <is>
          <t>7570759745721</t>
        </is>
      </c>
    </row>
    <row r="3061" ht="75" customHeight="1">
      <c r="A3061" s="2">
        <f>HYPERLINK("https://camerareadycosmetics.com/products/rms-beauty-go-nude-lip-pencil", "https://camerareadycosmetics.com/products/rms-beauty-go-nude-lip-pencil")</f>
        <v/>
      </c>
      <c r="B3061" s="2">
        <f>HYPERLINK("https://camerareadycosmetics.com/products/rms-beauty-go-nude-lip-pencil", "https://camerareadycosmetics.com/products/rms-beauty-go-nude-lip-pencil")</f>
        <v/>
      </c>
      <c r="C3061" t="inlineStr">
        <is>
          <t>Go Nude Lip Pencil</t>
        </is>
      </c>
      <c r="D3061" t="inlineStr">
        <is>
          <t>kiss new york Professional Slim Lip Pencil, Creamy Soft Lip Liner, Smooth Long-Lasting Rich Lip Color, Natural Lip Makeup, Water-Resistant Lip Crayon (Nude)</t>
        </is>
      </c>
      <c r="E3061" s="2">
        <f>HYPERLINK("https://www.amazon.com/kiss-new-york-Professional-Water-Resistant/dp/B0BVCV482J/ref=sr_1_3?keywords=Go+Nude+Lip+Pencil&amp;qid=1695565789&amp;sr=8-3", "https://www.amazon.com/kiss-new-york-Professional-Water-Resistant/dp/B0BVCV482J/ref=sr_1_3?keywords=Go+Nude+Lip+Pencil&amp;qid=1695565789&amp;sr=8-3")</f>
        <v/>
      </c>
      <c r="F3061" t="inlineStr">
        <is>
          <t>B0BVCV482J</t>
        </is>
      </c>
      <c r="G3061">
        <f>_xlfn.IMAGE("https://camerareadycosmetics.com/cdn/shop/products/rms-lipliner_0001_sunsetnude1_50x.jpg?v=1677029135")</f>
        <v/>
      </c>
      <c r="H3061">
        <f>_xlfn.IMAGE("https://m.media-amazon.com/images/I/61GKr9x9miL._AC_UL320_.jpg")</f>
        <v/>
      </c>
      <c r="K3061" t="inlineStr">
        <is>
          <t>22.0</t>
        </is>
      </c>
      <c r="L3061" t="n">
        <v>4.99</v>
      </c>
      <c r="M3061" s="1" t="inlineStr">
        <is>
          <t>-77.32%</t>
        </is>
      </c>
      <c r="N3061" t="n">
        <v>4.3</v>
      </c>
      <c r="O3061" t="n">
        <v>87</v>
      </c>
      <c r="Q3061" t="inlineStr">
        <is>
          <t>InStock</t>
        </is>
      </c>
      <c r="R3061" t="inlineStr">
        <is>
          <t>22.0</t>
        </is>
      </c>
      <c r="S3061" t="inlineStr">
        <is>
          <t>7570759745721</t>
        </is>
      </c>
    </row>
    <row r="3062" ht="75" customHeight="1">
      <c r="A3062" s="2">
        <f>HYPERLINK("https://camerareadycosmetics.com/products/rms-beauty-go-nude-lip-pencil", "https://camerareadycosmetics.com/products/rms-beauty-go-nude-lip-pencil")</f>
        <v/>
      </c>
      <c r="B3062" s="2">
        <f>HYPERLINK("https://camerareadycosmetics.com/products/rms-beauty-go-nude-lip-pencil", "https://camerareadycosmetics.com/products/rms-beauty-go-nude-lip-pencil")</f>
        <v/>
      </c>
      <c r="C3062" t="inlineStr">
        <is>
          <t>Go Nude Lip Pencil</t>
        </is>
      </c>
      <c r="D3062" t="inlineStr">
        <is>
          <t>COVERGIRL Exhibitionist Lip Liner, Pencil, Creamy, In the Nude, 0.012 Fl Oz ,Lip Crayon, Makeup, Intense Pigmentation, Self-Sharpening Easy Application, Instant Definition</t>
        </is>
      </c>
      <c r="E3062" s="2">
        <f>HYPERLINK("https://www.amazon.com/COVERGIRL-Exhibitionist-Pigmentation-Self-Sharpening-Application/dp/B07CGS8Z4P/ref=sr_1_8?keywords=Go+Nude+Lip+Pencil&amp;qid=1695565789&amp;sr=8-8", "https://www.amazon.com/COVERGIRL-Exhibitionist-Pigmentation-Self-Sharpening-Application/dp/B07CGS8Z4P/ref=sr_1_8?keywords=Go+Nude+Lip+Pencil&amp;qid=1695565789&amp;sr=8-8")</f>
        <v/>
      </c>
      <c r="F3062" t="inlineStr">
        <is>
          <t>B07CGS8Z4P</t>
        </is>
      </c>
      <c r="G3062">
        <f>_xlfn.IMAGE("https://camerareadycosmetics.com/cdn/shop/products/rms-lipliner_0001_sunsetnude1_50x.jpg?v=1677029135")</f>
        <v/>
      </c>
      <c r="H3062">
        <f>_xlfn.IMAGE("https://m.media-amazon.com/images/I/51l+6C7IphL._AC_UL320_.jpg")</f>
        <v/>
      </c>
      <c r="K3062" t="inlineStr">
        <is>
          <t>22.0</t>
        </is>
      </c>
      <c r="L3062" t="n">
        <v>4.98</v>
      </c>
      <c r="M3062" s="1" t="inlineStr">
        <is>
          <t>-77.36%</t>
        </is>
      </c>
      <c r="N3062" t="n">
        <v>4.3</v>
      </c>
      <c r="O3062" t="n">
        <v>1074</v>
      </c>
      <c r="Q3062" t="inlineStr">
        <is>
          <t>InStock</t>
        </is>
      </c>
      <c r="R3062" t="inlineStr">
        <is>
          <t>22.0</t>
        </is>
      </c>
      <c r="S3062" t="inlineStr">
        <is>
          <t>7570759745721</t>
        </is>
      </c>
    </row>
    <row r="3063" ht="75" customHeight="1">
      <c r="A3063" s="2">
        <f>HYPERLINK("https://camerareadycosmetics.com/products/rms-beauty-go-nude-lip-pencil", "https://camerareadycosmetics.com/products/rms-beauty-go-nude-lip-pencil")</f>
        <v/>
      </c>
      <c r="B3063" s="2">
        <f>HYPERLINK("https://camerareadycosmetics.com/products/rms-beauty-go-nude-lip-pencil", "https://camerareadycosmetics.com/products/rms-beauty-go-nude-lip-pencil")</f>
        <v/>
      </c>
      <c r="C3063" t="inlineStr">
        <is>
          <t>Go Nude Lip Pencil</t>
        </is>
      </c>
      <c r="D3063" t="inlineStr">
        <is>
          <t>NYX PROFESSIONAL MAKEUP Slim Lip Pencil, Long-Lasting Creamy Lip Liner - Nude Pink</t>
        </is>
      </c>
      <c r="E3063" s="2">
        <f>HYPERLINK("https://www.amazon.com/NYX-PROFESSIONAL-MAKEUP-Pencil-Ounce/dp/B079ZX2WJ7/ref=sr_1_2?keywords=Go+Nude+Lip+Pencil&amp;qid=1695565789&amp;sr=8-2", "https://www.amazon.com/NYX-PROFESSIONAL-MAKEUP-Pencil-Ounce/dp/B079ZX2WJ7/ref=sr_1_2?keywords=Go+Nude+Lip+Pencil&amp;qid=1695565789&amp;sr=8-2")</f>
        <v/>
      </c>
      <c r="F3063" t="inlineStr">
        <is>
          <t>B079ZX2WJ7</t>
        </is>
      </c>
      <c r="G3063">
        <f>_xlfn.IMAGE("https://camerareadycosmetics.com/cdn/shop/products/rms-lipliner_0001_sunsetnude1_50x.jpg?v=1677029135")</f>
        <v/>
      </c>
      <c r="H3063">
        <f>_xlfn.IMAGE("https://m.media-amazon.com/images/I/61NHRt+3f7L._AC_UL320_.jpg")</f>
        <v/>
      </c>
      <c r="K3063" t="inlineStr">
        <is>
          <t>22.0</t>
        </is>
      </c>
      <c r="L3063" t="n">
        <v>4.49</v>
      </c>
      <c r="M3063" s="1" t="inlineStr">
        <is>
          <t>-79.59%</t>
        </is>
      </c>
      <c r="N3063" t="n">
        <v>4.4</v>
      </c>
      <c r="O3063" t="n">
        <v>38236</v>
      </c>
      <c r="Q3063" t="inlineStr">
        <is>
          <t>InStock</t>
        </is>
      </c>
      <c r="R3063" t="inlineStr">
        <is>
          <t>22.0</t>
        </is>
      </c>
      <c r="S3063" t="inlineStr">
        <is>
          <t>7570759745721</t>
        </is>
      </c>
    </row>
    <row r="3064" ht="75" customHeight="1">
      <c r="A3064" s="2">
        <f>HYPERLINK("https://camerareadycosmetics.com/products/rms-beauty-go-nude-lip-pencil", "https://camerareadycosmetics.com/products/rms-beauty-go-nude-lip-pencil")</f>
        <v/>
      </c>
      <c r="B3064" s="2">
        <f>HYPERLINK("https://camerareadycosmetics.com/products/rms-beauty-go-nude-lip-pencil", "https://camerareadycosmetics.com/products/rms-beauty-go-nude-lip-pencil")</f>
        <v/>
      </c>
      <c r="C3064" t="inlineStr">
        <is>
          <t>Go Nude Lip Pencil</t>
        </is>
      </c>
      <c r="D3064" t="inlineStr">
        <is>
          <t>Matte Lip Liner Pencil Set 5 Colors Smooth Lip Liner Long-Lasting Waterproof Nude Liner Pencil for Defining &amp; Filling Lips</t>
        </is>
      </c>
      <c r="E3064" s="2">
        <f>HYPERLINK("https://www.amazon.com/Petansy-Long-Lasting-Waterproof-Defining-Filling/dp/B0C8N7SWHP/ref=sr_1_7?keywords=Go+Nude+Lip+Pencil&amp;qid=1695565789&amp;sr=8-7", "https://www.amazon.com/Petansy-Long-Lasting-Waterproof-Defining-Filling/dp/B0C8N7SWHP/ref=sr_1_7?keywords=Go+Nude+Lip+Pencil&amp;qid=1695565789&amp;sr=8-7")</f>
        <v/>
      </c>
      <c r="F3064" t="inlineStr">
        <is>
          <t>B0C8N7SWHP</t>
        </is>
      </c>
      <c r="G3064">
        <f>_xlfn.IMAGE("https://camerareadycosmetics.com/cdn/shop/products/rms-lipliner_0001_sunsetnude1_50x.jpg?v=1677029135")</f>
        <v/>
      </c>
      <c r="H3064">
        <f>_xlfn.IMAGE("https://m.media-amazon.com/images/I/611bpsuM16L._AC_UL320_.jpg")</f>
        <v/>
      </c>
      <c r="K3064" t="inlineStr">
        <is>
          <t>22.0</t>
        </is>
      </c>
      <c r="L3064" t="n">
        <v>9.890000000000001</v>
      </c>
      <c r="M3064" s="1" t="inlineStr">
        <is>
          <t>-55.05%</t>
        </is>
      </c>
      <c r="N3064" t="n">
        <v>2</v>
      </c>
      <c r="O3064" t="n">
        <v>1</v>
      </c>
      <c r="Q3064" t="inlineStr">
        <is>
          <t>InStock</t>
        </is>
      </c>
      <c r="R3064" t="inlineStr">
        <is>
          <t>22.0</t>
        </is>
      </c>
      <c r="S3064" t="inlineStr">
        <is>
          <t>7570759745721</t>
        </is>
      </c>
    </row>
    <row r="3065" ht="75" customHeight="1">
      <c r="A3065" s="2">
        <f>HYPERLINK("https://camerareadycosmetics.com/products/rms-beauty-go-nude-lip-pencil", "https://camerareadycosmetics.com/products/rms-beauty-go-nude-lip-pencil")</f>
        <v/>
      </c>
      <c r="B3065" s="2">
        <f>HYPERLINK("https://camerareadycosmetics.com/products/rms-beauty-go-nude-lip-pencil", "https://camerareadycosmetics.com/products/rms-beauty-go-nude-lip-pencil")</f>
        <v/>
      </c>
      <c r="C3065" t="inlineStr">
        <is>
          <t>Go Nude Lip Pencil</t>
        </is>
      </c>
      <c r="D3065" t="inlineStr">
        <is>
          <t>NYX PROFESSIONAL MAKEUP Line Loud Lip Liner, Longwear and Pigmented Lip Pencil with Jojoba Oil &amp; Vitamin E - Global Citizen (Medium Neutral Nude)</t>
        </is>
      </c>
      <c r="E3065" s="2">
        <f>HYPERLINK("https://www.amazon.com/PROFESSIONAL-MAKEUP-Line-Loud-Liner/dp/B09ZK7DYRQ/ref=sr_1_10?keywords=Go+Nude+Lip+Pencil&amp;qid=1695565789&amp;sr=8-10", "https://www.amazon.com/PROFESSIONAL-MAKEUP-Line-Loud-Liner/dp/B09ZK7DYRQ/ref=sr_1_10?keywords=Go+Nude+Lip+Pencil&amp;qid=1695565789&amp;sr=8-10")</f>
        <v/>
      </c>
      <c r="F3065" t="inlineStr">
        <is>
          <t>B09ZK7DYRQ</t>
        </is>
      </c>
      <c r="G3065">
        <f>_xlfn.IMAGE("https://camerareadycosmetics.com/cdn/shop/products/rms-lipliner_0001_sunsetnude1_50x.jpg?v=1677029135")</f>
        <v/>
      </c>
      <c r="H3065">
        <f>_xlfn.IMAGE("https://m.media-amazon.com/images/I/61+Bxu5akxL._AC_UL320_.jpg")</f>
        <v/>
      </c>
      <c r="K3065" t="inlineStr">
        <is>
          <t>22.0</t>
        </is>
      </c>
      <c r="L3065" t="n">
        <v>7.5</v>
      </c>
      <c r="M3065" s="1" t="inlineStr">
        <is>
          <t>-65.91%</t>
        </is>
      </c>
      <c r="N3065" t="n">
        <v>4.3</v>
      </c>
      <c r="O3065" t="n">
        <v>1508</v>
      </c>
      <c r="Q3065" t="inlineStr">
        <is>
          <t>InStock</t>
        </is>
      </c>
      <c r="R3065" t="inlineStr">
        <is>
          <t>22.0</t>
        </is>
      </c>
      <c r="S3065" t="inlineStr">
        <is>
          <t>7570759745721</t>
        </is>
      </c>
    </row>
    <row r="3066" ht="75" customHeight="1">
      <c r="A3066" s="2">
        <f>HYPERLINK("https://camerareadycosmetics.com/products/rms-beauty-go-nude-lip-pencil", "https://camerareadycosmetics.com/products/rms-beauty-go-nude-lip-pencil")</f>
        <v/>
      </c>
      <c r="B3066" s="2">
        <f>HYPERLINK("https://camerareadycosmetics.com/products/rms-beauty-go-nude-lip-pencil", "https://camerareadycosmetics.com/products/rms-beauty-go-nude-lip-pencil")</f>
        <v/>
      </c>
      <c r="C3066" t="inlineStr">
        <is>
          <t>Go Nude Lip Pencil</t>
        </is>
      </c>
      <c r="D3066" t="inlineStr">
        <is>
          <t>NYX PROFESSIONAL MAKEUP Mechanical Lip Liner Pencil, Nude</t>
        </is>
      </c>
      <c r="E3066" s="2">
        <f>HYPERLINK("https://www.amazon.com/NYX-Mechanical-Lip-Pencil-Nude/dp/B005G9LPH2/ref=sr_1_6?keywords=Go+Nude+Lip+Pencil&amp;qid=1695565789&amp;sr=8-6", "https://www.amazon.com/NYX-Mechanical-Lip-Pencil-Nude/dp/B005G9LPH2/ref=sr_1_6?keywords=Go+Nude+Lip+Pencil&amp;qid=1695565789&amp;sr=8-6")</f>
        <v/>
      </c>
      <c r="F3066" t="inlineStr">
        <is>
          <t>B005G9LPH2</t>
        </is>
      </c>
      <c r="G3066">
        <f>_xlfn.IMAGE("https://camerareadycosmetics.com/cdn/shop/products/rms-lipliner_0001_sunsetnude1_50x.jpg?v=1677029135")</f>
        <v/>
      </c>
      <c r="H3066">
        <f>_xlfn.IMAGE("https://m.media-amazon.com/images/I/41-zzJ4tVFL._AC_UL320_.jpg")</f>
        <v/>
      </c>
      <c r="K3066" t="inlineStr">
        <is>
          <t>22.0</t>
        </is>
      </c>
      <c r="L3066" t="n">
        <v>5</v>
      </c>
      <c r="M3066" s="1" t="inlineStr">
        <is>
          <t>-77.27%</t>
        </is>
      </c>
      <c r="N3066" t="n">
        <v>4.5</v>
      </c>
      <c r="O3066" t="n">
        <v>9817</v>
      </c>
      <c r="Q3066" t="inlineStr">
        <is>
          <t>InStock</t>
        </is>
      </c>
      <c r="R3066" t="inlineStr">
        <is>
          <t>22.0</t>
        </is>
      </c>
      <c r="S3066" t="inlineStr">
        <is>
          <t>7570759745721</t>
        </is>
      </c>
    </row>
    <row r="3067" ht="75" customHeight="1">
      <c r="A3067" s="2">
        <f>HYPERLINK("https://camerareadycosmetics.com/products/rms-beauty-go-nude-lip-pencil", "https://camerareadycosmetics.com/products/rms-beauty-go-nude-lip-pencil")</f>
        <v/>
      </c>
      <c r="B3067" s="2">
        <f>HYPERLINK("https://camerareadycosmetics.com/products/rms-beauty-go-nude-lip-pencil", "https://camerareadycosmetics.com/products/rms-beauty-go-nude-lip-pencil")</f>
        <v/>
      </c>
      <c r="C3067" t="inlineStr">
        <is>
          <t>Go Nude Lip Pencil</t>
        </is>
      </c>
      <c r="D3067" t="inlineStr">
        <is>
          <t>kiss new york Professional Slim Lip Pencil, Creamy Soft Lip Liner, Smooth Long-Lasting Rich Lip Color, Natural Lip Makeup, Water-Resistant Lip Crayon (Nude)</t>
        </is>
      </c>
      <c r="E3067" s="2">
        <f>HYPERLINK("https://www.amazon.com/kiss-new-york-Professional-Water-Resistant/dp/B0BVCV482J/ref=sr_1_3?keywords=Go+Nude+Lip+Pencil&amp;qid=1695565789&amp;sr=8-3", "https://www.amazon.com/kiss-new-york-Professional-Water-Resistant/dp/B0BVCV482J/ref=sr_1_3?keywords=Go+Nude+Lip+Pencil&amp;qid=1695565789&amp;sr=8-3")</f>
        <v/>
      </c>
      <c r="F3067" t="inlineStr">
        <is>
          <t>B0BVCV482J</t>
        </is>
      </c>
      <c r="G3067">
        <f>_xlfn.IMAGE("https://camerareadycosmetics.com/cdn/shop/products/rms-lipliner_0001_sunsetnude1_50x.jpg?v=1677029135")</f>
        <v/>
      </c>
      <c r="H3067">
        <f>_xlfn.IMAGE("https://m.media-amazon.com/images/I/61GKr9x9miL._AC_UL320_.jpg")</f>
        <v/>
      </c>
      <c r="K3067" t="inlineStr">
        <is>
          <t>22.0</t>
        </is>
      </c>
      <c r="L3067" t="n">
        <v>4.99</v>
      </c>
      <c r="M3067" s="1" t="inlineStr">
        <is>
          <t>-77.32%</t>
        </is>
      </c>
      <c r="N3067" t="n">
        <v>4.3</v>
      </c>
      <c r="O3067" t="n">
        <v>87</v>
      </c>
      <c r="Q3067" t="inlineStr">
        <is>
          <t>InStock</t>
        </is>
      </c>
      <c r="R3067" t="inlineStr">
        <is>
          <t>22.0</t>
        </is>
      </c>
      <c r="S3067" t="inlineStr">
        <is>
          <t>7570759745721</t>
        </is>
      </c>
    </row>
    <row r="3068" ht="75" customHeight="1">
      <c r="A3068" s="2">
        <f>HYPERLINK("https://camerareadycosmetics.com/products/rms-beauty-go-nude-lip-pencil", "https://camerareadycosmetics.com/products/rms-beauty-go-nude-lip-pencil")</f>
        <v/>
      </c>
      <c r="B3068" s="2">
        <f>HYPERLINK("https://camerareadycosmetics.com/products/rms-beauty-go-nude-lip-pencil", "https://camerareadycosmetics.com/products/rms-beauty-go-nude-lip-pencil")</f>
        <v/>
      </c>
      <c r="C3068" t="inlineStr">
        <is>
          <t>Go Nude Lip Pencil</t>
        </is>
      </c>
      <c r="D3068" t="inlineStr">
        <is>
          <t>COVERGIRL Exhibitionist Lip Liner, Pencil, Creamy, In the Nude, 0.012 Fl Oz ,Lip Crayon, Makeup, Intense Pigmentation, Self-Sharpening Easy Application, Instant Definition</t>
        </is>
      </c>
      <c r="E3068" s="2">
        <f>HYPERLINK("https://www.amazon.com/COVERGIRL-Exhibitionist-Pigmentation-Self-Sharpening-Application/dp/B07CGS8Z4P/ref=sr_1_8?keywords=Go+Nude+Lip+Pencil&amp;qid=1695565789&amp;sr=8-8", "https://www.amazon.com/COVERGIRL-Exhibitionist-Pigmentation-Self-Sharpening-Application/dp/B07CGS8Z4P/ref=sr_1_8?keywords=Go+Nude+Lip+Pencil&amp;qid=1695565789&amp;sr=8-8")</f>
        <v/>
      </c>
      <c r="F3068" t="inlineStr">
        <is>
          <t>B07CGS8Z4P</t>
        </is>
      </c>
      <c r="G3068">
        <f>_xlfn.IMAGE("https://camerareadycosmetics.com/cdn/shop/products/rms-lipliner_0001_sunsetnude1_50x.jpg?v=1677029135")</f>
        <v/>
      </c>
      <c r="H3068">
        <f>_xlfn.IMAGE("https://m.media-amazon.com/images/I/51l+6C7IphL._AC_UL320_.jpg")</f>
        <v/>
      </c>
      <c r="K3068" t="inlineStr">
        <is>
          <t>22.0</t>
        </is>
      </c>
      <c r="L3068" t="n">
        <v>4.98</v>
      </c>
      <c r="M3068" s="1" t="inlineStr">
        <is>
          <t>-77.36%</t>
        </is>
      </c>
      <c r="N3068" t="n">
        <v>4.3</v>
      </c>
      <c r="O3068" t="n">
        <v>1074</v>
      </c>
      <c r="Q3068" t="inlineStr">
        <is>
          <t>InStock</t>
        </is>
      </c>
      <c r="R3068" t="inlineStr">
        <is>
          <t>22.0</t>
        </is>
      </c>
      <c r="S3068" t="inlineStr">
        <is>
          <t>7570759745721</t>
        </is>
      </c>
    </row>
    <row r="3069" ht="75" customHeight="1">
      <c r="A3069" s="2">
        <f>HYPERLINK("https://camerareadycosmetics.com/products/rms-beauty-go-nude-lip-pencil", "https://camerareadycosmetics.com/products/rms-beauty-go-nude-lip-pencil")</f>
        <v/>
      </c>
      <c r="B3069" s="2">
        <f>HYPERLINK("https://camerareadycosmetics.com/products/rms-beauty-go-nude-lip-pencil", "https://camerareadycosmetics.com/products/rms-beauty-go-nude-lip-pencil")</f>
        <v/>
      </c>
      <c r="C3069" t="inlineStr">
        <is>
          <t>Go Nude Lip Pencil</t>
        </is>
      </c>
      <c r="D3069" t="inlineStr">
        <is>
          <t>NYX PROFESSIONAL MAKEUP Slim Lip Pencil, Long-Lasting Creamy Lip Liner - Nude Pink</t>
        </is>
      </c>
      <c r="E3069" s="2">
        <f>HYPERLINK("https://www.amazon.com/NYX-PROFESSIONAL-MAKEUP-Pencil-Ounce/dp/B079ZX2WJ7/ref=sr_1_2?keywords=Go+Nude+Lip+Pencil&amp;qid=1695565789&amp;sr=8-2", "https://www.amazon.com/NYX-PROFESSIONAL-MAKEUP-Pencil-Ounce/dp/B079ZX2WJ7/ref=sr_1_2?keywords=Go+Nude+Lip+Pencil&amp;qid=1695565789&amp;sr=8-2")</f>
        <v/>
      </c>
      <c r="F3069" t="inlineStr">
        <is>
          <t>B079ZX2WJ7</t>
        </is>
      </c>
      <c r="G3069">
        <f>_xlfn.IMAGE("https://camerareadycosmetics.com/cdn/shop/products/rms-lipliner_0001_sunsetnude1_50x.jpg?v=1677029135")</f>
        <v/>
      </c>
      <c r="H3069">
        <f>_xlfn.IMAGE("https://m.media-amazon.com/images/I/61NHRt+3f7L._AC_UL320_.jpg")</f>
        <v/>
      </c>
      <c r="K3069" t="inlineStr">
        <is>
          <t>22.0</t>
        </is>
      </c>
      <c r="L3069" t="n">
        <v>4.49</v>
      </c>
      <c r="M3069" s="1" t="inlineStr">
        <is>
          <t>-79.59%</t>
        </is>
      </c>
      <c r="N3069" t="n">
        <v>4.4</v>
      </c>
      <c r="O3069" t="n">
        <v>38236</v>
      </c>
      <c r="Q3069" t="inlineStr">
        <is>
          <t>InStock</t>
        </is>
      </c>
      <c r="R3069" t="inlineStr">
        <is>
          <t>22.0</t>
        </is>
      </c>
      <c r="S3069" t="inlineStr">
        <is>
          <t>7570759745721</t>
        </is>
      </c>
    </row>
    <row r="3070" ht="75" customHeight="1">
      <c r="A3070" s="2">
        <f>HYPERLINK("https://camerareadycosmetics.com/products/rms-beauty-liplights", "https://camerareadycosmetics.com/products/rms-beauty-liplights")</f>
        <v/>
      </c>
      <c r="B3070" s="2">
        <f>HYPERLINK("https://camerareadycosmetics.com/products/rms-beauty-liplights", "https://camerareadycosmetics.com/products/rms-beauty-liplights")</f>
        <v/>
      </c>
      <c r="C3070" t="inlineStr">
        <is>
          <t>Liplights</t>
        </is>
      </c>
      <c r="D3070" t="inlineStr">
        <is>
          <t>RMS Beauty Liplights Cream Lip Gloss (9 g / 0.31 oz)</t>
        </is>
      </c>
      <c r="E3070" s="2">
        <f>HYPERLINK("https://www.amazon.com/RMS-Beauty-Liplights-Cream-Gloss/dp/B0BTJCL824/ref=sr_1_2?keywords=Liplights&amp;qid=1695565722&amp;sr=8-2", "https://www.amazon.com/RMS-Beauty-Liplights-Cream-Gloss/dp/B0BTJCL824/ref=sr_1_2?keywords=Liplights&amp;qid=1695565722&amp;sr=8-2")</f>
        <v/>
      </c>
      <c r="F3070" t="inlineStr">
        <is>
          <t>B0BTJCL824</t>
        </is>
      </c>
      <c r="G3070">
        <f>_xlfn.IMAGE("https://camerareadycosmetics.com/cdn/shop/products/liplights-swatches_1080x_8dc44dbc-09f2-4b02-a55b-9439036d7846_50x.jpg?v=1674655377")</f>
        <v/>
      </c>
      <c r="H3070">
        <f>_xlfn.IMAGE("https://m.media-amazon.com/images/I/81EjRjYftqL._AC_UL320_.jpg")</f>
        <v/>
      </c>
      <c r="K3070" t="inlineStr">
        <is>
          <t>28.0</t>
        </is>
      </c>
      <c r="L3070" t="n">
        <v>28</v>
      </c>
      <c r="M3070" s="1" t="inlineStr">
        <is>
          <t>0.00%</t>
        </is>
      </c>
      <c r="N3070" t="n">
        <v>3.6</v>
      </c>
      <c r="O3070" t="n">
        <v>5</v>
      </c>
      <c r="Q3070" t="inlineStr">
        <is>
          <t>InStock</t>
        </is>
      </c>
      <c r="R3070" t="inlineStr">
        <is>
          <t>28.0</t>
        </is>
      </c>
      <c r="S3070" t="inlineStr">
        <is>
          <t>7559143620793</t>
        </is>
      </c>
    </row>
    <row r="3071" ht="75" customHeight="1">
      <c r="A3071" s="2">
        <f>HYPERLINK("https://camerareadycosmetics.com/products/rms-beauty-liplights", "https://camerareadycosmetics.com/products/rms-beauty-liplights")</f>
        <v/>
      </c>
      <c r="B3071" s="2">
        <f>HYPERLINK("https://camerareadycosmetics.com/products/rms-beauty-liplights", "https://camerareadycosmetics.com/products/rms-beauty-liplights")</f>
        <v/>
      </c>
      <c r="C3071" t="inlineStr">
        <is>
          <t>Liplights</t>
        </is>
      </c>
      <c r="D3071" t="inlineStr">
        <is>
          <t>RMS Beauty Liplights Cream Lip Gloss (9 g / 0.31 oz)</t>
        </is>
      </c>
      <c r="E3071" s="2" t="n"/>
      <c r="F3071" t="inlineStr">
        <is>
          <t>B0BTJCB8MZ</t>
        </is>
      </c>
      <c r="G3071">
        <f>_xlfn.IMAGE("https://camerareadycosmetics.com/cdn/shop/products/liplights-swatches_1080x_8dc44dbc-09f2-4b02-a55b-9439036d7846_50x.jpg?v=1674655377")</f>
        <v/>
      </c>
      <c r="H3071">
        <f>_xlfn.IMAGE("https://m.media-amazon.com/images/I/41dtSBlppHL._AC_UL320_.jpg")</f>
        <v/>
      </c>
      <c r="K3071" t="inlineStr">
        <is>
          <t>28.0</t>
        </is>
      </c>
      <c r="L3071" t="n">
        <v>28</v>
      </c>
      <c r="M3071" s="1" t="inlineStr">
        <is>
          <t>0.00%</t>
        </is>
      </c>
      <c r="N3071" t="n">
        <v>4</v>
      </c>
      <c r="O3071" t="n">
        <v>11</v>
      </c>
      <c r="Q3071" t="inlineStr">
        <is>
          <t>InStock</t>
        </is>
      </c>
      <c r="R3071" t="inlineStr">
        <is>
          <t>28.0</t>
        </is>
      </c>
      <c r="S3071" t="inlineStr">
        <is>
          <t>7559143620793</t>
        </is>
      </c>
    </row>
    <row r="3072" ht="75" customHeight="1">
      <c r="A3072" s="2">
        <f>HYPERLINK("https://camerareadycosmetics.com/products/rms-beauty-master-mixer", "https://camerareadycosmetics.com/products/rms-beauty-master-mixer")</f>
        <v/>
      </c>
      <c r="B3072" s="2">
        <f>HYPERLINK("https://camerareadycosmetics.com/products/rms-beauty-master-mixer", "https://camerareadycosmetics.com/products/rms-beauty-master-mixer")</f>
        <v/>
      </c>
      <c r="C3072" t="inlineStr">
        <is>
          <t>Master Mixer</t>
        </is>
      </c>
      <c r="D3072" t="inlineStr">
        <is>
          <t>Master of Mixes Handcrafted Cocktail Mixers for Bourbon and Whiskey, Ready to Use Bundle, Pack of 3 Flavors</t>
        </is>
      </c>
      <c r="E3072" s="2">
        <f>HYPERLINK("https://www.amazon.com/Handcrafted-Cocktail-Bourbon-Whiskey-Flavors/dp/B09FQDXMYH/ref=sr_1_5?keywords=Master+Mixer&amp;qid=1695565705&amp;sr=8-5", "https://www.amazon.com/Handcrafted-Cocktail-Bourbon-Whiskey-Flavors/dp/B09FQDXMYH/ref=sr_1_5?keywords=Master+Mixer&amp;qid=1695565705&amp;sr=8-5")</f>
        <v/>
      </c>
      <c r="F3072" t="inlineStr">
        <is>
          <t>B09FQDXMYH</t>
        </is>
      </c>
      <c r="G3072">
        <f>_xlfn.IMAGE("https://camerareadycosmetics.com/cdn/shop/products/asfhWTGR_50x.jpg?v=1691125869")</f>
        <v/>
      </c>
      <c r="H3072">
        <f>_xlfn.IMAGE("https://m.media-amazon.com/images/I/51zO5wGoXgL._AC_UY218_.jpg")</f>
        <v/>
      </c>
      <c r="K3072" t="inlineStr">
        <is>
          <t>40.0</t>
        </is>
      </c>
      <c r="L3072" t="n">
        <v>29.49</v>
      </c>
      <c r="M3072" s="1" t="inlineStr">
        <is>
          <t>-26.28%</t>
        </is>
      </c>
      <c r="N3072" t="n">
        <v>4.2</v>
      </c>
      <c r="O3072" t="n">
        <v>35</v>
      </c>
      <c r="Q3072" t="inlineStr">
        <is>
          <t>OutOfStock</t>
        </is>
      </c>
      <c r="R3072" t="inlineStr">
        <is>
          <t>undefined</t>
        </is>
      </c>
      <c r="S3072" t="inlineStr">
        <is>
          <t>9716667274</t>
        </is>
      </c>
    </row>
    <row r="3073" ht="75" customHeight="1">
      <c r="A3073" s="2">
        <f>HYPERLINK("https://camerareadycosmetics.com/products/rms-beauty-re-dimension-hydra-dew-luminizer", "https://camerareadycosmetics.com/products/rms-beauty-re-dimension-hydra-dew-luminizer")</f>
        <v/>
      </c>
      <c r="B3073" s="2">
        <f>HYPERLINK("https://camerareadycosmetics.com/products/rms-beauty-re-dimension-hydra-dew-luminizer", "https://camerareadycosmetics.com/products/rms-beauty-re-dimension-hydra-dew-luminizer")</f>
        <v/>
      </c>
      <c r="C3073" t="inlineStr">
        <is>
          <t>Re Dimension Hydra Dew Luminizer</t>
        </is>
      </c>
      <c r="D3073" t="inlineStr">
        <is>
          <t>RMS Beauty ReDimension Hydra Dew Luminizer - Highlighter Glow Makeup, Gel to Powder Highlighter Makeup, Body &amp; Face Highlighter, Cream Highlighter Dewy Makeup, Face &amp; Body Highlighter Make Up</t>
        </is>
      </c>
      <c r="E3073" s="2">
        <f>HYPERLINK("https://www.amazon.com/RMS-Beauty-ReDimension-Hydra-Luminizer/dp/B0CFFLQ11G/ref=sr_1_fkmr0_2?keywords=Re+Dimension+Hydra+Dew+Luminizer&amp;qid=1695565879&amp;sr=8-2-fkmr0", "https://www.amazon.com/RMS-Beauty-ReDimension-Hydra-Luminizer/dp/B0CFFLQ11G/ref=sr_1_fkmr0_2?keywords=Re+Dimension+Hydra+Dew+Luminizer&amp;qid=1695565879&amp;sr=8-2-fkmr0")</f>
        <v/>
      </c>
      <c r="F3073" t="inlineStr">
        <is>
          <t>B0CFFLQ11G</t>
        </is>
      </c>
      <c r="G3073">
        <f>_xlfn.IMAGE("https://camerareadycosmetics.com/cdn/shop/files/Untitled-2_0003_HYDRA-DEW-LUM-NS.jpg_1_50x.jpg?v=1692155366")</f>
        <v/>
      </c>
      <c r="H3073">
        <f>_xlfn.IMAGE("https://m.media-amazon.com/images/I/81vNdwsKBWL._AC_UL320_.jpg")</f>
        <v/>
      </c>
      <c r="K3073" t="inlineStr">
        <is>
          <t>42.0</t>
        </is>
      </c>
      <c r="L3073" t="n">
        <v>42</v>
      </c>
      <c r="M3073" s="1" t="inlineStr">
        <is>
          <t>0.00%</t>
        </is>
      </c>
      <c r="N3073" t="n">
        <v>5</v>
      </c>
      <c r="O3073" t="n">
        <v>2</v>
      </c>
      <c r="Q3073" t="inlineStr">
        <is>
          <t>InStock</t>
        </is>
      </c>
      <c r="R3073" t="inlineStr">
        <is>
          <t>undefined</t>
        </is>
      </c>
      <c r="S3073" t="inlineStr">
        <is>
          <t>7606025191609</t>
        </is>
      </c>
    </row>
    <row r="3074" ht="75" customHeight="1">
      <c r="A3074" s="2">
        <f>HYPERLINK("https://camerareadycosmetics.com/products/rms-beauty-reevolve-radiance-locking-primer", "https://camerareadycosmetics.com/products/rms-beauty-reevolve-radiance-locking-primer")</f>
        <v/>
      </c>
      <c r="B3074" s="2">
        <f>HYPERLINK("https://camerareadycosmetics.com/products/rms-beauty-reevolve-radiance-locking-primer", "https://camerareadycosmetics.com/products/rms-beauty-reevolve-radiance-locking-primer")</f>
        <v/>
      </c>
      <c r="C3074" t="inlineStr">
        <is>
          <t>ReEvolve Radiance Locking Primer</t>
        </is>
      </c>
      <c r="D3074" t="inlineStr">
        <is>
          <t>RMS Beauty ReEvolve Radiance Locking Primer - Primer Face Makeup, Refillable Hydrating Primer, Grip Primer, Face Primer for Makeup and Skincare with Squalene, Foundation Primer Make Up, Makeup Primer</t>
        </is>
      </c>
      <c r="E3074" s="2">
        <f>HYPERLINK("https://www.amazon.com/RMS-Beauty-Evolve-Radiance-Locking/dp/B09CGCF17J/ref=sr_1_1?keywords=revolve+radiance+locking+primer&amp;qid=1695565830&amp;sr=8-1", "https://www.amazon.com/RMS-Beauty-Evolve-Radiance-Locking/dp/B09CGCF17J/ref=sr_1_1?keywords=revolve+radiance+locking+primer&amp;qid=1695565830&amp;sr=8-1")</f>
        <v/>
      </c>
      <c r="F3074" t="inlineStr">
        <is>
          <t>B09CGCF17J</t>
        </is>
      </c>
      <c r="G3074">
        <f>_xlfn.IMAGE("https://camerareadycosmetics.com/cdn/shop/products/re-evolve-primer-secondary-hero-1_50x.jpg?v=1688677179")</f>
        <v/>
      </c>
      <c r="H3074">
        <f>_xlfn.IMAGE("https://m.media-amazon.com/images/I/71rZCv41faL._AC_UL320_.jpg")</f>
        <v/>
      </c>
      <c r="K3074" t="inlineStr">
        <is>
          <t>42.0</t>
        </is>
      </c>
      <c r="L3074" t="n">
        <v>42</v>
      </c>
      <c r="M3074" s="1" t="inlineStr">
        <is>
          <t>0.00%</t>
        </is>
      </c>
      <c r="N3074" t="n">
        <v>4.4</v>
      </c>
      <c r="O3074" t="n">
        <v>62</v>
      </c>
      <c r="Q3074" t="inlineStr">
        <is>
          <t>InStock</t>
        </is>
      </c>
      <c r="R3074" t="inlineStr">
        <is>
          <t>42.0</t>
        </is>
      </c>
      <c r="S3074" t="inlineStr">
        <is>
          <t>7335628243129</t>
        </is>
      </c>
    </row>
    <row r="3075" ht="75" customHeight="1">
      <c r="A3075" s="2">
        <f>HYPERLINK("https://camerareadycosmetics.com/products/rms-beauty-straight-line-kohl-eye-pencil", "https://camerareadycosmetics.com/products/rms-beauty-straight-line-kohl-eye-pencil")</f>
        <v/>
      </c>
      <c r="B3075" s="2">
        <f>HYPERLINK("https://camerareadycosmetics.com/products/rms-beauty-straight-line-kohl-eye-pencil", "https://camerareadycosmetics.com/products/rms-beauty-straight-line-kohl-eye-pencil")</f>
        <v/>
      </c>
      <c r="C3075" t="inlineStr">
        <is>
          <t>Straight Line Kohl Eye Pencil</t>
        </is>
      </c>
      <c r="D3075" t="inlineStr">
        <is>
          <t>MAC Eye Kohl Eyeliner-Smolder 1.36 g / 0.04 oz, Pencil</t>
        </is>
      </c>
      <c r="E3075" s="2">
        <f>HYPERLINK("https://www.amazon.com/MAC-Eye-Kohl-Smolder-Black/dp/5652223626/ref=sr_1_4?keywords=Straight+Line+Kohl+Eye+Pencil&amp;qid=1695565879&amp;sr=8-4", "https://www.amazon.com/MAC-Eye-Kohl-Smolder-Black/dp/5652223626/ref=sr_1_4?keywords=Straight+Line+Kohl+Eye+Pencil&amp;qid=1695565879&amp;sr=8-4")</f>
        <v/>
      </c>
      <c r="F3075" t="inlineStr">
        <is>
          <t>5652223626</t>
        </is>
      </c>
      <c r="G3075">
        <f>_xlfn.IMAGE("https://camerareadycosmetics.com/cdn/shop/files/straight-line-ingredients_1000x_6040f620-2e45-4df5-b7b0-b0eb85d045a7_50x.jpg?v=1687204131")</f>
        <v/>
      </c>
      <c r="H3075">
        <f>_xlfn.IMAGE("https://m.media-amazon.com/images/I/51ui0lbrFML._AC_UL320_.jpg")</f>
        <v/>
      </c>
      <c r="K3075" t="inlineStr">
        <is>
          <t>24.0</t>
        </is>
      </c>
      <c r="L3075" t="n">
        <v>26.97</v>
      </c>
      <c r="M3075" s="1" t="inlineStr">
        <is>
          <t>12.37%</t>
        </is>
      </c>
      <c r="N3075" t="n">
        <v>4.5</v>
      </c>
      <c r="O3075" t="n">
        <v>541</v>
      </c>
      <c r="Q3075" t="inlineStr">
        <is>
          <t>InStock</t>
        </is>
      </c>
      <c r="R3075" t="inlineStr">
        <is>
          <t>undefined</t>
        </is>
      </c>
      <c r="S3075" t="inlineStr">
        <is>
          <t>7518782783673</t>
        </is>
      </c>
    </row>
    <row r="3076" ht="75" customHeight="1">
      <c r="A3076" s="2">
        <f>HYPERLINK("https://camerareadycosmetics.com/products/rms-beauty-straight-line-kohl-eye-pencil", "https://camerareadycosmetics.com/products/rms-beauty-straight-line-kohl-eye-pencil")</f>
        <v/>
      </c>
      <c r="B3076" s="2">
        <f>HYPERLINK("https://camerareadycosmetics.com/products/rms-beauty-straight-line-kohl-eye-pencil", "https://camerareadycosmetics.com/products/rms-beauty-straight-line-kohl-eye-pencil")</f>
        <v/>
      </c>
      <c r="C3076" t="inlineStr">
        <is>
          <t>Straight Line Kohl Eye Pencil</t>
        </is>
      </c>
      <c r="D3076" t="inlineStr">
        <is>
          <t>RMS Beauty Straight Line Kohl Eye Pencil - Plum Definition Eye Pencil Women 0.038 oz</t>
        </is>
      </c>
      <c r="E3076" s="2">
        <f>HYPERLINK("https://www.amazon.com/RMS-Beauty-Straight-Line-Pencil/dp/B0BZVXPTDK/ref=sr_1_1?keywords=Straight+Line+Kohl+Eye+Pencil&amp;qid=1695565879&amp;sr=8-1", "https://www.amazon.com/RMS-Beauty-Straight-Line-Pencil/dp/B0BZVXPTDK/ref=sr_1_1?keywords=Straight+Line+Kohl+Eye+Pencil&amp;qid=1695565879&amp;sr=8-1")</f>
        <v/>
      </c>
      <c r="F3076" t="inlineStr">
        <is>
          <t>B0BZVXPTDK</t>
        </is>
      </c>
      <c r="G3076">
        <f>_xlfn.IMAGE("https://camerareadycosmetics.com/cdn/shop/files/straight-line-ingredients_1000x_6040f620-2e45-4df5-b7b0-b0eb85d045a7_50x.jpg?v=1687204131")</f>
        <v/>
      </c>
      <c r="H3076">
        <f>_xlfn.IMAGE("https://m.media-amazon.com/images/I/51E5kLEwnlL._AC_UL320_.jpg")</f>
        <v/>
      </c>
      <c r="K3076" t="inlineStr">
        <is>
          <t>24.0</t>
        </is>
      </c>
      <c r="L3076" t="n">
        <v>22</v>
      </c>
      <c r="M3076" s="1" t="inlineStr">
        <is>
          <t>-8.33%</t>
        </is>
      </c>
      <c r="N3076" t="n">
        <v>4.4</v>
      </c>
      <c r="O3076" t="n">
        <v>5</v>
      </c>
      <c r="Q3076" t="inlineStr">
        <is>
          <t>InStock</t>
        </is>
      </c>
      <c r="R3076" t="inlineStr">
        <is>
          <t>undefined</t>
        </is>
      </c>
      <c r="S3076" t="inlineStr">
        <is>
          <t>7518782783673</t>
        </is>
      </c>
    </row>
    <row r="3077" ht="75" customHeight="1">
      <c r="A3077" s="2">
        <f>HYPERLINK("https://camerareadycosmetics.com/products/rms-beauty-straight-line-kohl-eye-pencil", "https://camerareadycosmetics.com/products/rms-beauty-straight-line-kohl-eye-pencil")</f>
        <v/>
      </c>
      <c r="B3077" s="2">
        <f>HYPERLINK("https://camerareadycosmetics.com/products/rms-beauty-straight-line-kohl-eye-pencil", "https://camerareadycosmetics.com/products/rms-beauty-straight-line-kohl-eye-pencil")</f>
        <v/>
      </c>
      <c r="C3077" t="inlineStr">
        <is>
          <t>Straight Line Kohl Eye Pencil</t>
        </is>
      </c>
      <c r="D3077" t="inlineStr">
        <is>
          <t>RMS Beauty Straight Line Kohl Eye Pencil - Bronze Eye Pencil Women 0.038 oz</t>
        </is>
      </c>
      <c r="E3077" s="2">
        <f>HYPERLINK("https://www.amazon.com/RMS-Beauty-Straight-Line-Pencil/dp/B0BXLC7722/ref=sr_1_2?keywords=Straight+Line+Kohl+Eye+Pencil&amp;qid=1695565879&amp;sr=8-2", "https://www.amazon.com/RMS-Beauty-Straight-Line-Pencil/dp/B0BXLC7722/ref=sr_1_2?keywords=Straight+Line+Kohl+Eye+Pencil&amp;qid=1695565879&amp;sr=8-2")</f>
        <v/>
      </c>
      <c r="F3077" t="inlineStr">
        <is>
          <t>B0BXLC7722</t>
        </is>
      </c>
      <c r="G3077">
        <f>_xlfn.IMAGE("https://camerareadycosmetics.com/cdn/shop/files/straight-line-ingredients_1000x_6040f620-2e45-4df5-b7b0-b0eb85d045a7_50x.jpg?v=1687204131")</f>
        <v/>
      </c>
      <c r="H3077">
        <f>_xlfn.IMAGE("https://m.media-amazon.com/images/I/61Efu4sGSlL._AC_UL320_.jpg")</f>
        <v/>
      </c>
      <c r="K3077" t="inlineStr">
        <is>
          <t>24.0</t>
        </is>
      </c>
      <c r="L3077" t="n">
        <v>17.6</v>
      </c>
      <c r="M3077" s="1" t="inlineStr">
        <is>
          <t>-26.67%</t>
        </is>
      </c>
      <c r="N3077" t="n">
        <v>5</v>
      </c>
      <c r="O3077" t="n">
        <v>5</v>
      </c>
      <c r="Q3077" t="inlineStr">
        <is>
          <t>InStock</t>
        </is>
      </c>
      <c r="R3077" t="inlineStr">
        <is>
          <t>undefined</t>
        </is>
      </c>
      <c r="S3077" t="inlineStr">
        <is>
          <t>7518782783673</t>
        </is>
      </c>
    </row>
    <row r="3078" ht="75" customHeight="1">
      <c r="A3078" s="2">
        <f>HYPERLINK("https://camerareadycosmetics.com/products/rms-beauty-straight-line-kohl-eye-pencil", "https://camerareadycosmetics.com/products/rms-beauty-straight-line-kohl-eye-pencil")</f>
        <v/>
      </c>
      <c r="B3078" s="2">
        <f>HYPERLINK("https://camerareadycosmetics.com/products/rms-beauty-straight-line-kohl-eye-pencil", "https://camerareadycosmetics.com/products/rms-beauty-straight-line-kohl-eye-pencil")</f>
        <v/>
      </c>
      <c r="C3078" t="inlineStr">
        <is>
          <t>Straight Line Kohl Eye Pencil</t>
        </is>
      </c>
      <c r="D3078" t="inlineStr">
        <is>
          <t>Annabelle Waterline Matte Kohl Eyeliner Pencil, Blackest Black, Intense Colours, Matte Finish, Easy-To-Apply, Long-Lasting 10H, Waterproof, Transfer-proof, Cruelty-Free, 1.2 g</t>
        </is>
      </c>
      <c r="E3078" s="2">
        <f>HYPERLINK("https://www.amazon.com/Annabelle-Long-Lasting-Waterproof-Transferproof-Cruelty-Free/dp/B073ZG6QB9/ref=sr_1_10?keywords=Straight+Line+Kohl+Eye+Pencil&amp;qid=1695565879&amp;sr=8-10", "https://www.amazon.com/Annabelle-Long-Lasting-Waterproof-Transferproof-Cruelty-Free/dp/B073ZG6QB9/ref=sr_1_10?keywords=Straight+Line+Kohl+Eye+Pencil&amp;qid=1695565879&amp;sr=8-10")</f>
        <v/>
      </c>
      <c r="F3078" t="inlineStr">
        <is>
          <t>B073ZG6QB9</t>
        </is>
      </c>
      <c r="G3078">
        <f>_xlfn.IMAGE("https://camerareadycosmetics.com/cdn/shop/files/straight-line-ingredients_1000x_6040f620-2e45-4df5-b7b0-b0eb85d045a7_50x.jpg?v=1687204131")</f>
        <v/>
      </c>
      <c r="H3078">
        <f>_xlfn.IMAGE("https://m.media-amazon.com/images/I/51fYx9dIYbL._AC_UL320_.jpg")</f>
        <v/>
      </c>
      <c r="K3078" t="inlineStr">
        <is>
          <t>24.0</t>
        </is>
      </c>
      <c r="L3078" t="n">
        <v>10.95</v>
      </c>
      <c r="M3078" s="1" t="inlineStr">
        <is>
          <t>-54.38%</t>
        </is>
      </c>
      <c r="N3078" t="n">
        <v>4.3</v>
      </c>
      <c r="O3078" t="n">
        <v>3466</v>
      </c>
      <c r="Q3078" t="inlineStr">
        <is>
          <t>InStock</t>
        </is>
      </c>
      <c r="R3078" t="inlineStr">
        <is>
          <t>undefined</t>
        </is>
      </c>
      <c r="S3078" t="inlineStr">
        <is>
          <t>7518782783673</t>
        </is>
      </c>
    </row>
    <row r="3079" ht="75" customHeight="1">
      <c r="A3079" s="2">
        <f>HYPERLINK("https://camerareadycosmetics.com/products/rms-beauty-straight-line-kohl-eye-pencil", "https://camerareadycosmetics.com/products/rms-beauty-straight-line-kohl-eye-pencil")</f>
        <v/>
      </c>
      <c r="B3079" s="2">
        <f>HYPERLINK("https://camerareadycosmetics.com/products/rms-beauty-straight-line-kohl-eye-pencil", "https://camerareadycosmetics.com/products/rms-beauty-straight-line-kohl-eye-pencil")</f>
        <v/>
      </c>
      <c r="C3079" t="inlineStr">
        <is>
          <t>Straight Line Kohl Eye Pencil</t>
        </is>
      </c>
      <c r="D3079" t="inlineStr">
        <is>
          <t>Rimmel London Soft Kohl Kajal Eye Liner Pencil Denim Blue</t>
        </is>
      </c>
      <c r="E3079" s="2">
        <f>HYPERLINK("https://www.amazon.com/Rimmel-London-Kajal-Liner-Pencil/dp/B00DNK65AI/ref=sr_1_7?keywords=Straight+Line+Kohl+Eye+Pencil&amp;qid=1695565879&amp;sr=8-7", "https://www.amazon.com/Rimmel-London-Kajal-Liner-Pencil/dp/B00DNK65AI/ref=sr_1_7?keywords=Straight+Line+Kohl+Eye+Pencil&amp;qid=1695565879&amp;sr=8-7")</f>
        <v/>
      </c>
      <c r="F3079" t="inlineStr">
        <is>
          <t>B00DNK65AI</t>
        </is>
      </c>
      <c r="G3079">
        <f>_xlfn.IMAGE("https://camerareadycosmetics.com/cdn/shop/files/straight-line-ingredients_1000x_6040f620-2e45-4df5-b7b0-b0eb85d045a7_50x.jpg?v=1687204131")</f>
        <v/>
      </c>
      <c r="H3079">
        <f>_xlfn.IMAGE("https://m.media-amazon.com/images/I/71Go+R6hyhL._AC_UL320_.jpg")</f>
        <v/>
      </c>
      <c r="K3079" t="inlineStr">
        <is>
          <t>24.0</t>
        </is>
      </c>
      <c r="L3079" t="n">
        <v>7.44</v>
      </c>
      <c r="M3079" s="1" t="inlineStr">
        <is>
          <t>-69.00%</t>
        </is>
      </c>
      <c r="N3079" t="n">
        <v>4</v>
      </c>
      <c r="O3079" t="n">
        <v>176</v>
      </c>
      <c r="Q3079" t="inlineStr">
        <is>
          <t>InStock</t>
        </is>
      </c>
      <c r="R3079" t="inlineStr">
        <is>
          <t>undefined</t>
        </is>
      </c>
      <c r="S3079" t="inlineStr">
        <is>
          <t>7518782783673</t>
        </is>
      </c>
    </row>
    <row r="3080" ht="75" customHeight="1">
      <c r="A3080" s="2">
        <f>HYPERLINK("https://camerareadycosmetics.com/products/rms-beauty-straight-line-kohl-eye-pencil", "https://camerareadycosmetics.com/products/rms-beauty-straight-line-kohl-eye-pencil")</f>
        <v/>
      </c>
      <c r="B3080" s="2">
        <f>HYPERLINK("https://camerareadycosmetics.com/products/rms-beauty-straight-line-kohl-eye-pencil", "https://camerareadycosmetics.com/products/rms-beauty-straight-line-kohl-eye-pencil")</f>
        <v/>
      </c>
      <c r="C3080" t="inlineStr">
        <is>
          <t>Straight Line Kohl Eye Pencil</t>
        </is>
      </c>
      <c r="D3080" t="inlineStr">
        <is>
          <t>Max Factor Kohl Pencil No. 060 Eye Liner, Ice Blue</t>
        </is>
      </c>
      <c r="E3080" s="2">
        <f>HYPERLINK("https://www.amazon.com/Max-Factor-Pencil-Liner-No-060/dp/B00EC9PNHK/ref=sr_1_8?keywords=Straight+Line+Kohl+Eye+Pencil&amp;qid=1695565879&amp;sr=8-8", "https://www.amazon.com/Max-Factor-Pencil-Liner-No-060/dp/B00EC9PNHK/ref=sr_1_8?keywords=Straight+Line+Kohl+Eye+Pencil&amp;qid=1695565879&amp;sr=8-8")</f>
        <v/>
      </c>
      <c r="F3080" t="inlineStr">
        <is>
          <t>B00EC9PNHK</t>
        </is>
      </c>
      <c r="G3080">
        <f>_xlfn.IMAGE("https://camerareadycosmetics.com/cdn/shop/files/straight-line-ingredients_1000x_6040f620-2e45-4df5-b7b0-b0eb85d045a7_50x.jpg?v=1687204131")</f>
        <v/>
      </c>
      <c r="H3080">
        <f>_xlfn.IMAGE("https://m.media-amazon.com/images/I/61b2H3K7uRL._AC_UL320_.jpg")</f>
        <v/>
      </c>
      <c r="K3080" t="inlineStr">
        <is>
          <t>24.0</t>
        </is>
      </c>
      <c r="L3080" t="n">
        <v>6.62</v>
      </c>
      <c r="M3080" s="1" t="inlineStr">
        <is>
          <t>-72.42%</t>
        </is>
      </c>
      <c r="N3080" t="n">
        <v>4.4</v>
      </c>
      <c r="O3080" t="n">
        <v>106</v>
      </c>
      <c r="Q3080" t="inlineStr">
        <is>
          <t>InStock</t>
        </is>
      </c>
      <c r="R3080" t="inlineStr">
        <is>
          <t>undefined</t>
        </is>
      </c>
      <c r="S3080" t="inlineStr">
        <is>
          <t>7518782783673</t>
        </is>
      </c>
    </row>
    <row r="3081" ht="75" customHeight="1">
      <c r="A3081" s="2">
        <f>HYPERLINK("https://camerareadycosmetics.com/products/rms-beauty-straight-up-volumizing-peptide-mascara", "https://camerareadycosmetics.com/products/rms-beauty-straight-up-volumizing-peptide-mascara")</f>
        <v/>
      </c>
      <c r="B3081" s="2">
        <f>HYPERLINK("https://camerareadycosmetics.com/products/rms-beauty-straight-up-volumizing-peptide-mascara", "https://camerareadycosmetics.com/products/rms-beauty-straight-up-volumizing-peptide-mascara")</f>
        <v/>
      </c>
      <c r="C3081" t="inlineStr">
        <is>
          <t>Straight Up Volumizing Peptide Mascara</t>
        </is>
      </c>
      <c r="D3081" t="inlineStr">
        <is>
          <t>RMS Beauty Straight Up™ Volumizing Peptide Mascara</t>
        </is>
      </c>
      <c r="E3081" s="2">
        <f>HYPERLINK("https://www.amazon.com/RMS-Beauty-Straight-Volumizing-Peptide/dp/B094PZL4WT/ref=sr_1_1?keywords=Straight+Up+Volumizing+Peptide+Mascara&amp;qid=1695565882&amp;sr=8-1", "https://www.amazon.com/RMS-Beauty-Straight-Volumizing-Peptide/dp/B094PZL4WT/ref=sr_1_1?keywords=Straight+Up+Volumizing+Peptide+Mascara&amp;qid=1695565882&amp;sr=8-1")</f>
        <v/>
      </c>
      <c r="F3081" t="inlineStr">
        <is>
          <t>B094PZL4WT</t>
        </is>
      </c>
      <c r="G3081">
        <f>_xlfn.IMAGE("https://camerareadycosmetics.com/cdn/shop/files/mascara-900x1084_1_50x.jpg?v=1688744124")</f>
        <v/>
      </c>
      <c r="H3081">
        <f>_xlfn.IMAGE("https://m.media-amazon.com/images/I/714UxoL6xQL._AC_UL320_.jpg")</f>
        <v/>
      </c>
      <c r="K3081" t="inlineStr">
        <is>
          <t>28.0</t>
        </is>
      </c>
      <c r="L3081" t="n">
        <v>28</v>
      </c>
      <c r="M3081" s="1" t="inlineStr">
        <is>
          <t>0.00%</t>
        </is>
      </c>
      <c r="N3081" t="n">
        <v>4.1</v>
      </c>
      <c r="O3081" t="n">
        <v>68</v>
      </c>
      <c r="Q3081" t="inlineStr">
        <is>
          <t>InStock</t>
        </is>
      </c>
      <c r="R3081" t="inlineStr">
        <is>
          <t>undefined</t>
        </is>
      </c>
      <c r="S3081" t="inlineStr">
        <is>
          <t>7599168684217</t>
        </is>
      </c>
    </row>
    <row r="3082" ht="75" customHeight="1">
      <c r="A3082" s="2">
        <f>HYPERLINK("https://camerareadycosmetics.com/products/rms-beauty-straight-up-volumizing-peptide-mascara", "https://camerareadycosmetics.com/products/rms-beauty-straight-up-volumizing-peptide-mascara")</f>
        <v/>
      </c>
      <c r="B3082" s="2">
        <f>HYPERLINK("https://camerareadycosmetics.com/products/rms-beauty-straight-up-volumizing-peptide-mascara", "https://camerareadycosmetics.com/products/rms-beauty-straight-up-volumizing-peptide-mascara")</f>
        <v/>
      </c>
      <c r="C3082" t="inlineStr">
        <is>
          <t>Straight Up Volumizing Peptide Mascara</t>
        </is>
      </c>
      <c r="D3082" t="inlineStr">
        <is>
          <t>IT Cosmetics Superhero Mascara - Super Black Elastic Stretch Volumizing &amp; Lengthening Mascara - Lifts, Separates &amp; Conditions Lashes - With Collagen, Biotin &amp; Peptides</t>
        </is>
      </c>
      <c r="E3082" s="2">
        <f>HYPERLINK("https://www.amazon.com/Cosmetics-Superhero-Elastic-Stretch-Volumizing/dp/B01AKTZFZU/ref=sr_1_8?keywords=Straight+Up+Volumizing+Peptide+Mascara&amp;qid=1695565882&amp;sr=8-8", "https://www.amazon.com/Cosmetics-Superhero-Elastic-Stretch-Volumizing/dp/B01AKTZFZU/ref=sr_1_8?keywords=Straight+Up+Volumizing+Peptide+Mascara&amp;qid=1695565882&amp;sr=8-8")</f>
        <v/>
      </c>
      <c r="F3082" t="inlineStr">
        <is>
          <t>B01AKTZFZU</t>
        </is>
      </c>
      <c r="G3082">
        <f>_xlfn.IMAGE("https://camerareadycosmetics.com/cdn/shop/files/mascara-900x1084_1_50x.jpg?v=1688744124")</f>
        <v/>
      </c>
      <c r="H3082">
        <f>_xlfn.IMAGE("https://m.media-amazon.com/images/I/71q1UK9G12L._AC_UL320_.jpg")</f>
        <v/>
      </c>
      <c r="K3082" t="inlineStr">
        <is>
          <t>28.0</t>
        </is>
      </c>
      <c r="L3082" t="n">
        <v>23.8</v>
      </c>
      <c r="M3082" s="1" t="inlineStr">
        <is>
          <t>-15.00%</t>
        </is>
      </c>
      <c r="N3082" t="n">
        <v>4.5</v>
      </c>
      <c r="O3082" t="n">
        <v>9843</v>
      </c>
      <c r="Q3082" t="inlineStr">
        <is>
          <t>InStock</t>
        </is>
      </c>
      <c r="R3082" t="inlineStr">
        <is>
          <t>undefined</t>
        </is>
      </c>
      <c r="S3082" t="inlineStr">
        <is>
          <t>7599168684217</t>
        </is>
      </c>
    </row>
    <row r="3083" ht="75" customHeight="1">
      <c r="A3083" s="2">
        <f>HYPERLINK("https://camerareadycosmetics.com/products/rms-beauty-tinted-daily-lip-balm", "https://camerareadycosmetics.com/products/rms-beauty-tinted-daily-lip-balm")</f>
        <v/>
      </c>
      <c r="B3083" s="2">
        <f>HYPERLINK("https://camerareadycosmetics.com/products/rms-beauty-tinted-daily-lip-balm", "https://camerareadycosmetics.com/products/rms-beauty-tinted-daily-lip-balm")</f>
        <v/>
      </c>
      <c r="C3083" t="inlineStr">
        <is>
          <t>Tinted Daily Lip Balm</t>
        </is>
      </c>
      <c r="D3083" t="inlineStr">
        <is>
          <t>MDSolarSciences Tinted Lip Balm SPF 30 – Sheer Hydrating Sunscreen for Lips – Vegan, Gluten Free Lip Makeup with Naturally Moisturizing Shea Butter and Avocado Oil, 0.15 Oz</t>
        </is>
      </c>
      <c r="E3083" s="2">
        <f>HYPERLINK("https://www.amazon.com/MDSolarSciences-Hydrating-Sheer-tinted-avocado/dp/B089X46F63/ref=sr_1_1?keywords=Tinted+Daily+Lip+Balm&amp;qid=1695565809&amp;sr=8-1", "https://www.amazon.com/MDSolarSciences-Hydrating-Sheer-tinted-avocado/dp/B089X46F63/ref=sr_1_1?keywords=Tinted+Daily+Lip+Balm&amp;qid=1695565809&amp;sr=8-1")</f>
        <v/>
      </c>
      <c r="F3083" t="inlineStr">
        <is>
          <t>B089X46F63</t>
        </is>
      </c>
      <c r="G3083">
        <f>_xlfn.IMAGE("https://camerareadycosmetics.com/cdn/shop/products/RMS_BEAUTY_PASSION_LANE_TINTED_LIP_BALM_1200x_57372abe-a607-492f-bf9f-f53a10e88ce9_50x.jpg?v=1653604516")</f>
        <v/>
      </c>
      <c r="H3083">
        <f>_xlfn.IMAGE("https://m.media-amazon.com/images/I/51Bn1kv0SAL._AC_UL320_.jpg")</f>
        <v/>
      </c>
      <c r="K3083" t="inlineStr">
        <is>
          <t>24.0</t>
        </is>
      </c>
      <c r="L3083" t="n">
        <v>23</v>
      </c>
      <c r="M3083" s="1" t="inlineStr">
        <is>
          <t>-4.17%</t>
        </is>
      </c>
      <c r="N3083" t="n">
        <v>4.1</v>
      </c>
      <c r="O3083" t="n">
        <v>2731</v>
      </c>
      <c r="Q3083" t="inlineStr">
        <is>
          <t>InStock</t>
        </is>
      </c>
      <c r="R3083" t="inlineStr">
        <is>
          <t>undefined</t>
        </is>
      </c>
      <c r="S3083" t="inlineStr">
        <is>
          <t>7335631945913</t>
        </is>
      </c>
    </row>
    <row r="3084" ht="75" customHeight="1">
      <c r="A3084" s="2">
        <f>HYPERLINK("https://camerareadycosmetics.com/products/rms-beauty-tinted-daily-lip-balm", "https://camerareadycosmetics.com/products/rms-beauty-tinted-daily-lip-balm")</f>
        <v/>
      </c>
      <c r="B3084" s="2">
        <f>HYPERLINK("https://camerareadycosmetics.com/products/rms-beauty-tinted-daily-lip-balm", "https://camerareadycosmetics.com/products/rms-beauty-tinted-daily-lip-balm")</f>
        <v/>
      </c>
      <c r="C3084" t="inlineStr">
        <is>
          <t>Tinted Daily Lip Balm</t>
        </is>
      </c>
      <c r="D3084" t="inlineStr">
        <is>
          <t>LAURA GELLER NEW YORK Jelly Balm Moisturizing Tinted Lip Balm - In the Buff - Hydrating Vitamin E - Semi-Shine Finish</t>
        </is>
      </c>
      <c r="E3084" s="2">
        <f>HYPERLINK("https://www.amazon.com/LAURA-GELLER-NEW-YORK-Hydrating/dp/B08915QFHR/ref=sr_1_9?keywords=Tinted+Daily+Lip+Balm&amp;qid=1695565809&amp;sr=8-9", "https://www.amazon.com/LAURA-GELLER-NEW-YORK-Hydrating/dp/B08915QFHR/ref=sr_1_9?keywords=Tinted+Daily+Lip+Balm&amp;qid=1695565809&amp;sr=8-9")</f>
        <v/>
      </c>
      <c r="F3084" t="inlineStr">
        <is>
          <t>B08915QFHR</t>
        </is>
      </c>
      <c r="G3084">
        <f>_xlfn.IMAGE("https://camerareadycosmetics.com/cdn/shop/products/RMS_BEAUTY_PASSION_LANE_TINTED_LIP_BALM_1200x_57372abe-a607-492f-bf9f-f53a10e88ce9_50x.jpg?v=1653604516")</f>
        <v/>
      </c>
      <c r="H3084">
        <f>_xlfn.IMAGE("https://m.media-amazon.com/images/I/61deShed4TL._AC_UL320_.jpg")</f>
        <v/>
      </c>
      <c r="K3084" t="inlineStr">
        <is>
          <t>24.0</t>
        </is>
      </c>
      <c r="L3084" t="n">
        <v>19.9</v>
      </c>
      <c r="M3084" s="1" t="inlineStr">
        <is>
          <t>-17.08%</t>
        </is>
      </c>
      <c r="N3084" t="n">
        <v>4.3</v>
      </c>
      <c r="O3084" t="n">
        <v>714</v>
      </c>
      <c r="Q3084" t="inlineStr">
        <is>
          <t>InStock</t>
        </is>
      </c>
      <c r="R3084" t="inlineStr">
        <is>
          <t>undefined</t>
        </is>
      </c>
      <c r="S3084" t="inlineStr">
        <is>
          <t>7335631945913</t>
        </is>
      </c>
    </row>
    <row r="3085" ht="75" customHeight="1">
      <c r="A3085" s="2">
        <f>HYPERLINK("https://camerareadycosmetics.com/products/rms-beauty-tinted-daily-lip-balm", "https://camerareadycosmetics.com/products/rms-beauty-tinted-daily-lip-balm")</f>
        <v/>
      </c>
      <c r="B3085" s="2">
        <f>HYPERLINK("https://camerareadycosmetics.com/products/rms-beauty-tinted-daily-lip-balm", "https://camerareadycosmetics.com/products/rms-beauty-tinted-daily-lip-balm")</f>
        <v/>
      </c>
      <c r="C3085" t="inlineStr">
        <is>
          <t>Tinted Daily Lip Balm</t>
        </is>
      </c>
      <c r="D3085" t="inlineStr">
        <is>
          <t>Organic Tinted Lip Balm &amp; Mineral Sunscreen with SPF 30, Dermatologist Tested Lip Care for Daily Protection, Vegan, 0.15 Oz</t>
        </is>
      </c>
      <c r="E3085" s="2">
        <f>HYPERLINK("https://www.amazon.com/COOLA-Mineral-Liplux-SPF-Firecracker/dp/B01F988CFC/ref=sr_1_4?keywords=Tinted+Daily+Lip+Balm&amp;qid=1695565809&amp;sr=8-4", "https://www.amazon.com/COOLA-Mineral-Liplux-SPF-Firecracker/dp/B01F988CFC/ref=sr_1_4?keywords=Tinted+Daily+Lip+Balm&amp;qid=1695565809&amp;sr=8-4")</f>
        <v/>
      </c>
      <c r="F3085" t="inlineStr">
        <is>
          <t>B01F988CFC</t>
        </is>
      </c>
      <c r="G3085">
        <f>_xlfn.IMAGE("https://camerareadycosmetics.com/cdn/shop/products/RMS_BEAUTY_PASSION_LANE_TINTED_LIP_BALM_1200x_57372abe-a607-492f-bf9f-f53a10e88ce9_50x.jpg?v=1653604516")</f>
        <v/>
      </c>
      <c r="H3085">
        <f>_xlfn.IMAGE("https://m.media-amazon.com/images/I/51q5PwyETqL._AC_UL320_.jpg")</f>
        <v/>
      </c>
      <c r="K3085" t="inlineStr">
        <is>
          <t>24.0</t>
        </is>
      </c>
      <c r="L3085" t="n">
        <v>15.3</v>
      </c>
      <c r="M3085" s="1" t="inlineStr">
        <is>
          <t>-36.25%</t>
        </is>
      </c>
      <c r="N3085" t="n">
        <v>3.8</v>
      </c>
      <c r="O3085" t="n">
        <v>1569</v>
      </c>
      <c r="Q3085" t="inlineStr">
        <is>
          <t>InStock</t>
        </is>
      </c>
      <c r="R3085" t="inlineStr">
        <is>
          <t>undefined</t>
        </is>
      </c>
      <c r="S3085" t="inlineStr">
        <is>
          <t>7335631945913</t>
        </is>
      </c>
    </row>
    <row r="3086" ht="75" customHeight="1">
      <c r="A3086" s="2">
        <f>HYPERLINK("https://camerareadycosmetics.com/products/rms-beauty-tinted-daily-lip-balm", "https://camerareadycosmetics.com/products/rms-beauty-tinted-daily-lip-balm")</f>
        <v/>
      </c>
      <c r="B3086" s="2">
        <f>HYPERLINK("https://camerareadycosmetics.com/products/rms-beauty-tinted-daily-lip-balm", "https://camerareadycosmetics.com/products/rms-beauty-tinted-daily-lip-balm")</f>
        <v/>
      </c>
      <c r="C3086" t="inlineStr">
        <is>
          <t>Tinted Daily Lip Balm</t>
        </is>
      </c>
      <c r="D3086" t="inlineStr">
        <is>
          <t>A'PIEU JUICY-PANG COLOR LIP BALM (CR02-JUJUBE) - long-lasting, lightweight, Color&amp;Care, daily lip balm</t>
        </is>
      </c>
      <c r="E3086" s="2">
        <f>HYPERLINK("https://www.amazon.com/APIEU-JUICY-PANG-COLOR-BALM-CR02/dp/B08QV969GC/ref=sr_1_8?keywords=Tinted+Daily+Lip+Balm&amp;qid=1695565809&amp;sr=8-8", "https://www.amazon.com/APIEU-JUICY-PANG-COLOR-BALM-CR02/dp/B08QV969GC/ref=sr_1_8?keywords=Tinted+Daily+Lip+Balm&amp;qid=1695565809&amp;sr=8-8")</f>
        <v/>
      </c>
      <c r="F3086" t="inlineStr">
        <is>
          <t>B08QV969GC</t>
        </is>
      </c>
      <c r="G3086">
        <f>_xlfn.IMAGE("https://camerareadycosmetics.com/cdn/shop/products/RMS_BEAUTY_PASSION_LANE_TINTED_LIP_BALM_1200x_57372abe-a607-492f-bf9f-f53a10e88ce9_50x.jpg?v=1653604516")</f>
        <v/>
      </c>
      <c r="H3086">
        <f>_xlfn.IMAGE("https://m.media-amazon.com/images/I/61SkxH9V6YL._AC_UL320_.jpg")</f>
        <v/>
      </c>
      <c r="K3086" t="inlineStr">
        <is>
          <t>24.0</t>
        </is>
      </c>
      <c r="L3086" t="n">
        <v>12</v>
      </c>
      <c r="M3086" s="1" t="inlineStr">
        <is>
          <t>-50.00%</t>
        </is>
      </c>
      <c r="N3086" t="n">
        <v>4.2</v>
      </c>
      <c r="O3086" t="n">
        <v>462</v>
      </c>
      <c r="Q3086" t="inlineStr">
        <is>
          <t>InStock</t>
        </is>
      </c>
      <c r="R3086" t="inlineStr">
        <is>
          <t>undefined</t>
        </is>
      </c>
      <c r="S3086" t="inlineStr">
        <is>
          <t>7335631945913</t>
        </is>
      </c>
    </row>
    <row r="3087" ht="75" customHeight="1">
      <c r="A3087" s="2">
        <f>HYPERLINK("https://camerareadycosmetics.com/products/rms-beauty-tinted-daily-lip-balm", "https://camerareadycosmetics.com/products/rms-beauty-tinted-daily-lip-balm")</f>
        <v/>
      </c>
      <c r="B3087" s="2">
        <f>HYPERLINK("https://camerareadycosmetics.com/products/rms-beauty-tinted-daily-lip-balm", "https://camerareadycosmetics.com/products/rms-beauty-tinted-daily-lip-balm")</f>
        <v/>
      </c>
      <c r="C3087" t="inlineStr">
        <is>
          <t>Tinted Daily Lip Balm</t>
        </is>
      </c>
      <c r="D3087" t="inlineStr">
        <is>
          <t>COOLA Organic Liplux Tinted Lip Balm and Sunscreen with SPF 30, Dermatologist Tested Lip Care for Daily Protection, Vegan and Gluten Free, 0.15 Oz</t>
        </is>
      </c>
      <c r="E3087" s="2">
        <f>HYPERLINK("https://www.amazon.com/Organic-Liplux-Sunscreen-Dermatologist-Protection/dp/B093JZGNFV/ref=sr_1_3?keywords=Tinted+Daily+Lip+Balm&amp;qid=1695565809&amp;sr=8-3", "https://www.amazon.com/Organic-Liplux-Sunscreen-Dermatologist-Protection/dp/B093JZGNFV/ref=sr_1_3?keywords=Tinted+Daily+Lip+Balm&amp;qid=1695565809&amp;sr=8-3")</f>
        <v/>
      </c>
      <c r="F3087" t="inlineStr">
        <is>
          <t>B093JZGNFV</t>
        </is>
      </c>
      <c r="G3087">
        <f>_xlfn.IMAGE("https://camerareadycosmetics.com/cdn/shop/products/RMS_BEAUTY_PASSION_LANE_TINTED_LIP_BALM_1200x_57372abe-a607-492f-bf9f-f53a10e88ce9_50x.jpg?v=1653604516")</f>
        <v/>
      </c>
      <c r="H3087">
        <f>_xlfn.IMAGE("https://m.media-amazon.com/images/I/71UJ0CQvUFS._AC_UL320_.jpg")</f>
        <v/>
      </c>
      <c r="K3087" t="inlineStr">
        <is>
          <t>24.0</t>
        </is>
      </c>
      <c r="L3087" t="n">
        <v>9</v>
      </c>
      <c r="M3087" s="1" t="inlineStr">
        <is>
          <t>-62.50%</t>
        </is>
      </c>
      <c r="N3087" t="n">
        <v>4.2</v>
      </c>
      <c r="O3087" t="n">
        <v>234</v>
      </c>
      <c r="Q3087" t="inlineStr">
        <is>
          <t>InStock</t>
        </is>
      </c>
      <c r="R3087" t="inlineStr">
        <is>
          <t>undefined</t>
        </is>
      </c>
      <c r="S3087" t="inlineStr">
        <is>
          <t>7335631945913</t>
        </is>
      </c>
    </row>
    <row r="3088" ht="75" customHeight="1">
      <c r="A3088" s="2">
        <f>HYPERLINK("https://camerareadycosmetics.com/products/rms-beauty-tinted-daily-lip-balm", "https://camerareadycosmetics.com/products/rms-beauty-tinted-daily-lip-balm")</f>
        <v/>
      </c>
      <c r="B3088" s="2">
        <f>HYPERLINK("https://camerareadycosmetics.com/products/rms-beauty-tinted-daily-lip-balm", "https://camerareadycosmetics.com/products/rms-beauty-tinted-daily-lip-balm")</f>
        <v/>
      </c>
      <c r="C3088" t="inlineStr">
        <is>
          <t>Tinted Daily Lip Balm</t>
        </is>
      </c>
      <c r="D3088" t="inlineStr">
        <is>
          <t>Neutrogena Revitalizing and Moisturizing Tinted Lip Balm with Sun Protective Broad Spectrum SPF 20 Sunscreen, Lip Soothing Balm with a Sheer Tint in Color Healthy Blush 20, 15 oz</t>
        </is>
      </c>
      <c r="E3088" s="2">
        <f>HYPERLINK("https://www.amazon.com/Neutrogena-Revitalizing-20-Healthy-Blush/dp/B004CZZ56S/ref=sr_1_5?keywords=Tinted+Daily+Lip+Balm&amp;qid=1695565809&amp;sr=8-5", "https://www.amazon.com/Neutrogena-Revitalizing-20-Healthy-Blush/dp/B004CZZ56S/ref=sr_1_5?keywords=Tinted+Daily+Lip+Balm&amp;qid=1695565809&amp;sr=8-5")</f>
        <v/>
      </c>
      <c r="F3088" t="inlineStr">
        <is>
          <t>B004CZZ56S</t>
        </is>
      </c>
      <c r="G3088">
        <f>_xlfn.IMAGE("https://camerareadycosmetics.com/cdn/shop/products/RMS_BEAUTY_PASSION_LANE_TINTED_LIP_BALM_1200x_57372abe-a607-492f-bf9f-f53a10e88ce9_50x.jpg?v=1653604516")</f>
        <v/>
      </c>
      <c r="H3088">
        <f>_xlfn.IMAGE("https://m.media-amazon.com/images/I/61L0a5AS5zL._AC_UL320_.jpg")</f>
        <v/>
      </c>
      <c r="K3088" t="inlineStr">
        <is>
          <t>24.0</t>
        </is>
      </c>
      <c r="L3088" t="n">
        <v>6.97</v>
      </c>
      <c r="M3088" s="1" t="inlineStr">
        <is>
          <t>-70.96%</t>
        </is>
      </c>
      <c r="N3088" t="n">
        <v>4.5</v>
      </c>
      <c r="O3088" t="n">
        <v>2215</v>
      </c>
      <c r="Q3088" t="inlineStr">
        <is>
          <t>InStock</t>
        </is>
      </c>
      <c r="R3088" t="inlineStr">
        <is>
          <t>undefined</t>
        </is>
      </c>
      <c r="S3088" t="inlineStr">
        <is>
          <t>7335631945913</t>
        </is>
      </c>
    </row>
    <row r="3089" ht="75" customHeight="1">
      <c r="A3089" s="2">
        <f>HYPERLINK("https://camerareadycosmetics.com/products/rms-beauty-tinted-daily-lip-balm", "https://camerareadycosmetics.com/products/rms-beauty-tinted-daily-lip-balm")</f>
        <v/>
      </c>
      <c r="B3089" s="2">
        <f>HYPERLINK("https://camerareadycosmetics.com/products/rms-beauty-tinted-daily-lip-balm", "https://camerareadycosmetics.com/products/rms-beauty-tinted-daily-lip-balm")</f>
        <v/>
      </c>
      <c r="C3089" t="inlineStr">
        <is>
          <t>Tinted Daily Lip Balm</t>
        </is>
      </c>
      <c r="D3089" t="inlineStr">
        <is>
          <t>Triangle Cheese Tinted Lip Balm, Natural Moisturizing Lip Care All-day Moisture, Daily Lip Balm for Dry Cracked Skin, Soothing, &amp; Refreshing, Hydration Treatment &amp; Lip Care</t>
        </is>
      </c>
      <c r="E3089" s="2">
        <f>HYPERLINK("https://www.amazon.com/AKARY-Moisturizing-Refreshing-Hydration-Treatment/dp/B0BTYBDPTV/ref=sr_1_10?keywords=Tinted+Daily+Lip+Balm&amp;qid=1695565809&amp;sr=8-10", "https://www.amazon.com/AKARY-Moisturizing-Refreshing-Hydration-Treatment/dp/B0BTYBDPTV/ref=sr_1_10?keywords=Tinted+Daily+Lip+Balm&amp;qid=1695565809&amp;sr=8-10")</f>
        <v/>
      </c>
      <c r="F3089" t="inlineStr">
        <is>
          <t>B0BTYBDPTV</t>
        </is>
      </c>
      <c r="G3089">
        <f>_xlfn.IMAGE("https://camerareadycosmetics.com/cdn/shop/products/RMS_BEAUTY_PASSION_LANE_TINTED_LIP_BALM_1200x_57372abe-a607-492f-bf9f-f53a10e88ce9_50x.jpg?v=1653604516")</f>
        <v/>
      </c>
      <c r="H3089">
        <f>_xlfn.IMAGE("https://m.media-amazon.com/images/I/51QYPcDtGQL._AC_UL320_.jpg")</f>
        <v/>
      </c>
      <c r="K3089" t="inlineStr">
        <is>
          <t>24.0</t>
        </is>
      </c>
      <c r="L3089" t="n">
        <v>5.99</v>
      </c>
      <c r="M3089" s="1" t="inlineStr">
        <is>
          <t>-75.04%</t>
        </is>
      </c>
      <c r="N3089" t="n">
        <v>5</v>
      </c>
      <c r="O3089" t="n">
        <v>3</v>
      </c>
      <c r="Q3089" t="inlineStr">
        <is>
          <t>InStock</t>
        </is>
      </c>
      <c r="R3089" t="inlineStr">
        <is>
          <t>undefined</t>
        </is>
      </c>
      <c r="S3089" t="inlineStr">
        <is>
          <t>7335631945913</t>
        </is>
      </c>
    </row>
    <row r="3090" ht="75" customHeight="1">
      <c r="A3090" s="2">
        <f>HYPERLINK("https://camerareadycosmetics.com/products/rms-beauty-tinted-daily-lip-balm", "https://camerareadycosmetics.com/products/rms-beauty-tinted-daily-lip-balm")</f>
        <v/>
      </c>
      <c r="B3090" s="2">
        <f>HYPERLINK("https://camerareadycosmetics.com/products/rms-beauty-tinted-daily-lip-balm", "https://camerareadycosmetics.com/products/rms-beauty-tinted-daily-lip-balm")</f>
        <v/>
      </c>
      <c r="C3090" t="inlineStr">
        <is>
          <t>Tinted Daily Lip Balm</t>
        </is>
      </c>
      <c r="D3090" t="inlineStr">
        <is>
          <t>Revlon Lip Balm, Kiss Tinted Lip Balm, Face Makeup with Lasting Hydration, SPF 20, Infused with Natural Fruit Oils, 035 Berry Burst, 0.09 Oz</t>
        </is>
      </c>
      <c r="E3090" s="2">
        <f>HYPERLINK("https://www.amazon.com/Revlon-Kiss-Balm-Berry-Burst/dp/B01KI40DIQ/ref=sr_1_6?keywords=Tinted+Daily+Lip+Balm&amp;qid=1695565809&amp;sr=8-6", "https://www.amazon.com/Revlon-Kiss-Balm-Berry-Burst/dp/B01KI40DIQ/ref=sr_1_6?keywords=Tinted+Daily+Lip+Balm&amp;qid=1695565809&amp;sr=8-6")</f>
        <v/>
      </c>
      <c r="F3090" t="inlineStr">
        <is>
          <t>B01KI40DIQ</t>
        </is>
      </c>
      <c r="G3090">
        <f>_xlfn.IMAGE("https://camerareadycosmetics.com/cdn/shop/products/RMS_BEAUTY_PASSION_LANE_TINTED_LIP_BALM_1200x_57372abe-a607-492f-bf9f-f53a10e88ce9_50x.jpg?v=1653604516")</f>
        <v/>
      </c>
      <c r="H3090">
        <f>_xlfn.IMAGE("https://m.media-amazon.com/images/I/61ZYudrgmPL._AC_UL320_.jpg")</f>
        <v/>
      </c>
      <c r="K3090" t="inlineStr">
        <is>
          <t>24.0</t>
        </is>
      </c>
      <c r="L3090" t="n">
        <v>4.59</v>
      </c>
      <c r="M3090" s="1" t="inlineStr">
        <is>
          <t>-80.88%</t>
        </is>
      </c>
      <c r="N3090" t="n">
        <v>4.6</v>
      </c>
      <c r="O3090" t="n">
        <v>14164</v>
      </c>
      <c r="Q3090" t="inlineStr">
        <is>
          <t>InStock</t>
        </is>
      </c>
      <c r="R3090" t="inlineStr">
        <is>
          <t>undefined</t>
        </is>
      </c>
      <c r="S3090" t="inlineStr">
        <is>
          <t>7335631945913</t>
        </is>
      </c>
    </row>
    <row r="3091" ht="75" customHeight="1">
      <c r="A3091" s="2">
        <f>HYPERLINK("https://camerareadycosmetics.com/products/rms-beauty-tinted-daily-lip-balm", "https://camerareadycosmetics.com/products/rms-beauty-tinted-daily-lip-balm")</f>
        <v/>
      </c>
      <c r="B3091" s="2">
        <f>HYPERLINK("https://camerareadycosmetics.com/products/rms-beauty-tinted-daily-lip-balm", "https://camerareadycosmetics.com/products/rms-beauty-tinted-daily-lip-balm")</f>
        <v/>
      </c>
      <c r="C3091" t="inlineStr">
        <is>
          <t>Tinted Daily Lip Balm</t>
        </is>
      </c>
      <c r="D3091" t="inlineStr">
        <is>
          <t>Pacifica Beauty, Color Quench Tinted Lip Balm, Sugared Fig, Coconut Oil, Cocoa Seed Butter, Vitamin E, Moisturizer, Dry Cracked Skin, Talc / Mineral Oil / Paraben Free, Vegan &amp; Cruelty Free</t>
        </is>
      </c>
      <c r="E3091" s="2">
        <f>HYPERLINK("https://www.amazon.com/Pacifica-Beauty-Color-Quench-Tint/dp/B00DLNTYXW/ref=sr_1_7?keywords=Tinted+Daily+Lip+Balm&amp;qid=1695565809&amp;sr=8-7", "https://www.amazon.com/Pacifica-Beauty-Color-Quench-Tint/dp/B00DLNTYXW/ref=sr_1_7?keywords=Tinted+Daily+Lip+Balm&amp;qid=1695565809&amp;sr=8-7")</f>
        <v/>
      </c>
      <c r="F3091" t="inlineStr">
        <is>
          <t>B00DLNTYXW</t>
        </is>
      </c>
      <c r="G3091">
        <f>_xlfn.IMAGE("https://camerareadycosmetics.com/cdn/shop/products/RMS_BEAUTY_PASSION_LANE_TINTED_LIP_BALM_1200x_57372abe-a607-492f-bf9f-f53a10e88ce9_50x.jpg?v=1653604516")</f>
        <v/>
      </c>
      <c r="H3091">
        <f>_xlfn.IMAGE("https://m.media-amazon.com/images/I/61gGg6aTNKL._AC_UL320_.jpg")</f>
        <v/>
      </c>
      <c r="K3091" t="inlineStr">
        <is>
          <t>24.0</t>
        </is>
      </c>
      <c r="L3091" t="n">
        <v>3.5</v>
      </c>
      <c r="M3091" s="1" t="inlineStr">
        <is>
          <t>-85.42%</t>
        </is>
      </c>
      <c r="N3091" t="n">
        <v>4.3</v>
      </c>
      <c r="O3091" t="n">
        <v>7132</v>
      </c>
      <c r="Q3091" t="inlineStr">
        <is>
          <t>InStock</t>
        </is>
      </c>
      <c r="R3091" t="inlineStr">
        <is>
          <t>undefined</t>
        </is>
      </c>
      <c r="S3091" t="inlineStr">
        <is>
          <t>7335631945913</t>
        </is>
      </c>
    </row>
    <row r="3092" ht="75" customHeight="1">
      <c r="A3092" s="2">
        <f>HYPERLINK("https://camerareadycosmetics.com/products/rms-beauty-tinted-daily-lip-balm", "https://camerareadycosmetics.com/products/rms-beauty-tinted-daily-lip-balm")</f>
        <v/>
      </c>
      <c r="B3092" s="2">
        <f>HYPERLINK("https://camerareadycosmetics.com/products/rms-beauty-tinted-daily-lip-balm", "https://camerareadycosmetics.com/products/rms-beauty-tinted-daily-lip-balm")</f>
        <v/>
      </c>
      <c r="C3092" t="inlineStr">
        <is>
          <t>Tinted Daily Lip Balm</t>
        </is>
      </c>
      <c r="D3092" t="inlineStr">
        <is>
          <t>A'PIEU JUICY-PANG COLOR LIP BALM (CR02-JUJUBE) - long-lasting, lightweight, Color&amp;Care, daily lip balm</t>
        </is>
      </c>
      <c r="E3092" s="2">
        <f>HYPERLINK("https://www.amazon.com/APIEU-JUICY-PANG-COLOR-BALM-CR02/dp/B08QV969GC/ref=sr_1_8?keywords=Tinted+Daily+Lip+Balm&amp;qid=1695565809&amp;sr=8-8", "https://www.amazon.com/APIEU-JUICY-PANG-COLOR-BALM-CR02/dp/B08QV969GC/ref=sr_1_8?keywords=Tinted+Daily+Lip+Balm&amp;qid=1695565809&amp;sr=8-8")</f>
        <v/>
      </c>
      <c r="F3092" t="inlineStr">
        <is>
          <t>B08QV969GC</t>
        </is>
      </c>
      <c r="G3092">
        <f>_xlfn.IMAGE("https://camerareadycosmetics.com/cdn/shop/products/RMS_BEAUTY_PASSION_LANE_TINTED_LIP_BALM_1200x_57372abe-a607-492f-bf9f-f53a10e88ce9_50x.jpg?v=1653604516")</f>
        <v/>
      </c>
      <c r="H3092">
        <f>_xlfn.IMAGE("https://m.media-amazon.com/images/I/61SkxH9V6YL._AC_UL320_.jpg")</f>
        <v/>
      </c>
      <c r="K3092" t="inlineStr">
        <is>
          <t>24.0</t>
        </is>
      </c>
      <c r="L3092" t="n">
        <v>12</v>
      </c>
      <c r="M3092" s="1" t="inlineStr">
        <is>
          <t>-50.00%</t>
        </is>
      </c>
      <c r="N3092" t="n">
        <v>4.2</v>
      </c>
      <c r="O3092" t="n">
        <v>462</v>
      </c>
      <c r="Q3092" t="inlineStr">
        <is>
          <t>InStock</t>
        </is>
      </c>
      <c r="R3092" t="inlineStr">
        <is>
          <t>undefined</t>
        </is>
      </c>
      <c r="S3092" t="inlineStr">
        <is>
          <t>7335631945913</t>
        </is>
      </c>
    </row>
    <row r="3093" ht="75" customHeight="1">
      <c r="A3093" s="2">
        <f>HYPERLINK("https://camerareadycosmetics.com/products/rms-beauty-tinted-daily-lip-balm", "https://camerareadycosmetics.com/products/rms-beauty-tinted-daily-lip-balm")</f>
        <v/>
      </c>
      <c r="B3093" s="2">
        <f>HYPERLINK("https://camerareadycosmetics.com/products/rms-beauty-tinted-daily-lip-balm", "https://camerareadycosmetics.com/products/rms-beauty-tinted-daily-lip-balm")</f>
        <v/>
      </c>
      <c r="C3093" t="inlineStr">
        <is>
          <t>Tinted Daily Lip Balm</t>
        </is>
      </c>
      <c r="D3093" t="inlineStr">
        <is>
          <t>COOLA Organic Liplux Tinted Lip Balm and Sunscreen with SPF 30, Dermatologist Tested Lip Care for Daily Protection, Vegan and Gluten Free, 0.15 Oz</t>
        </is>
      </c>
      <c r="E3093" s="2">
        <f>HYPERLINK("https://www.amazon.com/Organic-Liplux-Sunscreen-Dermatologist-Protection/dp/B093JZGNFV/ref=sr_1_3?keywords=Tinted+Daily+Lip+Balm&amp;qid=1695565809&amp;sr=8-3", "https://www.amazon.com/Organic-Liplux-Sunscreen-Dermatologist-Protection/dp/B093JZGNFV/ref=sr_1_3?keywords=Tinted+Daily+Lip+Balm&amp;qid=1695565809&amp;sr=8-3")</f>
        <v/>
      </c>
      <c r="F3093" t="inlineStr">
        <is>
          <t>B093JZGNFV</t>
        </is>
      </c>
      <c r="G3093">
        <f>_xlfn.IMAGE("https://camerareadycosmetics.com/cdn/shop/products/RMS_BEAUTY_PASSION_LANE_TINTED_LIP_BALM_1200x_57372abe-a607-492f-bf9f-f53a10e88ce9_50x.jpg?v=1653604516")</f>
        <v/>
      </c>
      <c r="H3093">
        <f>_xlfn.IMAGE("https://m.media-amazon.com/images/I/71UJ0CQvUFS._AC_UL320_.jpg")</f>
        <v/>
      </c>
      <c r="K3093" t="inlineStr">
        <is>
          <t>24.0</t>
        </is>
      </c>
      <c r="L3093" t="n">
        <v>9</v>
      </c>
      <c r="M3093" s="1" t="inlineStr">
        <is>
          <t>-62.50%</t>
        </is>
      </c>
      <c r="N3093" t="n">
        <v>4.2</v>
      </c>
      <c r="O3093" t="n">
        <v>234</v>
      </c>
      <c r="Q3093" t="inlineStr">
        <is>
          <t>InStock</t>
        </is>
      </c>
      <c r="R3093" t="inlineStr">
        <is>
          <t>undefined</t>
        </is>
      </c>
      <c r="S3093" t="inlineStr">
        <is>
          <t>7335631945913</t>
        </is>
      </c>
    </row>
    <row r="3094" ht="75" customHeight="1">
      <c r="A3094" s="2">
        <f>HYPERLINK("https://camerareadycosmetics.com/products/rms-beauty-tinted-daily-lip-balm", "https://camerareadycosmetics.com/products/rms-beauty-tinted-daily-lip-balm")</f>
        <v/>
      </c>
      <c r="B3094" s="2">
        <f>HYPERLINK("https://camerareadycosmetics.com/products/rms-beauty-tinted-daily-lip-balm", "https://camerareadycosmetics.com/products/rms-beauty-tinted-daily-lip-balm")</f>
        <v/>
      </c>
      <c r="C3094" t="inlineStr">
        <is>
          <t>Tinted Daily Lip Balm</t>
        </is>
      </c>
      <c r="D3094" t="inlineStr">
        <is>
          <t>Neutrogena Revitalizing and Moisturizing Tinted Lip Balm with Sun Protective Broad Spectrum SPF 20 Sunscreen, Lip Soothing Balm with a Sheer Tint in Color Healthy Blush 20, 15 oz</t>
        </is>
      </c>
      <c r="E3094" s="2">
        <f>HYPERLINK("https://www.amazon.com/Neutrogena-Revitalizing-20-Healthy-Blush/dp/B004CZZ56S/ref=sr_1_5?keywords=Tinted+Daily+Lip+Balm&amp;qid=1695565809&amp;sr=8-5", "https://www.amazon.com/Neutrogena-Revitalizing-20-Healthy-Blush/dp/B004CZZ56S/ref=sr_1_5?keywords=Tinted+Daily+Lip+Balm&amp;qid=1695565809&amp;sr=8-5")</f>
        <v/>
      </c>
      <c r="F3094" t="inlineStr">
        <is>
          <t>B004CZZ56S</t>
        </is>
      </c>
      <c r="G3094">
        <f>_xlfn.IMAGE("https://camerareadycosmetics.com/cdn/shop/products/RMS_BEAUTY_PASSION_LANE_TINTED_LIP_BALM_1200x_57372abe-a607-492f-bf9f-f53a10e88ce9_50x.jpg?v=1653604516")</f>
        <v/>
      </c>
      <c r="H3094">
        <f>_xlfn.IMAGE("https://m.media-amazon.com/images/I/61L0a5AS5zL._AC_UL320_.jpg")</f>
        <v/>
      </c>
      <c r="K3094" t="inlineStr">
        <is>
          <t>24.0</t>
        </is>
      </c>
      <c r="L3094" t="n">
        <v>6.97</v>
      </c>
      <c r="M3094" s="1" t="inlineStr">
        <is>
          <t>-70.96%</t>
        </is>
      </c>
      <c r="N3094" t="n">
        <v>4.5</v>
      </c>
      <c r="O3094" t="n">
        <v>2215</v>
      </c>
      <c r="Q3094" t="inlineStr">
        <is>
          <t>InStock</t>
        </is>
      </c>
      <c r="R3094" t="inlineStr">
        <is>
          <t>undefined</t>
        </is>
      </c>
      <c r="S3094" t="inlineStr">
        <is>
          <t>7335631945913</t>
        </is>
      </c>
    </row>
    <row r="3095" ht="75" customHeight="1">
      <c r="A3095" s="2">
        <f>HYPERLINK("https://camerareadycosmetics.com/products/rms-beauty-tinted-daily-lip-balm", "https://camerareadycosmetics.com/products/rms-beauty-tinted-daily-lip-balm")</f>
        <v/>
      </c>
      <c r="B3095" s="2">
        <f>HYPERLINK("https://camerareadycosmetics.com/products/rms-beauty-tinted-daily-lip-balm", "https://camerareadycosmetics.com/products/rms-beauty-tinted-daily-lip-balm")</f>
        <v/>
      </c>
      <c r="C3095" t="inlineStr">
        <is>
          <t>Tinted Daily Lip Balm</t>
        </is>
      </c>
      <c r="D3095" t="inlineStr">
        <is>
          <t>Triangle Cheese Tinted Lip Balm, Natural Moisturizing Lip Care All-day Moisture, Daily Lip Balm for Dry Cracked Skin, Soothing, &amp; Refreshing, Hydration Treatment &amp; Lip Care</t>
        </is>
      </c>
      <c r="E3095" s="2">
        <f>HYPERLINK("https://www.amazon.com/AKARY-Moisturizing-Refreshing-Hydration-Treatment/dp/B0BTYBDPTV/ref=sr_1_10?keywords=Tinted+Daily+Lip+Balm&amp;qid=1695565809&amp;sr=8-10", "https://www.amazon.com/AKARY-Moisturizing-Refreshing-Hydration-Treatment/dp/B0BTYBDPTV/ref=sr_1_10?keywords=Tinted+Daily+Lip+Balm&amp;qid=1695565809&amp;sr=8-10")</f>
        <v/>
      </c>
      <c r="F3095" t="inlineStr">
        <is>
          <t>B0BTYBDPTV</t>
        </is>
      </c>
      <c r="G3095">
        <f>_xlfn.IMAGE("https://camerareadycosmetics.com/cdn/shop/products/RMS_BEAUTY_PASSION_LANE_TINTED_LIP_BALM_1200x_57372abe-a607-492f-bf9f-f53a10e88ce9_50x.jpg?v=1653604516")</f>
        <v/>
      </c>
      <c r="H3095">
        <f>_xlfn.IMAGE("https://m.media-amazon.com/images/I/51QYPcDtGQL._AC_UL320_.jpg")</f>
        <v/>
      </c>
      <c r="K3095" t="inlineStr">
        <is>
          <t>24.0</t>
        </is>
      </c>
      <c r="L3095" t="n">
        <v>5.99</v>
      </c>
      <c r="M3095" s="1" t="inlineStr">
        <is>
          <t>-75.04%</t>
        </is>
      </c>
      <c r="N3095" t="n">
        <v>5</v>
      </c>
      <c r="O3095" t="n">
        <v>3</v>
      </c>
      <c r="Q3095" t="inlineStr">
        <is>
          <t>InStock</t>
        </is>
      </c>
      <c r="R3095" t="inlineStr">
        <is>
          <t>undefined</t>
        </is>
      </c>
      <c r="S3095" t="inlineStr">
        <is>
          <t>7335631945913</t>
        </is>
      </c>
    </row>
    <row r="3096" ht="75" customHeight="1">
      <c r="A3096" s="2">
        <f>HYPERLINK("https://camerareadycosmetics.com/products/rms-beauty-tinted-daily-lip-balm", "https://camerareadycosmetics.com/products/rms-beauty-tinted-daily-lip-balm")</f>
        <v/>
      </c>
      <c r="B3096" s="2">
        <f>HYPERLINK("https://camerareadycosmetics.com/products/rms-beauty-tinted-daily-lip-balm", "https://camerareadycosmetics.com/products/rms-beauty-tinted-daily-lip-balm")</f>
        <v/>
      </c>
      <c r="C3096" t="inlineStr">
        <is>
          <t>Tinted Daily Lip Balm</t>
        </is>
      </c>
      <c r="D3096" t="inlineStr">
        <is>
          <t>Revlon Lip Balm, Kiss Tinted Lip Balm, Face Makeup with Lasting Hydration, SPF 20, Infused with Natural Fruit Oils, 035 Berry Burst, 0.09 Oz</t>
        </is>
      </c>
      <c r="E3096" s="2">
        <f>HYPERLINK("https://www.amazon.com/Revlon-Kiss-Balm-Berry-Burst/dp/B01KI40DIQ/ref=sr_1_6?keywords=Tinted+Daily+Lip+Balm&amp;qid=1695565809&amp;sr=8-6", "https://www.amazon.com/Revlon-Kiss-Balm-Berry-Burst/dp/B01KI40DIQ/ref=sr_1_6?keywords=Tinted+Daily+Lip+Balm&amp;qid=1695565809&amp;sr=8-6")</f>
        <v/>
      </c>
      <c r="F3096" t="inlineStr">
        <is>
          <t>B01KI40DIQ</t>
        </is>
      </c>
      <c r="G3096">
        <f>_xlfn.IMAGE("https://camerareadycosmetics.com/cdn/shop/products/RMS_BEAUTY_PASSION_LANE_TINTED_LIP_BALM_1200x_57372abe-a607-492f-bf9f-f53a10e88ce9_50x.jpg?v=1653604516")</f>
        <v/>
      </c>
      <c r="H3096">
        <f>_xlfn.IMAGE("https://m.media-amazon.com/images/I/61ZYudrgmPL._AC_UL320_.jpg")</f>
        <v/>
      </c>
      <c r="K3096" t="inlineStr">
        <is>
          <t>24.0</t>
        </is>
      </c>
      <c r="L3096" t="n">
        <v>4.59</v>
      </c>
      <c r="M3096" s="1" t="inlineStr">
        <is>
          <t>-80.88%</t>
        </is>
      </c>
      <c r="N3096" t="n">
        <v>4.6</v>
      </c>
      <c r="O3096" t="n">
        <v>14164</v>
      </c>
      <c r="Q3096" t="inlineStr">
        <is>
          <t>InStock</t>
        </is>
      </c>
      <c r="R3096" t="inlineStr">
        <is>
          <t>undefined</t>
        </is>
      </c>
      <c r="S3096" t="inlineStr">
        <is>
          <t>7335631945913</t>
        </is>
      </c>
    </row>
    <row r="3097" ht="75" customHeight="1">
      <c r="A3097" s="2">
        <f>HYPERLINK("https://camerareadycosmetics.com/products/rms-beauty-tinted-daily-lip-balm", "https://camerareadycosmetics.com/products/rms-beauty-tinted-daily-lip-balm")</f>
        <v/>
      </c>
      <c r="B3097" s="2">
        <f>HYPERLINK("https://camerareadycosmetics.com/products/rms-beauty-tinted-daily-lip-balm", "https://camerareadycosmetics.com/products/rms-beauty-tinted-daily-lip-balm")</f>
        <v/>
      </c>
      <c r="C3097" t="inlineStr">
        <is>
          <t>Tinted Daily Lip Balm</t>
        </is>
      </c>
      <c r="D3097" t="inlineStr">
        <is>
          <t>Pacifica Beauty, Color Quench Tinted Lip Balm, Sugared Fig, Coconut Oil, Cocoa Seed Butter, Vitamin E, Moisturizer, Dry Cracked Skin, Talc / Mineral Oil / Paraben Free, Vegan &amp; Cruelty Free</t>
        </is>
      </c>
      <c r="E3097" s="2">
        <f>HYPERLINK("https://www.amazon.com/Pacifica-Beauty-Color-Quench-Tint/dp/B00DLNTYXW/ref=sr_1_7?keywords=Tinted+Daily+Lip+Balm&amp;qid=1695565809&amp;sr=8-7", "https://www.amazon.com/Pacifica-Beauty-Color-Quench-Tint/dp/B00DLNTYXW/ref=sr_1_7?keywords=Tinted+Daily+Lip+Balm&amp;qid=1695565809&amp;sr=8-7")</f>
        <v/>
      </c>
      <c r="F3097" t="inlineStr">
        <is>
          <t>B00DLNTYXW</t>
        </is>
      </c>
      <c r="G3097">
        <f>_xlfn.IMAGE("https://camerareadycosmetics.com/cdn/shop/products/RMS_BEAUTY_PASSION_LANE_TINTED_LIP_BALM_1200x_57372abe-a607-492f-bf9f-f53a10e88ce9_50x.jpg?v=1653604516")</f>
        <v/>
      </c>
      <c r="H3097">
        <f>_xlfn.IMAGE("https://m.media-amazon.com/images/I/61gGg6aTNKL._AC_UL320_.jpg")</f>
        <v/>
      </c>
      <c r="K3097" t="inlineStr">
        <is>
          <t>24.0</t>
        </is>
      </c>
      <c r="L3097" t="n">
        <v>3.5</v>
      </c>
      <c r="M3097" s="1" t="inlineStr">
        <is>
          <t>-85.42%</t>
        </is>
      </c>
      <c r="N3097" t="n">
        <v>4.3</v>
      </c>
      <c r="O3097" t="n">
        <v>7132</v>
      </c>
      <c r="Q3097" t="inlineStr">
        <is>
          <t>InStock</t>
        </is>
      </c>
      <c r="R3097" t="inlineStr">
        <is>
          <t>undefined</t>
        </is>
      </c>
      <c r="S3097" t="inlineStr">
        <is>
          <t>7335631945913</t>
        </is>
      </c>
    </row>
    <row r="3098" ht="75" customHeight="1">
      <c r="A3098" s="2">
        <f>HYPERLINK("https://camerareadycosmetics.com/products/saint-jane-luxury-lip-cream", "https://camerareadycosmetics.com/products/saint-jane-luxury-lip-cream")</f>
        <v/>
      </c>
      <c r="B3098" s="2">
        <f>HYPERLINK("https://camerareadycosmetics.com/products/saint-jane-luxury-lip-cream", "https://camerareadycosmetics.com/products/saint-jane-luxury-lip-cream")</f>
        <v/>
      </c>
      <c r="C3098" t="inlineStr">
        <is>
          <t>Luxury Lip Cream</t>
        </is>
      </c>
      <c r="D3098" t="inlineStr">
        <is>
          <t>SAMMY'S PAWW PAWW OINTMENT - Lip Balm , Skin Care, Papaw, lip moisturizer , Healing Ointment, Lip Ointment , Paw paw, Luxury lip balm , Papaya Cream, Women Body balm, Hand cream, Lip scrub, Lip care products, Lip Balms &amp; Moisturizers - 25g</t>
        </is>
      </c>
      <c r="E3098" s="2">
        <f>HYPERLINK("https://www.amazon.com/SAMMYS-PAWW-OINTMENT-moisturizer-Moisturizers/dp/B0BVBX1CFP/ref=sr_1_1?keywords=Luxury+Lip+Cream&amp;qid=1695565711&amp;sr=8-1", "https://www.amazon.com/SAMMYS-PAWW-OINTMENT-moisturizer-Moisturizers/dp/B0BVBX1CFP/ref=sr_1_1?keywords=Luxury+Lip+Cream&amp;qid=1695565711&amp;sr=8-1")</f>
        <v/>
      </c>
      <c r="F3098" t="inlineStr">
        <is>
          <t>B0BVBX1CFP</t>
        </is>
      </c>
      <c r="G3098">
        <f>_xlfn.IMAGE("https://camerareadycosmetics.com/cdn/shop/products/soul-Luxury-Lip-Cream-Saint-Jane-Beauty-1610407702_1080x1080_545860d9-85e5-47ca-b66b-3aa5d654942f_50x.jpg?v=1618493967")</f>
        <v/>
      </c>
      <c r="H3098">
        <f>_xlfn.IMAGE("https://m.media-amazon.com/images/I/41T2Y3viMPL._AC_UL320_.jpg")</f>
        <v/>
      </c>
      <c r="K3098" t="inlineStr">
        <is>
          <t>28.0</t>
        </is>
      </c>
      <c r="L3098" t="n">
        <v>16.95</v>
      </c>
      <c r="M3098" s="1" t="inlineStr">
        <is>
          <t>-39.46%</t>
        </is>
      </c>
      <c r="N3098" t="n">
        <v>5</v>
      </c>
      <c r="O3098" t="n">
        <v>2</v>
      </c>
      <c r="Q3098" t="inlineStr">
        <is>
          <t>InStock</t>
        </is>
      </c>
      <c r="R3098" t="inlineStr">
        <is>
          <t>undefined</t>
        </is>
      </c>
      <c r="S3098" t="inlineStr">
        <is>
          <t>6651213840569</t>
        </is>
      </c>
    </row>
    <row r="3099" ht="75" customHeight="1">
      <c r="A3099" s="2">
        <f>HYPERLINK("https://camerareadycosmetics.com/products/saint-jane-luxury-lip-cream", "https://camerareadycosmetics.com/products/saint-jane-luxury-lip-cream")</f>
        <v/>
      </c>
      <c r="B3099" s="2">
        <f>HYPERLINK("https://camerareadycosmetics.com/products/saint-jane-luxury-lip-cream", "https://camerareadycosmetics.com/products/saint-jane-luxury-lip-cream")</f>
        <v/>
      </c>
      <c r="C3099" t="inlineStr">
        <is>
          <t>Luxury Lip Cream</t>
        </is>
      </c>
      <c r="D3099" t="inlineStr">
        <is>
          <t>kiss new york Professional Lip Liner, Long-Lasting Luxury Intense Lipliner, Creamy Retractable Easy to Use Richly Pigmented Lip Liner Pencil 3 PCS (4 Count)</t>
        </is>
      </c>
      <c r="E3099" s="2">
        <f>HYPERLINK("https://www.amazon.com/kiss-new-york-Long-Lasting-Retractable/dp/B096WH397D/ref=sr_1_2?keywords=Luxury+Lip+Cream&amp;qid=1695565711&amp;sr=8-2", "https://www.amazon.com/kiss-new-york-Long-Lasting-Retractable/dp/B096WH397D/ref=sr_1_2?keywords=Luxury+Lip+Cream&amp;qid=1695565711&amp;sr=8-2")</f>
        <v/>
      </c>
      <c r="F3099" t="inlineStr">
        <is>
          <t>B096WH397D</t>
        </is>
      </c>
      <c r="G3099">
        <f>_xlfn.IMAGE("https://camerareadycosmetics.com/cdn/shop/products/soul-Luxury-Lip-Cream-Saint-Jane-Beauty-1610407702_1080x1080_545860d9-85e5-47ca-b66b-3aa5d654942f_50x.jpg?v=1618493967")</f>
        <v/>
      </c>
      <c r="H3099">
        <f>_xlfn.IMAGE("https://m.media-amazon.com/images/I/61gUDa5Cw7L._AC_UL320_.jpg")</f>
        <v/>
      </c>
      <c r="K3099" t="inlineStr">
        <is>
          <t>28.0</t>
        </is>
      </c>
      <c r="L3099" t="n">
        <v>9.449999999999999</v>
      </c>
      <c r="M3099" s="1" t="inlineStr">
        <is>
          <t>-66.25%</t>
        </is>
      </c>
      <c r="N3099" t="n">
        <v>4.5</v>
      </c>
      <c r="O3099" t="n">
        <v>503</v>
      </c>
      <c r="Q3099" t="inlineStr">
        <is>
          <t>InStock</t>
        </is>
      </c>
      <c r="R3099" t="inlineStr">
        <is>
          <t>undefined</t>
        </is>
      </c>
      <c r="S3099" t="inlineStr">
        <is>
          <t>6651213840569</t>
        </is>
      </c>
    </row>
    <row r="3100" ht="75" customHeight="1">
      <c r="A3100" s="2">
        <f>HYPERLINK("https://camerareadycosmetics.com/products/saint-jane-luxury-lip-cream", "https://camerareadycosmetics.com/products/saint-jane-luxury-lip-cream")</f>
        <v/>
      </c>
      <c r="B3100" s="2">
        <f>HYPERLINK("https://camerareadycosmetics.com/products/saint-jane-luxury-lip-cream", "https://camerareadycosmetics.com/products/saint-jane-luxury-lip-cream")</f>
        <v/>
      </c>
      <c r="C3100" t="inlineStr">
        <is>
          <t>Luxury Lip Cream</t>
        </is>
      </c>
      <c r="D3100" t="inlineStr">
        <is>
          <t>kiss new york Professional Lip Liner, Long-Lasting Luxury Intense Lipliner, Creamy Retractable Easy to Use Richly Pigmented Lip Liner Pencil 3 PCS (4 Count)</t>
        </is>
      </c>
      <c r="E3100" s="2">
        <f>HYPERLINK("https://www.amazon.com/kiss-new-york-Long-Lasting-Retractable/dp/B096WH397D/ref=sr_1_2?keywords=Luxury+Lip+Cream&amp;qid=1695565711&amp;sr=8-2", "https://www.amazon.com/kiss-new-york-Long-Lasting-Retractable/dp/B096WH397D/ref=sr_1_2?keywords=Luxury+Lip+Cream&amp;qid=1695565711&amp;sr=8-2")</f>
        <v/>
      </c>
      <c r="F3100" t="inlineStr">
        <is>
          <t>B096WH397D</t>
        </is>
      </c>
      <c r="G3100">
        <f>_xlfn.IMAGE("https://camerareadycosmetics.com/cdn/shop/products/soul-Luxury-Lip-Cream-Saint-Jane-Beauty-1610407702_1080x1080_545860d9-85e5-47ca-b66b-3aa5d654942f_50x.jpg?v=1618493967")</f>
        <v/>
      </c>
      <c r="H3100">
        <f>_xlfn.IMAGE("https://m.media-amazon.com/images/I/61gUDa5Cw7L._AC_UL320_.jpg")</f>
        <v/>
      </c>
      <c r="K3100" t="inlineStr">
        <is>
          <t>28.0</t>
        </is>
      </c>
      <c r="L3100" t="n">
        <v>9.449999999999999</v>
      </c>
      <c r="M3100" s="1" t="inlineStr">
        <is>
          <t>-66.25%</t>
        </is>
      </c>
      <c r="N3100" t="n">
        <v>4.5</v>
      </c>
      <c r="O3100" t="n">
        <v>503</v>
      </c>
      <c r="Q3100" t="inlineStr">
        <is>
          <t>InStock</t>
        </is>
      </c>
      <c r="R3100" t="inlineStr">
        <is>
          <t>undefined</t>
        </is>
      </c>
      <c r="S3100" t="inlineStr">
        <is>
          <t>6651213840569</t>
        </is>
      </c>
    </row>
    <row r="3101" ht="75" customHeight="1">
      <c r="A3101" s="2">
        <f>HYPERLINK("https://camerareadycosmetics.com/products/saint-jane-luxury-lip-shine", "https://camerareadycosmetics.com/products/saint-jane-luxury-lip-shine")</f>
        <v/>
      </c>
      <c r="B3101" s="2">
        <f>HYPERLINK("https://camerareadycosmetics.com/products/saint-jane-luxury-lip-shine", "https://camerareadycosmetics.com/products/saint-jane-luxury-lip-shine")</f>
        <v/>
      </c>
      <c r="C3101" t="inlineStr">
        <is>
          <t>Luxury Lip Shine</t>
        </is>
      </c>
      <c r="D3101" t="inlineStr">
        <is>
          <t>Beauty Luxury Lip Shine – Longwear Hydration Lip Oil with Vitamin C Alchemy</t>
        </is>
      </c>
      <c r="E3101" s="2">
        <f>HYPERLINK("https://www.amazon.com/Saint-Jane-Beauty-Luxury-Shine/dp/B0C825BCX4/ref=sr_1_1?keywords=Luxury+Lip+Shine&amp;qid=1695565656&amp;sr=8-1", "https://www.amazon.com/Saint-Jane-Beauty-Luxury-Shine/dp/B0C825BCX4/ref=sr_1_1?keywords=Luxury+Lip+Shine&amp;qid=1695565656&amp;sr=8-1")</f>
        <v/>
      </c>
      <c r="F3101" t="inlineStr">
        <is>
          <t>B0C825BCX4</t>
        </is>
      </c>
      <c r="G3101">
        <f>_xlfn.IMAGE("https://camerareadycosmetics.com/cdn/shop/products/nectar-Luxury-Lip-Shine-Saint-Jane-Beauty-1615056946_1080x1080_dd784c24-5e8f-4b68-a8b7-7c7ce33d16b0_50x.jpg?v=1618493962")</f>
        <v/>
      </c>
      <c r="H3101">
        <f>_xlfn.IMAGE("https://m.media-amazon.com/images/I/51yz7yv+vOL._AC_UL320_.jpg")</f>
        <v/>
      </c>
      <c r="K3101" t="inlineStr">
        <is>
          <t>28.0</t>
        </is>
      </c>
      <c r="L3101" t="n">
        <v>28</v>
      </c>
      <c r="M3101" s="1" t="inlineStr">
        <is>
          <t>0.00%</t>
        </is>
      </c>
      <c r="N3101" t="n">
        <v>4.4</v>
      </c>
      <c r="O3101" t="n">
        <v>29</v>
      </c>
      <c r="Q3101" t="inlineStr">
        <is>
          <t>InStock</t>
        </is>
      </c>
      <c r="R3101" t="inlineStr">
        <is>
          <t>undefined</t>
        </is>
      </c>
      <c r="S3101" t="inlineStr">
        <is>
          <t>6651182153913</t>
        </is>
      </c>
    </row>
    <row r="3102" ht="75" customHeight="1">
      <c r="A3102" s="2">
        <f>HYPERLINK("https://camerareadycosmetics.com/products/saint-jane-luxury-lip-shine", "https://camerareadycosmetics.com/products/saint-jane-luxury-lip-shine")</f>
        <v/>
      </c>
      <c r="B3102" s="2">
        <f>HYPERLINK("https://camerareadycosmetics.com/products/saint-jane-luxury-lip-shine", "https://camerareadycosmetics.com/products/saint-jane-luxury-lip-shine")</f>
        <v/>
      </c>
      <c r="C3102" t="inlineStr">
        <is>
          <t>Luxury Lip Shine</t>
        </is>
      </c>
      <c r="D3102" t="inlineStr">
        <is>
          <t>Youngblood Clean Luxury Cosmetics Lunar Glitter Lipgloss | Clear High Shine Lipstick Balm Liquid Nude Glossy Natural Glitter Shimmer Moisturizing | Cruelty Free, Paraben Free, Gluten Free (Nebula)</t>
        </is>
      </c>
      <c r="E3102" s="2">
        <f>HYPERLINK("https://www.amazon.com/Youngblood-Cosmetics-Lipgloss-Lipstick-Moisturizing/dp/B082WL7P44/ref=sr_1_5?keywords=Luxury+Lip+Shine&amp;qid=1695565656&amp;sr=8-5", "https://www.amazon.com/Youngblood-Cosmetics-Lipgloss-Lipstick-Moisturizing/dp/B082WL7P44/ref=sr_1_5?keywords=Luxury+Lip+Shine&amp;qid=1695565656&amp;sr=8-5")</f>
        <v/>
      </c>
      <c r="F3102" t="inlineStr">
        <is>
          <t>B082WL7P44</t>
        </is>
      </c>
      <c r="G3102">
        <f>_xlfn.IMAGE("https://camerareadycosmetics.com/cdn/shop/products/nectar-Luxury-Lip-Shine-Saint-Jane-Beauty-1615056946_1080x1080_dd784c24-5e8f-4b68-a8b7-7c7ce33d16b0_50x.jpg?v=1618493962")</f>
        <v/>
      </c>
      <c r="H3102">
        <f>_xlfn.IMAGE("https://m.media-amazon.com/images/I/71aEgnuDuYL._AC_UL320_.jpg")</f>
        <v/>
      </c>
      <c r="K3102" t="inlineStr">
        <is>
          <t>28.0</t>
        </is>
      </c>
      <c r="L3102" t="n">
        <v>23</v>
      </c>
      <c r="M3102" s="1" t="inlineStr">
        <is>
          <t>-17.86%</t>
        </is>
      </c>
      <c r="N3102" t="n">
        <v>3.9</v>
      </c>
      <c r="O3102" t="n">
        <v>4</v>
      </c>
      <c r="Q3102" t="inlineStr">
        <is>
          <t>InStock</t>
        </is>
      </c>
      <c r="R3102" t="inlineStr">
        <is>
          <t>undefined</t>
        </is>
      </c>
      <c r="S3102" t="inlineStr">
        <is>
          <t>6651182153913</t>
        </is>
      </c>
    </row>
    <row r="3103" ht="75" customHeight="1">
      <c r="A3103" s="2">
        <f>HYPERLINK("https://camerareadycosmetics.com/products/saint-jane-luxury-lip-shine", "https://camerareadycosmetics.com/products/saint-jane-luxury-lip-shine")</f>
        <v/>
      </c>
      <c r="B3103" s="2">
        <f>HYPERLINK("https://camerareadycosmetics.com/products/saint-jane-luxury-lip-shine", "https://camerareadycosmetics.com/products/saint-jane-luxury-lip-shine")</f>
        <v/>
      </c>
      <c r="C3103" t="inlineStr">
        <is>
          <t>Luxury Lip Shine</t>
        </is>
      </c>
      <c r="D3103" t="inlineStr">
        <is>
          <t>Jolie Ultra Shine Luxury Lip Gloss - Skinny Dip 6g</t>
        </is>
      </c>
      <c r="E3103" s="2">
        <f>HYPERLINK("https://www.amazon.com/Jolie-Ultra-Shine-Luxury-Gloss/dp/B078JFSCGZ/ref=sr_1_3?keywords=Luxury+Lip+Shine&amp;qid=1695565656&amp;sr=8-3", "https://www.amazon.com/Jolie-Ultra-Shine-Luxury-Gloss/dp/B078JFSCGZ/ref=sr_1_3?keywords=Luxury+Lip+Shine&amp;qid=1695565656&amp;sr=8-3")</f>
        <v/>
      </c>
      <c r="F3103" t="inlineStr">
        <is>
          <t>B078JFSCGZ</t>
        </is>
      </c>
      <c r="G3103">
        <f>_xlfn.IMAGE("https://camerareadycosmetics.com/cdn/shop/products/nectar-Luxury-Lip-Shine-Saint-Jane-Beauty-1615056946_1080x1080_dd784c24-5e8f-4b68-a8b7-7c7ce33d16b0_50x.jpg?v=1618493962")</f>
        <v/>
      </c>
      <c r="H3103">
        <f>_xlfn.IMAGE("https://m.media-amazon.com/images/I/31s23t8CThL._AC_UL320_.jpg")</f>
        <v/>
      </c>
      <c r="K3103" t="inlineStr">
        <is>
          <t>28.0</t>
        </is>
      </c>
      <c r="L3103" t="n">
        <v>19</v>
      </c>
      <c r="M3103" s="1" t="inlineStr">
        <is>
          <t>-32.14%</t>
        </is>
      </c>
      <c r="N3103" t="n">
        <v>4.3</v>
      </c>
      <c r="O3103" t="n">
        <v>7</v>
      </c>
      <c r="Q3103" t="inlineStr">
        <is>
          <t>InStock</t>
        </is>
      </c>
      <c r="R3103" t="inlineStr">
        <is>
          <t>undefined</t>
        </is>
      </c>
      <c r="S3103" t="inlineStr">
        <is>
          <t>6651182153913</t>
        </is>
      </c>
    </row>
    <row r="3104" ht="75" customHeight="1">
      <c r="A3104" s="2">
        <f>HYPERLINK("https://camerareadycosmetics.com/products/saint-jane-luxury-lip-shine", "https://camerareadycosmetics.com/products/saint-jane-luxury-lip-shine")</f>
        <v/>
      </c>
      <c r="B3104" s="2">
        <f>HYPERLINK("https://camerareadycosmetics.com/products/saint-jane-luxury-lip-shine", "https://camerareadycosmetics.com/products/saint-jane-luxury-lip-shine")</f>
        <v/>
      </c>
      <c r="C3104" t="inlineStr">
        <is>
          <t>Luxury Lip Shine</t>
        </is>
      </c>
      <c r="D3104" t="inlineStr">
        <is>
          <t>Jolie Super Hydrating Luxury Lip Gloss - Intense pigment W/ Superior Shine (Skinny Dip)</t>
        </is>
      </c>
      <c r="E3104" s="2">
        <f>HYPERLINK("https://www.amazon.com/Jolie-Super-Hydrating-Luxury-Skinny/dp/B008M7F7MY/ref=sr_1_2?keywords=Luxury+Lip+Shine&amp;qid=1695565656&amp;sr=8-2", "https://www.amazon.com/Jolie-Super-Hydrating-Luxury-Skinny/dp/B008M7F7MY/ref=sr_1_2?keywords=Luxury+Lip+Shine&amp;qid=1695565656&amp;sr=8-2")</f>
        <v/>
      </c>
      <c r="F3104" t="inlineStr">
        <is>
          <t>B008M7F7MY</t>
        </is>
      </c>
      <c r="G3104">
        <f>_xlfn.IMAGE("https://camerareadycosmetics.com/cdn/shop/products/nectar-Luxury-Lip-Shine-Saint-Jane-Beauty-1615056946_1080x1080_dd784c24-5e8f-4b68-a8b7-7c7ce33d16b0_50x.jpg?v=1618493962")</f>
        <v/>
      </c>
      <c r="H3104">
        <f>_xlfn.IMAGE("https://m.media-amazon.com/images/I/31lkktGVVYL._AC_UL320_.jpg")</f>
        <v/>
      </c>
      <c r="K3104" t="inlineStr">
        <is>
          <t>28.0</t>
        </is>
      </c>
      <c r="L3104" t="n">
        <v>18.98</v>
      </c>
      <c r="M3104" s="1" t="inlineStr">
        <is>
          <t>-32.21%</t>
        </is>
      </c>
      <c r="N3104" t="n">
        <v>4.2</v>
      </c>
      <c r="O3104" t="n">
        <v>41</v>
      </c>
      <c r="Q3104" t="inlineStr">
        <is>
          <t>InStock</t>
        </is>
      </c>
      <c r="R3104" t="inlineStr">
        <is>
          <t>undefined</t>
        </is>
      </c>
      <c r="S3104" t="inlineStr">
        <is>
          <t>6651182153913</t>
        </is>
      </c>
    </row>
    <row r="3105" ht="75" customHeight="1">
      <c r="A3105" s="2">
        <f>HYPERLINK("https://camerareadycosmetics.com/products/saint-jane-luxury-lip-shine", "https://camerareadycosmetics.com/products/saint-jane-luxury-lip-shine")</f>
        <v/>
      </c>
      <c r="B3105" s="2">
        <f>HYPERLINK("https://camerareadycosmetics.com/products/saint-jane-luxury-lip-shine", "https://camerareadycosmetics.com/products/saint-jane-luxury-lip-shine")</f>
        <v/>
      </c>
      <c r="C3105" t="inlineStr">
        <is>
          <t>Luxury Lip Shine</t>
        </is>
      </c>
      <c r="D3105" t="inlineStr">
        <is>
          <t>Iman Cosmetics Luxury Lip Shine - Edgy</t>
        </is>
      </c>
      <c r="E3105" s="2">
        <f>HYPERLINK("https://www.amazon.com/Iman-Cosmetics-Luxury-Lip-Shine/dp/B001KYQ842/ref=sr_1_4?keywords=Luxury+Lip+Shine&amp;qid=1695565656&amp;sr=8-4", "https://www.amazon.com/Iman-Cosmetics-Luxury-Lip-Shine/dp/B001KYQ842/ref=sr_1_4?keywords=Luxury+Lip+Shine&amp;qid=1695565656&amp;sr=8-4")</f>
        <v/>
      </c>
      <c r="F3105" t="inlineStr">
        <is>
          <t>B001KYQ842</t>
        </is>
      </c>
      <c r="G3105">
        <f>_xlfn.IMAGE("https://camerareadycosmetics.com/cdn/shop/products/nectar-Luxury-Lip-Shine-Saint-Jane-Beauty-1615056946_1080x1080_dd784c24-5e8f-4b68-a8b7-7c7ce33d16b0_50x.jpg?v=1618493962")</f>
        <v/>
      </c>
      <c r="H3105">
        <f>_xlfn.IMAGE("https://m.media-amazon.com/images/I/513j-XMbu8L._AC_UL320_.jpg")</f>
        <v/>
      </c>
      <c r="K3105" t="inlineStr">
        <is>
          <t>28.0</t>
        </is>
      </c>
      <c r="L3105" t="n">
        <v>12.48</v>
      </c>
      <c r="M3105" s="1" t="inlineStr">
        <is>
          <t>-55.43%</t>
        </is>
      </c>
      <c r="N3105" t="n">
        <v>3</v>
      </c>
      <c r="O3105" t="n">
        <v>9</v>
      </c>
      <c r="Q3105" t="inlineStr">
        <is>
          <t>InStock</t>
        </is>
      </c>
      <c r="R3105" t="inlineStr">
        <is>
          <t>undefined</t>
        </is>
      </c>
      <c r="S3105" t="inlineStr">
        <is>
          <t>6651182153913</t>
        </is>
      </c>
    </row>
    <row r="3106" ht="75" customHeight="1">
      <c r="A3106" s="2">
        <f>HYPERLINK("https://camerareadycosmetics.com/products/saint-jane-luxury-lip-shine", "https://camerareadycosmetics.com/products/saint-jane-luxury-lip-shine")</f>
        <v/>
      </c>
      <c r="B3106" s="2">
        <f>HYPERLINK("https://camerareadycosmetics.com/products/saint-jane-luxury-lip-shine", "https://camerareadycosmetics.com/products/saint-jane-luxury-lip-shine")</f>
        <v/>
      </c>
      <c r="C3106" t="inlineStr">
        <is>
          <t>Luxury Lip Shine</t>
        </is>
      </c>
      <c r="D3106" t="inlineStr">
        <is>
          <t>Luxury Lip Gloss|Dye-free|Vegan|Non-Sticky, Hydrating|Long Lasting|Smooth Application|Infused With Natural Oils|Lightweight|High Shine &amp; Shimmer|Fuller Lips|Glossy|24k Rose Gold Wand</t>
        </is>
      </c>
      <c r="E3106" s="2">
        <f>HYPERLINK("https://www.amazon.com/Rozzi-Naturals-Non-Sticky-Application-Lightweight/dp/B0BGRS3KB9/ref=sr_1_9?keywords=Luxury+Lip+Shine&amp;qid=1695565656&amp;sr=8-9", "https://www.amazon.com/Rozzi-Naturals-Non-Sticky-Application-Lightweight/dp/B0BGRS3KB9/ref=sr_1_9?keywords=Luxury+Lip+Shine&amp;qid=1695565656&amp;sr=8-9")</f>
        <v/>
      </c>
      <c r="F3106" t="inlineStr">
        <is>
          <t>B0BGRS3KB9</t>
        </is>
      </c>
      <c r="G3106">
        <f>_xlfn.IMAGE("https://camerareadycosmetics.com/cdn/shop/products/nectar-Luxury-Lip-Shine-Saint-Jane-Beauty-1615056946_1080x1080_dd784c24-5e8f-4b68-a8b7-7c7ce33d16b0_50x.jpg?v=1618493962")</f>
        <v/>
      </c>
      <c r="H3106">
        <f>_xlfn.IMAGE("https://m.media-amazon.com/images/I/7118j3xQ-ZL._AC_UL320_.jpg")</f>
        <v/>
      </c>
      <c r="K3106" t="inlineStr">
        <is>
          <t>28.0</t>
        </is>
      </c>
      <c r="L3106" t="n">
        <v>9.99</v>
      </c>
      <c r="M3106" s="1" t="inlineStr">
        <is>
          <t>-64.32%</t>
        </is>
      </c>
      <c r="N3106" t="n">
        <v>5</v>
      </c>
      <c r="O3106" t="n">
        <v>7</v>
      </c>
      <c r="Q3106" t="inlineStr">
        <is>
          <t>InStock</t>
        </is>
      </c>
      <c r="R3106" t="inlineStr">
        <is>
          <t>undefined</t>
        </is>
      </c>
      <c r="S3106" t="inlineStr">
        <is>
          <t>6651182153913</t>
        </is>
      </c>
    </row>
    <row r="3107" ht="75" customHeight="1">
      <c r="A3107" s="2">
        <f>HYPERLINK("https://camerareadycosmetics.com/products/saint-jane-luxury-lip-shine", "https://camerareadycosmetics.com/products/saint-jane-luxury-lip-shine")</f>
        <v/>
      </c>
      <c r="B3107" s="2">
        <f>HYPERLINK("https://camerareadycosmetics.com/products/saint-jane-luxury-lip-shine", "https://camerareadycosmetics.com/products/saint-jane-luxury-lip-shine")</f>
        <v/>
      </c>
      <c r="C3107" t="inlineStr">
        <is>
          <t>Luxury Lip Shine</t>
        </is>
      </c>
      <c r="D3107" t="inlineStr">
        <is>
          <t>Iman Cosmetics Luxury Lip Shine - Edgy</t>
        </is>
      </c>
      <c r="E3107" s="2">
        <f>HYPERLINK("https://www.amazon.com/Iman-Cosmetics-Luxury-Lip-Shine/dp/B001KYQ842/ref=sr_1_4?keywords=Luxury+Lip+Shine&amp;qid=1695565656&amp;sr=8-4", "https://www.amazon.com/Iman-Cosmetics-Luxury-Lip-Shine/dp/B001KYQ842/ref=sr_1_4?keywords=Luxury+Lip+Shine&amp;qid=1695565656&amp;sr=8-4")</f>
        <v/>
      </c>
      <c r="F3107" t="inlineStr">
        <is>
          <t>B001KYQ842</t>
        </is>
      </c>
      <c r="G3107">
        <f>_xlfn.IMAGE("https://camerareadycosmetics.com/cdn/shop/products/nectar-Luxury-Lip-Shine-Saint-Jane-Beauty-1615056946_1080x1080_dd784c24-5e8f-4b68-a8b7-7c7ce33d16b0_50x.jpg?v=1618493962")</f>
        <v/>
      </c>
      <c r="H3107">
        <f>_xlfn.IMAGE("https://m.media-amazon.com/images/I/513j-XMbu8L._AC_UL320_.jpg")</f>
        <v/>
      </c>
      <c r="K3107" t="inlineStr">
        <is>
          <t>28.0</t>
        </is>
      </c>
      <c r="L3107" t="n">
        <v>12.48</v>
      </c>
      <c r="M3107" s="1" t="inlineStr">
        <is>
          <t>-55.43%</t>
        </is>
      </c>
      <c r="N3107" t="n">
        <v>3</v>
      </c>
      <c r="O3107" t="n">
        <v>9</v>
      </c>
      <c r="Q3107" t="inlineStr">
        <is>
          <t>InStock</t>
        </is>
      </c>
      <c r="R3107" t="inlineStr">
        <is>
          <t>undefined</t>
        </is>
      </c>
      <c r="S3107" t="inlineStr">
        <is>
          <t>6651182153913</t>
        </is>
      </c>
    </row>
    <row r="3108" ht="75" customHeight="1">
      <c r="A3108" s="2">
        <f>HYPERLINK("https://camerareadycosmetics.com/products/saint-jane-luxury-lip-shine", "https://camerareadycosmetics.com/products/saint-jane-luxury-lip-shine")</f>
        <v/>
      </c>
      <c r="B3108" s="2">
        <f>HYPERLINK("https://camerareadycosmetics.com/products/saint-jane-luxury-lip-shine", "https://camerareadycosmetics.com/products/saint-jane-luxury-lip-shine")</f>
        <v/>
      </c>
      <c r="C3108" t="inlineStr">
        <is>
          <t>Luxury Lip Shine</t>
        </is>
      </c>
      <c r="D3108" t="inlineStr">
        <is>
          <t>Luxury Lip Gloss|Dye-free|Vegan|Non-Sticky, Hydrating|Long Lasting|Smooth Application|Infused With Natural Oils|Lightweight|High Shine &amp; Shimmer|Fuller Lips|Glossy|24k Rose Gold Wand</t>
        </is>
      </c>
      <c r="E3108" s="2">
        <f>HYPERLINK("https://www.amazon.com/Rozzi-Naturals-Non-Sticky-Application-Lightweight/dp/B0BGRS3KB9/ref=sr_1_9?keywords=Luxury+Lip+Shine&amp;qid=1695565656&amp;sr=8-9", "https://www.amazon.com/Rozzi-Naturals-Non-Sticky-Application-Lightweight/dp/B0BGRS3KB9/ref=sr_1_9?keywords=Luxury+Lip+Shine&amp;qid=1695565656&amp;sr=8-9")</f>
        <v/>
      </c>
      <c r="F3108" t="inlineStr">
        <is>
          <t>B0BGRS3KB9</t>
        </is>
      </c>
      <c r="G3108">
        <f>_xlfn.IMAGE("https://camerareadycosmetics.com/cdn/shop/products/nectar-Luxury-Lip-Shine-Saint-Jane-Beauty-1615056946_1080x1080_dd784c24-5e8f-4b68-a8b7-7c7ce33d16b0_50x.jpg?v=1618493962")</f>
        <v/>
      </c>
      <c r="H3108">
        <f>_xlfn.IMAGE("https://m.media-amazon.com/images/I/7118j3xQ-ZL._AC_UL320_.jpg")</f>
        <v/>
      </c>
      <c r="K3108" t="inlineStr">
        <is>
          <t>28.0</t>
        </is>
      </c>
      <c r="L3108" t="n">
        <v>9.99</v>
      </c>
      <c r="M3108" s="1" t="inlineStr">
        <is>
          <t>-64.32%</t>
        </is>
      </c>
      <c r="N3108" t="n">
        <v>5</v>
      </c>
      <c r="O3108" t="n">
        <v>7</v>
      </c>
      <c r="Q3108" t="inlineStr">
        <is>
          <t>InStock</t>
        </is>
      </c>
      <c r="R3108" t="inlineStr">
        <is>
          <t>undefined</t>
        </is>
      </c>
      <c r="S3108" t="inlineStr">
        <is>
          <t>6651182153913</t>
        </is>
      </c>
    </row>
    <row r="3109" ht="75" customHeight="1">
      <c r="A3109" s="2">
        <f>HYPERLINK("https://camerareadycosmetics.com/products/sample-ben-nye-mojave-luxury-powder", "https://camerareadycosmetics.com/products/sample-ben-nye-mojave-luxury-powder")</f>
        <v/>
      </c>
      <c r="B3109" s="2">
        <f>HYPERLINK("https://camerareadycosmetics.com/products/sample-ben-nye-mojave-luxury-powder", "https://camerareadycosmetics.com/products/sample-ben-nye-mojave-luxury-powder")</f>
        <v/>
      </c>
      <c r="C3109" t="inlineStr">
        <is>
          <t>SAMPLE Mojave Luxury Powder</t>
        </is>
      </c>
      <c r="D3109" t="inlineStr">
        <is>
          <t>Ben Nye - Camel Mojave Luxury Powders - 1.5oz MHV</t>
        </is>
      </c>
      <c r="E3109" s="2">
        <f>HYPERLINK("https://www.amazon.com/Ben-Nye-Mojave-Luxury-Powders/dp/B00IUIUL9E/ref=sr_1_fkmr2_1?keywords=SAMPLE+Mojave+Luxury+Powder&amp;qid=1695565426&amp;sr=8-1-fkmr2", "https://www.amazon.com/Ben-Nye-Mojave-Luxury-Powders/dp/B00IUIUL9E/ref=sr_1_fkmr2_1?keywords=SAMPLE+Mojave+Luxury+Powder&amp;qid=1695565426&amp;sr=8-1-fkmr2")</f>
        <v/>
      </c>
      <c r="F3109" t="inlineStr">
        <is>
          <t>B00IUIUL9E</t>
        </is>
      </c>
      <c r="G3109">
        <f>_xlfn.IMAGE("https://camerareadycosmetics.com/cdn/shop/products/sample2_50x.jpg?v=1689656735")</f>
        <v/>
      </c>
      <c r="H3109">
        <f>_xlfn.IMAGE("https://m.media-amazon.com/images/I/51T22mA5J1L._AC_UL320_.jpg")</f>
        <v/>
      </c>
      <c r="K3109" t="inlineStr">
        <is>
          <t>2.99</t>
        </is>
      </c>
      <c r="L3109" t="n">
        <v>26.96</v>
      </c>
      <c r="M3109" s="1" t="inlineStr">
        <is>
          <t>801.67%</t>
        </is>
      </c>
      <c r="N3109" t="n">
        <v>4.4</v>
      </c>
      <c r="O3109" t="n">
        <v>7</v>
      </c>
      <c r="Q3109" t="inlineStr">
        <is>
          <t>InStock</t>
        </is>
      </c>
      <c r="R3109" t="inlineStr">
        <is>
          <t>undefined</t>
        </is>
      </c>
      <c r="S3109" t="inlineStr">
        <is>
          <t>7049848711</t>
        </is>
      </c>
    </row>
    <row r="3110" ht="75" customHeight="1">
      <c r="A3110" s="2">
        <f>HYPERLINK("https://camerareadycosmetics.com/products/sample-ben-nye-mojave-luxury-powder", "https://camerareadycosmetics.com/products/sample-ben-nye-mojave-luxury-powder")</f>
        <v/>
      </c>
      <c r="B3110" s="2">
        <f>HYPERLINK("https://camerareadycosmetics.com/products/sample-ben-nye-mojave-luxury-powder", "https://camerareadycosmetics.com/products/sample-ben-nye-mojave-luxury-powder")</f>
        <v/>
      </c>
      <c r="C3110" t="inlineStr">
        <is>
          <t>SAMPLE Mojave Luxury Powder</t>
        </is>
      </c>
      <c r="D3110" t="inlineStr">
        <is>
          <t>Ben Nye Makeup Mojave Visage Poudre-Luxury Powder Dark Cocoa 3oz</t>
        </is>
      </c>
      <c r="E3110" s="2">
        <f>HYPERLINK("https://www.amazon.com/Makeup-Mojave-Visage-Poudre-Luxury-Powder/dp/B007V9SJGK/ref=sr_1_fkmr0_1?keywords=SAMPLE+Mojave+Luxury+Powder&amp;qid=1695565426&amp;sr=8-1-fkmr0", "https://www.amazon.com/Makeup-Mojave-Visage-Poudre-Luxury-Powder/dp/B007V9SJGK/ref=sr_1_fkmr0_1?keywords=SAMPLE+Mojave+Luxury+Powder&amp;qid=1695565426&amp;sr=8-1-fkmr0")</f>
        <v/>
      </c>
      <c r="F3110" t="inlineStr">
        <is>
          <t>B007V9SJGK</t>
        </is>
      </c>
      <c r="G3110">
        <f>_xlfn.IMAGE("https://camerareadycosmetics.com/cdn/shop/products/sample2_50x.jpg?v=1689656735")</f>
        <v/>
      </c>
      <c r="H3110">
        <f>_xlfn.IMAGE("https://m.media-amazon.com/images/I/51shdGU38RL._AC_UL320_.jpg")</f>
        <v/>
      </c>
      <c r="K3110" t="inlineStr">
        <is>
          <t>2.99</t>
        </is>
      </c>
      <c r="L3110" t="n">
        <v>25.1</v>
      </c>
      <c r="M3110" s="1" t="inlineStr">
        <is>
          <t>739.46%</t>
        </is>
      </c>
      <c r="N3110" t="n">
        <v>5</v>
      </c>
      <c r="O3110" t="n">
        <v>7</v>
      </c>
      <c r="Q3110" t="inlineStr">
        <is>
          <t>InStock</t>
        </is>
      </c>
      <c r="R3110" t="inlineStr">
        <is>
          <t>undefined</t>
        </is>
      </c>
      <c r="S3110" t="inlineStr">
        <is>
          <t>7049848711</t>
        </is>
      </c>
    </row>
    <row r="3111" ht="75" customHeight="1">
      <c r="A3111" s="2">
        <f>HYPERLINK("https://camerareadycosmetics.com/products/sample-ben-nye-mojave-luxury-powder", "https://camerareadycosmetics.com/products/sample-ben-nye-mojave-luxury-powder")</f>
        <v/>
      </c>
      <c r="B3111" s="2">
        <f>HYPERLINK("https://camerareadycosmetics.com/products/sample-ben-nye-mojave-luxury-powder", "https://camerareadycosmetics.com/products/sample-ben-nye-mojave-luxury-powder")</f>
        <v/>
      </c>
      <c r="C3111" t="inlineStr">
        <is>
          <t>SAMPLE Mojave Luxury Powder</t>
        </is>
      </c>
      <c r="D3111" t="inlineStr">
        <is>
          <t>Ben Nye - Clay Mojave Luxury Powders - 1.5oz MHV</t>
        </is>
      </c>
      <c r="E3111" s="2">
        <f>HYPERLINK("https://www.amazon.com/Ben-Nye-Mojave-Luxury-Powders/dp/B00AZRGPOS/ref=sr_1_fkmr2_2?keywords=SAMPLE+Mojave+Luxury+Powder&amp;qid=1695565426&amp;sr=8-2-fkmr2", "https://www.amazon.com/Ben-Nye-Mojave-Luxury-Powders/dp/B00AZRGPOS/ref=sr_1_fkmr2_2?keywords=SAMPLE+Mojave+Luxury+Powder&amp;qid=1695565426&amp;sr=8-2-fkmr2")</f>
        <v/>
      </c>
      <c r="F3111" t="inlineStr">
        <is>
          <t>B00AZRGPOS</t>
        </is>
      </c>
      <c r="G3111">
        <f>_xlfn.IMAGE("https://camerareadycosmetics.com/cdn/shop/products/sample2_50x.jpg?v=1689656735")</f>
        <v/>
      </c>
      <c r="H3111">
        <f>_xlfn.IMAGE("https://m.media-amazon.com/images/I/41JqnAVp85L._AC_UL320_.jpg")</f>
        <v/>
      </c>
      <c r="K3111" t="inlineStr">
        <is>
          <t>2.99</t>
        </is>
      </c>
      <c r="L3111" t="n">
        <v>23</v>
      </c>
      <c r="M3111" s="1" t="inlineStr">
        <is>
          <t>669.23%</t>
        </is>
      </c>
      <c r="N3111" t="n">
        <v>3.7</v>
      </c>
      <c r="O3111" t="n">
        <v>3</v>
      </c>
      <c r="Q3111" t="inlineStr">
        <is>
          <t>InStock</t>
        </is>
      </c>
      <c r="R3111" t="inlineStr">
        <is>
          <t>undefined</t>
        </is>
      </c>
      <c r="S3111" t="inlineStr">
        <is>
          <t>7049848711</t>
        </is>
      </c>
    </row>
    <row r="3112" ht="75" customHeight="1">
      <c r="A3112" s="2">
        <f>HYPERLINK("https://camerareadycosmetics.com/products/sample-ben-nye-neutral-set-classic-translucent-face-powder", "https://camerareadycosmetics.com/products/sample-ben-nye-neutral-set-classic-translucent-face-powder")</f>
        <v/>
      </c>
      <c r="B3112" s="2">
        <f>HYPERLINK("https://camerareadycosmetics.com/products/sample-ben-nye-neutral-set-classic-translucent-face-powder", "https://camerareadycosmetics.com/products/sample-ben-nye-neutral-set-classic-translucent-face-powder")</f>
        <v/>
      </c>
      <c r="C3112" t="inlineStr">
        <is>
          <t>SAMPLE Neutral Set Classic Translucent Face Powder</t>
        </is>
      </c>
      <c r="D3112" t="inlineStr">
        <is>
          <t>Ben Nye Classic Translucent Face Powder 3 Oz Neutral Set Face Powders</t>
        </is>
      </c>
      <c r="E3112" s="2">
        <f>HYPERLINK("https://www.amazon.com/Ben-Nye-Classic-Translucent-Neutral/dp/B00AZRGSAE/ref=sr_1_1?keywords=SAMPLE+Neutral+Set+Classic+Translucent+Face+Powder&amp;qid=1695565491&amp;sr=8-1", "https://www.amazon.com/Ben-Nye-Classic-Translucent-Neutral/dp/B00AZRGSAE/ref=sr_1_1?keywords=SAMPLE+Neutral+Set+Classic+Translucent+Face+Powder&amp;qid=1695565491&amp;sr=8-1")</f>
        <v/>
      </c>
      <c r="F3112" t="inlineStr">
        <is>
          <t>B00AZRGSAE</t>
        </is>
      </c>
      <c r="G3112">
        <f>_xlfn.IMAGE("https://camerareadycosmetics.com/cdn/shop/products/colorless_ccf4e9fc-78ec-4dce-9b05-c5f4c22942bd_50x.jpg?v=1506757020")</f>
        <v/>
      </c>
      <c r="H3112">
        <f>_xlfn.IMAGE("https://m.media-amazon.com/images/I/51XooUpRqwL._AC_UL320_.jpg")</f>
        <v/>
      </c>
      <c r="K3112" t="inlineStr">
        <is>
          <t>2.99</t>
        </is>
      </c>
      <c r="L3112" t="n">
        <v>21.84</v>
      </c>
      <c r="M3112" s="1" t="inlineStr">
        <is>
          <t>630.43%</t>
        </is>
      </c>
      <c r="N3112" t="n">
        <v>4.7</v>
      </c>
      <c r="O3112" t="n">
        <v>756</v>
      </c>
      <c r="Q3112" t="inlineStr">
        <is>
          <t>InStock</t>
        </is>
      </c>
      <c r="R3112" t="inlineStr">
        <is>
          <t>undefined</t>
        </is>
      </c>
      <c r="S3112" t="inlineStr">
        <is>
          <t>11159328650</t>
        </is>
      </c>
    </row>
    <row r="3113" ht="75" customHeight="1">
      <c r="A3113" s="2">
        <f>HYPERLINK("https://camerareadycosmetics.com/products/sample-ben-nye-rose-petal-luxury-powder", "https://camerareadycosmetics.com/products/sample-ben-nye-rose-petal-luxury-powder")</f>
        <v/>
      </c>
      <c r="B3113" s="2">
        <f>HYPERLINK("https://camerareadycosmetics.com/products/sample-ben-nye-rose-petal-luxury-powder", "https://camerareadycosmetics.com/products/sample-ben-nye-rose-petal-luxury-powder")</f>
        <v/>
      </c>
      <c r="C3113" t="inlineStr">
        <is>
          <t>SAMPLE Rose Petal Luxury Powder</t>
        </is>
      </c>
      <c r="D3113" t="inlineStr">
        <is>
          <t>Ben Nye Luxury Powder, Rose Petal 3oz</t>
        </is>
      </c>
      <c r="E3113" s="2">
        <f>HYPERLINK("https://www.amazon.com/Ben-Nye-Luxury-Powder-Petal/dp/B01IU3GRIM/ref=sr_1_4?keywords=SAMPLE+Rose+Petal+Luxury+Powder&amp;qid=1695565469&amp;sr=8-4", "https://www.amazon.com/Ben-Nye-Luxury-Powder-Petal/dp/B01IU3GRIM/ref=sr_1_4?keywords=SAMPLE+Rose+Petal+Luxury+Powder&amp;qid=1695565469&amp;sr=8-4")</f>
        <v/>
      </c>
      <c r="F3113" t="inlineStr">
        <is>
          <t>B01IU3GRIM</t>
        </is>
      </c>
      <c r="G3113">
        <f>_xlfn.IMAGE("https://camerareadycosmetics.com/cdn/shop/products/dw_50x.jpg?v=1689656750")</f>
        <v/>
      </c>
      <c r="H3113">
        <f>_xlfn.IMAGE("https://m.media-amazon.com/images/I/81efeYRrbeL._AC_UL320_.jpg")</f>
        <v/>
      </c>
      <c r="K3113" t="inlineStr">
        <is>
          <t>2.99</t>
        </is>
      </c>
      <c r="L3113" t="n">
        <v>39.99</v>
      </c>
      <c r="M3113" s="1" t="inlineStr">
        <is>
          <t>1,237.46%</t>
        </is>
      </c>
      <c r="N3113" t="n">
        <v>4.7</v>
      </c>
      <c r="O3113" t="n">
        <v>5</v>
      </c>
      <c r="Q3113" t="inlineStr">
        <is>
          <t>InStock</t>
        </is>
      </c>
      <c r="R3113" t="inlineStr">
        <is>
          <t>undefined</t>
        </is>
      </c>
      <c r="S3113" t="inlineStr">
        <is>
          <t>7049850247</t>
        </is>
      </c>
    </row>
    <row r="3114" ht="75" customHeight="1">
      <c r="A3114" s="2">
        <f>HYPERLINK("https://camerareadycosmetics.com/products/sample-ben-nye-rose-petal-luxury-powder", "https://camerareadycosmetics.com/products/sample-ben-nye-rose-petal-luxury-powder")</f>
        <v/>
      </c>
      <c r="B3114" s="2">
        <f>HYPERLINK("https://camerareadycosmetics.com/products/sample-ben-nye-rose-petal-luxury-powder", "https://camerareadycosmetics.com/products/sample-ben-nye-rose-petal-luxury-powder")</f>
        <v/>
      </c>
      <c r="C3114" t="inlineStr">
        <is>
          <t>SAMPLE Rose Petal Luxury Powder</t>
        </is>
      </c>
      <c r="D3114" t="inlineStr">
        <is>
          <t>Herbs Botanica Natural Radiance Skin Care Sampler | Sandalwood Powder, Orange Peel Powder, Lemon Peel Powder, Rose Petals Powder, Wild Turmeric Powder, Multanni Mitti Powder 1 oz Each In Gift Pack</t>
        </is>
      </c>
      <c r="E3114" s="2">
        <f>HYPERLINK("https://www.amazon.com/Herbs-Botanica-Radiance-Sandalwood-Turmeric/dp/B0CF1WMCJ3/ref=sr_1_1?keywords=SAMPLE+Rose+Petal+Luxury+Powder&amp;qid=1695565469&amp;sr=8-1", "https://www.amazon.com/Herbs-Botanica-Radiance-Sandalwood-Turmeric/dp/B0CF1WMCJ3/ref=sr_1_1?keywords=SAMPLE+Rose+Petal+Luxury+Powder&amp;qid=1695565469&amp;sr=8-1")</f>
        <v/>
      </c>
      <c r="F3114" t="inlineStr">
        <is>
          <t>B0CF1WMCJ3</t>
        </is>
      </c>
      <c r="G3114">
        <f>_xlfn.IMAGE("https://camerareadycosmetics.com/cdn/shop/products/dw_50x.jpg?v=1689656750")</f>
        <v/>
      </c>
      <c r="H3114">
        <f>_xlfn.IMAGE("https://m.media-amazon.com/images/I/71EUeH1SbPL._AC_UL320_.jpg")</f>
        <v/>
      </c>
      <c r="K3114" t="inlineStr">
        <is>
          <t>2.99</t>
        </is>
      </c>
      <c r="L3114" t="n">
        <v>14.99</v>
      </c>
      <c r="M3114" s="1" t="inlineStr">
        <is>
          <t>401.34%</t>
        </is>
      </c>
      <c r="N3114" t="n">
        <v>4.5</v>
      </c>
      <c r="O3114" t="n">
        <v>1084</v>
      </c>
      <c r="Q3114" t="inlineStr">
        <is>
          <t>InStock</t>
        </is>
      </c>
      <c r="R3114" t="inlineStr">
        <is>
          <t>undefined</t>
        </is>
      </c>
      <c r="S3114" t="inlineStr">
        <is>
          <t>7049850247</t>
        </is>
      </c>
    </row>
    <row r="3115" ht="75" customHeight="1">
      <c r="A3115" s="2">
        <f>HYPERLINK("https://camerareadycosmetics.com/products/sample-cinema-secrets-ultralucent-mineral-powder", "https://camerareadycosmetics.com/products/sample-cinema-secrets-ultralucent-mineral-powder")</f>
        <v/>
      </c>
      <c r="B3115" s="2">
        <f>HYPERLINK("https://camerareadycosmetics.com/products/sample-cinema-secrets-ultralucent-mineral-powder", "https://camerareadycosmetics.com/products/sample-cinema-secrets-ultralucent-mineral-powder")</f>
        <v/>
      </c>
      <c r="C3115" t="inlineStr">
        <is>
          <t>SAMPLE Ultralucent Mineral Powder</t>
        </is>
      </c>
      <c r="D3115" t="inlineStr">
        <is>
          <t>FAIR 1 FOUNDATION Mineral Makeup (5 gram Sample Size Jar) Matte Loose Powder Bare Face Cosmetics Full Coverage Long Lasting All Skin Types SPF 18</t>
        </is>
      </c>
      <c r="E3115" s="2">
        <f>HYPERLINK("https://www.amazon.com/FOUNDATION-Sample-Mineral-Face-Natural/dp/B00PE5P03I/ref=sr_1_fkmr2_1?keywords=SAMPLE+Ultralucent+Mineral+Powder&amp;qid=1695565571&amp;sr=8-1-fkmr2", "https://www.amazon.com/FOUNDATION-Sample-Mineral-Face-Natural/dp/B00PE5P03I/ref=sr_1_fkmr2_1?keywords=SAMPLE+Ultralucent+Mineral+Powder&amp;qid=1695565571&amp;sr=8-1-fkmr2")</f>
        <v/>
      </c>
      <c r="F3115" t="inlineStr">
        <is>
          <t>B00PE5P03I</t>
        </is>
      </c>
      <c r="G3115">
        <f>_xlfn.IMAGE("https://camerareadycosmetics.com/cdn/shop/products/white_grande_ca906665-48dc-47f6-a0ac-0754ae645586_50x.jpg?v=1694448389")</f>
        <v/>
      </c>
      <c r="H3115">
        <f>_xlfn.IMAGE("https://m.media-amazon.com/images/I/71LhDhmJgeL._AC_UL320_.jpg")</f>
        <v/>
      </c>
      <c r="K3115" t="inlineStr">
        <is>
          <t>2.99</t>
        </is>
      </c>
      <c r="L3115" t="n">
        <v>7.15</v>
      </c>
      <c r="M3115" s="1" t="inlineStr">
        <is>
          <t>139.13%</t>
        </is>
      </c>
      <c r="N3115" t="n">
        <v>3.4</v>
      </c>
      <c r="O3115" t="n">
        <v>17</v>
      </c>
      <c r="Q3115" t="inlineStr">
        <is>
          <t>InStock</t>
        </is>
      </c>
      <c r="R3115" t="inlineStr">
        <is>
          <t>undefined</t>
        </is>
      </c>
      <c r="S3115" t="inlineStr">
        <is>
          <t>10611414730</t>
        </is>
      </c>
    </row>
    <row r="3116" ht="75" customHeight="1">
      <c r="A3116" s="2">
        <f>HYPERLINK("https://camerareadycosmetics.com/products/sample-cinema-secrets-ultralucent-mineral-powder", "https://camerareadycosmetics.com/products/sample-cinema-secrets-ultralucent-mineral-powder")</f>
        <v/>
      </c>
      <c r="B3116" s="2">
        <f>HYPERLINK("https://camerareadycosmetics.com/products/sample-cinema-secrets-ultralucent-mineral-powder", "https://camerareadycosmetics.com/products/sample-cinema-secrets-ultralucent-mineral-powder")</f>
        <v/>
      </c>
      <c r="C3116" t="inlineStr">
        <is>
          <t>SAMPLE Ultralucent Mineral Powder</t>
        </is>
      </c>
      <c r="D3116" t="inlineStr">
        <is>
          <t>FAIR 2 FOUNDATION Mineral Makeup (5 gram Sample Size Jar) Matte Loose Powder Bare Face Cosmetics Full Coverage Long Lasting All Skin Types SPF 18</t>
        </is>
      </c>
      <c r="E3116" s="2">
        <f>HYPERLINK("https://www.amazon.com/FOUNDATION-Sample-Mineral-Face-Natural/dp/B00PEWRE5I/ref=sr_1_fkmr2_2?keywords=SAMPLE+Ultralucent+Mineral+Powder&amp;qid=1695565571&amp;sr=8-2-fkmr2", "https://www.amazon.com/FOUNDATION-Sample-Mineral-Face-Natural/dp/B00PEWRE5I/ref=sr_1_fkmr2_2?keywords=SAMPLE+Ultralucent+Mineral+Powder&amp;qid=1695565571&amp;sr=8-2-fkmr2")</f>
        <v/>
      </c>
      <c r="F3116" t="inlineStr">
        <is>
          <t>B00PEWRE5I</t>
        </is>
      </c>
      <c r="G3116">
        <f>_xlfn.IMAGE("https://camerareadycosmetics.com/cdn/shop/products/white_grande_ca906665-48dc-47f6-a0ac-0754ae645586_50x.jpg?v=1694448389")</f>
        <v/>
      </c>
      <c r="H3116">
        <f>_xlfn.IMAGE("https://m.media-amazon.com/images/I/71qMrUFS+HL._AC_UL320_.jpg")</f>
        <v/>
      </c>
      <c r="K3116" t="inlineStr">
        <is>
          <t>2.99</t>
        </is>
      </c>
      <c r="L3116" t="n">
        <v>7.15</v>
      </c>
      <c r="M3116" s="1" t="inlineStr">
        <is>
          <t>139.13%</t>
        </is>
      </c>
      <c r="N3116" t="n">
        <v>4.1</v>
      </c>
      <c r="O3116" t="n">
        <v>60</v>
      </c>
      <c r="Q3116" t="inlineStr">
        <is>
          <t>InStock</t>
        </is>
      </c>
      <c r="R3116" t="inlineStr">
        <is>
          <t>undefined</t>
        </is>
      </c>
      <c r="S3116" t="inlineStr">
        <is>
          <t>10611414730</t>
        </is>
      </c>
    </row>
    <row r="3117" ht="75" customHeight="1">
      <c r="A3117" s="2">
        <f>HYPERLINK("https://camerareadycosmetics.com/products/sample-face-atelier-ultra-skin-foundation", "https://camerareadycosmetics.com/products/sample-face-atelier-ultra-skin-foundation")</f>
        <v/>
      </c>
      <c r="B3117" s="2">
        <f>HYPERLINK("https://camerareadycosmetics.com/products/sample-face-atelier-ultra-skin-foundation", "https://camerareadycosmetics.com/products/sample-face-atelier-ultra-skin-foundation")</f>
        <v/>
      </c>
      <c r="C3117" t="inlineStr">
        <is>
          <t>SAMPLE Ultra Skin Foundation</t>
        </is>
      </c>
      <c r="D3117" t="inlineStr">
        <is>
          <t>Lancôme Teint Idole Ultra Wear Buildable Full Coverage Foundation - Longwear &amp; Waterproof - Natural Matte Finish - 110C (Fair Skin with Cool/Pinky Undertones), 1 Fl Oz</t>
        </is>
      </c>
      <c r="E3117" s="2">
        <f>HYPERLINK("https://www.amazon.com/Lanc%C3%B4me-Teint-Buildable-Coverage-Foundation/dp/B0BNWCNN8M/ref=sr_1_1?keywords=SAMPLE+Ultra+Skin+Foundation&amp;qid=1695565451&amp;sr=8-1", "https://www.amazon.com/Lanc%C3%B4me-Teint-Buildable-Coverage-Foundation/dp/B0BNWCNN8M/ref=sr_1_1?keywords=SAMPLE+Ultra+Skin+Foundation&amp;qid=1695565451&amp;sr=8-1")</f>
        <v/>
      </c>
      <c r="F3117" t="inlineStr">
        <is>
          <t>B0BNWCNN8M</t>
        </is>
      </c>
      <c r="G3117">
        <f>_xlfn.IMAGE("https://camerareadycosmetics.com/cdn/shop/products/new-clear-full_50x.jpg?v=1689649671")</f>
        <v/>
      </c>
      <c r="H3117">
        <f>_xlfn.IMAGE("https://m.media-amazon.com/images/I/611LHga25uL._AC_UL320_.jpg")</f>
        <v/>
      </c>
      <c r="K3117" t="inlineStr">
        <is>
          <t>5.99</t>
        </is>
      </c>
      <c r="L3117" t="n">
        <v>48.45</v>
      </c>
      <c r="M3117" s="1" t="inlineStr">
        <is>
          <t>708.85%</t>
        </is>
      </c>
      <c r="N3117" t="n">
        <v>4.6</v>
      </c>
      <c r="O3117" t="n">
        <v>1234</v>
      </c>
      <c r="Q3117" t="inlineStr">
        <is>
          <t>InStock</t>
        </is>
      </c>
      <c r="R3117" t="inlineStr">
        <is>
          <t>undefined</t>
        </is>
      </c>
      <c r="S3117" t="inlineStr">
        <is>
          <t>7046565255</t>
        </is>
      </c>
    </row>
    <row r="3118" ht="75" customHeight="1">
      <c r="A3118" s="2">
        <f>HYPERLINK("https://camerareadycosmetics.com/products/sample-face-atelier-ultra-skin-foundation", "https://camerareadycosmetics.com/products/sample-face-atelier-ultra-skin-foundation")</f>
        <v/>
      </c>
      <c r="B3118" s="2">
        <f>HYPERLINK("https://camerareadycosmetics.com/products/sample-face-atelier-ultra-skin-foundation", "https://camerareadycosmetics.com/products/sample-face-atelier-ultra-skin-foundation")</f>
        <v/>
      </c>
      <c r="C3118" t="inlineStr">
        <is>
          <t>SAMPLE Ultra Skin Foundation</t>
        </is>
      </c>
      <c r="D3118" t="inlineStr">
        <is>
          <t>Pacifica Beauty | Ultra CC Cream Radiant Foundation - Warm/Medium | 100% Physical Broad Spectrum SPF 17 | Color Correcting Cream for Radiant Glowing Skin | Clean Makeup | Vegan &amp; Cruelty Free</t>
        </is>
      </c>
      <c r="E3118" s="2">
        <f>HYPERLINK("https://www.amazon.com/PACIFICA-Medium-Ultra-Radiant-Foundation/dp/B096TKH1KZ/ref=sr_1_6?keywords=SAMPLE+Ultra+Skin+Foundation&amp;qid=1695565451&amp;sr=8-6", "https://www.amazon.com/PACIFICA-Medium-Ultra-Radiant-Foundation/dp/B096TKH1KZ/ref=sr_1_6?keywords=SAMPLE+Ultra+Skin+Foundation&amp;qid=1695565451&amp;sr=8-6")</f>
        <v/>
      </c>
      <c r="F3118" t="inlineStr">
        <is>
          <t>B096TKH1KZ</t>
        </is>
      </c>
      <c r="G3118">
        <f>_xlfn.IMAGE("https://camerareadycosmetics.com/cdn/shop/products/new-clear-full_50x.jpg?v=1689649671")</f>
        <v/>
      </c>
      <c r="H3118">
        <f>_xlfn.IMAGE("https://m.media-amazon.com/images/I/61UJNou5eBL._AC_UL320_.jpg")</f>
        <v/>
      </c>
      <c r="K3118" t="inlineStr">
        <is>
          <t>5.99</t>
        </is>
      </c>
      <c r="L3118" t="n">
        <v>12.6</v>
      </c>
      <c r="M3118" s="1" t="inlineStr">
        <is>
          <t>110.35%</t>
        </is>
      </c>
      <c r="N3118" t="n">
        <v>4.1</v>
      </c>
      <c r="O3118" t="n">
        <v>1641</v>
      </c>
      <c r="Q3118" t="inlineStr">
        <is>
          <t>InStock</t>
        </is>
      </c>
      <c r="R3118" t="inlineStr">
        <is>
          <t>undefined</t>
        </is>
      </c>
      <c r="S3118" t="inlineStr">
        <is>
          <t>7046565255</t>
        </is>
      </c>
    </row>
    <row r="3119" ht="75" customHeight="1">
      <c r="A3119" s="2">
        <f>HYPERLINK("https://camerareadycosmetics.com/products/sample-graftobian-pro-setting-powder", "https://camerareadycosmetics.com/products/sample-graftobian-pro-setting-powder")</f>
        <v/>
      </c>
      <c r="B3119" s="2">
        <f>HYPERLINK("https://camerareadycosmetics.com/products/sample-graftobian-pro-setting-powder", "https://camerareadycosmetics.com/products/sample-graftobian-pro-setting-powder")</f>
        <v/>
      </c>
      <c r="C3119" t="inlineStr">
        <is>
          <t>SAMPLE Pro Setting Powder</t>
        </is>
      </c>
      <c r="D3119" t="inlineStr">
        <is>
          <t>L'Oreal Paris Makeup Infallible Pro-Sweep and Lock Loose Matte Setting Face Powder</t>
        </is>
      </c>
      <c r="E3119" s="2">
        <f>HYPERLINK("https://www.amazon.com/LOreal-Paris-Infallible-Pro-Sweep-Translucent/dp/B074PPZYHD/ref=sr_1_4?keywords=SAMPLE+Pro+Setting+Powder&amp;qid=1695565553&amp;sr=8-4", "https://www.amazon.com/LOreal-Paris-Infallible-Pro-Sweep-Translucent/dp/B074PPZYHD/ref=sr_1_4?keywords=SAMPLE+Pro+Setting+Powder&amp;qid=1695565553&amp;sr=8-4")</f>
        <v/>
      </c>
      <c r="F3119" t="inlineStr">
        <is>
          <t>B074PPZYHD</t>
        </is>
      </c>
      <c r="G3119">
        <f>_xlfn.IMAGE("https://camerareadycosmetics.com/cdn/shop/products/colorless_7bbb000e-d75d-48f6-aa79-462bc2d90faa_50x.jpg?v=1506757008")</f>
        <v/>
      </c>
      <c r="H3119">
        <f>_xlfn.IMAGE("https://m.media-amazon.com/images/I/81hlEfx7uUL._AC_UL320_.jpg")</f>
        <v/>
      </c>
      <c r="K3119" t="inlineStr">
        <is>
          <t>2.99</t>
        </is>
      </c>
      <c r="L3119" t="n">
        <v>13.99</v>
      </c>
      <c r="M3119" s="1" t="inlineStr">
        <is>
          <t>367.89%</t>
        </is>
      </c>
      <c r="N3119" t="n">
        <v>4.4</v>
      </c>
      <c r="O3119" t="n">
        <v>4850</v>
      </c>
      <c r="Q3119" t="inlineStr">
        <is>
          <t>InStock</t>
        </is>
      </c>
      <c r="R3119" t="inlineStr">
        <is>
          <t>2.99</t>
        </is>
      </c>
      <c r="S3119" t="inlineStr">
        <is>
          <t>11158516874</t>
        </is>
      </c>
    </row>
    <row r="3120" ht="75" customHeight="1">
      <c r="A3120" s="2">
        <f>HYPERLINK("https://camerareadycosmetics.com/products/sample-graftobian-pro-setting-powder", "https://camerareadycosmetics.com/products/sample-graftobian-pro-setting-powder")</f>
        <v/>
      </c>
      <c r="B3120" s="2">
        <f>HYPERLINK("https://camerareadycosmetics.com/products/sample-graftobian-pro-setting-powder", "https://camerareadycosmetics.com/products/sample-graftobian-pro-setting-powder")</f>
        <v/>
      </c>
      <c r="C3120" t="inlineStr">
        <is>
          <t>SAMPLE Pro Setting Powder</t>
        </is>
      </c>
      <c r="D3120" t="inlineStr">
        <is>
          <t>NYX PROFESSIONAL MAKEUP HD Studio Finishing Powder, Loose Setting Powder - Translucent Finish</t>
        </is>
      </c>
      <c r="E3120" s="2">
        <f>HYPERLINK("https://www.amazon.com/NYX-Professional-Makeup-Finishing-Translucent/dp/B009GLQG6Q/ref=sr_1_6?keywords=SAMPLE+Pro+Setting+Powder&amp;qid=1695565553&amp;sr=8-6", "https://www.amazon.com/NYX-Professional-Makeup-Finishing-Translucent/dp/B009GLQG6Q/ref=sr_1_6?keywords=SAMPLE+Pro+Setting+Powder&amp;qid=1695565553&amp;sr=8-6")</f>
        <v/>
      </c>
      <c r="F3120" t="inlineStr">
        <is>
          <t>B009GLQG6Q</t>
        </is>
      </c>
      <c r="G3120">
        <f>_xlfn.IMAGE("https://camerareadycosmetics.com/cdn/shop/products/colorless_7bbb000e-d75d-48f6-aa79-462bc2d90faa_50x.jpg?v=1506757008")</f>
        <v/>
      </c>
      <c r="H3120">
        <f>_xlfn.IMAGE("https://m.media-amazon.com/images/I/5196xGH0ZvL._AC_UL320_.jpg")</f>
        <v/>
      </c>
      <c r="K3120" t="inlineStr">
        <is>
          <t>2.99</t>
        </is>
      </c>
      <c r="L3120" t="n">
        <v>9.16</v>
      </c>
      <c r="M3120" s="1" t="inlineStr">
        <is>
          <t>206.35%</t>
        </is>
      </c>
      <c r="N3120" t="n">
        <v>4.3</v>
      </c>
      <c r="O3120" t="n">
        <v>14881</v>
      </c>
      <c r="Q3120" t="inlineStr">
        <is>
          <t>InStock</t>
        </is>
      </c>
      <c r="R3120" t="inlineStr">
        <is>
          <t>2.99</t>
        </is>
      </c>
      <c r="S3120" t="inlineStr">
        <is>
          <t>11158516874</t>
        </is>
      </c>
    </row>
    <row r="3121" ht="75" customHeight="1">
      <c r="A3121" s="2">
        <f>HYPERLINK("https://camerareadycosmetics.com/products/sample-graftobian-pro-setting-powder", "https://camerareadycosmetics.com/products/sample-graftobian-pro-setting-powder")</f>
        <v/>
      </c>
      <c r="B3121" s="2">
        <f>HYPERLINK("https://camerareadycosmetics.com/products/sample-graftobian-pro-setting-powder", "https://camerareadycosmetics.com/products/sample-graftobian-pro-setting-powder")</f>
        <v/>
      </c>
      <c r="C3121" t="inlineStr">
        <is>
          <t>SAMPLE Pro Setting Powder</t>
        </is>
      </c>
      <c r="D3121" t="inlineStr">
        <is>
          <t>Kiss New York Pro Touch Setting Powder, Loose Setting Powder, Lightweight, Long-Lasting Face Powder Makeup, Controls Oil, Finishing Powder for Medium &amp; Tan Skin Tones (Earth)</t>
        </is>
      </c>
      <c r="E3121" s="2">
        <f>HYPERLINK("https://www.amazon.com/Setting-Lightweight-Long-Lasting-Controls-Finishing/dp/B0742R1N5Z/ref=sr_1_7?keywords=SAMPLE+Pro+Setting+Powder&amp;qid=1695565553&amp;sr=8-7", "https://www.amazon.com/Setting-Lightweight-Long-Lasting-Controls-Finishing/dp/B0742R1N5Z/ref=sr_1_7?keywords=SAMPLE+Pro+Setting+Powder&amp;qid=1695565553&amp;sr=8-7")</f>
        <v/>
      </c>
      <c r="F3121" t="inlineStr">
        <is>
          <t>B0742R1N5Z</t>
        </is>
      </c>
      <c r="G3121">
        <f>_xlfn.IMAGE("https://camerareadycosmetics.com/cdn/shop/products/colorless_7bbb000e-d75d-48f6-aa79-462bc2d90faa_50x.jpg?v=1506757008")</f>
        <v/>
      </c>
      <c r="H3121">
        <f>_xlfn.IMAGE("https://m.media-amazon.com/images/I/71d9yslil2L._AC_UL320_.jpg")</f>
        <v/>
      </c>
      <c r="K3121" t="inlineStr">
        <is>
          <t>2.99</t>
        </is>
      </c>
      <c r="L3121" t="n">
        <v>7.99</v>
      </c>
      <c r="M3121" s="1" t="inlineStr">
        <is>
          <t>167.22%</t>
        </is>
      </c>
      <c r="N3121" t="n">
        <v>4.6</v>
      </c>
      <c r="O3121" t="n">
        <v>24</v>
      </c>
      <c r="Q3121" t="inlineStr">
        <is>
          <t>InStock</t>
        </is>
      </c>
      <c r="R3121" t="inlineStr">
        <is>
          <t>2.99</t>
        </is>
      </c>
      <c r="S3121" t="inlineStr">
        <is>
          <t>11158516874</t>
        </is>
      </c>
    </row>
    <row r="3122" ht="75" customHeight="1">
      <c r="A3122" s="2">
        <f>HYPERLINK("https://camerareadycosmetics.com/products/sample-graftobian-pro-setting-powder", "https://camerareadycosmetics.com/products/sample-graftobian-pro-setting-powder")</f>
        <v/>
      </c>
      <c r="B3122" s="2">
        <f>HYPERLINK("https://camerareadycosmetics.com/products/sample-graftobian-pro-setting-powder", "https://camerareadycosmetics.com/products/sample-graftobian-pro-setting-powder")</f>
        <v/>
      </c>
      <c r="C3122" t="inlineStr">
        <is>
          <t>SAMPLE Pro Setting Powder</t>
        </is>
      </c>
      <c r="D3122" t="inlineStr">
        <is>
          <t>L.A. GIRL HD PRO Setting Powder - Banana Yellow</t>
        </is>
      </c>
      <c r="E3122" s="2">
        <f>HYPERLINK("https://www.amazon.com/L-GIRL-Setting-Powder/dp/B01M1H52S1/ref=sr_1_3?keywords=SAMPLE+Pro+Setting+Powder&amp;qid=1695565553&amp;sr=8-3", "https://www.amazon.com/L-GIRL-Setting-Powder/dp/B01M1H52S1/ref=sr_1_3?keywords=SAMPLE+Pro+Setting+Powder&amp;qid=1695565553&amp;sr=8-3")</f>
        <v/>
      </c>
      <c r="F3122" t="inlineStr">
        <is>
          <t>B01M1H52S1</t>
        </is>
      </c>
      <c r="G3122">
        <f>_xlfn.IMAGE("https://camerareadycosmetics.com/cdn/shop/products/colorless_7bbb000e-d75d-48f6-aa79-462bc2d90faa_50x.jpg?v=1506757008")</f>
        <v/>
      </c>
      <c r="H3122">
        <f>_xlfn.IMAGE("https://m.media-amazon.com/images/I/71bW4OFWADL._AC_UL320_.jpg")</f>
        <v/>
      </c>
      <c r="K3122" t="inlineStr">
        <is>
          <t>2.99</t>
        </is>
      </c>
      <c r="L3122" t="n">
        <v>5.99</v>
      </c>
      <c r="M3122" s="1" t="inlineStr">
        <is>
          <t>100.33%</t>
        </is>
      </c>
      <c r="N3122" t="n">
        <v>4.1</v>
      </c>
      <c r="O3122" t="n">
        <v>1064</v>
      </c>
      <c r="Q3122" t="inlineStr">
        <is>
          <t>InStock</t>
        </is>
      </c>
      <c r="R3122" t="inlineStr">
        <is>
          <t>2.99</t>
        </is>
      </c>
      <c r="S3122" t="inlineStr">
        <is>
          <t>11158516874</t>
        </is>
      </c>
    </row>
    <row r="3123" ht="75" customHeight="1">
      <c r="A3123" s="2">
        <f>HYPERLINK("https://camerareadycosmetics.com/products/sample-kevyn-aucoin-the-etherealist-skin-illuminating-foundation", "https://camerareadycosmetics.com/products/sample-kevyn-aucoin-the-etherealist-skin-illuminating-foundation")</f>
        <v/>
      </c>
      <c r="B3123" s="2">
        <f>HYPERLINK("https://camerareadycosmetics.com/products/sample-kevyn-aucoin-the-etherealist-skin-illuminating-foundation", "https://camerareadycosmetics.com/products/sample-kevyn-aucoin-the-etherealist-skin-illuminating-foundation")</f>
        <v/>
      </c>
      <c r="C3123" t="inlineStr">
        <is>
          <t>SAMPLE - The Etherealist Skin Illuminating Foundation</t>
        </is>
      </c>
      <c r="D3123" t="inlineStr">
        <is>
          <t>Kevyn Aucoin The Etherealist Skin Illuminating Foundation, EF 08 (Medium) shade: Comfortable, shine-free, smooth, moisturize. Medium to full coverage. Makeup artist go to. Even, bright &amp; natural look</t>
        </is>
      </c>
      <c r="E3123" s="2">
        <f>HYPERLINK("https://www.amazon.com/Kevin-Aucoin-Etherealist-Illuminating-Foundation/dp/B01LPKWBZK/ref=sr_1_fkmr0_1?keywords=SAMPLE+-+The+Etherealist+Skin+Illuminating+Foundation&amp;qid=1695565456&amp;sr=8-1-fkmr0", "https://www.amazon.com/Kevin-Aucoin-Etherealist-Illuminating-Foundation/dp/B01LPKWBZK/ref=sr_1_fkmr0_1?keywords=SAMPLE+-+The+Etherealist+Skin+Illuminating+Foundation&amp;qid=1695565456&amp;sr=8-1-fkmr0")</f>
        <v/>
      </c>
      <c r="F3123" t="inlineStr">
        <is>
          <t>B01LPKWBZK</t>
        </is>
      </c>
      <c r="G3123">
        <f>_xlfn.IMAGE("https://camerareadycosmetics.com/cdn/shop/products/new-clear-full_2a09d6c1-6432-4312-88bf-c601eed68fdb_50x.jpg?v=1694447438")</f>
        <v/>
      </c>
      <c r="H3123">
        <f>_xlfn.IMAGE("https://m.media-amazon.com/images/I/61ZUPYmyYCL._AC_UL320_.jpg")</f>
        <v/>
      </c>
      <c r="K3123" t="inlineStr">
        <is>
          <t>7.99</t>
        </is>
      </c>
      <c r="L3123" t="n">
        <v>59.95</v>
      </c>
      <c r="M3123" s="1" t="inlineStr">
        <is>
          <t>650.31%</t>
        </is>
      </c>
      <c r="N3123" t="n">
        <v>4.5</v>
      </c>
      <c r="O3123" t="n">
        <v>347</v>
      </c>
      <c r="Q3123" t="inlineStr">
        <is>
          <t>InStock</t>
        </is>
      </c>
      <c r="R3123" t="inlineStr">
        <is>
          <t>undefined</t>
        </is>
      </c>
      <c r="S3123" t="inlineStr">
        <is>
          <t>10406632842</t>
        </is>
      </c>
    </row>
    <row r="3124" ht="75" customHeight="1">
      <c r="A3124" s="2">
        <f>HYPERLINK("https://camerareadycosmetics.com/products/sample-kevyn-aucoin-the-etherealist-skin-illuminating-foundation", "https://camerareadycosmetics.com/products/sample-kevyn-aucoin-the-etherealist-skin-illuminating-foundation")</f>
        <v/>
      </c>
      <c r="B3124" s="2">
        <f>HYPERLINK("https://camerareadycosmetics.com/products/sample-kevyn-aucoin-the-etherealist-skin-illuminating-foundation", "https://camerareadycosmetics.com/products/sample-kevyn-aucoin-the-etherealist-skin-illuminating-foundation")</f>
        <v/>
      </c>
      <c r="C3124" t="inlineStr">
        <is>
          <t>SAMPLE - The Etherealist Skin Illuminating Foundation</t>
        </is>
      </c>
      <c r="D3124" t="inlineStr">
        <is>
          <t>Kevyn Aucoin The Etherealist Skin Illuminating Foundation, EF 07 (Medium) shade: Comfortable, shine-free, smooth, moisturize. Medium to full coverage. Makeup artist go to. Even, bright &amp; natural look.</t>
        </is>
      </c>
      <c r="E3124" s="2">
        <f>HYPERLINK("https://www.amazon.com/Kevin-Aucoin-Etherealist-Illuminating-Foundation/dp/B01LPKWDDA/ref=sr_1_1?keywords=SAMPLE+-+The+Etherealist+Skin+Illuminating+Foundation&amp;qid=1695565456&amp;sr=8-1", "https://www.amazon.com/Kevin-Aucoin-Etherealist-Illuminating-Foundation/dp/B01LPKWDDA/ref=sr_1_1?keywords=SAMPLE+-+The+Etherealist+Skin+Illuminating+Foundation&amp;qid=1695565456&amp;sr=8-1")</f>
        <v/>
      </c>
      <c r="F3124" t="inlineStr">
        <is>
          <t>B01LPKWDDA</t>
        </is>
      </c>
      <c r="G3124">
        <f>_xlfn.IMAGE("https://camerareadycosmetics.com/cdn/shop/products/new-clear-full_2a09d6c1-6432-4312-88bf-c601eed68fdb_50x.jpg?v=1694447438")</f>
        <v/>
      </c>
      <c r="H3124">
        <f>_xlfn.IMAGE("https://m.media-amazon.com/images/I/61DsgDgnzzL._AC_UL320_.jpg")</f>
        <v/>
      </c>
      <c r="K3124" t="inlineStr">
        <is>
          <t>7.99</t>
        </is>
      </c>
      <c r="L3124" t="n">
        <v>42.57</v>
      </c>
      <c r="M3124" s="1" t="inlineStr">
        <is>
          <t>432.79%</t>
        </is>
      </c>
      <c r="N3124" t="n">
        <v>4.5</v>
      </c>
      <c r="O3124" t="n">
        <v>347</v>
      </c>
      <c r="Q3124" t="inlineStr">
        <is>
          <t>InStock</t>
        </is>
      </c>
      <c r="R3124" t="inlineStr">
        <is>
          <t>undefined</t>
        </is>
      </c>
      <c r="S3124" t="inlineStr">
        <is>
          <t>10406632842</t>
        </is>
      </c>
    </row>
    <row r="3125" ht="75" customHeight="1">
      <c r="A3125" s="2">
        <f>HYPERLINK("https://camerareadycosmetics.com/products/sample-koh-gen-do-maifanshi-aqua-foundation", "https://camerareadycosmetics.com/products/sample-koh-gen-do-maifanshi-aqua-foundation")</f>
        <v/>
      </c>
      <c r="B3125" s="2">
        <f>HYPERLINK("https://camerareadycosmetics.com/products/sample-koh-gen-do-maifanshi-aqua-foundation", "https://camerareadycosmetics.com/products/sample-koh-gen-do-maifanshi-aqua-foundation")</f>
        <v/>
      </c>
      <c r="C3125" t="inlineStr">
        <is>
          <t>SAMPLE Maifanshi Aqua Foundation</t>
        </is>
      </c>
      <c r="D3125" t="inlineStr">
        <is>
          <t>Maifanshi Aqua Foundation</t>
        </is>
      </c>
      <c r="E3125" s="2">
        <f>HYPERLINK("https://www.amazon.com/Koh-Gen-Do-Foundation-Dark-Light/dp/B07CQ6CM3J/ref=sr_1_1?keywords=SAMPLE+Maifanshi+Aqua+Foundation&amp;qid=1695565439&amp;sr=8-1", "https://www.amazon.com/Koh-Gen-Do-Foundation-Dark-Light/dp/B07CQ6CM3J/ref=sr_1_1?keywords=SAMPLE+Maifanshi+Aqua+Foundation&amp;qid=1695565439&amp;sr=8-1")</f>
        <v/>
      </c>
      <c r="F3125" t="inlineStr">
        <is>
          <t>B07CQ6CM3J</t>
        </is>
      </c>
      <c r="G3125">
        <f>_xlfn.IMAGE("https://camerareadycosmetics.com/cdn/shop/files/bottlesample3_d9a31ec1-c87e-410e-8d90-22d75ff5a70d_50x.jpg?v=1687198559")</f>
        <v/>
      </c>
      <c r="H3125">
        <f>_xlfn.IMAGE("https://m.media-amazon.com/images/I/51yCudCPznL._AC_UL320_.jpg")</f>
        <v/>
      </c>
      <c r="K3125" t="inlineStr">
        <is>
          <t>6.99</t>
        </is>
      </c>
      <c r="L3125" t="n">
        <v>96</v>
      </c>
      <c r="M3125" s="1" t="inlineStr">
        <is>
          <t>1,273.39%</t>
        </is>
      </c>
      <c r="N3125" t="n">
        <v>4.1</v>
      </c>
      <c r="O3125" t="n">
        <v>84</v>
      </c>
      <c r="Q3125" t="inlineStr">
        <is>
          <t>InStock</t>
        </is>
      </c>
      <c r="R3125" t="inlineStr">
        <is>
          <t>undefined</t>
        </is>
      </c>
      <c r="S3125" t="inlineStr">
        <is>
          <t>9820001418</t>
        </is>
      </c>
    </row>
    <row r="3126" ht="75" customHeight="1">
      <c r="A3126" s="2">
        <f>HYPERLINK("https://camerareadycosmetics.com/products/sample-koh-gen-do-maifanshi-moisture-foundation", "https://camerareadycosmetics.com/products/sample-koh-gen-do-maifanshi-moisture-foundation")</f>
        <v/>
      </c>
      <c r="B3126" s="2">
        <f>HYPERLINK("https://camerareadycosmetics.com/products/sample-koh-gen-do-maifanshi-moisture-foundation", "https://camerareadycosmetics.com/products/sample-koh-gen-do-maifanshi-moisture-foundation")</f>
        <v/>
      </c>
      <c r="C3126" t="inlineStr">
        <is>
          <t>SAMPLE Maifanshi Moisture Foundation</t>
        </is>
      </c>
      <c r="D3126" t="inlineStr">
        <is>
          <t>Koh Gen Do Maifanshi Moisture Foundation Cool 003, 1 oz.</t>
        </is>
      </c>
      <c r="E3126" s="2">
        <f>HYPERLINK("https://www.amazon.com/Koh-Gen-Do-Maifanshi-Foundation/dp/B08L22QJN9/ref=sr_1_8?keywords=SAMPLE+Maifanshi+Moisture+Foundation&amp;qid=1695565463&amp;sr=8-8", "https://www.amazon.com/Koh-Gen-Do-Maifanshi-Foundation/dp/B08L22QJN9/ref=sr_1_8?keywords=SAMPLE+Maifanshi+Moisture+Foundation&amp;qid=1695565463&amp;sr=8-8")</f>
        <v/>
      </c>
      <c r="F3126" t="inlineStr">
        <is>
          <t>B08L22QJN9</t>
        </is>
      </c>
      <c r="G3126">
        <f>_xlfn.IMAGE("https://camerareadycosmetics.com/cdn/shop/files/MFSwatch_Arm_37a71f78-d7d7-4070-976b-6c097f821a0f_50x.jpg?v=1687198588")</f>
        <v/>
      </c>
      <c r="H3126">
        <f>_xlfn.IMAGE("https://m.media-amazon.com/images/I/61V3O7EGREL._AC_UL320_.jpg")</f>
        <v/>
      </c>
      <c r="K3126" t="inlineStr">
        <is>
          <t>7.99</t>
        </is>
      </c>
      <c r="L3126" t="n">
        <v>99</v>
      </c>
      <c r="M3126" s="1" t="inlineStr">
        <is>
          <t>1,139.05%</t>
        </is>
      </c>
      <c r="N3126" t="n">
        <v>5</v>
      </c>
      <c r="O3126" t="n">
        <v>1</v>
      </c>
      <c r="Q3126" t="inlineStr">
        <is>
          <t>InStock</t>
        </is>
      </c>
      <c r="R3126" t="inlineStr">
        <is>
          <t>undefined</t>
        </is>
      </c>
      <c r="S3126" t="inlineStr">
        <is>
          <t>9820015754</t>
        </is>
      </c>
    </row>
    <row r="3127" ht="75" customHeight="1">
      <c r="A3127" s="2">
        <f>HYPERLINK("https://camerareadycosmetics.com/products/sample-koh-gen-do-maifanshi-moisture-foundation", "https://camerareadycosmetics.com/products/sample-koh-gen-do-maifanshi-moisture-foundation")</f>
        <v/>
      </c>
      <c r="B3127" s="2">
        <f>HYPERLINK("https://camerareadycosmetics.com/products/sample-koh-gen-do-maifanshi-moisture-foundation", "https://camerareadycosmetics.com/products/sample-koh-gen-do-maifanshi-moisture-foundation")</f>
        <v/>
      </c>
      <c r="C3127" t="inlineStr">
        <is>
          <t>SAMPLE Maifanshi Moisture Foundation</t>
        </is>
      </c>
      <c r="D3127" t="inlineStr">
        <is>
          <t>Koh Gen Do Maifanshi Moisture Foundation Cool 013, 1 oz.</t>
        </is>
      </c>
      <c r="E3127" s="2">
        <f>HYPERLINK("https://www.amazon.com/Koh-Gen-Do-Maifanshi-Foundation/dp/B08L22TLTF/ref=sr_1_10?keywords=SAMPLE+Maifanshi+Moisture+Foundation&amp;qid=1695565463&amp;sr=8-10", "https://www.amazon.com/Koh-Gen-Do-Maifanshi-Foundation/dp/B08L22TLTF/ref=sr_1_10?keywords=SAMPLE+Maifanshi+Moisture+Foundation&amp;qid=1695565463&amp;sr=8-10")</f>
        <v/>
      </c>
      <c r="F3127" t="inlineStr">
        <is>
          <t>B08L22TLTF</t>
        </is>
      </c>
      <c r="G3127">
        <f>_xlfn.IMAGE("https://camerareadycosmetics.com/cdn/shop/files/MFSwatch_Arm_37a71f78-d7d7-4070-976b-6c097f821a0f_50x.jpg?v=1687198588")</f>
        <v/>
      </c>
      <c r="H3127">
        <f>_xlfn.IMAGE("https://m.media-amazon.com/images/I/61V3O7EGREL._AC_UL320_.jpg")</f>
        <v/>
      </c>
      <c r="K3127" t="inlineStr">
        <is>
          <t>7.99</t>
        </is>
      </c>
      <c r="L3127" t="n">
        <v>99</v>
      </c>
      <c r="M3127" s="1" t="inlineStr">
        <is>
          <t>1,139.05%</t>
        </is>
      </c>
      <c r="N3127" t="n">
        <v>4.4</v>
      </c>
      <c r="O3127" t="n">
        <v>4</v>
      </c>
      <c r="Q3127" t="inlineStr">
        <is>
          <t>InStock</t>
        </is>
      </c>
      <c r="R3127" t="inlineStr">
        <is>
          <t>undefined</t>
        </is>
      </c>
      <c r="S3127" t="inlineStr">
        <is>
          <t>9820015754</t>
        </is>
      </c>
    </row>
    <row r="3128" ht="75" customHeight="1">
      <c r="A3128" s="2">
        <f>HYPERLINK("https://camerareadycosmetics.com/products/sample-koh-gen-do-maifanshi-moisture-foundation", "https://camerareadycosmetics.com/products/sample-koh-gen-do-maifanshi-moisture-foundation")</f>
        <v/>
      </c>
      <c r="B3128" s="2">
        <f>HYPERLINK("https://camerareadycosmetics.com/products/sample-koh-gen-do-maifanshi-moisture-foundation", "https://camerareadycosmetics.com/products/sample-koh-gen-do-maifanshi-moisture-foundation")</f>
        <v/>
      </c>
      <c r="C3128" t="inlineStr">
        <is>
          <t>SAMPLE Maifanshi Moisture Foundation</t>
        </is>
      </c>
      <c r="D3128" t="inlineStr">
        <is>
          <t>Koh Gen Do Maifanshi Moisture Foundation Warm 123, 1 oz.</t>
        </is>
      </c>
      <c r="E3128" s="2">
        <f>HYPERLINK("https://www.amazon.com/Koh-Gen-Do-Maifanshi-Foundation/dp/B08L229Y7C/ref=sr_1_9?keywords=SAMPLE+Maifanshi+Moisture+Foundation&amp;qid=1695565463&amp;sr=8-9", "https://www.amazon.com/Koh-Gen-Do-Maifanshi-Foundation/dp/B08L229Y7C/ref=sr_1_9?keywords=SAMPLE+Maifanshi+Moisture+Foundation&amp;qid=1695565463&amp;sr=8-9")</f>
        <v/>
      </c>
      <c r="F3128" t="inlineStr">
        <is>
          <t>B08L229Y7C</t>
        </is>
      </c>
      <c r="G3128">
        <f>_xlfn.IMAGE("https://camerareadycosmetics.com/cdn/shop/files/MFSwatch_Arm_37a71f78-d7d7-4070-976b-6c097f821a0f_50x.jpg?v=1687198588")</f>
        <v/>
      </c>
      <c r="H3128">
        <f>_xlfn.IMAGE("https://m.media-amazon.com/images/I/61V3O7EGREL._AC_UL320_.jpg")</f>
        <v/>
      </c>
      <c r="K3128" t="inlineStr">
        <is>
          <t>7.99</t>
        </is>
      </c>
      <c r="L3128" t="n">
        <v>99</v>
      </c>
      <c r="M3128" s="1" t="inlineStr">
        <is>
          <t>1,139.05%</t>
        </is>
      </c>
      <c r="N3128" t="n">
        <v>5</v>
      </c>
      <c r="O3128" t="n">
        <v>3</v>
      </c>
      <c r="Q3128" t="inlineStr">
        <is>
          <t>InStock</t>
        </is>
      </c>
      <c r="R3128" t="inlineStr">
        <is>
          <t>undefined</t>
        </is>
      </c>
      <c r="S3128" t="inlineStr">
        <is>
          <t>9820015754</t>
        </is>
      </c>
    </row>
    <row r="3129" ht="75" customHeight="1">
      <c r="A3129" s="2">
        <f>HYPERLINK("https://camerareadycosmetics.com/products/sample-koh-gen-do-maifanshi-moisture-foundation", "https://camerareadycosmetics.com/products/sample-koh-gen-do-maifanshi-moisture-foundation")</f>
        <v/>
      </c>
      <c r="B3129" s="2">
        <f>HYPERLINK("https://camerareadycosmetics.com/products/sample-koh-gen-do-maifanshi-moisture-foundation", "https://camerareadycosmetics.com/products/sample-koh-gen-do-maifanshi-moisture-foundation")</f>
        <v/>
      </c>
      <c r="C3129" t="inlineStr">
        <is>
          <t>SAMPLE Maifanshi Moisture Foundation</t>
        </is>
      </c>
      <c r="D3129" t="inlineStr">
        <is>
          <t>Koh Gen Do Maifanshi Moisture Foundation Warm 143, 1 oz.</t>
        </is>
      </c>
      <c r="E3129" s="2">
        <f>HYPERLINK("https://www.amazon.com/Koh-Gen-Do-Maifanshi-Foundation/dp/B08L22GFJ2/ref=sr_1_5?keywords=SAMPLE+Maifanshi+Moisture+Foundation&amp;qid=1695565463&amp;sr=8-5", "https://www.amazon.com/Koh-Gen-Do-Maifanshi-Foundation/dp/B08L22GFJ2/ref=sr_1_5?keywords=SAMPLE+Maifanshi+Moisture+Foundation&amp;qid=1695565463&amp;sr=8-5")</f>
        <v/>
      </c>
      <c r="F3129" t="inlineStr">
        <is>
          <t>B08L22GFJ2</t>
        </is>
      </c>
      <c r="G3129">
        <f>_xlfn.IMAGE("https://camerareadycosmetics.com/cdn/shop/files/MFSwatch_Arm_37a71f78-d7d7-4070-976b-6c097f821a0f_50x.jpg?v=1687198588")</f>
        <v/>
      </c>
      <c r="H3129">
        <f>_xlfn.IMAGE("https://m.media-amazon.com/images/I/61V3O7EGREL._AC_UL320_.jpg")</f>
        <v/>
      </c>
      <c r="K3129" t="inlineStr">
        <is>
          <t>7.99</t>
        </is>
      </c>
      <c r="L3129" t="n">
        <v>99</v>
      </c>
      <c r="M3129" s="1" t="inlineStr">
        <is>
          <t>1,139.05%</t>
        </is>
      </c>
      <c r="N3129" t="n">
        <v>5</v>
      </c>
      <c r="O3129" t="n">
        <v>1</v>
      </c>
      <c r="Q3129" t="inlineStr">
        <is>
          <t>InStock</t>
        </is>
      </c>
      <c r="R3129" t="inlineStr">
        <is>
          <t>undefined</t>
        </is>
      </c>
      <c r="S3129" t="inlineStr">
        <is>
          <t>9820015754</t>
        </is>
      </c>
    </row>
    <row r="3130" ht="75" customHeight="1">
      <c r="A3130" s="2">
        <f>HYPERLINK("https://camerareadycosmetics.com/products/sample-koh-gen-do-maifanshi-moisture-foundation", "https://camerareadycosmetics.com/products/sample-koh-gen-do-maifanshi-moisture-foundation")</f>
        <v/>
      </c>
      <c r="B3130" s="2">
        <f>HYPERLINK("https://camerareadycosmetics.com/products/sample-koh-gen-do-maifanshi-moisture-foundation", "https://camerareadycosmetics.com/products/sample-koh-gen-do-maifanshi-moisture-foundation")</f>
        <v/>
      </c>
      <c r="C3130" t="inlineStr">
        <is>
          <t>SAMPLE Maifanshi Moisture Foundation</t>
        </is>
      </c>
      <c r="D3130" t="inlineStr">
        <is>
          <t>Koh Gen Do Maifanshi Moisture Foundation Nuetral Warm 213, 1 oz.</t>
        </is>
      </c>
      <c r="E3130" s="2">
        <f>HYPERLINK("https://www.amazon.com/Koh-Gen-Do-Maifanshi-Foundation/dp/B08L225GYL/ref=sr_1_2?keywords=SAMPLE+Maifanshi+Moisture+Foundation&amp;qid=1695565463&amp;sr=8-2", "https://www.amazon.com/Koh-Gen-Do-Maifanshi-Foundation/dp/B08L225GYL/ref=sr_1_2?keywords=SAMPLE+Maifanshi+Moisture+Foundation&amp;qid=1695565463&amp;sr=8-2")</f>
        <v/>
      </c>
      <c r="F3130" t="inlineStr">
        <is>
          <t>B08L225GYL</t>
        </is>
      </c>
      <c r="G3130">
        <f>_xlfn.IMAGE("https://camerareadycosmetics.com/cdn/shop/files/MFSwatch_Arm_37a71f78-d7d7-4070-976b-6c097f821a0f_50x.jpg?v=1687198588")</f>
        <v/>
      </c>
      <c r="H3130">
        <f>_xlfn.IMAGE("https://m.media-amazon.com/images/I/61V3O7EGREL._AC_UL320_.jpg")</f>
        <v/>
      </c>
      <c r="K3130" t="inlineStr">
        <is>
          <t>7.99</t>
        </is>
      </c>
      <c r="L3130" t="n">
        <v>99</v>
      </c>
      <c r="M3130" s="1" t="inlineStr">
        <is>
          <t>1,139.05%</t>
        </is>
      </c>
      <c r="N3130" t="n">
        <v>4</v>
      </c>
      <c r="O3130" t="n">
        <v>1</v>
      </c>
      <c r="Q3130" t="inlineStr">
        <is>
          <t>InStock</t>
        </is>
      </c>
      <c r="R3130" t="inlineStr">
        <is>
          <t>undefined</t>
        </is>
      </c>
      <c r="S3130" t="inlineStr">
        <is>
          <t>9820015754</t>
        </is>
      </c>
    </row>
    <row r="3131" ht="75" customHeight="1">
      <c r="A3131" s="2">
        <f>HYPERLINK("https://camerareadycosmetics.com/products/sample-koh-gen-do-maifanshi-natural-lighting-powder", "https://camerareadycosmetics.com/products/sample-koh-gen-do-maifanshi-natural-lighting-powder")</f>
        <v/>
      </c>
      <c r="B3131" s="2">
        <f>HYPERLINK("https://camerareadycosmetics.com/products/sample-koh-gen-do-maifanshi-natural-lighting-powder", "https://camerareadycosmetics.com/products/sample-koh-gen-do-maifanshi-natural-lighting-powder")</f>
        <v/>
      </c>
      <c r="C3131" t="inlineStr">
        <is>
          <t>SAMPLE Maifanshi Natural Lighting Powder</t>
        </is>
      </c>
      <c r="D3131" t="inlineStr">
        <is>
          <t>Koh Gen Do MAIFANSHI NATURAL LIGHTING POWDER</t>
        </is>
      </c>
      <c r="E3131" s="2">
        <f>HYPERLINK("https://www.amazon.com/Koh-Gen-Do-Lighting-Unscented/dp/B005K82FOG/ref=sr_1_1?keywords=sample+maifanshi+natural+lightening+powder&amp;qid=1695565635&amp;sr=8-1", "https://www.amazon.com/Koh-Gen-Do-Lighting-Unscented/dp/B005K82FOG/ref=sr_1_1?keywords=sample+maifanshi+natural+lightening+powder&amp;qid=1695565635&amp;sr=8-1")</f>
        <v/>
      </c>
      <c r="F3131" t="inlineStr">
        <is>
          <t>B005K82FOG</t>
        </is>
      </c>
      <c r="G3131">
        <f>_xlfn.IMAGE("https://camerareadycosmetics.com/cdn/shop/products/cocotan_grande_98ec598e-749f-4ba9-8ff2-c3b9837505c7_50x.jpg?v=1506757043")</f>
        <v/>
      </c>
      <c r="H3131">
        <f>_xlfn.IMAGE("https://m.media-amazon.com/images/I/91wWCkcEHrL._AC_UL320_.jpg")</f>
        <v/>
      </c>
      <c r="K3131" t="inlineStr">
        <is>
          <t>5.99</t>
        </is>
      </c>
      <c r="L3131" t="n">
        <v>73</v>
      </c>
      <c r="M3131" s="1" t="inlineStr">
        <is>
          <t>1,118.70%</t>
        </is>
      </c>
      <c r="N3131" t="n">
        <v>4.2</v>
      </c>
      <c r="O3131" t="n">
        <v>97</v>
      </c>
      <c r="Q3131" t="inlineStr">
        <is>
          <t>InStock</t>
        </is>
      </c>
      <c r="R3131" t="inlineStr">
        <is>
          <t>undefined</t>
        </is>
      </c>
      <c r="S3131" t="inlineStr">
        <is>
          <t>11165637002</t>
        </is>
      </c>
    </row>
    <row r="3132" ht="75" customHeight="1">
      <c r="A3132" s="2">
        <f>HYPERLINK("https://camerareadycosmetics.com/products/sample-l-a-girl-hd-pro-setting-powder", "https://camerareadycosmetics.com/products/sample-l-a-girl-hd-pro-setting-powder")</f>
        <v/>
      </c>
      <c r="B3132" s="2">
        <f>HYPERLINK("https://camerareadycosmetics.com/products/sample-l-a-girl-hd-pro-setting-powder", "https://camerareadycosmetics.com/products/sample-l-a-girl-hd-pro-setting-powder")</f>
        <v/>
      </c>
      <c r="C3132" t="inlineStr">
        <is>
          <t>SAMPLE HD PRO Setting Powder</t>
        </is>
      </c>
      <c r="D3132" t="inlineStr">
        <is>
          <t>NYX PROFESSIONAL MAKEUP HD Studio Finishing Powder, Loose Setting Powder - Translucent Finish</t>
        </is>
      </c>
      <c r="E3132" s="2">
        <f>HYPERLINK("https://www.amazon.com/NYX-Professional-Makeup-Finishing-Translucent/dp/B009GLQG6Q/ref=sr_1_4?keywords=SAMPLE+HD+PRO+Setting+Powder&amp;qid=1695565712&amp;sr=8-4", "https://www.amazon.com/NYX-Professional-Makeup-Finishing-Translucent/dp/B009GLQG6Q/ref=sr_1_4?keywords=SAMPLE+HD+PRO+Setting+Powder&amp;qid=1695565712&amp;sr=8-4")</f>
        <v/>
      </c>
      <c r="F3132" t="inlineStr">
        <is>
          <t>B009GLQG6Q</t>
        </is>
      </c>
      <c r="G3132">
        <f>_xlfn.IMAGE("https://camerareadycosmetics.com/cdn/shop/products/colorless_b6795d77-d250-4f4b-bad4-6b329519b01c_50x.jpg?v=1506757013")</f>
        <v/>
      </c>
      <c r="H3132">
        <f>_xlfn.IMAGE("https://m.media-amazon.com/images/I/5196xGH0ZvL._AC_UL320_.jpg")</f>
        <v/>
      </c>
      <c r="K3132" t="inlineStr">
        <is>
          <t>2.99</t>
        </is>
      </c>
      <c r="L3132" t="n">
        <v>9.16</v>
      </c>
      <c r="M3132" s="1" t="inlineStr">
        <is>
          <t>206.35%</t>
        </is>
      </c>
      <c r="N3132" t="n">
        <v>4.3</v>
      </c>
      <c r="O3132" t="n">
        <v>14881</v>
      </c>
      <c r="Q3132" t="inlineStr">
        <is>
          <t>InStock</t>
        </is>
      </c>
      <c r="R3132" t="inlineStr">
        <is>
          <t>undefined</t>
        </is>
      </c>
      <c r="S3132" t="inlineStr">
        <is>
          <t>11158775626</t>
        </is>
      </c>
    </row>
    <row r="3133" ht="75" customHeight="1">
      <c r="A3133" s="2">
        <f>HYPERLINK("https://camerareadycosmetics.com/products/sample-l-a-girl-hd-pro-setting-powder", "https://camerareadycosmetics.com/products/sample-l-a-girl-hd-pro-setting-powder")</f>
        <v/>
      </c>
      <c r="B3133" s="2">
        <f>HYPERLINK("https://camerareadycosmetics.com/products/sample-l-a-girl-hd-pro-setting-powder", "https://camerareadycosmetics.com/products/sample-l-a-girl-hd-pro-setting-powder")</f>
        <v/>
      </c>
      <c r="C3133" t="inlineStr">
        <is>
          <t>SAMPLE HD PRO Setting Powder</t>
        </is>
      </c>
      <c r="D3133" t="inlineStr">
        <is>
          <t>L.A. GIRL HD PRO Setting Powder - Banana Yellow</t>
        </is>
      </c>
      <c r="E3133" s="2">
        <f>HYPERLINK("https://www.amazon.com/L-GIRL-Setting-Powder/dp/B01M1H52S1/ref=sr_1_3?keywords=SAMPLE+HD+PRO+Setting+Powder&amp;qid=1695565712&amp;sr=8-3", "https://www.amazon.com/L-GIRL-Setting-Powder/dp/B01M1H52S1/ref=sr_1_3?keywords=SAMPLE+HD+PRO+Setting+Powder&amp;qid=1695565712&amp;sr=8-3")</f>
        <v/>
      </c>
      <c r="F3133" t="inlineStr">
        <is>
          <t>B01M1H52S1</t>
        </is>
      </c>
      <c r="G3133">
        <f>_xlfn.IMAGE("https://camerareadycosmetics.com/cdn/shop/products/colorless_b6795d77-d250-4f4b-bad4-6b329519b01c_50x.jpg?v=1506757013")</f>
        <v/>
      </c>
      <c r="H3133">
        <f>_xlfn.IMAGE("https://m.media-amazon.com/images/I/71bW4OFWADL._AC_UL320_.jpg")</f>
        <v/>
      </c>
      <c r="K3133" t="inlineStr">
        <is>
          <t>2.99</t>
        </is>
      </c>
      <c r="L3133" t="n">
        <v>5.99</v>
      </c>
      <c r="M3133" s="1" t="inlineStr">
        <is>
          <t>100.33%</t>
        </is>
      </c>
      <c r="N3133" t="n">
        <v>4.1</v>
      </c>
      <c r="O3133" t="n">
        <v>1064</v>
      </c>
      <c r="Q3133" t="inlineStr">
        <is>
          <t>InStock</t>
        </is>
      </c>
      <c r="R3133" t="inlineStr">
        <is>
          <t>undefined</t>
        </is>
      </c>
      <c r="S3133" t="inlineStr">
        <is>
          <t>11158775626</t>
        </is>
      </c>
    </row>
    <row r="3134" ht="75" customHeight="1">
      <c r="A3134" s="2">
        <f>HYPERLINK("https://camerareadycosmetics.com/products/sample-mustaev-silky-cotton-loose-powder", "https://camerareadycosmetics.com/products/sample-mustaev-silky-cotton-loose-powder")</f>
        <v/>
      </c>
      <c r="B3134" s="2">
        <f>HYPERLINK("https://camerareadycosmetics.com/products/sample-mustaev-silky-cotton-loose-powder", "https://camerareadycosmetics.com/products/sample-mustaev-silky-cotton-loose-powder")</f>
        <v/>
      </c>
      <c r="C3134" t="inlineStr">
        <is>
          <t>SAMPLE - Silky Cotton Loose Powder</t>
        </is>
      </c>
      <c r="D3134" t="inlineStr">
        <is>
          <t>MustaeV - Silky Cotton Loose Powder - Translucent</t>
        </is>
      </c>
      <c r="E3134" s="2">
        <f>HYPERLINK("https://www.amazon.com/MustaeV-Silky-Cotton-Powder-Translucent/dp/B0149DTAMW/ref=sr_1_1?keywords=SAMPLE+-+Silky+Cotton+Loose+Powder&amp;qid=1695565769&amp;sr=8-1", "https://www.amazon.com/MustaeV-Silky-Cotton-Powder-Translucent/dp/B0149DTAMW/ref=sr_1_1?keywords=SAMPLE+-+Silky+Cotton+Loose+Powder&amp;qid=1695565769&amp;sr=8-1")</f>
        <v/>
      </c>
      <c r="F3134" t="inlineStr">
        <is>
          <t>B0149DTAMW</t>
        </is>
      </c>
      <c r="G3134">
        <f>_xlfn.IMAGE("https://camerareadycosmetics.com/cdn/shop/products/q6_9cd18236-9fbd-4ce6-92e7-52e3ec24a753_50x.jpg?v=1506757018")</f>
        <v/>
      </c>
      <c r="H3134">
        <f>_xlfn.IMAGE("https://m.media-amazon.com/images/I/611WUIwqZ+L._AC_UL320_.jpg")</f>
        <v/>
      </c>
      <c r="K3134" t="inlineStr">
        <is>
          <t>3.99</t>
        </is>
      </c>
      <c r="L3134" t="n">
        <v>25</v>
      </c>
      <c r="M3134" s="1" t="inlineStr">
        <is>
          <t>526.57%</t>
        </is>
      </c>
      <c r="N3134" t="n">
        <v>5</v>
      </c>
      <c r="O3134" t="n">
        <v>1</v>
      </c>
      <c r="Q3134" t="inlineStr">
        <is>
          <t>OutOfStock</t>
        </is>
      </c>
      <c r="R3134" t="inlineStr">
        <is>
          <t>3.99</t>
        </is>
      </c>
      <c r="S3134" t="inlineStr">
        <is>
          <t>11159216202</t>
        </is>
      </c>
    </row>
    <row r="3135" ht="75" customHeight="1">
      <c r="A3135" s="2">
        <f>HYPERLINK("https://camerareadycosmetics.com/products/sample-nyx-studio-finishing-powder", "https://camerareadycosmetics.com/products/sample-nyx-studio-finishing-powder")</f>
        <v/>
      </c>
      <c r="B3135" s="2">
        <f>HYPERLINK("https://camerareadycosmetics.com/products/sample-nyx-studio-finishing-powder", "https://camerareadycosmetics.com/products/sample-nyx-studio-finishing-powder")</f>
        <v/>
      </c>
      <c r="C3135" t="inlineStr">
        <is>
          <t>SAMPLE - Studio Finishing Powder</t>
        </is>
      </c>
      <c r="D3135" t="inlineStr">
        <is>
          <t>NYX PROFESSIONAL MAKEUP HD Studio Finishing Powder, Loose Setting Powder - Translucent Finish</t>
        </is>
      </c>
      <c r="E3135" s="2">
        <f>HYPERLINK("https://www.amazon.com/NYX-Professional-Makeup-Finishing-Translucent/dp/B009GLQG6Q/ref=sr_1_2?keywords=SAMPLE+-+Studio+Finishing+Powder&amp;qid=1695565694&amp;sr=8-2", "https://www.amazon.com/NYX-Professional-Makeup-Finishing-Translucent/dp/B009GLQG6Q/ref=sr_1_2?keywords=SAMPLE+-+Studio+Finishing+Powder&amp;qid=1695565694&amp;sr=8-2")</f>
        <v/>
      </c>
      <c r="F3135" t="inlineStr">
        <is>
          <t>B009GLQG6Q</t>
        </is>
      </c>
      <c r="G3135">
        <f>_xlfn.IMAGE("https://camerareadycosmetics.com/cdn/shop/products/colorless_3de6db67-7f19-45e9-ab8b-05abe174c852_50x.jpg?v=1506757006")</f>
        <v/>
      </c>
      <c r="H3135">
        <f>_xlfn.IMAGE("https://m.media-amazon.com/images/I/5196xGH0ZvL._AC_UL320_.jpg")</f>
        <v/>
      </c>
      <c r="K3135" t="inlineStr">
        <is>
          <t>2.99</t>
        </is>
      </c>
      <c r="L3135" t="n">
        <v>9.16</v>
      </c>
      <c r="M3135" s="1" t="inlineStr">
        <is>
          <t>206.35%</t>
        </is>
      </c>
      <c r="N3135" t="n">
        <v>4.3</v>
      </c>
      <c r="O3135" t="n">
        <v>14881</v>
      </c>
      <c r="Q3135" t="inlineStr">
        <is>
          <t>OutOfStock</t>
        </is>
      </c>
      <c r="R3135" t="inlineStr">
        <is>
          <t>undefined</t>
        </is>
      </c>
      <c r="S3135" t="inlineStr">
        <is>
          <t>11158398602</t>
        </is>
      </c>
    </row>
    <row r="3136" ht="75" customHeight="1">
      <c r="A3136" s="2">
        <f>HYPERLINK("https://camerareadycosmetics.com/products/sample-of-face-atelier-ultra-foundation", "https://camerareadycosmetics.com/products/sample-of-face-atelier-ultra-foundation")</f>
        <v/>
      </c>
      <c r="B3136" s="2">
        <f>HYPERLINK("https://camerareadycosmetics.com/products/sample-of-face-atelier-ultra-foundation", "https://camerareadycosmetics.com/products/sample-of-face-atelier-ultra-foundation")</f>
        <v/>
      </c>
      <c r="C3136" t="inlineStr">
        <is>
          <t>SAMPLE of Ultra Foundation</t>
        </is>
      </c>
      <c r="D3136" t="inlineStr">
        <is>
          <t>Lancôme Teint Idole Ultra Wear Buildable Full Coverage Foundation - Longwear &amp; Waterproof - Natural Matte Finish - 110C (Fair Skin with Cool/Pinky Undertones), 1 Fl Oz</t>
        </is>
      </c>
      <c r="E3136" s="2">
        <f>HYPERLINK("https://www.amazon.com/Lanc%C3%B4me-Teint-Buildable-Coverage-Foundation/dp/B0BNWCNN8M/ref=sr_1_2?keywords=SAMPLE+of+Ultra+Foundation&amp;qid=1695565411&amp;sr=8-2", "https://www.amazon.com/Lanc%C3%B4me-Teint-Buildable-Coverage-Foundation/dp/B0BNWCNN8M/ref=sr_1_2?keywords=SAMPLE+of+Ultra+Foundation&amp;qid=1695565411&amp;sr=8-2")</f>
        <v/>
      </c>
      <c r="F3136" t="inlineStr">
        <is>
          <t>B0BNWCNN8M</t>
        </is>
      </c>
      <c r="G3136">
        <f>_xlfn.IMAGE("https://camerareadycosmetics.com/cdn/shop/files/bottlesample3_7e01d625-66ed-42ff-8079-506c3d0361a5_50x.jpg?v=1687196551")</f>
        <v/>
      </c>
      <c r="H3136">
        <f>_xlfn.IMAGE("https://m.media-amazon.com/images/I/611LHga25uL._AC_UL320_.jpg")</f>
        <v/>
      </c>
      <c r="K3136" t="inlineStr">
        <is>
          <t>4.99</t>
        </is>
      </c>
      <c r="L3136" t="n">
        <v>48.45</v>
      </c>
      <c r="M3136" s="1" t="inlineStr">
        <is>
          <t>870.94%</t>
        </is>
      </c>
      <c r="N3136" t="n">
        <v>4.6</v>
      </c>
      <c r="O3136" t="n">
        <v>1234</v>
      </c>
      <c r="Q3136" t="inlineStr">
        <is>
          <t>InStock</t>
        </is>
      </c>
      <c r="R3136" t="inlineStr">
        <is>
          <t>undefined</t>
        </is>
      </c>
      <c r="S3136" t="inlineStr">
        <is>
          <t>7034817735</t>
        </is>
      </c>
    </row>
    <row r="3137" ht="75" customHeight="1">
      <c r="A3137" s="2">
        <f>HYPERLINK("https://camerareadycosmetics.com/products/sample-of-graftobian-hi-def-creme-foundation", "https://camerareadycosmetics.com/products/sample-of-graftobian-hi-def-creme-foundation")</f>
        <v/>
      </c>
      <c r="B3137" s="2">
        <f>HYPERLINK("https://camerareadycosmetics.com/products/sample-of-graftobian-hi-def-creme-foundation", "https://camerareadycosmetics.com/products/sample-of-graftobian-hi-def-creme-foundation")</f>
        <v/>
      </c>
      <c r="C3137" t="inlineStr">
        <is>
          <t>SAMPLE of HD Creme Foundation</t>
        </is>
      </c>
      <c r="D3137" t="inlineStr">
        <is>
          <t>Graftobian HD Sampler Pack - Creme and Airbrush Foundation (Cool #1)</t>
        </is>
      </c>
      <c r="E3137" s="2">
        <f>HYPERLINK("https://www.amazon.com/Graftobian-HD-Sampler-Pack-Foundation/dp/B00GXH3JPC/ref=sr_1_1?keywords=SAMPLE+of+HD+Creme+Foundation&amp;qid=1695565426&amp;sr=8-1", "https://www.amazon.com/Graftobian-HD-Sampler-Pack-Foundation/dp/B00GXH3JPC/ref=sr_1_1?keywords=SAMPLE+of+HD+Creme+Foundation&amp;qid=1695565426&amp;sr=8-1")</f>
        <v/>
      </c>
      <c r="F3137" t="inlineStr">
        <is>
          <t>B00GXH3JPC</t>
        </is>
      </c>
      <c r="G3137">
        <f>_xlfn.IMAGE("https://camerareadycosmetics.com/cdn/shop/products/4__70726.1441732951.600.600_50x.jpg?v=1689624370")</f>
        <v/>
      </c>
      <c r="H3137">
        <f>_xlfn.IMAGE("https://m.media-amazon.com/images/I/81TmAZYl4FL._AC_UL320_.jpg")</f>
        <v/>
      </c>
      <c r="K3137" t="inlineStr">
        <is>
          <t>6.99</t>
        </is>
      </c>
      <c r="L3137" t="n">
        <v>54.99</v>
      </c>
      <c r="M3137" s="1" t="inlineStr">
        <is>
          <t>686.70%</t>
        </is>
      </c>
      <c r="N3137" t="n">
        <v>4.6</v>
      </c>
      <c r="O3137" t="n">
        <v>9</v>
      </c>
      <c r="Q3137" t="inlineStr">
        <is>
          <t>InStock</t>
        </is>
      </c>
      <c r="R3137" t="inlineStr">
        <is>
          <t>6.99</t>
        </is>
      </c>
      <c r="S3137" t="inlineStr">
        <is>
          <t>7034248903</t>
        </is>
      </c>
    </row>
    <row r="3138" ht="75" customHeight="1">
      <c r="A3138" s="2">
        <f>HYPERLINK("https://camerareadycosmetics.com/products/sample-of-rcma-liquid-concealer", "https://camerareadycosmetics.com/products/sample-of-rcma-liquid-concealer")</f>
        <v/>
      </c>
      <c r="B3138" s="2">
        <f>HYPERLINK("https://camerareadycosmetics.com/products/rcma-liquid-concealer", "https://camerareadycosmetics.com/products/rcma-liquid-concealer")</f>
        <v/>
      </c>
      <c r="C3138" t="inlineStr">
        <is>
          <t>SAMPLE of Liquid Concealer</t>
        </is>
      </c>
      <c r="D3138" t="inlineStr">
        <is>
          <t>bareMinerals Original Liquid Mineral Concealer, Brightening Dark Circle Eye Concealer, Reduces Look of Fine Lines, Buildable Coverage, Vegan</t>
        </is>
      </c>
      <c r="E3138" s="2">
        <f>HYPERLINK("https://www.amazon.com/bareMinerals-Original-Liquid-Mineral-Concealer/dp/B08VD8KV8J/ref=sr_1_8?keywords=SAMPLE+of+Liquid+Concealer&amp;qid=1695565462&amp;sr=8-8", "https://www.amazon.com/bareMinerals-Original-Liquid-Mineral-Concealer/dp/B08VD8KV8J/ref=sr_1_8?keywords=SAMPLE+of+Liquid+Concealer&amp;qid=1695565462&amp;sr=8-8")</f>
        <v/>
      </c>
      <c r="F3138" t="inlineStr">
        <is>
          <t>B08VD8KV8J</t>
        </is>
      </c>
      <c r="G3138">
        <f>_xlfn.IMAGE("https://camerareadycosmetics.com/cdn/shop/products/sample-jar_98882729-dcdc-4562-92c6-cda27e2c5164_50x.jpg?v=1625706205")</f>
        <v/>
      </c>
      <c r="H3138">
        <f>_xlfn.IMAGE("https://m.media-amazon.com/images/I/51ECLzvBFoL._AC_UL320_.jpg")</f>
        <v/>
      </c>
      <c r="K3138" t="inlineStr">
        <is>
          <t>3.99</t>
        </is>
      </c>
      <c r="L3138" t="n">
        <v>28</v>
      </c>
      <c r="M3138" s="1" t="inlineStr">
        <is>
          <t>601.75%</t>
        </is>
      </c>
      <c r="N3138" t="n">
        <v>4.3</v>
      </c>
      <c r="O3138" t="n">
        <v>508</v>
      </c>
      <c r="Q3138" t="inlineStr">
        <is>
          <t>InStock</t>
        </is>
      </c>
      <c r="R3138" t="inlineStr">
        <is>
          <t>undefined</t>
        </is>
      </c>
      <c r="S3138" t="inlineStr">
        <is>
          <t>6801990615225</t>
        </is>
      </c>
    </row>
    <row r="3139" ht="75" customHeight="1">
      <c r="A3139" s="2">
        <f>HYPERLINK("https://camerareadycosmetics.com/products/sample-of-rcma-liquid-concealer", "https://camerareadycosmetics.com/products/sample-of-rcma-liquid-concealer")</f>
        <v/>
      </c>
      <c r="B3139" s="2">
        <f>HYPERLINK("https://camerareadycosmetics.com/products/rcma-liquid-concealer", "https://camerareadycosmetics.com/products/rcma-liquid-concealer")</f>
        <v/>
      </c>
      <c r="C3139" t="inlineStr">
        <is>
          <t>SAMPLE of Liquid Concealer</t>
        </is>
      </c>
      <c r="D3139" t="inlineStr">
        <is>
          <t>Benefit Cosmetics Boi-ing Cakeless Full Coverage Waterproof Liquid Concealer Shade 4 Can't Stop</t>
        </is>
      </c>
      <c r="E3139" s="2">
        <f>HYPERLINK("https://www.amazon.com/Benefit-Boi-ing-Cakeless-Concealer-No/dp/B07XXBH8ZF/ref=sr_1_10?keywords=SAMPLE+of+Liquid+Concealer&amp;qid=1695565462&amp;sr=8-10", "https://www.amazon.com/Benefit-Boi-ing-Cakeless-Concealer-No/dp/B07XXBH8ZF/ref=sr_1_10?keywords=SAMPLE+of+Liquid+Concealer&amp;qid=1695565462&amp;sr=8-10")</f>
        <v/>
      </c>
      <c r="F3139" t="inlineStr">
        <is>
          <t>B07XXBH8ZF</t>
        </is>
      </c>
      <c r="G3139">
        <f>_xlfn.IMAGE("https://camerareadycosmetics.com/cdn/shop/products/sample-jar_98882729-dcdc-4562-92c6-cda27e2c5164_50x.jpg?v=1625706205")</f>
        <v/>
      </c>
      <c r="H3139">
        <f>_xlfn.IMAGE("https://m.media-amazon.com/images/I/41NApGpw90L._AC_UL320_.jpg")</f>
        <v/>
      </c>
      <c r="K3139" t="inlineStr">
        <is>
          <t>3.99</t>
        </is>
      </c>
      <c r="L3139" t="n">
        <v>24.99</v>
      </c>
      <c r="M3139" s="1" t="inlineStr">
        <is>
          <t>526.32%</t>
        </is>
      </c>
      <c r="N3139" t="n">
        <v>4.4</v>
      </c>
      <c r="O3139" t="n">
        <v>633</v>
      </c>
      <c r="Q3139" t="inlineStr">
        <is>
          <t>InStock</t>
        </is>
      </c>
      <c r="R3139" t="inlineStr">
        <is>
          <t>undefined</t>
        </is>
      </c>
      <c r="S3139" t="inlineStr">
        <is>
          <t>6801990615225</t>
        </is>
      </c>
    </row>
    <row r="3140" ht="75" customHeight="1">
      <c r="A3140" s="2">
        <f>HYPERLINK("https://camerareadycosmetics.com/products/sample-of-rcma-liquid-foundation", "https://camerareadycosmetics.com/products/sample-of-rcma-liquid-foundation")</f>
        <v/>
      </c>
      <c r="B3140" s="2">
        <f>HYPERLINK("https://camerareadycosmetics.com/products/rcma-liquid-foundation", "https://camerareadycosmetics.com/products/rcma-liquid-foundation")</f>
        <v/>
      </c>
      <c r="C3140" t="inlineStr">
        <is>
          <t>SAMPLE of Liquid Foundation</t>
        </is>
      </c>
      <c r="D3140" t="inlineStr">
        <is>
          <t>BaeBlu Organic LUX Liquid Foundation SAMPLES, Sugar, Vanilla, Cream</t>
        </is>
      </c>
      <c r="E3140" s="2">
        <f>HYPERLINK("https://www.amazon.com/BaeBlu-Organic-Foundation-SAMPLES-Vanilla/dp/B0C75XLRB7/ref=sr_1_1?keywords=SAMPLE+of+Liquid+Foundation&amp;qid=1695565440&amp;sr=8-1", "https://www.amazon.com/BaeBlu-Organic-Foundation-SAMPLES-Vanilla/dp/B0C75XLRB7/ref=sr_1_1?keywords=SAMPLE+of+Liquid+Foundation&amp;qid=1695565440&amp;sr=8-1")</f>
        <v/>
      </c>
      <c r="F3140" t="inlineStr">
        <is>
          <t>B0C75XLRB7</t>
        </is>
      </c>
      <c r="G3140">
        <f>_xlfn.IMAGE("https://camerareadycosmetics.com/cdn/shop/products/sample-jar-2_50x.jpg?v=1625706205")</f>
        <v/>
      </c>
      <c r="H3140">
        <f>_xlfn.IMAGE("https://m.media-amazon.com/images/I/41Pog0e2usL._AC_UL320_.jpg")</f>
        <v/>
      </c>
      <c r="K3140" t="inlineStr">
        <is>
          <t>4.99</t>
        </is>
      </c>
      <c r="L3140" t="n">
        <v>6</v>
      </c>
      <c r="M3140" s="1" t="inlineStr">
        <is>
          <t>20.24%</t>
        </is>
      </c>
      <c r="N3140" t="n">
        <v>3.8</v>
      </c>
      <c r="O3140" t="n">
        <v>166</v>
      </c>
      <c r="Q3140" t="inlineStr">
        <is>
          <t>InStock</t>
        </is>
      </c>
      <c r="R3140" t="inlineStr">
        <is>
          <t>undefined</t>
        </is>
      </c>
      <c r="S3140" t="inlineStr">
        <is>
          <t>6801997562041</t>
        </is>
      </c>
    </row>
    <row r="3141" ht="75" customHeight="1">
      <c r="A3141" s="2">
        <f>HYPERLINK("https://camerareadycosmetics.com/products/sample-of-rcma-liquid-foundation", "https://camerareadycosmetics.com/products/sample-of-rcma-liquid-foundation")</f>
        <v/>
      </c>
      <c r="B3141" s="2">
        <f>HYPERLINK("https://camerareadycosmetics.com/products/rcma-liquid-foundation", "https://camerareadycosmetics.com/products/rcma-liquid-foundation")</f>
        <v/>
      </c>
      <c r="C3141" t="inlineStr">
        <is>
          <t>SAMPLE of Liquid Foundation</t>
        </is>
      </c>
      <c r="D3141" t="inlineStr">
        <is>
          <t>Wet n Wild Photo Focus Matte Liquid Foundation Soft Beige, Vegan &amp; Cruelty-Free</t>
        </is>
      </c>
      <c r="E3141" s="2">
        <f>HYPERLINK("https://www.amazon.com/Photo-Focus-Foundation-Beige-Packaging/dp/B01MY7M3R8/ref=sr_1_2?keywords=SAMPLE+of+Liquid+Foundation&amp;qid=1695565440&amp;rdc=1&amp;sr=8-2", "https://www.amazon.com/Photo-Focus-Foundation-Beige-Packaging/dp/B01MY7M3R8/ref=sr_1_2?keywords=SAMPLE+of+Liquid+Foundation&amp;qid=1695565440&amp;rdc=1&amp;sr=8-2")</f>
        <v/>
      </c>
      <c r="F3141" t="inlineStr">
        <is>
          <t>B01MY7M3R8</t>
        </is>
      </c>
      <c r="G3141">
        <f>_xlfn.IMAGE("https://camerareadycosmetics.com/cdn/shop/products/sample-jar-2_50x.jpg?v=1625706205")</f>
        <v/>
      </c>
      <c r="H3141">
        <f>_xlfn.IMAGE("https://m.media-amazon.com/images/I/71Chj99FU3L._AC_UL320_.jpg")</f>
        <v/>
      </c>
      <c r="K3141" t="inlineStr">
        <is>
          <t>4.99</t>
        </is>
      </c>
      <c r="L3141" t="n">
        <v>5.24</v>
      </c>
      <c r="M3141" s="1" t="inlineStr">
        <is>
          <t>5.01%</t>
        </is>
      </c>
      <c r="N3141" t="n">
        <v>4.3</v>
      </c>
      <c r="O3141" t="n">
        <v>22129</v>
      </c>
      <c r="Q3141" t="inlineStr">
        <is>
          <t>InStock</t>
        </is>
      </c>
      <c r="R3141" t="inlineStr">
        <is>
          <t>undefined</t>
        </is>
      </c>
      <c r="S3141" t="inlineStr">
        <is>
          <t>6801997562041</t>
        </is>
      </c>
    </row>
    <row r="3142" ht="75" customHeight="1">
      <c r="A3142" s="2">
        <f>HYPERLINK("https://camerareadycosmetics.com/products/sample-of-rcma-liquid-foundation", "https://camerareadycosmetics.com/products/sample-of-rcma-liquid-foundation")</f>
        <v/>
      </c>
      <c r="B3142" s="2">
        <f>HYPERLINK("https://camerareadycosmetics.com/products/rcma-liquid-foundation", "https://camerareadycosmetics.com/products/rcma-liquid-foundation")</f>
        <v/>
      </c>
      <c r="C3142" t="inlineStr">
        <is>
          <t>SAMPLE of Liquid Foundation</t>
        </is>
      </c>
      <c r="D3142" t="inlineStr">
        <is>
          <t>YOUNG VISION Full Coverage Longwear Foundation, Matte Finish, Waterproof, Poreless Liquid Foundation Makeup, Base de Maquillaje Alta Cobertura, 1 fl.oz</t>
        </is>
      </c>
      <c r="E3142" s="2">
        <f>HYPERLINK("https://www.amazon.com/YOUNG-VISION-Foundation-Waterproof-Maquillaje/dp/B0BFWY5H9M/ref=sr_1_9?keywords=SAMPLE+of+Liquid+Foundation&amp;qid=1695565440&amp;sr=8-9", "https://www.amazon.com/YOUNG-VISION-Foundation-Waterproof-Maquillaje/dp/B0BFWY5H9M/ref=sr_1_9?keywords=SAMPLE+of+Liquid+Foundation&amp;qid=1695565440&amp;sr=8-9")</f>
        <v/>
      </c>
      <c r="F3142" t="inlineStr">
        <is>
          <t>B0BFWY5H9M</t>
        </is>
      </c>
      <c r="G3142">
        <f>_xlfn.IMAGE("https://camerareadycosmetics.com/cdn/shop/products/sample-jar-2_50x.jpg?v=1625706205")</f>
        <v/>
      </c>
      <c r="H3142">
        <f>_xlfn.IMAGE("https://m.media-amazon.com/images/I/61Q9zWZpo9L._AC_UL320_.jpg")</f>
        <v/>
      </c>
      <c r="K3142" t="inlineStr">
        <is>
          <t>4.99</t>
        </is>
      </c>
      <c r="L3142" t="n">
        <v>4.49</v>
      </c>
      <c r="M3142" s="1" t="inlineStr">
        <is>
          <t>-10.02%</t>
        </is>
      </c>
      <c r="N3142" t="n">
        <v>3.9</v>
      </c>
      <c r="O3142" t="n">
        <v>120</v>
      </c>
      <c r="Q3142" t="inlineStr">
        <is>
          <t>InStock</t>
        </is>
      </c>
      <c r="R3142" t="inlineStr">
        <is>
          <t>undefined</t>
        </is>
      </c>
      <c r="S3142" t="inlineStr">
        <is>
          <t>6801997562041</t>
        </is>
      </c>
    </row>
    <row r="3143" ht="75" customHeight="1">
      <c r="A3143" s="2">
        <f>HYPERLINK("https://camerareadycosmetics.com/products/sample-rms-beauty-un-powder", "https://camerareadycosmetics.com/products/sample-rms-beauty-un-powder")</f>
        <v/>
      </c>
      <c r="B3143" s="2">
        <f>HYPERLINK("https://camerareadycosmetics.com/products/sample-rms-beauty-un-powder", "https://camerareadycosmetics.com/products/sample-rms-beauty-un-powder")</f>
        <v/>
      </c>
      <c r="C3143" t="inlineStr">
        <is>
          <t>SAMPLE - 'Un' Powder</t>
        </is>
      </c>
      <c r="D3143" t="inlineStr">
        <is>
          <t>Truvani Organic Vegan Protein Powder Sample Pack - 20g of Plant Based Protein, Organic Protein Powder, Pea Protein for Women and Men, Vegan, Non GMO, Gluten Free, Dairy Free (8 Single Serving Packets)</t>
        </is>
      </c>
      <c r="E3143" s="2">
        <f>HYPERLINK("https://www.amazon.com/Truvani-Organic-Protein-Powder-Sample/dp/B0C6793K5M/ref=sr_1_1?keywords=SAMPLE+-+%27Un%27+Powder&amp;qid=1695565652&amp;sr=8-1", "https://www.amazon.com/Truvani-Organic-Protein-Powder-Sample/dp/B0C6793K5M/ref=sr_1_1?keywords=SAMPLE+-+%27Un%27+Powder&amp;qid=1695565652&amp;sr=8-1")</f>
        <v/>
      </c>
      <c r="F3143" t="inlineStr">
        <is>
          <t>B0C6793K5M</t>
        </is>
      </c>
      <c r="G3143">
        <f>_xlfn.IMAGE("https://camerareadycosmetics.com/cdn/shop/products/white_grande_5e959f20-4965-4fb0-85c5-3ee320f46d70_50x.jpg?v=1506757037")</f>
        <v/>
      </c>
      <c r="H3143">
        <f>_xlfn.IMAGE("https://m.media-amazon.com/images/I/71GWUqfEnPL._AC_UL320_.jpg")</f>
        <v/>
      </c>
      <c r="K3143" t="inlineStr">
        <is>
          <t>4.99</t>
        </is>
      </c>
      <c r="L3143" t="n">
        <v>28.99</v>
      </c>
      <c r="M3143" s="1" t="inlineStr">
        <is>
          <t>480.96%</t>
        </is>
      </c>
      <c r="N3143" t="n">
        <v>4.3</v>
      </c>
      <c r="O3143" t="n">
        <v>16084</v>
      </c>
      <c r="Q3143" t="inlineStr">
        <is>
          <t>InStock</t>
        </is>
      </c>
      <c r="R3143" t="inlineStr">
        <is>
          <t>undefined</t>
        </is>
      </c>
      <c r="S3143" t="inlineStr">
        <is>
          <t>11165573386</t>
        </is>
      </c>
    </row>
    <row r="3144" ht="75" customHeight="1">
      <c r="A3144" s="2">
        <f>HYPERLINK("https://camerareadycosmetics.com/products/sample-rms-beauty-un-powder", "https://camerareadycosmetics.com/products/sample-rms-beauty-un-powder")</f>
        <v/>
      </c>
      <c r="B3144" s="2">
        <f>HYPERLINK("https://camerareadycosmetics.com/products/sample-rms-beauty-un-powder", "https://camerareadycosmetics.com/products/sample-rms-beauty-un-powder")</f>
        <v/>
      </c>
      <c r="C3144" t="inlineStr">
        <is>
          <t>SAMPLE - 'Un' Powder</t>
        </is>
      </c>
      <c r="D3144" t="inlineStr">
        <is>
          <t>eFlow Nutrition Whey Protein Sample Variety - Isolate Protein Powder Samples, Low Calorie, Fast-digesting, Premium Quality, Travel Packs, Low Carb (4 Pack)</t>
        </is>
      </c>
      <c r="E3144" s="2">
        <f>HYPERLINK("https://www.amazon.com/eFlow-Nutrition-Whey-Protein-Sample/dp/B099Y18YRF/ref=sr_1_5?keywords=SAMPLE+-+%27Un%27+Powder&amp;qid=1695565652&amp;sr=8-5", "https://www.amazon.com/eFlow-Nutrition-Whey-Protein-Sample/dp/B099Y18YRF/ref=sr_1_5?keywords=SAMPLE+-+%27Un%27+Powder&amp;qid=1695565652&amp;sr=8-5")</f>
        <v/>
      </c>
      <c r="F3144" t="inlineStr">
        <is>
          <t>B099Y18YRF</t>
        </is>
      </c>
      <c r="G3144">
        <f>_xlfn.IMAGE("https://camerareadycosmetics.com/cdn/shop/products/white_grande_5e959f20-4965-4fb0-85c5-3ee320f46d70_50x.jpg?v=1506757037")</f>
        <v/>
      </c>
      <c r="H3144">
        <f>_xlfn.IMAGE("https://m.media-amazon.com/images/I/71gsNhY+jNL._AC_UL320_.jpg")</f>
        <v/>
      </c>
      <c r="K3144" t="inlineStr">
        <is>
          <t>4.99</t>
        </is>
      </c>
      <c r="L3144" t="n">
        <v>16.96</v>
      </c>
      <c r="M3144" s="1" t="inlineStr">
        <is>
          <t>239.88%</t>
        </is>
      </c>
      <c r="N3144" t="n">
        <v>4</v>
      </c>
      <c r="O3144" t="n">
        <v>164</v>
      </c>
      <c r="Q3144" t="inlineStr">
        <is>
          <t>InStock</t>
        </is>
      </c>
      <c r="R3144" t="inlineStr">
        <is>
          <t>undefined</t>
        </is>
      </c>
      <c r="S3144" t="inlineStr">
        <is>
          <t>11165573386</t>
        </is>
      </c>
    </row>
    <row r="3145" ht="75" customHeight="1">
      <c r="A3145" s="2">
        <f>HYPERLINK("https://camerareadycosmetics.com/products/sample-rms-beauty-un-powder", "https://camerareadycosmetics.com/products/sample-rms-beauty-un-powder")</f>
        <v/>
      </c>
      <c r="B3145" s="2">
        <f>HYPERLINK("https://camerareadycosmetics.com/products/sample-rms-beauty-un-powder", "https://camerareadycosmetics.com/products/sample-rms-beauty-un-powder")</f>
        <v/>
      </c>
      <c r="C3145" t="inlineStr">
        <is>
          <t>SAMPLE - 'Un' Powder</t>
        </is>
      </c>
      <c r="D3145" t="inlineStr">
        <is>
          <t>MotBach 100 Pcs 3g Empty Plastic Containers with Lids,Tiny Makeup Sample Containers Small Pot Jars Clear Round Cosmetic Jars with 20 Pcs Mini Spatulas for Liquid Sample Powder Creams (Black Lid)</t>
        </is>
      </c>
      <c r="E3145" s="2">
        <f>HYPERLINK("https://www.amazon.com/MotBach-Plastic-Containers-Cosmetic-Spatulas/dp/B08HPPZ2LY/ref=sr_1_8?keywords=SAMPLE+-+%27Un%27+Powder&amp;qid=1695565652&amp;sr=8-8", "https://www.amazon.com/MotBach-Plastic-Containers-Cosmetic-Spatulas/dp/B08HPPZ2LY/ref=sr_1_8?keywords=SAMPLE+-+%27Un%27+Powder&amp;qid=1695565652&amp;sr=8-8")</f>
        <v/>
      </c>
      <c r="F3145" t="inlineStr">
        <is>
          <t>B08HPPZ2LY</t>
        </is>
      </c>
      <c r="G3145">
        <f>_xlfn.IMAGE("https://camerareadycosmetics.com/cdn/shop/products/white_grande_5e959f20-4965-4fb0-85c5-3ee320f46d70_50x.jpg?v=1506757037")</f>
        <v/>
      </c>
      <c r="H3145">
        <f>_xlfn.IMAGE("https://m.media-amazon.com/images/I/8161SZMfqmL._AC_UL320_.jpg")</f>
        <v/>
      </c>
      <c r="K3145" t="inlineStr">
        <is>
          <t>4.99</t>
        </is>
      </c>
      <c r="L3145" t="n">
        <v>9.99</v>
      </c>
      <c r="M3145" s="1" t="inlineStr">
        <is>
          <t>100.20%</t>
        </is>
      </c>
      <c r="N3145" t="n">
        <v>4.5</v>
      </c>
      <c r="O3145" t="n">
        <v>247</v>
      </c>
      <c r="Q3145" t="inlineStr">
        <is>
          <t>InStock</t>
        </is>
      </c>
      <c r="R3145" t="inlineStr">
        <is>
          <t>undefined</t>
        </is>
      </c>
      <c r="S3145" t="inlineStr">
        <is>
          <t>11165573386</t>
        </is>
      </c>
    </row>
    <row r="3146" ht="75" customHeight="1">
      <c r="A3146" s="2">
        <f>HYPERLINK("https://camerareadycosmetics.com/products/sample-rms-beauty-un-powder", "https://camerareadycosmetics.com/products/sample-rms-beauty-un-powder")</f>
        <v/>
      </c>
      <c r="B3146" s="2">
        <f>HYPERLINK("https://camerareadycosmetics.com/products/sample-rms-beauty-un-powder", "https://camerareadycosmetics.com/products/sample-rms-beauty-un-powder")</f>
        <v/>
      </c>
      <c r="C3146" t="inlineStr">
        <is>
          <t>SAMPLE - 'Un' Powder</t>
        </is>
      </c>
      <c r="D3146" t="inlineStr">
        <is>
          <t>PlantFusion Complete Vegan Protein Powder Sample Packets - Plant Based Protein Powder Packets to-Go with BCAAs and Pea Protein - Keto, Gluten Free, Non-Dairy, No Sugar (Vanilla Pack of 4)</t>
        </is>
      </c>
      <c r="E3146" s="2">
        <f>HYPERLINK("https://www.amazon.com/PlantFusion-Complete-Protein-Samples-Packets/dp/B0BQZ2S4R3/ref=sr_1_3?keywords=SAMPLE+-+%27Un%27+Powder&amp;qid=1695565652&amp;sr=8-3", "https://www.amazon.com/PlantFusion-Complete-Protein-Samples-Packets/dp/B0BQZ2S4R3/ref=sr_1_3?keywords=SAMPLE+-+%27Un%27+Powder&amp;qid=1695565652&amp;sr=8-3")</f>
        <v/>
      </c>
      <c r="F3146" t="inlineStr">
        <is>
          <t>B0BQZ2S4R3</t>
        </is>
      </c>
      <c r="G3146">
        <f>_xlfn.IMAGE("https://camerareadycosmetics.com/cdn/shop/products/white_grande_5e959f20-4965-4fb0-85c5-3ee320f46d70_50x.jpg?v=1506757037")</f>
        <v/>
      </c>
      <c r="H3146">
        <f>_xlfn.IMAGE("https://m.media-amazon.com/images/I/71e-taGEPBL._AC_UL320_.jpg")</f>
        <v/>
      </c>
      <c r="K3146" t="inlineStr">
        <is>
          <t>4.99</t>
        </is>
      </c>
      <c r="L3146" t="n">
        <v>9.970000000000001</v>
      </c>
      <c r="M3146" s="1" t="inlineStr">
        <is>
          <t>99.80%</t>
        </is>
      </c>
      <c r="N3146" t="n">
        <v>4.2</v>
      </c>
      <c r="O3146" t="n">
        <v>9176</v>
      </c>
      <c r="Q3146" t="inlineStr">
        <is>
          <t>InStock</t>
        </is>
      </c>
      <c r="R3146" t="inlineStr">
        <is>
          <t>undefined</t>
        </is>
      </c>
      <c r="S3146" t="inlineStr">
        <is>
          <t>11165573386</t>
        </is>
      </c>
    </row>
    <row r="3147" ht="75" customHeight="1">
      <c r="A3147" s="2">
        <f>HYPERLINK("https://camerareadycosmetics.com/products/sample-rms-beauty-un-powder", "https://camerareadycosmetics.com/products/sample-rms-beauty-un-powder")</f>
        <v/>
      </c>
      <c r="B3147" s="2">
        <f>HYPERLINK("https://camerareadycosmetics.com/products/sample-rms-beauty-un-powder", "https://camerareadycosmetics.com/products/sample-rms-beauty-un-powder")</f>
        <v/>
      </c>
      <c r="C3147" t="inlineStr">
        <is>
          <t>SAMPLE - 'Un' Powder</t>
        </is>
      </c>
      <c r="D3147" t="inlineStr">
        <is>
          <t>ZEJIA 3 Gram Sample Containers with Lids, 50 Count Tiny Sample Jars, 3ML Makeup Cosmetic Containers for Lip Balms, Lotion, Powder, Beauty Products(Black Lids)</t>
        </is>
      </c>
      <c r="E3147" s="2">
        <f>HYPERLINK("https://www.amazon.com/Cosmetic-Sample-Makeup-Containers-Plastic/dp/B076X3Q31F/ref=sr_1_9?keywords=SAMPLE+-+%27Un%27+Powder&amp;qid=1695565652&amp;sr=8-9", "https://www.amazon.com/Cosmetic-Sample-Makeup-Containers-Plastic/dp/B076X3Q31F/ref=sr_1_9?keywords=SAMPLE+-+%27Un%27+Powder&amp;qid=1695565652&amp;sr=8-9")</f>
        <v/>
      </c>
      <c r="F3147" t="inlineStr">
        <is>
          <t>B076X3Q31F</t>
        </is>
      </c>
      <c r="G3147">
        <f>_xlfn.IMAGE("https://camerareadycosmetics.com/cdn/shop/products/white_grande_5e959f20-4965-4fb0-85c5-3ee320f46d70_50x.jpg?v=1506757037")</f>
        <v/>
      </c>
      <c r="H3147">
        <f>_xlfn.IMAGE("https://m.media-amazon.com/images/I/61eDFQoNw+L._AC_UL320_.jpg")</f>
        <v/>
      </c>
      <c r="K3147" t="inlineStr">
        <is>
          <t>4.99</t>
        </is>
      </c>
      <c r="L3147" t="n">
        <v>7.39</v>
      </c>
      <c r="M3147" s="1" t="inlineStr">
        <is>
          <t>48.10%</t>
        </is>
      </c>
      <c r="N3147" t="n">
        <v>4.6</v>
      </c>
      <c r="O3147" t="n">
        <v>1529</v>
      </c>
      <c r="Q3147" t="inlineStr">
        <is>
          <t>InStock</t>
        </is>
      </c>
      <c r="R3147" t="inlineStr">
        <is>
          <t>undefined</t>
        </is>
      </c>
      <c r="S3147" t="inlineStr">
        <is>
          <t>11165573386</t>
        </is>
      </c>
    </row>
    <row r="3148" ht="75" customHeight="1">
      <c r="A3148" s="2">
        <f>HYPERLINK("https://camerareadycosmetics.com/products/sample-rms-beauty-un-powder", "https://camerareadycosmetics.com/products/sample-rms-beauty-un-powder")</f>
        <v/>
      </c>
      <c r="B3148" s="2">
        <f>HYPERLINK("https://camerareadycosmetics.com/products/sample-rms-beauty-un-powder", "https://camerareadycosmetics.com/products/sample-rms-beauty-un-powder")</f>
        <v/>
      </c>
      <c r="C3148" t="inlineStr">
        <is>
          <t>SAMPLE - 'Un' Powder</t>
        </is>
      </c>
      <c r="D3148" t="inlineStr">
        <is>
          <t>Hair Root Touch Up Powder Sample Size – Root Cover Up Hair Powder – 11 True-to-Nature Root Concealer Shades – Zero Fragrance, Talc or Parabens – Hair Cover Hairline Powder by NuBeauti (Sample Size, Medium Brown)</t>
        </is>
      </c>
      <c r="E3148" s="2">
        <f>HYPERLINK("https://www.amazon.com/Touch-Powder-Sample-True-Nature/dp/B0B4T97T6N/ref=sr_1_7?keywords=SAMPLE+-+%27Un%27+Powder&amp;qid=1695565652&amp;sr=8-7", "https://www.amazon.com/Touch-Powder-Sample-True-Nature/dp/B0B4T97T6N/ref=sr_1_7?keywords=SAMPLE+-+%27Un%27+Powder&amp;qid=1695565652&amp;sr=8-7")</f>
        <v/>
      </c>
      <c r="F3148" t="inlineStr">
        <is>
          <t>B0B4T97T6N</t>
        </is>
      </c>
      <c r="G3148">
        <f>_xlfn.IMAGE("https://camerareadycosmetics.com/cdn/shop/products/white_grande_5e959f20-4965-4fb0-85c5-3ee320f46d70_50x.jpg?v=1506757037")</f>
        <v/>
      </c>
      <c r="H3148">
        <f>_xlfn.IMAGE("https://m.media-amazon.com/images/I/51b3shxbXQL._AC_UL320_.jpg")</f>
        <v/>
      </c>
      <c r="K3148" t="inlineStr">
        <is>
          <t>4.99</t>
        </is>
      </c>
      <c r="L3148" t="n">
        <v>6.99</v>
      </c>
      <c r="M3148" s="1" t="inlineStr">
        <is>
          <t>40.08%</t>
        </is>
      </c>
      <c r="N3148" t="n">
        <v>3.9</v>
      </c>
      <c r="O3148" t="n">
        <v>1177</v>
      </c>
      <c r="Q3148" t="inlineStr">
        <is>
          <t>InStock</t>
        </is>
      </c>
      <c r="R3148" t="inlineStr">
        <is>
          <t>undefined</t>
        </is>
      </c>
      <c r="S3148" t="inlineStr">
        <is>
          <t>11165573386</t>
        </is>
      </c>
    </row>
    <row r="3149" ht="75" customHeight="1">
      <c r="A3149" s="2">
        <f>HYPERLINK("https://camerareadycosmetics.com/products/sample-rms-beauty-un-powder", "https://camerareadycosmetics.com/products/sample-rms-beauty-un-powder")</f>
        <v/>
      </c>
      <c r="B3149" s="2">
        <f>HYPERLINK("https://camerareadycosmetics.com/products/sample-rms-beauty-un-powder", "https://camerareadycosmetics.com/products/sample-rms-beauty-un-powder")</f>
        <v/>
      </c>
      <c r="C3149" t="inlineStr">
        <is>
          <t>SAMPLE - 'Un' Powder</t>
        </is>
      </c>
      <c r="D3149" t="inlineStr">
        <is>
          <t>Houseables 3 Gram Jar, 3 ML, Black, 50 Pk, BPA Free, Cosmetic Sample Empty Container, Plastic, Round Pot, Screw Cap Lid, Small Tiny 3g Bottle, for Make Up, Eye Shadow, Nails, Powder, Paint, Jewelry</t>
        </is>
      </c>
      <c r="E3149" s="2">
        <f>HYPERLINK("https://www.amazon.com/Houseables-Cosmetic-Container-Plastic-Jewelry/dp/B00TT70OME/ref=sr_1_2?keywords=SAMPLE+-+%27Un%27+Powder&amp;qid=1695565652&amp;sr=8-2", "https://www.amazon.com/Houseables-Cosmetic-Container-Plastic-Jewelry/dp/B00TT70OME/ref=sr_1_2?keywords=SAMPLE+-+%27Un%27+Powder&amp;qid=1695565652&amp;sr=8-2")</f>
        <v/>
      </c>
      <c r="F3149" t="inlineStr">
        <is>
          <t>B00TT70OME</t>
        </is>
      </c>
      <c r="G3149">
        <f>_xlfn.IMAGE("https://camerareadycosmetics.com/cdn/shop/products/white_grande_5e959f20-4965-4fb0-85c5-3ee320f46d70_50x.jpg?v=1506757037")</f>
        <v/>
      </c>
      <c r="H3149">
        <f>_xlfn.IMAGE("https://m.media-amazon.com/images/I/61aZZIpyRDS._AC_UL320_.jpg")</f>
        <v/>
      </c>
      <c r="K3149" t="inlineStr">
        <is>
          <t>4.99</t>
        </is>
      </c>
      <c r="L3149" t="n">
        <v>6.97</v>
      </c>
      <c r="M3149" s="1" t="inlineStr">
        <is>
          <t>39.68%</t>
        </is>
      </c>
      <c r="N3149" t="n">
        <v>4.5</v>
      </c>
      <c r="O3149" t="n">
        <v>6788</v>
      </c>
      <c r="Q3149" t="inlineStr">
        <is>
          <t>InStock</t>
        </is>
      </c>
      <c r="R3149" t="inlineStr">
        <is>
          <t>undefined</t>
        </is>
      </c>
      <c r="S3149" t="inlineStr">
        <is>
          <t>11165573386</t>
        </is>
      </c>
    </row>
    <row r="3150" ht="75" customHeight="1">
      <c r="A3150" s="2">
        <f>HYPERLINK("https://camerareadycosmetics.com/products/scott-barnes-flossy-glossy-lip-gloss", "https://camerareadycosmetics.com/products/scott-barnes-flossy-glossy-lip-gloss")</f>
        <v/>
      </c>
      <c r="B3150" s="2">
        <f>HYPERLINK("https://camerareadycosmetics.com/products/scott-barnes-flossy-glossy-lip-gloss", "https://camerareadycosmetics.com/products/scott-barnes-flossy-glossy-lip-gloss")</f>
        <v/>
      </c>
      <c r="C3150" t="inlineStr">
        <is>
          <t>Flossy Glossy Lip Gloss</t>
        </is>
      </c>
      <c r="D3150" t="inlineStr">
        <is>
          <t>COVERGIRL Clean Fresh Yummy Gloss Daylight Collection Lip Gloss, Hydrating, Glossy Shine, Vegan Formula, Sunshine Rays 20, 0.33oz</t>
        </is>
      </c>
      <c r="E3150" s="2">
        <f>HYPERLINK("https://www.amazon.com/COVERGIRL-Daylight-Collection-Hydrating-Sunshine/dp/B0BYK44MF3/ref=sr_1_8?keywords=Flossy+Glossy+Lip+Gloss&amp;qid=1695565609&amp;sr=8-8", "https://www.amazon.com/COVERGIRL-Daylight-Collection-Hydrating-Sunshine/dp/B0BYK44MF3/ref=sr_1_8?keywords=Flossy+Glossy+Lip+Gloss&amp;qid=1695565609&amp;sr=8-8")</f>
        <v/>
      </c>
      <c r="F3150" t="inlineStr">
        <is>
          <t>B0BYK44MF3</t>
        </is>
      </c>
      <c r="G3150">
        <f>_xlfn.IMAGE("https://camerareadycosmetics.com/cdn/shop/products/scott-barnes-lip-gloss-xxx-front_1800x_4f0f2e61-dd56-4ae0-b402-6e7276e6aca4_50x.jpg?v=1596975092")</f>
        <v/>
      </c>
      <c r="H3150">
        <f>_xlfn.IMAGE("https://m.media-amazon.com/images/I/6175iFK9k-L._AC_UL320_.jpg")</f>
        <v/>
      </c>
      <c r="K3150" t="inlineStr">
        <is>
          <t>26.0</t>
        </is>
      </c>
      <c r="L3150" t="n">
        <v>9.99</v>
      </c>
      <c r="M3150" s="1" t="inlineStr">
        <is>
          <t>-61.58%</t>
        </is>
      </c>
      <c r="N3150" t="n">
        <v>4.2</v>
      </c>
      <c r="O3150" t="n">
        <v>47</v>
      </c>
      <c r="Q3150" t="inlineStr">
        <is>
          <t>InStock</t>
        </is>
      </c>
      <c r="R3150" t="inlineStr">
        <is>
          <t>26.0</t>
        </is>
      </c>
      <c r="S3150" t="inlineStr">
        <is>
          <t>4519997472879</t>
        </is>
      </c>
    </row>
    <row r="3151" ht="75" customHeight="1">
      <c r="A3151" s="2">
        <f>HYPERLINK("https://camerareadycosmetics.com/products/scott-barnes-flossy-glossy-lip-gloss", "https://camerareadycosmetics.com/products/scott-barnes-flossy-glossy-lip-gloss")</f>
        <v/>
      </c>
      <c r="B3151" s="2">
        <f>HYPERLINK("https://camerareadycosmetics.com/products/scott-barnes-flossy-glossy-lip-gloss", "https://camerareadycosmetics.com/products/scott-barnes-flossy-glossy-lip-gloss")</f>
        <v/>
      </c>
      <c r="C3151" t="inlineStr">
        <is>
          <t>Flossy Glossy Lip Gloss</t>
        </is>
      </c>
      <c r="D3151" t="inlineStr">
        <is>
          <t>Rimmel Stay Glossy Lipgloss 6 Hour Lip Gloss Blushing Belgraves 0.18 Fl Oz with Lip Gloss in 290 Date Night</t>
        </is>
      </c>
      <c r="E3151" s="2">
        <f>HYPERLINK("https://www.amazon.com/Rimmel-Glossy-Lipgloss-Blushing-Belgraves/dp/B08J984SXY/ref=sr_1_2?keywords=Flossy+Glossy+Lip+Gloss&amp;qid=1695565609&amp;sr=8-2", "https://www.amazon.com/Rimmel-Glossy-Lipgloss-Blushing-Belgraves/dp/B08J984SXY/ref=sr_1_2?keywords=Flossy+Glossy+Lip+Gloss&amp;qid=1695565609&amp;sr=8-2")</f>
        <v/>
      </c>
      <c r="F3151" t="inlineStr">
        <is>
          <t>B08J984SXY</t>
        </is>
      </c>
      <c r="G3151">
        <f>_xlfn.IMAGE("https://camerareadycosmetics.com/cdn/shop/products/scott-barnes-lip-gloss-xxx-front_1800x_4f0f2e61-dd56-4ae0-b402-6e7276e6aca4_50x.jpg?v=1596975092")</f>
        <v/>
      </c>
      <c r="H3151">
        <f>_xlfn.IMAGE("https://m.media-amazon.com/images/I/51U4eMhgxlL._AC_UL320_.jpg")</f>
        <v/>
      </c>
      <c r="K3151" t="inlineStr">
        <is>
          <t>26.0</t>
        </is>
      </c>
      <c r="L3151" t="n">
        <v>7.06</v>
      </c>
      <c r="M3151" s="1" t="inlineStr">
        <is>
          <t>-72.85%</t>
        </is>
      </c>
      <c r="N3151" t="n">
        <v>4.6</v>
      </c>
      <c r="O3151" t="n">
        <v>203</v>
      </c>
      <c r="Q3151" t="inlineStr">
        <is>
          <t>InStock</t>
        </is>
      </c>
      <c r="R3151" t="inlineStr">
        <is>
          <t>26.0</t>
        </is>
      </c>
      <c r="S3151" t="inlineStr">
        <is>
          <t>4519997472879</t>
        </is>
      </c>
    </row>
    <row r="3152" ht="75" customHeight="1">
      <c r="A3152" s="2">
        <f>HYPERLINK("https://camerareadycosmetics.com/products/scott-barnes-flossy-glossy-lip-gloss", "https://camerareadycosmetics.com/products/scott-barnes-flossy-glossy-lip-gloss")</f>
        <v/>
      </c>
      <c r="B3152" s="2">
        <f>HYPERLINK("https://camerareadycosmetics.com/products/scott-barnes-flossy-glossy-lip-gloss", "https://camerareadycosmetics.com/products/scott-barnes-flossy-glossy-lip-gloss")</f>
        <v/>
      </c>
      <c r="C3152" t="inlineStr">
        <is>
          <t>Flossy Glossy Lip Gloss</t>
        </is>
      </c>
      <c r="D3152" t="inlineStr">
        <is>
          <t>Rimmel Stay Glossy Lipgloss 6 Hour Lip Gloss Seduce Me 0.18 Fl Oz</t>
        </is>
      </c>
      <c r="E3152" s="2">
        <f>HYPERLINK("https://www.amazon.com/Rimmel-Glossy-Lipgloss-Seduce-Me/dp/B00593EVUS/ref=sr_1_1?keywords=Flossy+Glossy+Lip+Gloss&amp;qid=1695565609&amp;sr=8-1", "https://www.amazon.com/Rimmel-Glossy-Lipgloss-Seduce-Me/dp/B00593EVUS/ref=sr_1_1?keywords=Flossy+Glossy+Lip+Gloss&amp;qid=1695565609&amp;sr=8-1")</f>
        <v/>
      </c>
      <c r="F3152" t="inlineStr">
        <is>
          <t>B00593EVUS</t>
        </is>
      </c>
      <c r="G3152">
        <f>_xlfn.IMAGE("https://camerareadycosmetics.com/cdn/shop/products/scott-barnes-lip-gloss-xxx-front_1800x_4f0f2e61-dd56-4ae0-b402-6e7276e6aca4_50x.jpg?v=1596975092")</f>
        <v/>
      </c>
      <c r="H3152">
        <f>_xlfn.IMAGE("https://m.media-amazon.com/images/I/71d5Ldfr0nL._AC_UL320_.jpg")</f>
        <v/>
      </c>
      <c r="K3152" t="inlineStr">
        <is>
          <t>26.0</t>
        </is>
      </c>
      <c r="L3152" t="n">
        <v>3.53</v>
      </c>
      <c r="M3152" s="1" t="inlineStr">
        <is>
          <t>-86.42%</t>
        </is>
      </c>
      <c r="N3152" t="n">
        <v>4.4</v>
      </c>
      <c r="O3152" t="n">
        <v>31265</v>
      </c>
      <c r="Q3152" t="inlineStr">
        <is>
          <t>InStock</t>
        </is>
      </c>
      <c r="R3152" t="inlineStr">
        <is>
          <t>26.0</t>
        </is>
      </c>
      <c r="S3152" t="inlineStr">
        <is>
          <t>4519997472879</t>
        </is>
      </c>
    </row>
    <row r="3153" ht="75" customHeight="1">
      <c r="A3153" s="2">
        <f>HYPERLINK("https://camerareadycosmetics.com/products/scott-barnes-flossy-glossy-lip-gloss", "https://camerareadycosmetics.com/products/scott-barnes-flossy-glossy-lip-gloss")</f>
        <v/>
      </c>
      <c r="B3153" s="2">
        <f>HYPERLINK("https://camerareadycosmetics.com/products/scott-barnes-flossy-glossy-lip-gloss", "https://camerareadycosmetics.com/products/scott-barnes-flossy-glossy-lip-gloss")</f>
        <v/>
      </c>
      <c r="C3153" t="inlineStr">
        <is>
          <t>Flossy Glossy Lip Gloss</t>
        </is>
      </c>
      <c r="D3153" t="inlineStr">
        <is>
          <t>COVERGIRL Clean Fresh Yummy Gloss Daylight Collection Lip Gloss, Hydrating, Glossy Shine, Vegan Formula, Sunshine Rays 20, 0.33oz</t>
        </is>
      </c>
      <c r="E3153" s="2">
        <f>HYPERLINK("https://www.amazon.com/COVERGIRL-Daylight-Collection-Hydrating-Sunshine/dp/B0BYK44MF3/ref=sr_1_8?keywords=Flossy+Glossy+Lip+Gloss&amp;qid=1695565609&amp;sr=8-8", "https://www.amazon.com/COVERGIRL-Daylight-Collection-Hydrating-Sunshine/dp/B0BYK44MF3/ref=sr_1_8?keywords=Flossy+Glossy+Lip+Gloss&amp;qid=1695565609&amp;sr=8-8")</f>
        <v/>
      </c>
      <c r="F3153" t="inlineStr">
        <is>
          <t>B0BYK44MF3</t>
        </is>
      </c>
      <c r="G3153">
        <f>_xlfn.IMAGE("https://camerareadycosmetics.com/cdn/shop/products/scott-barnes-lip-gloss-xxx-front_1800x_4f0f2e61-dd56-4ae0-b402-6e7276e6aca4_50x.jpg?v=1596975092")</f>
        <v/>
      </c>
      <c r="H3153">
        <f>_xlfn.IMAGE("https://m.media-amazon.com/images/I/6175iFK9k-L._AC_UL320_.jpg")</f>
        <v/>
      </c>
      <c r="K3153" t="inlineStr">
        <is>
          <t>26.0</t>
        </is>
      </c>
      <c r="L3153" t="n">
        <v>9.99</v>
      </c>
      <c r="M3153" s="1" t="inlineStr">
        <is>
          <t>-61.58%</t>
        </is>
      </c>
      <c r="N3153" t="n">
        <v>4.2</v>
      </c>
      <c r="O3153" t="n">
        <v>47</v>
      </c>
      <c r="Q3153" t="inlineStr">
        <is>
          <t>InStock</t>
        </is>
      </c>
      <c r="R3153" t="inlineStr">
        <is>
          <t>26.0</t>
        </is>
      </c>
      <c r="S3153" t="inlineStr">
        <is>
          <t>4519997472879</t>
        </is>
      </c>
    </row>
    <row r="3154" ht="75" customHeight="1">
      <c r="A3154" s="2">
        <f>HYPERLINK("https://camerareadycosmetics.com/products/scott-barnes-flossy-glossy-lip-gloss", "https://camerareadycosmetics.com/products/scott-barnes-flossy-glossy-lip-gloss")</f>
        <v/>
      </c>
      <c r="B3154" s="2">
        <f>HYPERLINK("https://camerareadycosmetics.com/products/scott-barnes-flossy-glossy-lip-gloss", "https://camerareadycosmetics.com/products/scott-barnes-flossy-glossy-lip-gloss")</f>
        <v/>
      </c>
      <c r="C3154" t="inlineStr">
        <is>
          <t>Flossy Glossy Lip Gloss</t>
        </is>
      </c>
      <c r="D3154" t="inlineStr">
        <is>
          <t>Rimmel Stay Glossy Lipgloss 6 Hour Lip Gloss Blushing Belgraves 0.18 Fl Oz with Lip Gloss in 290 Date Night</t>
        </is>
      </c>
      <c r="E3154" s="2">
        <f>HYPERLINK("https://www.amazon.com/Rimmel-Glossy-Lipgloss-Blushing-Belgraves/dp/B08J984SXY/ref=sr_1_2?keywords=Flossy+Glossy+Lip+Gloss&amp;qid=1695565609&amp;sr=8-2", "https://www.amazon.com/Rimmel-Glossy-Lipgloss-Blushing-Belgraves/dp/B08J984SXY/ref=sr_1_2?keywords=Flossy+Glossy+Lip+Gloss&amp;qid=1695565609&amp;sr=8-2")</f>
        <v/>
      </c>
      <c r="F3154" t="inlineStr">
        <is>
          <t>B08J984SXY</t>
        </is>
      </c>
      <c r="G3154">
        <f>_xlfn.IMAGE("https://camerareadycosmetics.com/cdn/shop/products/scott-barnes-lip-gloss-xxx-front_1800x_4f0f2e61-dd56-4ae0-b402-6e7276e6aca4_50x.jpg?v=1596975092")</f>
        <v/>
      </c>
      <c r="H3154">
        <f>_xlfn.IMAGE("https://m.media-amazon.com/images/I/51U4eMhgxlL._AC_UL320_.jpg")</f>
        <v/>
      </c>
      <c r="K3154" t="inlineStr">
        <is>
          <t>26.0</t>
        </is>
      </c>
      <c r="L3154" t="n">
        <v>7.06</v>
      </c>
      <c r="M3154" s="1" t="inlineStr">
        <is>
          <t>-72.85%</t>
        </is>
      </c>
      <c r="N3154" t="n">
        <v>4.6</v>
      </c>
      <c r="O3154" t="n">
        <v>203</v>
      </c>
      <c r="Q3154" t="inlineStr">
        <is>
          <t>InStock</t>
        </is>
      </c>
      <c r="R3154" t="inlineStr">
        <is>
          <t>26.0</t>
        </is>
      </c>
      <c r="S3154" t="inlineStr">
        <is>
          <t>4519997472879</t>
        </is>
      </c>
    </row>
    <row r="3155" ht="75" customHeight="1">
      <c r="A3155" s="2">
        <f>HYPERLINK("https://camerareadycosmetics.com/products/scott-barnes-flossy-glossy-lip-gloss", "https://camerareadycosmetics.com/products/scott-barnes-flossy-glossy-lip-gloss")</f>
        <v/>
      </c>
      <c r="B3155" s="2">
        <f>HYPERLINK("https://camerareadycosmetics.com/products/scott-barnes-flossy-glossy-lip-gloss", "https://camerareadycosmetics.com/products/scott-barnes-flossy-glossy-lip-gloss")</f>
        <v/>
      </c>
      <c r="C3155" t="inlineStr">
        <is>
          <t>Flossy Glossy Lip Gloss</t>
        </is>
      </c>
      <c r="D3155" t="inlineStr">
        <is>
          <t>Rimmel Stay Glossy Lipgloss 6 Hour Lip Gloss Seduce Me 0.18 Fl Oz</t>
        </is>
      </c>
      <c r="E3155" s="2">
        <f>HYPERLINK("https://www.amazon.com/Rimmel-Glossy-Lipgloss-Seduce-Me/dp/B00593EVUS/ref=sr_1_1?keywords=Flossy+Glossy+Lip+Gloss&amp;qid=1695565609&amp;sr=8-1", "https://www.amazon.com/Rimmel-Glossy-Lipgloss-Seduce-Me/dp/B00593EVUS/ref=sr_1_1?keywords=Flossy+Glossy+Lip+Gloss&amp;qid=1695565609&amp;sr=8-1")</f>
        <v/>
      </c>
      <c r="F3155" t="inlineStr">
        <is>
          <t>B00593EVUS</t>
        </is>
      </c>
      <c r="G3155">
        <f>_xlfn.IMAGE("https://camerareadycosmetics.com/cdn/shop/products/scott-barnes-lip-gloss-xxx-front_1800x_4f0f2e61-dd56-4ae0-b402-6e7276e6aca4_50x.jpg?v=1596975092")</f>
        <v/>
      </c>
      <c r="H3155">
        <f>_xlfn.IMAGE("https://m.media-amazon.com/images/I/71d5Ldfr0nL._AC_UL320_.jpg")</f>
        <v/>
      </c>
      <c r="K3155" t="inlineStr">
        <is>
          <t>26.0</t>
        </is>
      </c>
      <c r="L3155" t="n">
        <v>3.53</v>
      </c>
      <c r="M3155" s="1" t="inlineStr">
        <is>
          <t>-86.42%</t>
        </is>
      </c>
      <c r="N3155" t="n">
        <v>4.4</v>
      </c>
      <c r="O3155" t="n">
        <v>31265</v>
      </c>
      <c r="Q3155" t="inlineStr">
        <is>
          <t>InStock</t>
        </is>
      </c>
      <c r="R3155" t="inlineStr">
        <is>
          <t>26.0</t>
        </is>
      </c>
      <c r="S3155" t="inlineStr">
        <is>
          <t>4519997472879</t>
        </is>
      </c>
    </row>
    <row r="3156" ht="75" customHeight="1">
      <c r="A3156" s="2">
        <f>HYPERLINK("https://camerareadycosmetics.com/products/scott-barnes-sculpting-and-contour-n-1-contour-palette", "https://camerareadycosmetics.com/products/scott-barnes-sculpting-and-contour-n-1-contour-palette")</f>
        <v/>
      </c>
      <c r="B3156" s="2">
        <f>HYPERLINK("https://camerareadycosmetics.com/products/scott-barnes-sculpting-and-contour-n-1-contour-palette", "https://camerareadycosmetics.com/products/scott-barnes-sculpting-and-contour-n-1-contour-palette")</f>
        <v/>
      </c>
      <c r="C3156" t="inlineStr">
        <is>
          <t>Sculpting and Contour N°1 Contour Palette</t>
        </is>
      </c>
      <c r="D3156" t="inlineStr">
        <is>
          <t>Mysense Contour Palette, Pressed Fine Contour Powder Silky Smooth Contouring Kit for Face Sculpting and Highlighter Makeup, N1</t>
        </is>
      </c>
      <c r="E3156" s="2">
        <f>HYPERLINK("https://www.amazon.com/Mysense-Contour-Contouring-Sculpting-Highlighter/dp/B0BWRR91MR/ref=sr_1_9?keywords=Sculpting+and+Contour+N%C2%B01+Contour+Palette&amp;qid=1695565461&amp;sr=8-9", "https://www.amazon.com/Mysense-Contour-Contouring-Sculpting-Highlighter/dp/B0BWRR91MR/ref=sr_1_9?keywords=Sculpting+and+Contour+N%C2%B01+Contour+Palette&amp;qid=1695565461&amp;sr=8-9")</f>
        <v/>
      </c>
      <c r="F3156" t="inlineStr">
        <is>
          <t>B0BWRR91MR</t>
        </is>
      </c>
      <c r="G3156">
        <f>_xlfn.IMAGE("https://camerareadycosmetics.com/cdn/shop/products/sculpting-and-contour-n01-contour-palette-189834_50x.jpg?v=1667580283")</f>
        <v/>
      </c>
      <c r="H3156">
        <f>_xlfn.IMAGE("https://m.media-amazon.com/images/I/519FoLLJ0UL._AC_UL320_.jpg")</f>
        <v/>
      </c>
      <c r="K3156" t="inlineStr">
        <is>
          <t>58.0</t>
        </is>
      </c>
      <c r="L3156" t="n">
        <v>8.99</v>
      </c>
      <c r="M3156" s="1" t="inlineStr">
        <is>
          <t>-84.50%</t>
        </is>
      </c>
      <c r="N3156" t="n">
        <v>4.5</v>
      </c>
      <c r="O3156" t="n">
        <v>9</v>
      </c>
      <c r="Q3156" t="inlineStr">
        <is>
          <t>InStock</t>
        </is>
      </c>
      <c r="R3156" t="inlineStr">
        <is>
          <t>undefined</t>
        </is>
      </c>
      <c r="S3156" t="inlineStr">
        <is>
          <t>4362124951663</t>
        </is>
      </c>
    </row>
    <row r="3157" ht="75" customHeight="1">
      <c r="A3157" s="2">
        <f>HYPERLINK("https://camerareadycosmetics.com/products/scott-barnes-sculpting-and-contour-n-1-contour-palette", "https://camerareadycosmetics.com/products/scott-barnes-sculpting-and-contour-n-1-contour-palette")</f>
        <v/>
      </c>
      <c r="B3157" s="2">
        <f>HYPERLINK("https://camerareadycosmetics.com/products/scott-barnes-sculpting-and-contour-n-1-contour-palette", "https://camerareadycosmetics.com/products/scott-barnes-sculpting-and-contour-n-1-contour-palette")</f>
        <v/>
      </c>
      <c r="C3157" t="inlineStr">
        <is>
          <t>Sculpting and Contour N°1 Contour Palette</t>
        </is>
      </c>
      <c r="D3157" t="inlineStr">
        <is>
          <t>Mysense Contour Palette, Pressed Fine Contour Powder Silky Smooth Contouring Kit for Face Sculpting and Highlighter Makeup, N1</t>
        </is>
      </c>
      <c r="E3157" s="2">
        <f>HYPERLINK("https://www.amazon.com/Mysense-Contour-Contouring-Sculpting-Highlighter/dp/B0BWRR91MR/ref=sr_1_9?keywords=Sculpting+and+Contour+N%C2%B01+Contour+Palette&amp;qid=1695565461&amp;sr=8-9", "https://www.amazon.com/Mysense-Contour-Contouring-Sculpting-Highlighter/dp/B0BWRR91MR/ref=sr_1_9?keywords=Sculpting+and+Contour+N%C2%B01+Contour+Palette&amp;qid=1695565461&amp;sr=8-9")</f>
        <v/>
      </c>
      <c r="F3157" t="inlineStr">
        <is>
          <t>B0BWRR91MR</t>
        </is>
      </c>
      <c r="G3157">
        <f>_xlfn.IMAGE("https://camerareadycosmetics.com/cdn/shop/products/sculpting-and-contour-n01-contour-palette-189834_50x.jpg?v=1667580283")</f>
        <v/>
      </c>
      <c r="H3157">
        <f>_xlfn.IMAGE("https://m.media-amazon.com/images/I/519FoLLJ0UL._AC_UL320_.jpg")</f>
        <v/>
      </c>
      <c r="K3157" t="inlineStr">
        <is>
          <t>58.0</t>
        </is>
      </c>
      <c r="L3157" t="n">
        <v>8.99</v>
      </c>
      <c r="M3157" s="1" t="inlineStr">
        <is>
          <t>-84.50%</t>
        </is>
      </c>
      <c r="N3157" t="n">
        <v>4.5</v>
      </c>
      <c r="O3157" t="n">
        <v>9</v>
      </c>
      <c r="Q3157" t="inlineStr">
        <is>
          <t>InStock</t>
        </is>
      </c>
      <c r="R3157" t="inlineStr">
        <is>
          <t>undefined</t>
        </is>
      </c>
      <c r="S3157" t="inlineStr">
        <is>
          <t>4362124951663</t>
        </is>
      </c>
    </row>
    <row r="3158" ht="75" customHeight="1">
      <c r="A3158" s="2">
        <f>HYPERLINK("https://camerareadycosmetics.com/products/senna-brow-book", "https://camerareadycosmetics.com/products/senna-brow-book")</f>
        <v/>
      </c>
      <c r="B3158" s="2">
        <f>HYPERLINK("https://camerareadycosmetics.com/products/senna-brow-book", "https://camerareadycosmetics.com/products/senna-brow-book")</f>
        <v/>
      </c>
      <c r="C3158" t="inlineStr">
        <is>
          <t>Brow Book</t>
        </is>
      </c>
      <c r="D3158" t="inlineStr">
        <is>
          <t>The Brow Book- by Sunmi A</t>
        </is>
      </c>
      <c r="E3158" s="2">
        <f>HYPERLINK("https://www.amazon.com/Brow-Book-Sunmi/dp/B0BFTSZ62S/ref=sr_1_5?keywords=Brow+Book&amp;qid=1695565441&amp;sr=8-5", "https://www.amazon.com/Brow-Book-Sunmi/dp/B0BFTSZ62S/ref=sr_1_5?keywords=Brow+Book&amp;qid=1695565441&amp;sr=8-5")</f>
        <v/>
      </c>
      <c r="F3158" t="inlineStr">
        <is>
          <t>B0BFTSZ62S</t>
        </is>
      </c>
      <c r="G3158">
        <f>_xlfn.IMAGE("https://camerareadycosmetics.com/cdn/shop/products/browbook_closed_50x.jpg?v=1689634183")</f>
        <v/>
      </c>
      <c r="H3158">
        <f>_xlfn.IMAGE("https://m.media-amazon.com/images/I/512jWXBy1SL._AC_UY218_.jpg")</f>
        <v/>
      </c>
      <c r="K3158" t="inlineStr">
        <is>
          <t>88.0</t>
        </is>
      </c>
      <c r="L3158" t="n">
        <v>40</v>
      </c>
      <c r="M3158" s="1" t="inlineStr">
        <is>
          <t>-54.55%</t>
        </is>
      </c>
      <c r="N3158" t="n">
        <v>3.8</v>
      </c>
      <c r="O3158" t="n">
        <v>5</v>
      </c>
      <c r="Q3158" t="inlineStr">
        <is>
          <t>InStock</t>
        </is>
      </c>
      <c r="R3158" t="inlineStr">
        <is>
          <t>undefined</t>
        </is>
      </c>
      <c r="S3158" t="inlineStr">
        <is>
          <t>7036798279</t>
        </is>
      </c>
    </row>
    <row r="3159" ht="75" customHeight="1">
      <c r="A3159" s="2">
        <f>HYPERLINK("https://camerareadycosmetics.com/products/senna-brow-book", "https://camerareadycosmetics.com/products/senna-brow-book")</f>
        <v/>
      </c>
      <c r="B3159" s="2">
        <f>HYPERLINK("https://camerareadycosmetics.com/products/senna-brow-book", "https://camerareadycosmetics.com/products/senna-brow-book")</f>
        <v/>
      </c>
      <c r="C3159" t="inlineStr">
        <is>
          <t>Brow Book</t>
        </is>
      </c>
      <c r="D3159" t="inlineStr">
        <is>
          <t>Eyebrow Mapping Workbook: Brows mapping A4 sheets for eyebrow practice</t>
        </is>
      </c>
      <c r="E3159" s="2">
        <f>HYPERLINK("https://www.amazon.com/Eyebrow-Mapping-Workbook-mapping-practice/dp/B09X7BT6TK/ref=sr_1_7?keywords=Brow+Book&amp;qid=1695565441&amp;sr=8-7", "https://www.amazon.com/Eyebrow-Mapping-Workbook-mapping-practice/dp/B09X7BT6TK/ref=sr_1_7?keywords=Brow+Book&amp;qid=1695565441&amp;sr=8-7")</f>
        <v/>
      </c>
      <c r="F3159" t="inlineStr">
        <is>
          <t>B09X7BT6TK</t>
        </is>
      </c>
      <c r="G3159">
        <f>_xlfn.IMAGE("https://camerareadycosmetics.com/cdn/shop/products/browbook_closed_50x.jpg?v=1689634183")</f>
        <v/>
      </c>
      <c r="H3159">
        <f>_xlfn.IMAGE("https://m.media-amazon.com/images/I/51Wa9OhRrRL._AC_UY218_.jpg")</f>
        <v/>
      </c>
      <c r="K3159" t="inlineStr">
        <is>
          <t>88.0</t>
        </is>
      </c>
      <c r="L3159" t="n">
        <v>7.83</v>
      </c>
      <c r="M3159" s="1" t="inlineStr">
        <is>
          <t>-91.10%</t>
        </is>
      </c>
      <c r="N3159" t="n">
        <v>2.5</v>
      </c>
      <c r="O3159" t="n">
        <v>3</v>
      </c>
      <c r="Q3159" t="inlineStr">
        <is>
          <t>InStock</t>
        </is>
      </c>
      <c r="R3159" t="inlineStr">
        <is>
          <t>undefined</t>
        </is>
      </c>
      <c r="S3159" t="inlineStr">
        <is>
          <t>7036798279</t>
        </is>
      </c>
    </row>
    <row r="3160" ht="75" customHeight="1">
      <c r="A3160" s="2">
        <f>HYPERLINK("https://camerareadycosmetics.com/products/senna-brow-book", "https://camerareadycosmetics.com/products/senna-brow-book")</f>
        <v/>
      </c>
      <c r="B3160" s="2">
        <f>HYPERLINK("https://camerareadycosmetics.com/products/senna-brow-book", "https://camerareadycosmetics.com/products/senna-brow-book")</f>
        <v/>
      </c>
      <c r="C3160" t="inlineStr">
        <is>
          <t>Brow Book</t>
        </is>
      </c>
      <c r="D3160" t="inlineStr">
        <is>
          <t>Brow Whisperer, Mircroblading Practise Book: Microblading Business Training &amp; Practise Sketchpad | Sketch Different Eyebrow Shapes &amp; Record Notes - Includes 2020 &amp; 2021 Calendar - 120 Pages</t>
        </is>
      </c>
      <c r="E3160" s="2">
        <f>HYPERLINK("https://www.amazon.com/Brow-Whisperer-Mircroblading-Practise-Book/dp/B08BDSDRL5/ref=sr_1_8?keywords=Brow+Book&amp;qid=1695565441&amp;sr=8-8", "https://www.amazon.com/Brow-Whisperer-Mircroblading-Practise-Book/dp/B08BDSDRL5/ref=sr_1_8?keywords=Brow+Book&amp;qid=1695565441&amp;sr=8-8")</f>
        <v/>
      </c>
      <c r="F3160" t="inlineStr">
        <is>
          <t>B08BDSDRL5</t>
        </is>
      </c>
      <c r="G3160">
        <f>_xlfn.IMAGE("https://camerareadycosmetics.com/cdn/shop/products/browbook_closed_50x.jpg?v=1689634183")</f>
        <v/>
      </c>
      <c r="H3160">
        <f>_xlfn.IMAGE("https://m.media-amazon.com/images/I/31mmpqZ+J3L._AC_UY218_.jpg")</f>
        <v/>
      </c>
      <c r="K3160" t="inlineStr">
        <is>
          <t>88.0</t>
        </is>
      </c>
      <c r="L3160" t="n">
        <v>6.95</v>
      </c>
      <c r="M3160" s="1" t="inlineStr">
        <is>
          <t>-92.10%</t>
        </is>
      </c>
      <c r="N3160" t="n">
        <v>3.6</v>
      </c>
      <c r="O3160" t="n">
        <v>7</v>
      </c>
      <c r="Q3160" t="inlineStr">
        <is>
          <t>InStock</t>
        </is>
      </c>
      <c r="R3160" t="inlineStr">
        <is>
          <t>undefined</t>
        </is>
      </c>
      <c r="S3160" t="inlineStr">
        <is>
          <t>7036798279</t>
        </is>
      </c>
    </row>
    <row r="3161" ht="75" customHeight="1">
      <c r="A3161" s="2">
        <f>HYPERLINK("https://camerareadycosmetics.com/products/senna-brow-book", "https://camerareadycosmetics.com/products/senna-brow-book")</f>
        <v/>
      </c>
      <c r="B3161" s="2">
        <f>HYPERLINK("https://camerareadycosmetics.com/products/senna-brow-book", "https://camerareadycosmetics.com/products/senna-brow-book")</f>
        <v/>
      </c>
      <c r="C3161" t="inlineStr">
        <is>
          <t>Brow Book</t>
        </is>
      </c>
      <c r="D3161" t="inlineStr">
        <is>
          <t>The Brow Book- by Sunmi A</t>
        </is>
      </c>
      <c r="E3161" s="2">
        <f>HYPERLINK("https://www.amazon.com/Brow-Book-Sunmi/dp/B0BFTSZ62S/ref=sr_1_5?keywords=Brow+Book&amp;qid=1695565441&amp;sr=8-5", "https://www.amazon.com/Brow-Book-Sunmi/dp/B0BFTSZ62S/ref=sr_1_5?keywords=Brow+Book&amp;qid=1695565441&amp;sr=8-5")</f>
        <v/>
      </c>
      <c r="F3161" t="inlineStr">
        <is>
          <t>B0BFTSZ62S</t>
        </is>
      </c>
      <c r="G3161">
        <f>_xlfn.IMAGE("https://camerareadycosmetics.com/cdn/shop/products/browbook_closed_50x.jpg?v=1689634183")</f>
        <v/>
      </c>
      <c r="H3161">
        <f>_xlfn.IMAGE("https://m.media-amazon.com/images/I/512jWXBy1SL._AC_UY218_.jpg")</f>
        <v/>
      </c>
      <c r="K3161" t="inlineStr">
        <is>
          <t>88.0</t>
        </is>
      </c>
      <c r="L3161" t="n">
        <v>40</v>
      </c>
      <c r="M3161" s="1" t="inlineStr">
        <is>
          <t>-54.55%</t>
        </is>
      </c>
      <c r="N3161" t="n">
        <v>3.8</v>
      </c>
      <c r="O3161" t="n">
        <v>5</v>
      </c>
      <c r="Q3161" t="inlineStr">
        <is>
          <t>InStock</t>
        </is>
      </c>
      <c r="R3161" t="inlineStr">
        <is>
          <t>undefined</t>
        </is>
      </c>
      <c r="S3161" t="inlineStr">
        <is>
          <t>7036798279</t>
        </is>
      </c>
    </row>
    <row r="3162" ht="75" customHeight="1">
      <c r="A3162" s="2">
        <f>HYPERLINK("https://camerareadycosmetics.com/products/senna-brow-book", "https://camerareadycosmetics.com/products/senna-brow-book")</f>
        <v/>
      </c>
      <c r="B3162" s="2">
        <f>HYPERLINK("https://camerareadycosmetics.com/products/senna-brow-book", "https://camerareadycosmetics.com/products/senna-brow-book")</f>
        <v/>
      </c>
      <c r="C3162" t="inlineStr">
        <is>
          <t>Brow Book</t>
        </is>
      </c>
      <c r="D3162" t="inlineStr">
        <is>
          <t>Eyebrow Mapping Workbook: Brows mapping A4 sheets for eyebrow practice</t>
        </is>
      </c>
      <c r="E3162" s="2">
        <f>HYPERLINK("https://www.amazon.com/Eyebrow-Mapping-Workbook-mapping-practice/dp/B09X7BT6TK/ref=sr_1_7?keywords=Brow+Book&amp;qid=1695565441&amp;sr=8-7", "https://www.amazon.com/Eyebrow-Mapping-Workbook-mapping-practice/dp/B09X7BT6TK/ref=sr_1_7?keywords=Brow+Book&amp;qid=1695565441&amp;sr=8-7")</f>
        <v/>
      </c>
      <c r="F3162" t="inlineStr">
        <is>
          <t>B09X7BT6TK</t>
        </is>
      </c>
      <c r="G3162">
        <f>_xlfn.IMAGE("https://camerareadycosmetics.com/cdn/shop/products/browbook_closed_50x.jpg?v=1689634183")</f>
        <v/>
      </c>
      <c r="H3162">
        <f>_xlfn.IMAGE("https://m.media-amazon.com/images/I/51Wa9OhRrRL._AC_UY218_.jpg")</f>
        <v/>
      </c>
      <c r="K3162" t="inlineStr">
        <is>
          <t>88.0</t>
        </is>
      </c>
      <c r="L3162" t="n">
        <v>7.83</v>
      </c>
      <c r="M3162" s="1" t="inlineStr">
        <is>
          <t>-91.10%</t>
        </is>
      </c>
      <c r="N3162" t="n">
        <v>2.5</v>
      </c>
      <c r="O3162" t="n">
        <v>3</v>
      </c>
      <c r="Q3162" t="inlineStr">
        <is>
          <t>InStock</t>
        </is>
      </c>
      <c r="R3162" t="inlineStr">
        <is>
          <t>undefined</t>
        </is>
      </c>
      <c r="S3162" t="inlineStr">
        <is>
          <t>7036798279</t>
        </is>
      </c>
    </row>
    <row r="3163" ht="75" customHeight="1">
      <c r="A3163" s="2">
        <f>HYPERLINK("https://camerareadycosmetics.com/products/senna-brow-book", "https://camerareadycosmetics.com/products/senna-brow-book")</f>
        <v/>
      </c>
      <c r="B3163" s="2">
        <f>HYPERLINK("https://camerareadycosmetics.com/products/senna-brow-book", "https://camerareadycosmetics.com/products/senna-brow-book")</f>
        <v/>
      </c>
      <c r="C3163" t="inlineStr">
        <is>
          <t>Brow Book</t>
        </is>
      </c>
      <c r="D3163" t="inlineStr">
        <is>
          <t>Brow Whisperer, Mircroblading Practise Book: Microblading Business Training &amp; Practise Sketchpad | Sketch Different Eyebrow Shapes &amp; Record Notes - Includes 2020 &amp; 2021 Calendar - 120 Pages</t>
        </is>
      </c>
      <c r="E3163" s="2">
        <f>HYPERLINK("https://www.amazon.com/Brow-Whisperer-Mircroblading-Practise-Book/dp/B08BDSDRL5/ref=sr_1_8?keywords=Brow+Book&amp;qid=1695565441&amp;sr=8-8", "https://www.amazon.com/Brow-Whisperer-Mircroblading-Practise-Book/dp/B08BDSDRL5/ref=sr_1_8?keywords=Brow+Book&amp;qid=1695565441&amp;sr=8-8")</f>
        <v/>
      </c>
      <c r="F3163" t="inlineStr">
        <is>
          <t>B08BDSDRL5</t>
        </is>
      </c>
      <c r="G3163">
        <f>_xlfn.IMAGE("https://camerareadycosmetics.com/cdn/shop/products/browbook_closed_50x.jpg?v=1689634183")</f>
        <v/>
      </c>
      <c r="H3163">
        <f>_xlfn.IMAGE("https://m.media-amazon.com/images/I/31mmpqZ+J3L._AC_UY218_.jpg")</f>
        <v/>
      </c>
      <c r="K3163" t="inlineStr">
        <is>
          <t>88.0</t>
        </is>
      </c>
      <c r="L3163" t="n">
        <v>6.95</v>
      </c>
      <c r="M3163" s="1" t="inlineStr">
        <is>
          <t>-92.10%</t>
        </is>
      </c>
      <c r="N3163" t="n">
        <v>3.6</v>
      </c>
      <c r="O3163" t="n">
        <v>7</v>
      </c>
      <c r="Q3163" t="inlineStr">
        <is>
          <t>InStock</t>
        </is>
      </c>
      <c r="R3163" t="inlineStr">
        <is>
          <t>undefined</t>
        </is>
      </c>
      <c r="S3163" t="inlineStr">
        <is>
          <t>7036798279</t>
        </is>
      </c>
    </row>
    <row r="3164" ht="75" customHeight="1">
      <c r="A3164" s="2">
        <f>HYPERLINK("https://camerareadycosmetics.com/products/senna-brow-fix-x", "https://camerareadycosmetics.com/products/senna-brow-fix-x")</f>
        <v/>
      </c>
      <c r="B3164" s="2">
        <f>HYPERLINK("https://camerareadycosmetics.com/products/senna-brow-fix-x", "https://camerareadycosmetics.com/products/senna-brow-fix-x")</f>
        <v/>
      </c>
      <c r="C3164" t="inlineStr">
        <is>
          <t>Brow Fix X</t>
        </is>
      </c>
      <c r="D3164" t="inlineStr">
        <is>
          <t>Milani Brow Fix Kit - Vegan, Cruelty-Free Eyebrow Color that Fills and Shapes Brows (Medium)</t>
        </is>
      </c>
      <c r="E3164" s="2">
        <f>HYPERLINK("https://www.amazon.com/Milani-Brow-Medium-0-15-Ounce/dp/B0039285HG/ref=sr_1_1?keywords=Brow+Fix+X&amp;qid=1695565482&amp;sr=8-1", "https://www.amazon.com/Milani-Brow-Medium-0-15-Ounce/dp/B0039285HG/ref=sr_1_1?keywords=Brow+Fix+X&amp;qid=1695565482&amp;sr=8-1")</f>
        <v/>
      </c>
      <c r="F3164" t="inlineStr">
        <is>
          <t>B0039285HG</t>
        </is>
      </c>
      <c r="G3164">
        <f>_xlfn.IMAGE("https://camerareadycosmetics.com/cdn/shop/products/BrowFix_SettingGel_Taupe_Alt_50x.jpg?v=1694444917")</f>
        <v/>
      </c>
      <c r="H3164">
        <f>_xlfn.IMAGE("https://m.media-amazon.com/images/I/61KKAJtoE9L._AC_UL320_.jpg")</f>
        <v/>
      </c>
      <c r="K3164" t="inlineStr">
        <is>
          <t>22.0</t>
        </is>
      </c>
      <c r="L3164" t="n">
        <v>29.99</v>
      </c>
      <c r="M3164" s="1" t="inlineStr">
        <is>
          <t>36.32%</t>
        </is>
      </c>
      <c r="N3164" t="n">
        <v>4.6</v>
      </c>
      <c r="O3164" t="n">
        <v>701</v>
      </c>
      <c r="Q3164" t="inlineStr">
        <is>
          <t>InStock</t>
        </is>
      </c>
      <c r="R3164" t="inlineStr">
        <is>
          <t>undefined</t>
        </is>
      </c>
      <c r="S3164" t="inlineStr">
        <is>
          <t>10272728842</t>
        </is>
      </c>
    </row>
    <row r="3165" ht="75" customHeight="1">
      <c r="A3165" s="2">
        <f>HYPERLINK("https://camerareadycosmetics.com/products/senna-brow-fix-x", "https://camerareadycosmetics.com/products/senna-brow-fix-x")</f>
        <v/>
      </c>
      <c r="B3165" s="2">
        <f>HYPERLINK("https://camerareadycosmetics.com/products/senna-brow-fix-x", "https://camerareadycosmetics.com/products/senna-brow-fix-x")</f>
        <v/>
      </c>
      <c r="C3165" t="inlineStr">
        <is>
          <t>Brow Fix X</t>
        </is>
      </c>
      <c r="D3165" t="inlineStr">
        <is>
          <t>Pack of 2 Milani Brow Fix Kit, Light (01)</t>
        </is>
      </c>
      <c r="E3165" s="2">
        <f>HYPERLINK("https://www.amazon.com/Pack-Milani-Brow-Fix-Light/dp/B086WQ3WH8/ref=sr_1_2?keywords=Brow+Fix+X&amp;qid=1695565482&amp;sr=8-2", "https://www.amazon.com/Pack-Milani-Brow-Fix-Light/dp/B086WQ3WH8/ref=sr_1_2?keywords=Brow+Fix+X&amp;qid=1695565482&amp;sr=8-2")</f>
        <v/>
      </c>
      <c r="F3165" t="inlineStr">
        <is>
          <t>B086WQ3WH8</t>
        </is>
      </c>
      <c r="G3165">
        <f>_xlfn.IMAGE("https://camerareadycosmetics.com/cdn/shop/products/BrowFix_SettingGel_Taupe_Alt_50x.jpg?v=1694444917")</f>
        <v/>
      </c>
      <c r="H3165">
        <f>_xlfn.IMAGE("https://m.media-amazon.com/images/I/61tRhjBNVoL._AC_UL320_.jpg")</f>
        <v/>
      </c>
      <c r="K3165" t="inlineStr">
        <is>
          <t>22.0</t>
        </is>
      </c>
      <c r="L3165" t="n">
        <v>29.99</v>
      </c>
      <c r="M3165" s="1" t="inlineStr">
        <is>
          <t>36.32%</t>
        </is>
      </c>
      <c r="N3165" t="n">
        <v>4.8</v>
      </c>
      <c r="O3165" t="n">
        <v>164</v>
      </c>
      <c r="Q3165" t="inlineStr">
        <is>
          <t>InStock</t>
        </is>
      </c>
      <c r="R3165" t="inlineStr">
        <is>
          <t>undefined</t>
        </is>
      </c>
      <c r="S3165" t="inlineStr">
        <is>
          <t>10272728842</t>
        </is>
      </c>
    </row>
    <row r="3166" ht="75" customHeight="1">
      <c r="A3166" s="2">
        <f>HYPERLINK("https://camerareadycosmetics.com/products/senna-brow-fix-x", "https://camerareadycosmetics.com/products/senna-brow-fix-x")</f>
        <v/>
      </c>
      <c r="B3166" s="2">
        <f>HYPERLINK("https://camerareadycosmetics.com/products/senna-brow-fix-x", "https://camerareadycosmetics.com/products/senna-brow-fix-x")</f>
        <v/>
      </c>
      <c r="C3166" t="inlineStr">
        <is>
          <t>Brow Fix X</t>
        </is>
      </c>
      <c r="D3166" t="inlineStr">
        <is>
          <t>Milani Brow Fix Kit, Medium</t>
        </is>
      </c>
      <c r="E3166" s="2">
        <f>HYPERLINK("https://www.amazon.com/Milani-Brow-Fix-Kit-Medium/dp/B00IX21YZW/ref=sr_1_4?keywords=Brow+Fix+X&amp;qid=1695565482&amp;sr=8-4", "https://www.amazon.com/Milani-Brow-Fix-Kit-Medium/dp/B00IX21YZW/ref=sr_1_4?keywords=Brow+Fix+X&amp;qid=1695565482&amp;sr=8-4")</f>
        <v/>
      </c>
      <c r="F3166" t="inlineStr">
        <is>
          <t>B00IX21YZW</t>
        </is>
      </c>
      <c r="G3166">
        <f>_xlfn.IMAGE("https://camerareadycosmetics.com/cdn/shop/products/BrowFix_SettingGel_Taupe_Alt_50x.jpg?v=1694444917")</f>
        <v/>
      </c>
      <c r="H3166">
        <f>_xlfn.IMAGE("https://m.media-amazon.com/images/I/61MNF3MIp5L._AC_UL320_.jpg")</f>
        <v/>
      </c>
      <c r="K3166" t="inlineStr">
        <is>
          <t>22.0</t>
        </is>
      </c>
      <c r="L3166" t="n">
        <v>29.99</v>
      </c>
      <c r="M3166" s="1" t="inlineStr">
        <is>
          <t>36.32%</t>
        </is>
      </c>
      <c r="N3166" t="n">
        <v>4.7</v>
      </c>
      <c r="O3166" t="n">
        <v>226</v>
      </c>
      <c r="Q3166" t="inlineStr">
        <is>
          <t>InStock</t>
        </is>
      </c>
      <c r="R3166" t="inlineStr">
        <is>
          <t>undefined</t>
        </is>
      </c>
      <c r="S3166" t="inlineStr">
        <is>
          <t>10272728842</t>
        </is>
      </c>
    </row>
    <row r="3167" ht="75" customHeight="1">
      <c r="A3167" s="2">
        <f>HYPERLINK("https://camerareadycosmetics.com/products/senna-brow-fix-x", "https://camerareadycosmetics.com/products/senna-brow-fix-x")</f>
        <v/>
      </c>
      <c r="B3167" s="2">
        <f>HYPERLINK("https://camerareadycosmetics.com/products/senna-brow-fix-x", "https://camerareadycosmetics.com/products/senna-brow-fix-x")</f>
        <v/>
      </c>
      <c r="C3167" t="inlineStr">
        <is>
          <t>Brow Fix X</t>
        </is>
      </c>
      <c r="D3167" t="inlineStr">
        <is>
          <t>Milani Brow Fix, Dark, 0.15 Ounce</t>
        </is>
      </c>
      <c r="E3167" s="2">
        <f>HYPERLINK("https://www.amazon.com/Milani-Brow-Dark-0-15-Ounce/dp/B006YCB45I/ref=sr_1_3?keywords=Brow+Fix+X&amp;qid=1695565482&amp;sr=8-3", "https://www.amazon.com/Milani-Brow-Dark-0-15-Ounce/dp/B006YCB45I/ref=sr_1_3?keywords=Brow+Fix+X&amp;qid=1695565482&amp;sr=8-3")</f>
        <v/>
      </c>
      <c r="F3167" t="inlineStr">
        <is>
          <t>B006YCB45I</t>
        </is>
      </c>
      <c r="G3167">
        <f>_xlfn.IMAGE("https://camerareadycosmetics.com/cdn/shop/products/BrowFix_SettingGel_Taupe_Alt_50x.jpg?v=1694444917")</f>
        <v/>
      </c>
      <c r="H3167">
        <f>_xlfn.IMAGE("https://m.media-amazon.com/images/I/71+H7w4AsAL._AC_UL320_.jpg")</f>
        <v/>
      </c>
      <c r="K3167" t="inlineStr">
        <is>
          <t>22.0</t>
        </is>
      </c>
      <c r="L3167" t="n">
        <v>19.99</v>
      </c>
      <c r="M3167" s="1" t="inlineStr">
        <is>
          <t>-9.14%</t>
        </is>
      </c>
      <c r="N3167" t="n">
        <v>4.5</v>
      </c>
      <c r="O3167" t="n">
        <v>250</v>
      </c>
      <c r="Q3167" t="inlineStr">
        <is>
          <t>InStock</t>
        </is>
      </c>
      <c r="R3167" t="inlineStr">
        <is>
          <t>undefined</t>
        </is>
      </c>
      <c r="S3167" t="inlineStr">
        <is>
          <t>10272728842</t>
        </is>
      </c>
    </row>
    <row r="3168" ht="75" customHeight="1">
      <c r="A3168" s="2">
        <f>HYPERLINK("https://camerareadycosmetics.com/products/senna-brow-fix-x", "https://camerareadycosmetics.com/products/senna-brow-fix-x")</f>
        <v/>
      </c>
      <c r="B3168" s="2">
        <f>HYPERLINK("https://camerareadycosmetics.com/products/senna-brow-fix-x", "https://camerareadycosmetics.com/products/senna-brow-fix-x")</f>
        <v/>
      </c>
      <c r="C3168" t="inlineStr">
        <is>
          <t>Brow Fix X</t>
        </is>
      </c>
      <c r="D3168" t="inlineStr">
        <is>
          <t>Milani Brow Fix Kit, Dark</t>
        </is>
      </c>
      <c r="E3168" s="2">
        <f>HYPERLINK("https://www.amazon.com/Milani-Brow-Fix-Kit-Dark/dp/B00FFJ6DP2/ref=sr_1_10?keywords=Brow+Fix+X&amp;qid=1695565482&amp;sr=8-10", "https://www.amazon.com/Milani-Brow-Fix-Kit-Dark/dp/B00FFJ6DP2/ref=sr_1_10?keywords=Brow+Fix+X&amp;qid=1695565482&amp;sr=8-10")</f>
        <v/>
      </c>
      <c r="F3168" t="inlineStr">
        <is>
          <t>B00FFJ6DP2</t>
        </is>
      </c>
      <c r="G3168">
        <f>_xlfn.IMAGE("https://camerareadycosmetics.com/cdn/shop/products/BrowFix_SettingGel_Taupe_Alt_50x.jpg?v=1694444917")</f>
        <v/>
      </c>
      <c r="H3168">
        <f>_xlfn.IMAGE("https://m.media-amazon.com/images/I/41NxcY5S6yL._AC_UL320_.jpg")</f>
        <v/>
      </c>
      <c r="K3168" t="inlineStr">
        <is>
          <t>22.0</t>
        </is>
      </c>
      <c r="L3168" t="n">
        <v>19.95</v>
      </c>
      <c r="M3168" s="1" t="inlineStr">
        <is>
          <t>-9.32%</t>
        </is>
      </c>
      <c r="N3168" t="n">
        <v>4.6</v>
      </c>
      <c r="O3168" t="n">
        <v>111</v>
      </c>
      <c r="Q3168" t="inlineStr">
        <is>
          <t>InStock</t>
        </is>
      </c>
      <c r="R3168" t="inlineStr">
        <is>
          <t>undefined</t>
        </is>
      </c>
      <c r="S3168" t="inlineStr">
        <is>
          <t>10272728842</t>
        </is>
      </c>
    </row>
    <row r="3169" ht="75" customHeight="1">
      <c r="A3169" s="2">
        <f>HYPERLINK("https://camerareadycosmetics.com/products/senna-brow-fix-x", "https://camerareadycosmetics.com/products/senna-brow-fix-x")</f>
        <v/>
      </c>
      <c r="B3169" s="2">
        <f>HYPERLINK("https://camerareadycosmetics.com/products/senna-brow-fix-x", "https://camerareadycosmetics.com/products/senna-brow-fix-x")</f>
        <v/>
      </c>
      <c r="C3169" t="inlineStr">
        <is>
          <t>Brow Fix X</t>
        </is>
      </c>
      <c r="D3169" t="inlineStr">
        <is>
          <t>Milani Brow Fix Kit, Light</t>
        </is>
      </c>
      <c r="E3169" s="2">
        <f>HYPERLINK("https://www.amazon.com/Milani-Brow-Light-0-15-Ounce/dp/B00392C4UK/ref=sr_1_5?keywords=Brow+Fix+X&amp;qid=1695565482&amp;sr=8-5", "https://www.amazon.com/Milani-Brow-Light-0-15-Ounce/dp/B00392C4UK/ref=sr_1_5?keywords=Brow+Fix+X&amp;qid=1695565482&amp;sr=8-5")</f>
        <v/>
      </c>
      <c r="F3169" t="inlineStr">
        <is>
          <t>B00392C4UK</t>
        </is>
      </c>
      <c r="G3169">
        <f>_xlfn.IMAGE("https://camerareadycosmetics.com/cdn/shop/products/BrowFix_SettingGel_Taupe_Alt_50x.jpg?v=1694444917")</f>
        <v/>
      </c>
      <c r="H3169">
        <f>_xlfn.IMAGE("https://m.media-amazon.com/images/I/51iMail8TBL._AC_UL320_.jpg")</f>
        <v/>
      </c>
      <c r="K3169" t="inlineStr">
        <is>
          <t>22.0</t>
        </is>
      </c>
      <c r="L3169" t="n">
        <v>16.15</v>
      </c>
      <c r="M3169" s="1" t="inlineStr">
        <is>
          <t>-26.59%</t>
        </is>
      </c>
      <c r="N3169" t="n">
        <v>4.6</v>
      </c>
      <c r="O3169" t="n">
        <v>1207</v>
      </c>
      <c r="Q3169" t="inlineStr">
        <is>
          <t>InStock</t>
        </is>
      </c>
      <c r="R3169" t="inlineStr">
        <is>
          <t>undefined</t>
        </is>
      </c>
      <c r="S3169" t="inlineStr">
        <is>
          <t>10272728842</t>
        </is>
      </c>
    </row>
    <row r="3170" ht="75" customHeight="1">
      <c r="A3170" s="2">
        <f>HYPERLINK("https://camerareadycosmetics.com/products/senna-brow-fix-x", "https://camerareadycosmetics.com/products/senna-brow-fix-x")</f>
        <v/>
      </c>
      <c r="B3170" s="2">
        <f>HYPERLINK("https://camerareadycosmetics.com/products/senna-brow-fix-x", "https://camerareadycosmetics.com/products/senna-brow-fix-x")</f>
        <v/>
      </c>
      <c r="C3170" t="inlineStr">
        <is>
          <t>Brow Fix X</t>
        </is>
      </c>
      <c r="D3170" t="inlineStr">
        <is>
          <t>DAGEDA 2Pcs Eyebrow Setting Gel, Eyebrow Brow Fix Gel, Waterproof and Sweat-Proof, Eyebrow Repair Liquid Brows Styling Beauty Salon Home Use Makeup, 1.81oz (Light Brown and Dark Brown)</t>
        </is>
      </c>
      <c r="E3170" s="2">
        <f>HYPERLINK("https://www.amazon.com/DAGEDA-Eyebrow-Setting-Waterproof-Sweat-Proof/dp/B0B1TY89KC/ref=sr_1_6?keywords=Brow+Fix+X&amp;qid=1695565482&amp;sr=8-6", "https://www.amazon.com/DAGEDA-Eyebrow-Setting-Waterproof-Sweat-Proof/dp/B0B1TY89KC/ref=sr_1_6?keywords=Brow+Fix+X&amp;qid=1695565482&amp;sr=8-6")</f>
        <v/>
      </c>
      <c r="F3170" t="inlineStr">
        <is>
          <t>B0B1TY89KC</t>
        </is>
      </c>
      <c r="G3170">
        <f>_xlfn.IMAGE("https://camerareadycosmetics.com/cdn/shop/products/BrowFix_SettingGel_Taupe_Alt_50x.jpg?v=1694444917")</f>
        <v/>
      </c>
      <c r="H3170">
        <f>_xlfn.IMAGE("https://m.media-amazon.com/images/I/71KgbK+-QeL._AC_UL320_.jpg")</f>
        <v/>
      </c>
      <c r="K3170" t="inlineStr">
        <is>
          <t>22.0</t>
        </is>
      </c>
      <c r="L3170" t="n">
        <v>8.99</v>
      </c>
      <c r="M3170" s="1" t="inlineStr">
        <is>
          <t>-59.14%</t>
        </is>
      </c>
      <c r="N3170" t="n">
        <v>4</v>
      </c>
      <c r="O3170" t="n">
        <v>3978</v>
      </c>
      <c r="Q3170" t="inlineStr">
        <is>
          <t>InStock</t>
        </is>
      </c>
      <c r="R3170" t="inlineStr">
        <is>
          <t>undefined</t>
        </is>
      </c>
      <c r="S3170" t="inlineStr">
        <is>
          <t>10272728842</t>
        </is>
      </c>
    </row>
    <row r="3171" ht="75" customHeight="1">
      <c r="A3171" s="2">
        <f>HYPERLINK("https://camerareadycosmetics.com/products/senna-brow-fix-x", "https://camerareadycosmetics.com/products/senna-brow-fix-x")</f>
        <v/>
      </c>
      <c r="B3171" s="2">
        <f>HYPERLINK("https://camerareadycosmetics.com/products/senna-brow-fix-x", "https://camerareadycosmetics.com/products/senna-brow-fix-x")</f>
        <v/>
      </c>
      <c r="C3171" t="inlineStr">
        <is>
          <t>Brow Fix X</t>
        </is>
      </c>
      <c r="D3171" t="inlineStr">
        <is>
          <t>essence | Fix It Like A Boss Transparent Brow Fixing Gel | Long Lasting, Fast Drying Brow Sculpting Gel | Free From Oil, Parabens, &amp; Microplastic Particles | Vegan &amp; Cruelty Free</t>
        </is>
      </c>
      <c r="E3171" s="2">
        <f>HYPERLINK("https://www.amazon.com/essence-Transparent-Sculpting-Microplastic-Particles/dp/B09VH8431N/ref=sr_1_7?keywords=Brow+Fix+X&amp;qid=1695565482&amp;sr=8-7", "https://www.amazon.com/essence-Transparent-Sculpting-Microplastic-Particles/dp/B09VH8431N/ref=sr_1_7?keywords=Brow+Fix+X&amp;qid=1695565482&amp;sr=8-7")</f>
        <v/>
      </c>
      <c r="F3171" t="inlineStr">
        <is>
          <t>B09VH8431N</t>
        </is>
      </c>
      <c r="G3171">
        <f>_xlfn.IMAGE("https://camerareadycosmetics.com/cdn/shop/products/BrowFix_SettingGel_Taupe_Alt_50x.jpg?v=1694444917")</f>
        <v/>
      </c>
      <c r="H3171">
        <f>_xlfn.IMAGE("https://m.media-amazon.com/images/I/61cA9hjefVL._AC_UL320_.jpg")</f>
        <v/>
      </c>
      <c r="K3171" t="inlineStr">
        <is>
          <t>22.0</t>
        </is>
      </c>
      <c r="L3171" t="n">
        <v>4.99</v>
      </c>
      <c r="M3171" s="1" t="inlineStr">
        <is>
          <t>-77.32%</t>
        </is>
      </c>
      <c r="N3171" t="n">
        <v>4</v>
      </c>
      <c r="O3171" t="n">
        <v>206</v>
      </c>
      <c r="Q3171" t="inlineStr">
        <is>
          <t>InStock</t>
        </is>
      </c>
      <c r="R3171" t="inlineStr">
        <is>
          <t>undefined</t>
        </is>
      </c>
      <c r="S3171" t="inlineStr">
        <is>
          <t>10272728842</t>
        </is>
      </c>
    </row>
    <row r="3172" ht="75" customHeight="1">
      <c r="A3172" s="2">
        <f>HYPERLINK("https://camerareadycosmetics.com/products/senna-brow-fix-x", "https://camerareadycosmetics.com/products/senna-brow-fix-x")</f>
        <v/>
      </c>
      <c r="B3172" s="2">
        <f>HYPERLINK("https://camerareadycosmetics.com/products/senna-brow-fix-x", "https://camerareadycosmetics.com/products/senna-brow-fix-x")</f>
        <v/>
      </c>
      <c r="C3172" t="inlineStr">
        <is>
          <t>Brow Fix X</t>
        </is>
      </c>
      <c r="D3172" t="inlineStr">
        <is>
          <t>DAGEDA 2Pcs Eyebrow Setting Gel, Eyebrow Brow Fix Gel, Waterproof and Sweat-Proof, Eyebrow Repair Liquid Brows Styling Beauty Salon Home Use Makeup, 1.81oz (Light Brown and Dark Brown)</t>
        </is>
      </c>
      <c r="E3172" s="2">
        <f>HYPERLINK("https://www.amazon.com/DAGEDA-Eyebrow-Setting-Waterproof-Sweat-Proof/dp/B0B1TY89KC/ref=sr_1_6?keywords=Brow+Fix+X&amp;qid=1695565482&amp;sr=8-6", "https://www.amazon.com/DAGEDA-Eyebrow-Setting-Waterproof-Sweat-Proof/dp/B0B1TY89KC/ref=sr_1_6?keywords=Brow+Fix+X&amp;qid=1695565482&amp;sr=8-6")</f>
        <v/>
      </c>
      <c r="F3172" t="inlineStr">
        <is>
          <t>B0B1TY89KC</t>
        </is>
      </c>
      <c r="G3172">
        <f>_xlfn.IMAGE("https://camerareadycosmetics.com/cdn/shop/products/BrowFix_SettingGel_Taupe_Alt_50x.jpg?v=1694444917")</f>
        <v/>
      </c>
      <c r="H3172">
        <f>_xlfn.IMAGE("https://m.media-amazon.com/images/I/71KgbK+-QeL._AC_UL320_.jpg")</f>
        <v/>
      </c>
      <c r="K3172" t="inlineStr">
        <is>
          <t>22.0</t>
        </is>
      </c>
      <c r="L3172" t="n">
        <v>8.99</v>
      </c>
      <c r="M3172" s="1" t="inlineStr">
        <is>
          <t>-59.14%</t>
        </is>
      </c>
      <c r="N3172" t="n">
        <v>4</v>
      </c>
      <c r="O3172" t="n">
        <v>3978</v>
      </c>
      <c r="Q3172" t="inlineStr">
        <is>
          <t>InStock</t>
        </is>
      </c>
      <c r="R3172" t="inlineStr">
        <is>
          <t>undefined</t>
        </is>
      </c>
      <c r="S3172" t="inlineStr">
        <is>
          <t>10272728842</t>
        </is>
      </c>
    </row>
    <row r="3173" ht="75" customHeight="1">
      <c r="A3173" s="2">
        <f>HYPERLINK("https://camerareadycosmetics.com/products/senna-brow-fix-x", "https://camerareadycosmetics.com/products/senna-brow-fix-x")</f>
        <v/>
      </c>
      <c r="B3173" s="2">
        <f>HYPERLINK("https://camerareadycosmetics.com/products/senna-brow-fix-x", "https://camerareadycosmetics.com/products/senna-brow-fix-x")</f>
        <v/>
      </c>
      <c r="C3173" t="inlineStr">
        <is>
          <t>Brow Fix X</t>
        </is>
      </c>
      <c r="D3173" t="inlineStr">
        <is>
          <t>essence | Fix It Like A Boss Transparent Brow Fixing Gel | Long Lasting, Fast Drying Brow Sculpting Gel | Free From Oil, Parabens, &amp; Microplastic Particles | Vegan &amp; Cruelty Free</t>
        </is>
      </c>
      <c r="E3173" s="2">
        <f>HYPERLINK("https://www.amazon.com/essence-Transparent-Sculpting-Microplastic-Particles/dp/B09VH8431N/ref=sr_1_7?keywords=Brow+Fix+X&amp;qid=1695565482&amp;sr=8-7", "https://www.amazon.com/essence-Transparent-Sculpting-Microplastic-Particles/dp/B09VH8431N/ref=sr_1_7?keywords=Brow+Fix+X&amp;qid=1695565482&amp;sr=8-7")</f>
        <v/>
      </c>
      <c r="F3173" t="inlineStr">
        <is>
          <t>B09VH8431N</t>
        </is>
      </c>
      <c r="G3173">
        <f>_xlfn.IMAGE("https://camerareadycosmetics.com/cdn/shop/products/BrowFix_SettingGel_Taupe_Alt_50x.jpg?v=1694444917")</f>
        <v/>
      </c>
      <c r="H3173">
        <f>_xlfn.IMAGE("https://m.media-amazon.com/images/I/61cA9hjefVL._AC_UL320_.jpg")</f>
        <v/>
      </c>
      <c r="K3173" t="inlineStr">
        <is>
          <t>22.0</t>
        </is>
      </c>
      <c r="L3173" t="n">
        <v>4.99</v>
      </c>
      <c r="M3173" s="1" t="inlineStr">
        <is>
          <t>-77.32%</t>
        </is>
      </c>
      <c r="N3173" t="n">
        <v>4</v>
      </c>
      <c r="O3173" t="n">
        <v>206</v>
      </c>
      <c r="Q3173" t="inlineStr">
        <is>
          <t>InStock</t>
        </is>
      </c>
      <c r="R3173" t="inlineStr">
        <is>
          <t>undefined</t>
        </is>
      </c>
      <c r="S3173" t="inlineStr">
        <is>
          <t>10272728842</t>
        </is>
      </c>
    </row>
    <row r="3174" ht="75" customHeight="1">
      <c r="A3174" s="2">
        <f>HYPERLINK("https://camerareadycosmetics.com/products/senna-butter-up-lip-balm", "https://camerareadycosmetics.com/products/senna-butter-up-lip-balm")</f>
        <v/>
      </c>
      <c r="B3174" s="2">
        <f>HYPERLINK("https://camerareadycosmetics.com/products/senna-butter-up-lip-balm", "https://camerareadycosmetics.com/products/senna-butter-up-lip-balm")</f>
        <v/>
      </c>
      <c r="C3174" t="inlineStr">
        <is>
          <t>Butter Up Lip Balm</t>
        </is>
      </c>
      <c r="D3174" t="inlineStr">
        <is>
          <t>MAC 'Tendertalk' Lip Balm - Pretty Me Up</t>
        </is>
      </c>
      <c r="E3174" s="2">
        <f>HYPERLINK("https://www.amazon.com/MAC-Tendertalk-Lip-Balm-Pretty/dp/B01MDUFIAR/ref=sr_1_8?keywords=Butter+Up+Lip+Balm&amp;qid=1695565782&amp;sr=8-8", "https://www.amazon.com/MAC-Tendertalk-Lip-Balm-Pretty/dp/B01MDUFIAR/ref=sr_1_8?keywords=Butter+Up+Lip+Balm&amp;qid=1695565782&amp;sr=8-8")</f>
        <v/>
      </c>
      <c r="F3174" t="inlineStr">
        <is>
          <t>B01MDUFIAR</t>
        </is>
      </c>
      <c r="G3174">
        <f>_xlfn.IMAGE("https://camerareadycosmetics.com/cdn/shop/products/senna-butterup_lipbalm_open_50x.jpg?v=1579174012")</f>
        <v/>
      </c>
      <c r="H3174">
        <f>_xlfn.IMAGE("https://m.media-amazon.com/images/I/51oSjnh8KRL._AC_UL320_.jpg")</f>
        <v/>
      </c>
      <c r="K3174" t="inlineStr">
        <is>
          <t>16.0</t>
        </is>
      </c>
      <c r="L3174" t="n">
        <v>25.49</v>
      </c>
      <c r="M3174" s="1" t="inlineStr">
        <is>
          <t>59.31%</t>
        </is>
      </c>
      <c r="N3174" t="n">
        <v>3.6</v>
      </c>
      <c r="O3174" t="n">
        <v>6</v>
      </c>
      <c r="Q3174" t="inlineStr">
        <is>
          <t>InStock</t>
        </is>
      </c>
      <c r="R3174" t="inlineStr">
        <is>
          <t>undefined</t>
        </is>
      </c>
      <c r="S3174" t="inlineStr">
        <is>
          <t>4369604804719</t>
        </is>
      </c>
    </row>
    <row r="3175" ht="75" customHeight="1">
      <c r="A3175" s="2">
        <f>HYPERLINK("https://camerareadycosmetics.com/products/senna-butter-up-lip-balm", "https://camerareadycosmetics.com/products/senna-butter-up-lip-balm")</f>
        <v/>
      </c>
      <c r="B3175" s="2">
        <f>HYPERLINK("https://camerareadycosmetics.com/products/senna-butter-up-lip-balm", "https://camerareadycosmetics.com/products/senna-butter-up-lip-balm")</f>
        <v/>
      </c>
      <c r="C3175" t="inlineStr">
        <is>
          <t>Butter Up Lip Balm</t>
        </is>
      </c>
      <c r="D3175" t="inlineStr">
        <is>
          <t>Cococare Cocoa Butter Lip Balm - The Little Yellow Stick - Conditions &amp; Protects Lips with Hydrating Formula - Light Scent of Cocoa Butter - 0.15oz (10 Sticks)</t>
        </is>
      </c>
      <c r="E3175" s="2">
        <f>HYPERLINK("https://www.amazon.com/Cocoa-Butter-Lip-Balm-15-10/dp/B00I813CUS/ref=sr_1_3?keywords=Butter+Up+Lip+Balm&amp;qid=1695565782&amp;sr=8-3", "https://www.amazon.com/Cocoa-Butter-Lip-Balm-15-10/dp/B00I813CUS/ref=sr_1_3?keywords=Butter+Up+Lip+Balm&amp;qid=1695565782&amp;sr=8-3")</f>
        <v/>
      </c>
      <c r="F3175" t="inlineStr">
        <is>
          <t>B00I813CUS</t>
        </is>
      </c>
      <c r="G3175">
        <f>_xlfn.IMAGE("https://camerareadycosmetics.com/cdn/shop/products/senna-butterup_lipbalm_open_50x.jpg?v=1579174012")</f>
        <v/>
      </c>
      <c r="H3175">
        <f>_xlfn.IMAGE("https://m.media-amazon.com/images/I/716T0gRxNIL._AC_UL320_.jpg")</f>
        <v/>
      </c>
      <c r="K3175" t="inlineStr">
        <is>
          <t>16.0</t>
        </is>
      </c>
      <c r="L3175" t="n">
        <v>17.75</v>
      </c>
      <c r="M3175" s="1" t="inlineStr">
        <is>
          <t>10.94%</t>
        </is>
      </c>
      <c r="N3175" t="n">
        <v>4.8</v>
      </c>
      <c r="O3175" t="n">
        <v>1604</v>
      </c>
      <c r="Q3175" t="inlineStr">
        <is>
          <t>InStock</t>
        </is>
      </c>
      <c r="R3175" t="inlineStr">
        <is>
          <t>undefined</t>
        </is>
      </c>
      <c r="S3175" t="inlineStr">
        <is>
          <t>4369604804719</t>
        </is>
      </c>
    </row>
    <row r="3176" ht="75" customHeight="1">
      <c r="A3176" s="2">
        <f>HYPERLINK("https://camerareadycosmetics.com/products/senna-butter-up-lip-balm", "https://camerareadycosmetics.com/products/senna-butter-up-lip-balm")</f>
        <v/>
      </c>
      <c r="B3176" s="2">
        <f>HYPERLINK("https://camerareadycosmetics.com/products/senna-butter-up-lip-balm", "https://camerareadycosmetics.com/products/senna-butter-up-lip-balm")</f>
        <v/>
      </c>
      <c r="C3176" t="inlineStr">
        <is>
          <t>Butter Up Lip Balm</t>
        </is>
      </c>
      <c r="D3176" t="inlineStr">
        <is>
          <t>40 PCS 4.5g Oval Lip Balm Tubes Plastic Twist-up Filling Stick Refillable Lipstick Tube Containers for Chapstick Homemade Lip Balm DIY Deodorants Crayon (Clear)</t>
        </is>
      </c>
      <c r="E3176" s="2">
        <f>HYPERLINK("https://www.amazon.com/Twist-up-Refillable-Containers-Chapstick-Deodorants/dp/B0BLR8RPY1/ref=sr_1_6?keywords=Butter+Up+Lip+Balm&amp;qid=1695565782&amp;sr=8-6", "https://www.amazon.com/Twist-up-Refillable-Containers-Chapstick-Deodorants/dp/B0BLR8RPY1/ref=sr_1_6?keywords=Butter+Up+Lip+Balm&amp;qid=1695565782&amp;sr=8-6")</f>
        <v/>
      </c>
      <c r="F3176" t="inlineStr">
        <is>
          <t>B0BLR8RPY1</t>
        </is>
      </c>
      <c r="G3176">
        <f>_xlfn.IMAGE("https://camerareadycosmetics.com/cdn/shop/products/senna-butterup_lipbalm_open_50x.jpg?v=1579174012")</f>
        <v/>
      </c>
      <c r="H3176">
        <f>_xlfn.IMAGE("https://m.media-amazon.com/images/I/610yEHK3o+L._AC_UL320_.jpg")</f>
        <v/>
      </c>
      <c r="K3176" t="inlineStr">
        <is>
          <t>16.0</t>
        </is>
      </c>
      <c r="L3176" t="n">
        <v>11.99</v>
      </c>
      <c r="M3176" s="1" t="inlineStr">
        <is>
          <t>-25.06%</t>
        </is>
      </c>
      <c r="N3176" t="n">
        <v>3.8</v>
      </c>
      <c r="O3176" t="n">
        <v>6</v>
      </c>
      <c r="Q3176" t="inlineStr">
        <is>
          <t>InStock</t>
        </is>
      </c>
      <c r="R3176" t="inlineStr">
        <is>
          <t>undefined</t>
        </is>
      </c>
      <c r="S3176" t="inlineStr">
        <is>
          <t>4369604804719</t>
        </is>
      </c>
    </row>
    <row r="3177" ht="75" customHeight="1">
      <c r="A3177" s="2">
        <f>HYPERLINK("https://camerareadycosmetics.com/products/senna-butter-up-lip-balm", "https://camerareadycosmetics.com/products/senna-butter-up-lip-balm")</f>
        <v/>
      </c>
      <c r="B3177" s="2">
        <f>HYPERLINK("https://camerareadycosmetics.com/products/senna-butter-up-lip-balm", "https://camerareadycosmetics.com/products/senna-butter-up-lip-balm")</f>
        <v/>
      </c>
      <c r="C3177" t="inlineStr">
        <is>
          <t>Butter Up Lip Balm</t>
        </is>
      </c>
      <c r="D3177" t="inlineStr">
        <is>
          <t>L'Occitane Ultra-Rich 10% Shea Butter Nourishing Lip Balm Stick: Moisturize Dry Lips, Twist Up, Softening, With Beeswax and Castor Oil, Silicone-Free</t>
        </is>
      </c>
      <c r="E3177" s="2">
        <f>HYPERLINK("https://www.amazon.com/LOccitane-Butter-Stick-Unisex-Ounce/dp/B0009JQN9Y/ref=sr_1_2?keywords=Butter+Up+Lip+Balm&amp;qid=1695565782&amp;sr=8-2", "https://www.amazon.com/LOccitane-Butter-Stick-Unisex-Ounce/dp/B0009JQN9Y/ref=sr_1_2?keywords=Butter+Up+Lip+Balm&amp;qid=1695565782&amp;sr=8-2")</f>
        <v/>
      </c>
      <c r="F3177" t="inlineStr">
        <is>
          <t>B0009JQN9Y</t>
        </is>
      </c>
      <c r="G3177">
        <f>_xlfn.IMAGE("https://camerareadycosmetics.com/cdn/shop/products/senna-butterup_lipbalm_open_50x.jpg?v=1579174012")</f>
        <v/>
      </c>
      <c r="H3177">
        <f>_xlfn.IMAGE("https://m.media-amazon.com/images/I/41YZp9DuaDL._AC_UL320_.jpg")</f>
        <v/>
      </c>
      <c r="K3177" t="inlineStr">
        <is>
          <t>16.0</t>
        </is>
      </c>
      <c r="L3177" t="n">
        <v>10</v>
      </c>
      <c r="M3177" s="1" t="inlineStr">
        <is>
          <t>-37.50%</t>
        </is>
      </c>
      <c r="N3177" t="n">
        <v>4.4</v>
      </c>
      <c r="O3177" t="n">
        <v>1768</v>
      </c>
      <c r="Q3177" t="inlineStr">
        <is>
          <t>InStock</t>
        </is>
      </c>
      <c r="R3177" t="inlineStr">
        <is>
          <t>undefined</t>
        </is>
      </c>
      <c r="S3177" t="inlineStr">
        <is>
          <t>4369604804719</t>
        </is>
      </c>
    </row>
    <row r="3178" ht="75" customHeight="1">
      <c r="A3178" s="2">
        <f>HYPERLINK("https://camerareadycosmetics.com/products/senna-butter-up-lip-balm", "https://camerareadycosmetics.com/products/senna-butter-up-lip-balm")</f>
        <v/>
      </c>
      <c r="B3178" s="2">
        <f>HYPERLINK("https://camerareadycosmetics.com/products/senna-butter-up-lip-balm", "https://camerareadycosmetics.com/products/senna-butter-up-lip-balm")</f>
        <v/>
      </c>
      <c r="C3178" t="inlineStr">
        <is>
          <t>Butter Up Lip Balm</t>
        </is>
      </c>
      <c r="D3178" t="inlineStr">
        <is>
          <t>DMuuuDM 50 Pcs 5.5g Twist-up Lip Balm Tubes,Empty Plastic Lip Gloss Balm Containers Rotatable Deodorant Containers for DIY Homemade Lipsticks, Chapsticks and Homemade Solid Perfume,Pink</t>
        </is>
      </c>
      <c r="E3178" s="2">
        <f>HYPERLINK("https://www.amazon.com/DMuuuDM-Containers-Rotatable-Deodorant-Chapsticks/dp/B0C5Y423QW/ref=sr_1_10?keywords=Butter+Up+Lip+Balm&amp;qid=1695565782&amp;sr=8-10", "https://www.amazon.com/DMuuuDM-Containers-Rotatable-Deodorant-Chapsticks/dp/B0C5Y423QW/ref=sr_1_10?keywords=Butter+Up+Lip+Balm&amp;qid=1695565782&amp;sr=8-10")</f>
        <v/>
      </c>
      <c r="F3178" t="inlineStr">
        <is>
          <t>B0C5Y423QW</t>
        </is>
      </c>
      <c r="G3178">
        <f>_xlfn.IMAGE("https://camerareadycosmetics.com/cdn/shop/products/senna-butterup_lipbalm_open_50x.jpg?v=1579174012")</f>
        <v/>
      </c>
      <c r="H3178">
        <f>_xlfn.IMAGE("https://m.media-amazon.com/images/I/61chrkVTqUL._AC_UL320_.jpg")</f>
        <v/>
      </c>
      <c r="K3178" t="inlineStr">
        <is>
          <t>16.0</t>
        </is>
      </c>
      <c r="L3178" t="n">
        <v>9.99</v>
      </c>
      <c r="M3178" s="1" t="inlineStr">
        <is>
          <t>-37.56%</t>
        </is>
      </c>
      <c r="N3178" t="n">
        <v>5</v>
      </c>
      <c r="O3178" t="n">
        <v>1</v>
      </c>
      <c r="Q3178" t="inlineStr">
        <is>
          <t>InStock</t>
        </is>
      </c>
      <c r="R3178" t="inlineStr">
        <is>
          <t>undefined</t>
        </is>
      </c>
      <c r="S3178" t="inlineStr">
        <is>
          <t>4369604804719</t>
        </is>
      </c>
    </row>
    <row r="3179" ht="75" customHeight="1">
      <c r="A3179" s="2">
        <f>HYPERLINK("https://camerareadycosmetics.com/products/senna-butter-up-lip-balm", "https://camerareadycosmetics.com/products/senna-butter-up-lip-balm")</f>
        <v/>
      </c>
      <c r="B3179" s="2">
        <f>HYPERLINK("https://camerareadycosmetics.com/products/senna-butter-up-lip-balm", "https://camerareadycosmetics.com/products/senna-butter-up-lip-balm")</f>
        <v/>
      </c>
      <c r="C3179" t="inlineStr">
        <is>
          <t>Butter Up Lip Balm</t>
        </is>
      </c>
      <c r="D3179" t="inlineStr">
        <is>
          <t>Wet n Wild Partner Up Lip Balm Stick Peach Boot camp</t>
        </is>
      </c>
      <c r="E3179" s="2">
        <f>HYPERLINK("https://www.amazon.com/Wild-Partner-Balm-Stick-Peach/dp/B09SVW5JCD/ref=sr_1_7?keywords=Butter+Up+Lip+Balm&amp;qid=1695565782&amp;sr=8-7", "https://www.amazon.com/Wild-Partner-Balm-Stick-Peach/dp/B09SVW5JCD/ref=sr_1_7?keywords=Butter+Up+Lip+Balm&amp;qid=1695565782&amp;sr=8-7")</f>
        <v/>
      </c>
      <c r="F3179" t="inlineStr">
        <is>
          <t>B09SVW5JCD</t>
        </is>
      </c>
      <c r="G3179">
        <f>_xlfn.IMAGE("https://camerareadycosmetics.com/cdn/shop/products/senna-butterup_lipbalm_open_50x.jpg?v=1579174012")</f>
        <v/>
      </c>
      <c r="H3179">
        <f>_xlfn.IMAGE("https://m.media-amazon.com/images/I/416lVmMChgL._AC_UL320_.jpg")</f>
        <v/>
      </c>
      <c r="K3179" t="inlineStr">
        <is>
          <t>16.0</t>
        </is>
      </c>
      <c r="L3179" t="n">
        <v>5.5</v>
      </c>
      <c r="M3179" s="1" t="inlineStr">
        <is>
          <t>-65.62%</t>
        </is>
      </c>
      <c r="N3179" t="n">
        <v>5</v>
      </c>
      <c r="O3179" t="n">
        <v>1</v>
      </c>
      <c r="Q3179" t="inlineStr">
        <is>
          <t>InStock</t>
        </is>
      </c>
      <c r="R3179" t="inlineStr">
        <is>
          <t>undefined</t>
        </is>
      </c>
      <c r="S3179" t="inlineStr">
        <is>
          <t>4369604804719</t>
        </is>
      </c>
    </row>
    <row r="3180" ht="75" customHeight="1">
      <c r="A3180" s="2">
        <f>HYPERLINK("https://camerareadycosmetics.com/products/senna-butter-up-lip-balm", "https://camerareadycosmetics.com/products/senna-butter-up-lip-balm")</f>
        <v/>
      </c>
      <c r="B3180" s="2">
        <f>HYPERLINK("https://camerareadycosmetics.com/products/senna-butter-up-lip-balm", "https://camerareadycosmetics.com/products/senna-butter-up-lip-balm")</f>
        <v/>
      </c>
      <c r="C3180" t="inlineStr">
        <is>
          <t>Butter Up Lip Balm</t>
        </is>
      </c>
      <c r="D3180" t="inlineStr">
        <is>
          <t>Wet n Wild Partner Up Lip Balm Stick Peach Boot camp</t>
        </is>
      </c>
      <c r="E3180" s="2">
        <f>HYPERLINK("https://www.amazon.com/Wild-Partner-Balm-Stick-Peach/dp/B09SVW5JCD/ref=sr_1_7?keywords=Butter+Up+Lip+Balm&amp;qid=1695565782&amp;sr=8-7", "https://www.amazon.com/Wild-Partner-Balm-Stick-Peach/dp/B09SVW5JCD/ref=sr_1_7?keywords=Butter+Up+Lip+Balm&amp;qid=1695565782&amp;sr=8-7")</f>
        <v/>
      </c>
      <c r="F3180" t="inlineStr">
        <is>
          <t>B09SVW5JCD</t>
        </is>
      </c>
      <c r="G3180">
        <f>_xlfn.IMAGE("https://camerareadycosmetics.com/cdn/shop/products/senna-butterup_lipbalm_open_50x.jpg?v=1579174012")</f>
        <v/>
      </c>
      <c r="H3180">
        <f>_xlfn.IMAGE("https://m.media-amazon.com/images/I/416lVmMChgL._AC_UL320_.jpg")</f>
        <v/>
      </c>
      <c r="K3180" t="inlineStr">
        <is>
          <t>16.0</t>
        </is>
      </c>
      <c r="L3180" t="n">
        <v>5.5</v>
      </c>
      <c r="M3180" s="1" t="inlineStr">
        <is>
          <t>-65.62%</t>
        </is>
      </c>
      <c r="N3180" t="n">
        <v>5</v>
      </c>
      <c r="O3180" t="n">
        <v>1</v>
      </c>
      <c r="Q3180" t="inlineStr">
        <is>
          <t>InStock</t>
        </is>
      </c>
      <c r="R3180" t="inlineStr">
        <is>
          <t>undefined</t>
        </is>
      </c>
      <c r="S3180" t="inlineStr">
        <is>
          <t>4369604804719</t>
        </is>
      </c>
    </row>
    <row r="3181" ht="75" customHeight="1">
      <c r="A3181" s="2">
        <f>HYPERLINK("https://camerareadycosmetics.com/products/senna-form-a-brow-kit", "https://camerareadycosmetics.com/products/senna-form-a-brow-kit")</f>
        <v/>
      </c>
      <c r="B3181" s="2">
        <f>HYPERLINK("https://camerareadycosmetics.com/products/senna-form-a-brow-kit", "https://camerareadycosmetics.com/products/senna-form-a-brow-kit")</f>
        <v/>
      </c>
      <c r="C3181" t="inlineStr">
        <is>
          <t>Form-A-Brow Kit</t>
        </is>
      </c>
      <c r="D3181" t="inlineStr">
        <is>
          <t>MADLUVV Eyebrow Stencil Kit - Easy-to-Use, Natural Look, 6 Popular Shapes, Used by Professionals - Includes Stamp, Stencils, Spoolie, and Travel Bag (Dark Brown)</t>
        </is>
      </c>
      <c r="E3181" s="2">
        <f>HYPERLINK("https://www.amazon.com/MADLUVV-Eyebrow-Stencil-Easy-Use/dp/B0C4W3582S/ref=sr_1_4?keywords=Form-A-Brow+Kit&amp;qid=1695565673&amp;sr=8-4", "https://www.amazon.com/MADLUVV-Eyebrow-Stencil-Easy-Use/dp/B0C4W3582S/ref=sr_1_4?keywords=Form-A-Brow+Kit&amp;qid=1695565673&amp;sr=8-4")</f>
        <v/>
      </c>
      <c r="F3181" t="inlineStr">
        <is>
          <t>B0C4W3582S</t>
        </is>
      </c>
      <c r="G3181">
        <f>_xlfn.IMAGE("https://camerareadycosmetics.com/cdn/shop/products/Ash-Blonde-with-Stencils_50x.jpg?v=1689634081")</f>
        <v/>
      </c>
      <c r="H3181">
        <f>_xlfn.IMAGE("https://m.media-amazon.com/images/I/51+KBFafc3L._AC_UL320_.jpg")</f>
        <v/>
      </c>
      <c r="K3181" t="inlineStr">
        <is>
          <t>45.0</t>
        </is>
      </c>
      <c r="L3181" t="n">
        <v>43</v>
      </c>
      <c r="M3181" s="1" t="inlineStr">
        <is>
          <t>-4.44%</t>
        </is>
      </c>
      <c r="N3181" t="n">
        <v>3.8</v>
      </c>
      <c r="O3181" t="n">
        <v>7763</v>
      </c>
      <c r="Q3181" t="inlineStr">
        <is>
          <t>InStock</t>
        </is>
      </c>
      <c r="R3181" t="inlineStr">
        <is>
          <t>undefined</t>
        </is>
      </c>
      <c r="S3181" t="inlineStr">
        <is>
          <t>7036778375</t>
        </is>
      </c>
    </row>
    <row r="3182" ht="75" customHeight="1">
      <c r="A3182" s="2">
        <f>HYPERLINK("https://camerareadycosmetics.com/products/senna-form-a-brow-kit", "https://camerareadycosmetics.com/products/senna-form-a-brow-kit")</f>
        <v/>
      </c>
      <c r="B3182" s="2">
        <f>HYPERLINK("https://camerareadycosmetics.com/products/senna-form-a-brow-kit", "https://camerareadycosmetics.com/products/senna-form-a-brow-kit")</f>
        <v/>
      </c>
      <c r="C3182" t="inlineStr">
        <is>
          <t>Form-A-Brow Kit</t>
        </is>
      </c>
      <c r="D3182" t="inlineStr">
        <is>
          <t>Senna Cosmetics Form-A-Brow Kit, Ash Blonde, 0.15 Ounce</t>
        </is>
      </c>
      <c r="E3182" s="2">
        <f>HYPERLINK("https://www.amazon.com/Senna-Cosmetics-Form-Stencil-Blonde/dp/B001P6AVRU/ref=sr_1_1?keywords=Form-A-Brow+Kit&amp;qid=1695565673&amp;sr=8-1", "https://www.amazon.com/Senna-Cosmetics-Form-Stencil-Blonde/dp/B001P6AVRU/ref=sr_1_1?keywords=Form-A-Brow+Kit&amp;qid=1695565673&amp;sr=8-1")</f>
        <v/>
      </c>
      <c r="F3182" t="inlineStr">
        <is>
          <t>B001P6AVRU</t>
        </is>
      </c>
      <c r="G3182">
        <f>_xlfn.IMAGE("https://camerareadycosmetics.com/cdn/shop/products/Ash-Blonde-with-Stencils_50x.jpg?v=1689634081")</f>
        <v/>
      </c>
      <c r="H3182">
        <f>_xlfn.IMAGE("https://m.media-amazon.com/images/I/51YhsGmSppS._AC_UL320_.jpg")</f>
        <v/>
      </c>
      <c r="K3182" t="inlineStr">
        <is>
          <t>45.0</t>
        </is>
      </c>
      <c r="L3182" t="n">
        <v>35.99</v>
      </c>
      <c r="M3182" s="1" t="inlineStr">
        <is>
          <t>-20.02%</t>
        </is>
      </c>
      <c r="N3182" t="n">
        <v>4.4</v>
      </c>
      <c r="O3182" t="n">
        <v>54</v>
      </c>
      <c r="Q3182" t="inlineStr">
        <is>
          <t>InStock</t>
        </is>
      </c>
      <c r="R3182" t="inlineStr">
        <is>
          <t>undefined</t>
        </is>
      </c>
      <c r="S3182" t="inlineStr">
        <is>
          <t>7036778375</t>
        </is>
      </c>
    </row>
    <row r="3183" ht="75" customHeight="1">
      <c r="A3183" s="2">
        <f>HYPERLINK("https://camerareadycosmetics.com/products/senna-form-a-brow-kit", "https://camerareadycosmetics.com/products/senna-form-a-brow-kit")</f>
        <v/>
      </c>
      <c r="B3183" s="2">
        <f>HYPERLINK("https://camerareadycosmetics.com/products/senna-form-a-brow-kit", "https://camerareadycosmetics.com/products/senna-form-a-brow-kit")</f>
        <v/>
      </c>
      <c r="C3183" t="inlineStr">
        <is>
          <t>Form-A-Brow Kit</t>
        </is>
      </c>
      <c r="D3183" t="inlineStr">
        <is>
          <t>Senna Cosmetics Form-A-Brow Kit, Neutral, 0.15 Ounce</t>
        </is>
      </c>
      <c r="E3183" s="2">
        <f>HYPERLINK("https://www.amazon.com/Senna-Cosmetics-Form-Stencil-Neutral/dp/B0136CYYDM/ref=sr_1_2?keywords=Form-A-Brow+Kit&amp;qid=1695565673&amp;sr=8-2", "https://www.amazon.com/Senna-Cosmetics-Form-Stencil-Neutral/dp/B0136CYYDM/ref=sr_1_2?keywords=Form-A-Brow+Kit&amp;qid=1695565673&amp;sr=8-2")</f>
        <v/>
      </c>
      <c r="F3183" t="inlineStr">
        <is>
          <t>B0136CYYDM</t>
        </is>
      </c>
      <c r="G3183">
        <f>_xlfn.IMAGE("https://camerareadycosmetics.com/cdn/shop/products/Ash-Blonde-with-Stencils_50x.jpg?v=1689634081")</f>
        <v/>
      </c>
      <c r="H3183">
        <f>_xlfn.IMAGE("https://m.media-amazon.com/images/I/61gAdgFuDML._AC_UL320_.jpg")</f>
        <v/>
      </c>
      <c r="K3183" t="inlineStr">
        <is>
          <t>45.0</t>
        </is>
      </c>
      <c r="L3183" t="n">
        <v>35.99</v>
      </c>
      <c r="M3183" s="1" t="inlineStr">
        <is>
          <t>-20.02%</t>
        </is>
      </c>
      <c r="N3183" t="n">
        <v>4.2</v>
      </c>
      <c r="O3183" t="n">
        <v>45</v>
      </c>
      <c r="Q3183" t="inlineStr">
        <is>
          <t>InStock</t>
        </is>
      </c>
      <c r="R3183" t="inlineStr">
        <is>
          <t>undefined</t>
        </is>
      </c>
      <c r="S3183" t="inlineStr">
        <is>
          <t>7036778375</t>
        </is>
      </c>
    </row>
    <row r="3184" ht="75" customHeight="1">
      <c r="A3184" s="2">
        <f>HYPERLINK("https://camerareadycosmetics.com/products/senna-form-a-brow-kit", "https://camerareadycosmetics.com/products/senna-form-a-brow-kit")</f>
        <v/>
      </c>
      <c r="B3184" s="2">
        <f>HYPERLINK("https://camerareadycosmetics.com/products/senna-form-a-brow-kit", "https://camerareadycosmetics.com/products/senna-form-a-brow-kit")</f>
        <v/>
      </c>
      <c r="C3184" t="inlineStr">
        <is>
          <t>Form-A-Brow Kit</t>
        </is>
      </c>
      <c r="D3184" t="inlineStr">
        <is>
          <t>Eyebrow Stamp Stencil Kit, Eyebrow Stamp Pomade with 24 Reusable Thin &amp; Thick Brow Stencils, Eyebrow Stencils Shaping Kit Definer (Soft Brown)</t>
        </is>
      </c>
      <c r="E3184" s="2">
        <f>HYPERLINK("https://www.amazon.com/Eyebrow-Stencil-Reusable-Stencils-Shaping/dp/B09XKZ7SFQ/ref=sr_1_9?keywords=Form-A-Brow+Kit&amp;qid=1695565673&amp;sr=8-9", "https://www.amazon.com/Eyebrow-Stencil-Reusable-Stencils-Shaping/dp/B09XKZ7SFQ/ref=sr_1_9?keywords=Form-A-Brow+Kit&amp;qid=1695565673&amp;sr=8-9")</f>
        <v/>
      </c>
      <c r="F3184" t="inlineStr">
        <is>
          <t>B09XKZ7SFQ</t>
        </is>
      </c>
      <c r="G3184">
        <f>_xlfn.IMAGE("https://camerareadycosmetics.com/cdn/shop/products/Ash-Blonde-with-Stencils_50x.jpg?v=1689634081")</f>
        <v/>
      </c>
      <c r="H3184">
        <f>_xlfn.IMAGE("https://m.media-amazon.com/images/I/61x7vPtKvBL._AC_UL320_.jpg")</f>
        <v/>
      </c>
      <c r="K3184" t="inlineStr">
        <is>
          <t>45.0</t>
        </is>
      </c>
      <c r="L3184" t="n">
        <v>15.98</v>
      </c>
      <c r="M3184" s="1" t="inlineStr">
        <is>
          <t>-64.49%</t>
        </is>
      </c>
      <c r="N3184" t="n">
        <v>4.3</v>
      </c>
      <c r="O3184" t="n">
        <v>11409</v>
      </c>
      <c r="Q3184" t="inlineStr">
        <is>
          <t>InStock</t>
        </is>
      </c>
      <c r="R3184" t="inlineStr">
        <is>
          <t>undefined</t>
        </is>
      </c>
      <c r="S3184" t="inlineStr">
        <is>
          <t>7036778375</t>
        </is>
      </c>
    </row>
    <row r="3185" ht="75" customHeight="1">
      <c r="A3185" s="2">
        <f>HYPERLINK("https://camerareadycosmetics.com/products/senna-form-a-brow-kit", "https://camerareadycosmetics.com/products/senna-form-a-brow-kit")</f>
        <v/>
      </c>
      <c r="B3185" s="2">
        <f>HYPERLINK("https://camerareadycosmetics.com/products/senna-form-a-brow-kit", "https://camerareadycosmetics.com/products/senna-form-a-brow-kit")</f>
        <v/>
      </c>
      <c r="C3185" t="inlineStr">
        <is>
          <t>Form-A-Brow Kit</t>
        </is>
      </c>
      <c r="D3185" t="inlineStr">
        <is>
          <t>Eyebrow Stamp Pencil Kit for Eyebrows, Makeup Brow Stamp Trio Kit with Waterproof Eyebrow Pencil, Eyeliner, Eyebrow Pomade, and Dual-ended Eyebrow Brush - Taupe</t>
        </is>
      </c>
      <c r="E3185" s="2">
        <f>HYPERLINK("https://www.amazon.com/Eyebrow-Eyebrows-Waterproof-Eyeliner-Dual-ended/dp/B0BVMP81HJ/ref=sr_1_7?keywords=Form-A-Brow+Kit&amp;qid=1695565673&amp;sr=8-7", "https://www.amazon.com/Eyebrow-Eyebrows-Waterproof-Eyeliner-Dual-ended/dp/B0BVMP81HJ/ref=sr_1_7?keywords=Form-A-Brow+Kit&amp;qid=1695565673&amp;sr=8-7")</f>
        <v/>
      </c>
      <c r="F3185" t="inlineStr">
        <is>
          <t>B0BVMP81HJ</t>
        </is>
      </c>
      <c r="G3185">
        <f>_xlfn.IMAGE("https://camerareadycosmetics.com/cdn/shop/products/Ash-Blonde-with-Stencils_50x.jpg?v=1689634081")</f>
        <v/>
      </c>
      <c r="H3185">
        <f>_xlfn.IMAGE("https://m.media-amazon.com/images/I/61KoR3W6syL._AC_UL320_.jpg")</f>
        <v/>
      </c>
      <c r="K3185" t="inlineStr">
        <is>
          <t>45.0</t>
        </is>
      </c>
      <c r="L3185" t="n">
        <v>13.99</v>
      </c>
      <c r="M3185" s="1" t="inlineStr">
        <is>
          <t>-68.91%</t>
        </is>
      </c>
      <c r="N3185" t="n">
        <v>4.3</v>
      </c>
      <c r="O3185" t="n">
        <v>1556</v>
      </c>
      <c r="Q3185" t="inlineStr">
        <is>
          <t>InStock</t>
        </is>
      </c>
      <c r="R3185" t="inlineStr">
        <is>
          <t>undefined</t>
        </is>
      </c>
      <c r="S3185" t="inlineStr">
        <is>
          <t>7036778375</t>
        </is>
      </c>
    </row>
    <row r="3186" ht="75" customHeight="1">
      <c r="A3186" s="2">
        <f>HYPERLINK("https://camerareadycosmetics.com/products/senna-form-a-brow-kit", "https://camerareadycosmetics.com/products/senna-form-a-brow-kit")</f>
        <v/>
      </c>
      <c r="B3186" s="2">
        <f>HYPERLINK("https://camerareadycosmetics.com/products/senna-form-a-brow-kit", "https://camerareadycosmetics.com/products/senna-form-a-brow-kit")</f>
        <v/>
      </c>
      <c r="C3186" t="inlineStr">
        <is>
          <t>Form-A-Brow Kit</t>
        </is>
      </c>
      <c r="D3186" t="inlineStr">
        <is>
          <t>ANHOME Step Brow Stamp &amp; Eyebrow Stamp Stencil Kit - 1 Step Eyebrow Stamp and Shaping Kit for Perfect Brow, 6 Brow Stamp Stencils Kit, Long-lasting, Waterproof (DARK BROWN), AN2197, 7 Piece Set</t>
        </is>
      </c>
      <c r="E3186" s="2">
        <f>HYPERLINK("https://www.amazon.com/ANHOME-Step-Stamp-Eyebrow-Stencil/dp/B09FM6HHHR/ref=sr_1_10?keywords=Form-A-Brow+Kit&amp;qid=1695565673&amp;sr=8-10", "https://www.amazon.com/ANHOME-Step-Stamp-Eyebrow-Stencil/dp/B09FM6HHHR/ref=sr_1_10?keywords=Form-A-Brow+Kit&amp;qid=1695565673&amp;sr=8-10")</f>
        <v/>
      </c>
      <c r="F3186" t="inlineStr">
        <is>
          <t>B09FM6HHHR</t>
        </is>
      </c>
      <c r="G3186">
        <f>_xlfn.IMAGE("https://camerareadycosmetics.com/cdn/shop/products/Ash-Blonde-with-Stencils_50x.jpg?v=1689634081")</f>
        <v/>
      </c>
      <c r="H3186">
        <f>_xlfn.IMAGE("https://m.media-amazon.com/images/I/51l+2idM1AL._AC_UL320_.jpg")</f>
        <v/>
      </c>
      <c r="K3186" t="inlineStr">
        <is>
          <t>45.0</t>
        </is>
      </c>
      <c r="L3186" t="n">
        <v>12.99</v>
      </c>
      <c r="M3186" s="1" t="inlineStr">
        <is>
          <t>-71.13%</t>
        </is>
      </c>
      <c r="N3186" t="n">
        <v>3.7</v>
      </c>
      <c r="O3186" t="n">
        <v>308</v>
      </c>
      <c r="Q3186" t="inlineStr">
        <is>
          <t>InStock</t>
        </is>
      </c>
      <c r="R3186" t="inlineStr">
        <is>
          <t>undefined</t>
        </is>
      </c>
      <c r="S3186" t="inlineStr">
        <is>
          <t>7036778375</t>
        </is>
      </c>
    </row>
    <row r="3187" ht="75" customHeight="1">
      <c r="A3187" s="2">
        <f>HYPERLINK("https://camerareadycosmetics.com/products/senna-form-a-brow-kit", "https://camerareadycosmetics.com/products/senna-form-a-brow-kit")</f>
        <v/>
      </c>
      <c r="B3187" s="2">
        <f>HYPERLINK("https://camerareadycosmetics.com/products/senna-form-a-brow-kit", "https://camerareadycosmetics.com/products/senna-form-a-brow-kit")</f>
        <v/>
      </c>
      <c r="C3187" t="inlineStr">
        <is>
          <t>Form-A-Brow Kit</t>
        </is>
      </c>
      <c r="D3187" t="inlineStr">
        <is>
          <t>Eyebrow Stamp Stencil Kit, Brow Stamp Trio Kit with Waterproof Eyebrow Pencil, Pomade, 20 Eyebrow Stencils, Dual-ended Eyebrow Brush and Sponge Applicator - Soft Brown</t>
        </is>
      </c>
      <c r="E3187" s="2">
        <f>HYPERLINK("https://www.amazon.com/Eyebrows-Waterproof-Stencils-Dual-ended-Applicator/dp/B0BB79GKRX/ref=sr_1_8?keywords=Form-A-Brow+Kit&amp;qid=1695565673&amp;sr=8-8", "https://www.amazon.com/Eyebrows-Waterproof-Stencils-Dual-ended-Applicator/dp/B0BB79GKRX/ref=sr_1_8?keywords=Form-A-Brow+Kit&amp;qid=1695565673&amp;sr=8-8")</f>
        <v/>
      </c>
      <c r="F3187" t="inlineStr">
        <is>
          <t>B0BB79GKRX</t>
        </is>
      </c>
      <c r="G3187">
        <f>_xlfn.IMAGE("https://camerareadycosmetics.com/cdn/shop/products/Ash-Blonde-with-Stencils_50x.jpg?v=1689634081")</f>
        <v/>
      </c>
      <c r="H3187">
        <f>_xlfn.IMAGE("https://m.media-amazon.com/images/I/71rt6hHFNoL._AC_UL320_.jpg")</f>
        <v/>
      </c>
      <c r="K3187" t="inlineStr">
        <is>
          <t>45.0</t>
        </is>
      </c>
      <c r="L3187" t="n">
        <v>9.99</v>
      </c>
      <c r="M3187" s="1" t="inlineStr">
        <is>
          <t>-77.80%</t>
        </is>
      </c>
      <c r="N3187" t="n">
        <v>3.9</v>
      </c>
      <c r="O3187" t="n">
        <v>1813</v>
      </c>
      <c r="Q3187" t="inlineStr">
        <is>
          <t>InStock</t>
        </is>
      </c>
      <c r="R3187" t="inlineStr">
        <is>
          <t>undefined</t>
        </is>
      </c>
      <c r="S3187" t="inlineStr">
        <is>
          <t>7036778375</t>
        </is>
      </c>
    </row>
    <row r="3188" ht="75" customHeight="1">
      <c r="A3188" s="2">
        <f>HYPERLINK("https://camerareadycosmetics.com/products/senna-form-a-brow-kit", "https://camerareadycosmetics.com/products/senna-form-a-brow-kit")</f>
        <v/>
      </c>
      <c r="B3188" s="2">
        <f>HYPERLINK("https://camerareadycosmetics.com/products/senna-form-a-brow-kit", "https://camerareadycosmetics.com/products/senna-form-a-brow-kit")</f>
        <v/>
      </c>
      <c r="C3188" t="inlineStr">
        <is>
          <t>Form-A-Brow Kit</t>
        </is>
      </c>
      <c r="D3188" t="inlineStr">
        <is>
          <t>Eyebrow Stamp Stencil Kit - 1 Step Brow Stamp Kit Long-lasting Waterproof &amp; Smudge-Proof, Eyebrow Powder with 24 Reusable Eyebrow Stencils Kit for Beginners to Nature Brow (Dark Brown)</t>
        </is>
      </c>
      <c r="E3188" s="2">
        <f>HYPERLINK("https://www.amazon.com/Eyebrow-Stamp-Stencil-Kit-Long-lasting/dp/B0C88Q4B1W/ref=sr_1_3?keywords=Form-A-Brow+Kit&amp;qid=1695565673&amp;sr=8-3", "https://www.amazon.com/Eyebrow-Stamp-Stencil-Kit-Long-lasting/dp/B0C88Q4B1W/ref=sr_1_3?keywords=Form-A-Brow+Kit&amp;qid=1695565673&amp;sr=8-3")</f>
        <v/>
      </c>
      <c r="F3188" t="inlineStr">
        <is>
          <t>B0C88Q4B1W</t>
        </is>
      </c>
      <c r="G3188">
        <f>_xlfn.IMAGE("https://camerareadycosmetics.com/cdn/shop/products/Ash-Blonde-with-Stencils_50x.jpg?v=1689634081")</f>
        <v/>
      </c>
      <c r="H3188">
        <f>_xlfn.IMAGE("https://m.media-amazon.com/images/I/71cn92leMCL._AC_UL320_.jpg")</f>
        <v/>
      </c>
      <c r="K3188" t="inlineStr">
        <is>
          <t>45.0</t>
        </is>
      </c>
      <c r="L3188" t="n">
        <v>9.58</v>
      </c>
      <c r="M3188" s="1" t="inlineStr">
        <is>
          <t>-78.71%</t>
        </is>
      </c>
      <c r="N3188" t="n">
        <v>4.1</v>
      </c>
      <c r="O3188" t="n">
        <v>243</v>
      </c>
      <c r="Q3188" t="inlineStr">
        <is>
          <t>InStock</t>
        </is>
      </c>
      <c r="R3188" t="inlineStr">
        <is>
          <t>undefined</t>
        </is>
      </c>
      <c r="S3188" t="inlineStr">
        <is>
          <t>7036778375</t>
        </is>
      </c>
    </row>
    <row r="3189" ht="75" customHeight="1">
      <c r="A3189" s="2">
        <f>HYPERLINK("https://camerareadycosmetics.com/products/senna-form-a-brow-kit", "https://camerareadycosmetics.com/products/senna-form-a-brow-kit")</f>
        <v/>
      </c>
      <c r="B3189" s="2">
        <f>HYPERLINK("https://camerareadycosmetics.com/products/senna-form-a-brow-kit", "https://camerareadycosmetics.com/products/senna-form-a-brow-kit")</f>
        <v/>
      </c>
      <c r="C3189" t="inlineStr">
        <is>
          <t>Form-A-Brow Kit</t>
        </is>
      </c>
      <c r="D3189" t="inlineStr">
        <is>
          <t>Stamp Stencil Kit for Perfect Bushy Eyebrows,20 Eyebrow Stencils,Brow Stamp Trio Kit with Sponge Applicator,Waterproof Eyebrow Pomade,Dual-ended Eyebrow Brush-Soft Brown</t>
        </is>
      </c>
      <c r="E3189" s="2">
        <f>HYPERLINK("https://www.amazon.com/Eyebrows-Applicator-Waterproof-Dual-ended-Brush-Soft/dp/B0B57ZY51F/ref=sr_1_6?keywords=Form-A-Brow+Kit&amp;qid=1695565673&amp;sr=8-6", "https://www.amazon.com/Eyebrows-Applicator-Waterproof-Dual-ended-Brush-Soft/dp/B0B57ZY51F/ref=sr_1_6?keywords=Form-A-Brow+Kit&amp;qid=1695565673&amp;sr=8-6")</f>
        <v/>
      </c>
      <c r="F3189" t="inlineStr">
        <is>
          <t>B0B57ZY51F</t>
        </is>
      </c>
      <c r="G3189">
        <f>_xlfn.IMAGE("https://camerareadycosmetics.com/cdn/shop/products/Ash-Blonde-with-Stencils_50x.jpg?v=1689634081")</f>
        <v/>
      </c>
      <c r="H3189">
        <f>_xlfn.IMAGE("https://m.media-amazon.com/images/I/717FlJq0pfL._AC_UL320_.jpg")</f>
        <v/>
      </c>
      <c r="K3189" t="inlineStr">
        <is>
          <t>45.0</t>
        </is>
      </c>
      <c r="L3189" t="n">
        <v>6.99</v>
      </c>
      <c r="M3189" s="1" t="inlineStr">
        <is>
          <t>-84.47%</t>
        </is>
      </c>
      <c r="N3189" t="n">
        <v>3.9</v>
      </c>
      <c r="O3189" t="n">
        <v>645</v>
      </c>
      <c r="Q3189" t="inlineStr">
        <is>
          <t>InStock</t>
        </is>
      </c>
      <c r="R3189" t="inlineStr">
        <is>
          <t>undefined</t>
        </is>
      </c>
      <c r="S3189" t="inlineStr">
        <is>
          <t>7036778375</t>
        </is>
      </c>
    </row>
    <row r="3190" ht="75" customHeight="1">
      <c r="A3190" s="2">
        <f>HYPERLINK("https://camerareadycosmetics.com/products/senna-form-a-brow-kit", "https://camerareadycosmetics.com/products/senna-form-a-brow-kit")</f>
        <v/>
      </c>
      <c r="B3190" s="2">
        <f>HYPERLINK("https://camerareadycosmetics.com/products/senna-form-a-brow-kit", "https://camerareadycosmetics.com/products/senna-form-a-brow-kit")</f>
        <v/>
      </c>
      <c r="C3190" t="inlineStr">
        <is>
          <t>Form-A-Brow Kit</t>
        </is>
      </c>
      <c r="D3190" t="inlineStr">
        <is>
          <t>Sokgo Eyebrow Stamp, One Step Eyebrow Stamp Shaping Kit, Professional Eyebrow Stamp Stencil Kit, Long Lasting Eyebrow Makeup Eyebrow Tools Powder Kit for Women… (Dark brown), 13 Piece Set</t>
        </is>
      </c>
      <c r="E3190" s="2">
        <f>HYPERLINK("https://www.amazon.com/Sokgo-Eyebrow-Shaping-Professional-Stencil/dp/B09D3CY6FD/ref=sr_1_5?keywords=Form-A-Brow+Kit&amp;qid=1695565673&amp;sr=8-5", "https://www.amazon.com/Sokgo-Eyebrow-Shaping-Professional-Stencil/dp/B09D3CY6FD/ref=sr_1_5?keywords=Form-A-Brow+Kit&amp;qid=1695565673&amp;sr=8-5")</f>
        <v/>
      </c>
      <c r="F3190" t="inlineStr">
        <is>
          <t>B09D3CY6FD</t>
        </is>
      </c>
      <c r="G3190">
        <f>_xlfn.IMAGE("https://camerareadycosmetics.com/cdn/shop/products/Ash-Blonde-with-Stencils_50x.jpg?v=1689634081")</f>
        <v/>
      </c>
      <c r="H3190">
        <f>_xlfn.IMAGE("https://m.media-amazon.com/images/I/61QFYUt1TyL._AC_UL320_.jpg")</f>
        <v/>
      </c>
      <c r="K3190" t="inlineStr">
        <is>
          <t>45.0</t>
        </is>
      </c>
      <c r="L3190" t="n">
        <v>5.39</v>
      </c>
      <c r="M3190" s="1" t="inlineStr">
        <is>
          <t>-88.02%</t>
        </is>
      </c>
      <c r="N3190" t="n">
        <v>3.2</v>
      </c>
      <c r="O3190" t="n">
        <v>1137</v>
      </c>
      <c r="Q3190" t="inlineStr">
        <is>
          <t>InStock</t>
        </is>
      </c>
      <c r="R3190" t="inlineStr">
        <is>
          <t>undefined</t>
        </is>
      </c>
      <c r="S3190" t="inlineStr">
        <is>
          <t>7036778375</t>
        </is>
      </c>
    </row>
    <row r="3191" ht="75" customHeight="1">
      <c r="A3191" s="2">
        <f>HYPERLINK("https://camerareadycosmetics.com/products/senna-form-a-brow-kit", "https://camerareadycosmetics.com/products/senna-form-a-brow-kit")</f>
        <v/>
      </c>
      <c r="B3191" s="2">
        <f>HYPERLINK("https://camerareadycosmetics.com/products/senna-form-a-brow-kit", "https://camerareadycosmetics.com/products/senna-form-a-brow-kit")</f>
        <v/>
      </c>
      <c r="C3191" t="inlineStr">
        <is>
          <t>Form-A-Brow Kit</t>
        </is>
      </c>
      <c r="D3191" t="inlineStr">
        <is>
          <t>Eyebrow Stamp Stencil Kit, Eyebrow Stamp Pomade with 24 Reusable Thin &amp; Thick Brow Stencils, Eyebrow Stencils Shaping Kit Definer (Soft Brown)</t>
        </is>
      </c>
      <c r="E3191" s="2">
        <f>HYPERLINK("https://www.amazon.com/Eyebrow-Stencil-Reusable-Stencils-Shaping/dp/B09XKZ7SFQ/ref=sr_1_9?keywords=Form-A-Brow+Kit&amp;qid=1695565673&amp;sr=8-9", "https://www.amazon.com/Eyebrow-Stencil-Reusable-Stencils-Shaping/dp/B09XKZ7SFQ/ref=sr_1_9?keywords=Form-A-Brow+Kit&amp;qid=1695565673&amp;sr=8-9")</f>
        <v/>
      </c>
      <c r="F3191" t="inlineStr">
        <is>
          <t>B09XKZ7SFQ</t>
        </is>
      </c>
      <c r="G3191">
        <f>_xlfn.IMAGE("https://camerareadycosmetics.com/cdn/shop/products/Ash-Blonde-with-Stencils_50x.jpg?v=1689634081")</f>
        <v/>
      </c>
      <c r="H3191">
        <f>_xlfn.IMAGE("https://m.media-amazon.com/images/I/61x7vPtKvBL._AC_UL320_.jpg")</f>
        <v/>
      </c>
      <c r="K3191" t="inlineStr">
        <is>
          <t>45.0</t>
        </is>
      </c>
      <c r="L3191" t="n">
        <v>15.98</v>
      </c>
      <c r="M3191" s="1" t="inlineStr">
        <is>
          <t>-64.49%</t>
        </is>
      </c>
      <c r="N3191" t="n">
        <v>4.3</v>
      </c>
      <c r="O3191" t="n">
        <v>11409</v>
      </c>
      <c r="Q3191" t="inlineStr">
        <is>
          <t>InStock</t>
        </is>
      </c>
      <c r="R3191" t="inlineStr">
        <is>
          <t>undefined</t>
        </is>
      </c>
      <c r="S3191" t="inlineStr">
        <is>
          <t>7036778375</t>
        </is>
      </c>
    </row>
    <row r="3192" ht="75" customHeight="1">
      <c r="A3192" s="2">
        <f>HYPERLINK("https://camerareadycosmetics.com/products/senna-form-a-brow-kit", "https://camerareadycosmetics.com/products/senna-form-a-brow-kit")</f>
        <v/>
      </c>
      <c r="B3192" s="2">
        <f>HYPERLINK("https://camerareadycosmetics.com/products/senna-form-a-brow-kit", "https://camerareadycosmetics.com/products/senna-form-a-brow-kit")</f>
        <v/>
      </c>
      <c r="C3192" t="inlineStr">
        <is>
          <t>Form-A-Brow Kit</t>
        </is>
      </c>
      <c r="D3192" t="inlineStr">
        <is>
          <t>Eyebrow Stamp Pencil Kit for Eyebrows, Makeup Brow Stamp Trio Kit with Waterproof Eyebrow Pencil, Eyeliner, Eyebrow Pomade, and Dual-ended Eyebrow Brush - Taupe</t>
        </is>
      </c>
      <c r="E3192" s="2">
        <f>HYPERLINK("https://www.amazon.com/Eyebrow-Eyebrows-Waterproof-Eyeliner-Dual-ended/dp/B0BVMP81HJ/ref=sr_1_7?keywords=Form-A-Brow+Kit&amp;qid=1695565673&amp;sr=8-7", "https://www.amazon.com/Eyebrow-Eyebrows-Waterproof-Eyeliner-Dual-ended/dp/B0BVMP81HJ/ref=sr_1_7?keywords=Form-A-Brow+Kit&amp;qid=1695565673&amp;sr=8-7")</f>
        <v/>
      </c>
      <c r="F3192" t="inlineStr">
        <is>
          <t>B0BVMP81HJ</t>
        </is>
      </c>
      <c r="G3192">
        <f>_xlfn.IMAGE("https://camerareadycosmetics.com/cdn/shop/products/Ash-Blonde-with-Stencils_50x.jpg?v=1689634081")</f>
        <v/>
      </c>
      <c r="H3192">
        <f>_xlfn.IMAGE("https://m.media-amazon.com/images/I/61KoR3W6syL._AC_UL320_.jpg")</f>
        <v/>
      </c>
      <c r="K3192" t="inlineStr">
        <is>
          <t>45.0</t>
        </is>
      </c>
      <c r="L3192" t="n">
        <v>13.99</v>
      </c>
      <c r="M3192" s="1" t="inlineStr">
        <is>
          <t>-68.91%</t>
        </is>
      </c>
      <c r="N3192" t="n">
        <v>4.3</v>
      </c>
      <c r="O3192" t="n">
        <v>1556</v>
      </c>
      <c r="Q3192" t="inlineStr">
        <is>
          <t>InStock</t>
        </is>
      </c>
      <c r="R3192" t="inlineStr">
        <is>
          <t>undefined</t>
        </is>
      </c>
      <c r="S3192" t="inlineStr">
        <is>
          <t>7036778375</t>
        </is>
      </c>
    </row>
    <row r="3193" ht="75" customHeight="1">
      <c r="A3193" s="2">
        <f>HYPERLINK("https://camerareadycosmetics.com/products/senna-form-a-brow-kit", "https://camerareadycosmetics.com/products/senna-form-a-brow-kit")</f>
        <v/>
      </c>
      <c r="B3193" s="2">
        <f>HYPERLINK("https://camerareadycosmetics.com/products/senna-form-a-brow-kit", "https://camerareadycosmetics.com/products/senna-form-a-brow-kit")</f>
        <v/>
      </c>
      <c r="C3193" t="inlineStr">
        <is>
          <t>Form-A-Brow Kit</t>
        </is>
      </c>
      <c r="D3193" t="inlineStr">
        <is>
          <t>ANHOME Step Brow Stamp &amp; Eyebrow Stamp Stencil Kit - 1 Step Eyebrow Stamp and Shaping Kit for Perfect Brow, 6 Brow Stamp Stencils Kit, Long-lasting, Waterproof (DARK BROWN), AN2197, 7 Piece Set</t>
        </is>
      </c>
      <c r="E3193" s="2">
        <f>HYPERLINK("https://www.amazon.com/ANHOME-Step-Stamp-Eyebrow-Stencil/dp/B09FM6HHHR/ref=sr_1_10?keywords=Form-A-Brow+Kit&amp;qid=1695565673&amp;sr=8-10", "https://www.amazon.com/ANHOME-Step-Stamp-Eyebrow-Stencil/dp/B09FM6HHHR/ref=sr_1_10?keywords=Form-A-Brow+Kit&amp;qid=1695565673&amp;sr=8-10")</f>
        <v/>
      </c>
      <c r="F3193" t="inlineStr">
        <is>
          <t>B09FM6HHHR</t>
        </is>
      </c>
      <c r="G3193">
        <f>_xlfn.IMAGE("https://camerareadycosmetics.com/cdn/shop/products/Ash-Blonde-with-Stencils_50x.jpg?v=1689634081")</f>
        <v/>
      </c>
      <c r="H3193">
        <f>_xlfn.IMAGE("https://m.media-amazon.com/images/I/51l+2idM1AL._AC_UL320_.jpg")</f>
        <v/>
      </c>
      <c r="K3193" t="inlineStr">
        <is>
          <t>45.0</t>
        </is>
      </c>
      <c r="L3193" t="n">
        <v>12.99</v>
      </c>
      <c r="M3193" s="1" t="inlineStr">
        <is>
          <t>-71.13%</t>
        </is>
      </c>
      <c r="N3193" t="n">
        <v>3.7</v>
      </c>
      <c r="O3193" t="n">
        <v>308</v>
      </c>
      <c r="Q3193" t="inlineStr">
        <is>
          <t>InStock</t>
        </is>
      </c>
      <c r="R3193" t="inlineStr">
        <is>
          <t>undefined</t>
        </is>
      </c>
      <c r="S3193" t="inlineStr">
        <is>
          <t>7036778375</t>
        </is>
      </c>
    </row>
    <row r="3194" ht="75" customHeight="1">
      <c r="A3194" s="2">
        <f>HYPERLINK("https://camerareadycosmetics.com/products/senna-form-a-brow-kit", "https://camerareadycosmetics.com/products/senna-form-a-brow-kit")</f>
        <v/>
      </c>
      <c r="B3194" s="2">
        <f>HYPERLINK("https://camerareadycosmetics.com/products/senna-form-a-brow-kit", "https://camerareadycosmetics.com/products/senna-form-a-brow-kit")</f>
        <v/>
      </c>
      <c r="C3194" t="inlineStr">
        <is>
          <t>Form-A-Brow Kit</t>
        </is>
      </c>
      <c r="D3194" t="inlineStr">
        <is>
          <t>Eyebrow Stamp Stencil Kit, Brow Stamp Trio Kit with Waterproof Eyebrow Pencil, Pomade, 20 Eyebrow Stencils, Dual-ended Eyebrow Brush and Sponge Applicator - Soft Brown</t>
        </is>
      </c>
      <c r="E3194" s="2">
        <f>HYPERLINK("https://www.amazon.com/Eyebrows-Waterproof-Stencils-Dual-ended-Applicator/dp/B0BB79GKRX/ref=sr_1_8?keywords=Form-A-Brow+Kit&amp;qid=1695565673&amp;sr=8-8", "https://www.amazon.com/Eyebrows-Waterproof-Stencils-Dual-ended-Applicator/dp/B0BB79GKRX/ref=sr_1_8?keywords=Form-A-Brow+Kit&amp;qid=1695565673&amp;sr=8-8")</f>
        <v/>
      </c>
      <c r="F3194" t="inlineStr">
        <is>
          <t>B0BB79GKRX</t>
        </is>
      </c>
      <c r="G3194">
        <f>_xlfn.IMAGE("https://camerareadycosmetics.com/cdn/shop/products/Ash-Blonde-with-Stencils_50x.jpg?v=1689634081")</f>
        <v/>
      </c>
      <c r="H3194">
        <f>_xlfn.IMAGE("https://m.media-amazon.com/images/I/71rt6hHFNoL._AC_UL320_.jpg")</f>
        <v/>
      </c>
      <c r="K3194" t="inlineStr">
        <is>
          <t>45.0</t>
        </is>
      </c>
      <c r="L3194" t="n">
        <v>9.99</v>
      </c>
      <c r="M3194" s="1" t="inlineStr">
        <is>
          <t>-77.80%</t>
        </is>
      </c>
      <c r="N3194" t="n">
        <v>3.9</v>
      </c>
      <c r="O3194" t="n">
        <v>1813</v>
      </c>
      <c r="Q3194" t="inlineStr">
        <is>
          <t>InStock</t>
        </is>
      </c>
      <c r="R3194" t="inlineStr">
        <is>
          <t>undefined</t>
        </is>
      </c>
      <c r="S3194" t="inlineStr">
        <is>
          <t>7036778375</t>
        </is>
      </c>
    </row>
    <row r="3195" ht="75" customHeight="1">
      <c r="A3195" s="2">
        <f>HYPERLINK("https://camerareadycosmetics.com/products/senna-form-a-brow-kit", "https://camerareadycosmetics.com/products/senna-form-a-brow-kit")</f>
        <v/>
      </c>
      <c r="B3195" s="2">
        <f>HYPERLINK("https://camerareadycosmetics.com/products/senna-form-a-brow-kit", "https://camerareadycosmetics.com/products/senna-form-a-brow-kit")</f>
        <v/>
      </c>
      <c r="C3195" t="inlineStr">
        <is>
          <t>Form-A-Brow Kit</t>
        </is>
      </c>
      <c r="D3195" t="inlineStr">
        <is>
          <t>Eyebrow Stamp Stencil Kit - 1 Step Brow Stamp Kit Long-lasting Waterproof &amp; Smudge-Proof, Eyebrow Powder with 24 Reusable Eyebrow Stencils Kit for Beginners to Nature Brow (Dark Brown)</t>
        </is>
      </c>
      <c r="E3195" s="2">
        <f>HYPERLINK("https://www.amazon.com/Eyebrow-Stamp-Stencil-Kit-Long-lasting/dp/B0C88Q4B1W/ref=sr_1_3?keywords=Form-A-Brow+Kit&amp;qid=1695565673&amp;sr=8-3", "https://www.amazon.com/Eyebrow-Stamp-Stencil-Kit-Long-lasting/dp/B0C88Q4B1W/ref=sr_1_3?keywords=Form-A-Brow+Kit&amp;qid=1695565673&amp;sr=8-3")</f>
        <v/>
      </c>
      <c r="F3195" t="inlineStr">
        <is>
          <t>B0C88Q4B1W</t>
        </is>
      </c>
      <c r="G3195">
        <f>_xlfn.IMAGE("https://camerareadycosmetics.com/cdn/shop/products/Ash-Blonde-with-Stencils_50x.jpg?v=1689634081")</f>
        <v/>
      </c>
      <c r="H3195">
        <f>_xlfn.IMAGE("https://m.media-amazon.com/images/I/71cn92leMCL._AC_UL320_.jpg")</f>
        <v/>
      </c>
      <c r="K3195" t="inlineStr">
        <is>
          <t>45.0</t>
        </is>
      </c>
      <c r="L3195" t="n">
        <v>9.58</v>
      </c>
      <c r="M3195" s="1" t="inlineStr">
        <is>
          <t>-78.71%</t>
        </is>
      </c>
      <c r="N3195" t="n">
        <v>4.1</v>
      </c>
      <c r="O3195" t="n">
        <v>243</v>
      </c>
      <c r="Q3195" t="inlineStr">
        <is>
          <t>InStock</t>
        </is>
      </c>
      <c r="R3195" t="inlineStr">
        <is>
          <t>undefined</t>
        </is>
      </c>
      <c r="S3195" t="inlineStr">
        <is>
          <t>7036778375</t>
        </is>
      </c>
    </row>
    <row r="3196" ht="75" customHeight="1">
      <c r="A3196" s="2">
        <f>HYPERLINK("https://camerareadycosmetics.com/products/senna-form-a-brow-kit", "https://camerareadycosmetics.com/products/senna-form-a-brow-kit")</f>
        <v/>
      </c>
      <c r="B3196" s="2">
        <f>HYPERLINK("https://camerareadycosmetics.com/products/senna-form-a-brow-kit", "https://camerareadycosmetics.com/products/senna-form-a-brow-kit")</f>
        <v/>
      </c>
      <c r="C3196" t="inlineStr">
        <is>
          <t>Form-A-Brow Kit</t>
        </is>
      </c>
      <c r="D3196" t="inlineStr">
        <is>
          <t>Stamp Stencil Kit for Perfect Bushy Eyebrows,20 Eyebrow Stencils,Brow Stamp Trio Kit with Sponge Applicator,Waterproof Eyebrow Pomade,Dual-ended Eyebrow Brush-Soft Brown</t>
        </is>
      </c>
      <c r="E3196" s="2">
        <f>HYPERLINK("https://www.amazon.com/Eyebrows-Applicator-Waterproof-Dual-ended-Brush-Soft/dp/B0B57ZY51F/ref=sr_1_6?keywords=Form-A-Brow+Kit&amp;qid=1695565673&amp;sr=8-6", "https://www.amazon.com/Eyebrows-Applicator-Waterproof-Dual-ended-Brush-Soft/dp/B0B57ZY51F/ref=sr_1_6?keywords=Form-A-Brow+Kit&amp;qid=1695565673&amp;sr=8-6")</f>
        <v/>
      </c>
      <c r="F3196" t="inlineStr">
        <is>
          <t>B0B57ZY51F</t>
        </is>
      </c>
      <c r="G3196">
        <f>_xlfn.IMAGE("https://camerareadycosmetics.com/cdn/shop/products/Ash-Blonde-with-Stencils_50x.jpg?v=1689634081")</f>
        <v/>
      </c>
      <c r="H3196">
        <f>_xlfn.IMAGE("https://m.media-amazon.com/images/I/717FlJq0pfL._AC_UL320_.jpg")</f>
        <v/>
      </c>
      <c r="K3196" t="inlineStr">
        <is>
          <t>45.0</t>
        </is>
      </c>
      <c r="L3196" t="n">
        <v>6.99</v>
      </c>
      <c r="M3196" s="1" t="inlineStr">
        <is>
          <t>-84.47%</t>
        </is>
      </c>
      <c r="N3196" t="n">
        <v>3.9</v>
      </c>
      <c r="O3196" t="n">
        <v>645</v>
      </c>
      <c r="Q3196" t="inlineStr">
        <is>
          <t>InStock</t>
        </is>
      </c>
      <c r="R3196" t="inlineStr">
        <is>
          <t>undefined</t>
        </is>
      </c>
      <c r="S3196" t="inlineStr">
        <is>
          <t>7036778375</t>
        </is>
      </c>
    </row>
    <row r="3197" ht="75" customHeight="1">
      <c r="A3197" s="2">
        <f>HYPERLINK("https://camerareadycosmetics.com/products/senna-form-a-brow-kit", "https://camerareadycosmetics.com/products/senna-form-a-brow-kit")</f>
        <v/>
      </c>
      <c r="B3197" s="2">
        <f>HYPERLINK("https://camerareadycosmetics.com/products/senna-form-a-brow-kit", "https://camerareadycosmetics.com/products/senna-form-a-brow-kit")</f>
        <v/>
      </c>
      <c r="C3197" t="inlineStr">
        <is>
          <t>Form-A-Brow Kit</t>
        </is>
      </c>
      <c r="D3197" t="inlineStr">
        <is>
          <t>Sokgo Eyebrow Stamp, One Step Eyebrow Stamp Shaping Kit, Professional Eyebrow Stamp Stencil Kit, Long Lasting Eyebrow Makeup Eyebrow Tools Powder Kit for Women… (Dark brown), 13 Piece Set</t>
        </is>
      </c>
      <c r="E3197" s="2">
        <f>HYPERLINK("https://www.amazon.com/Sokgo-Eyebrow-Shaping-Professional-Stencil/dp/B09D3CY6FD/ref=sr_1_5?keywords=Form-A-Brow+Kit&amp;qid=1695565673&amp;sr=8-5", "https://www.amazon.com/Sokgo-Eyebrow-Shaping-Professional-Stencil/dp/B09D3CY6FD/ref=sr_1_5?keywords=Form-A-Brow+Kit&amp;qid=1695565673&amp;sr=8-5")</f>
        <v/>
      </c>
      <c r="F3197" t="inlineStr">
        <is>
          <t>B09D3CY6FD</t>
        </is>
      </c>
      <c r="G3197">
        <f>_xlfn.IMAGE("https://camerareadycosmetics.com/cdn/shop/products/Ash-Blonde-with-Stencils_50x.jpg?v=1689634081")</f>
        <v/>
      </c>
      <c r="H3197">
        <f>_xlfn.IMAGE("https://m.media-amazon.com/images/I/61QFYUt1TyL._AC_UL320_.jpg")</f>
        <v/>
      </c>
      <c r="K3197" t="inlineStr">
        <is>
          <t>45.0</t>
        </is>
      </c>
      <c r="L3197" t="n">
        <v>5.39</v>
      </c>
      <c r="M3197" s="1" t="inlineStr">
        <is>
          <t>-88.02%</t>
        </is>
      </c>
      <c r="N3197" t="n">
        <v>3.2</v>
      </c>
      <c r="O3197" t="n">
        <v>1137</v>
      </c>
      <c r="Q3197" t="inlineStr">
        <is>
          <t>InStock</t>
        </is>
      </c>
      <c r="R3197" t="inlineStr">
        <is>
          <t>undefined</t>
        </is>
      </c>
      <c r="S3197" t="inlineStr">
        <is>
          <t>7036778375</t>
        </is>
      </c>
    </row>
    <row r="3198" ht="75" customHeight="1">
      <c r="A3198" s="2">
        <f>HYPERLINK("https://camerareadycosmetics.com/products/senna-light-tricks", "https://camerareadycosmetics.com/products/senna-light-tricks")</f>
        <v/>
      </c>
      <c r="B3198" s="2">
        <f>HYPERLINK("https://camerareadycosmetics.com/products/senna-light-tricks", "https://camerareadycosmetics.com/products/senna-light-tricks")</f>
        <v/>
      </c>
      <c r="C3198" t="inlineStr">
        <is>
          <t>Light Tricks</t>
        </is>
      </c>
      <c r="D3198" t="inlineStr">
        <is>
          <t>Marvin's Magic - Lights from Everywhere - Teen &amp; Adult Edition - Professional Adult Tricks Set - Amazing Magic Tricks for Teens &amp; Adults - Includes Light Props and Instructions</t>
        </is>
      </c>
      <c r="E3198" s="2">
        <f>HYPERLINK("https://www.amazon.com/Marvins-Magic-Lights-Anywhere-Tricks/dp/B005HTJ1FY/ref=sr_1_2?keywords=Light+Tricks&amp;qid=1695565685&amp;sr=8-2", "https://www.amazon.com/Marvins-Magic-Lights-Anywhere-Tricks/dp/B005HTJ1FY/ref=sr_1_2?keywords=Light+Tricks&amp;qid=1695565685&amp;sr=8-2")</f>
        <v/>
      </c>
      <c r="F3198" t="inlineStr">
        <is>
          <t>B005HTJ1FY</t>
        </is>
      </c>
      <c r="G3198">
        <f>_xlfn.IMAGE("https://camerareadycosmetics.com/cdn/shop/products/Untitled-4_50x.jpg?v=1691123773")</f>
        <v/>
      </c>
      <c r="H3198">
        <f>_xlfn.IMAGE("https://m.media-amazon.com/images/I/71xczMqCQIL._AC_UL320_.jpg")</f>
        <v/>
      </c>
      <c r="K3198" t="inlineStr">
        <is>
          <t>22.0</t>
        </is>
      </c>
      <c r="L3198" t="n">
        <v>21.99</v>
      </c>
      <c r="M3198" s="1" t="inlineStr">
        <is>
          <t>-0.05%</t>
        </is>
      </c>
      <c r="N3198" t="n">
        <v>4.1</v>
      </c>
      <c r="O3198" t="n">
        <v>2351</v>
      </c>
      <c r="Q3198" t="inlineStr">
        <is>
          <t>InStock</t>
        </is>
      </c>
      <c r="R3198" t="inlineStr">
        <is>
          <t>undefined</t>
        </is>
      </c>
      <c r="S3198" t="inlineStr">
        <is>
          <t>9081960330</t>
        </is>
      </c>
    </row>
    <row r="3199" ht="75" customHeight="1">
      <c r="A3199" s="2">
        <f>HYPERLINK("https://camerareadycosmetics.com/products/senna-matte-fixation-lipstick", "https://camerareadycosmetics.com/products/senna-matte-fixation-lipstick")</f>
        <v/>
      </c>
      <c r="B3199" s="2">
        <f>HYPERLINK("https://camerareadycosmetics.com/products/senna-matte-fixation-lipstick", "https://camerareadycosmetics.com/products/senna-matte-fixation-lipstick")</f>
        <v/>
      </c>
      <c r="C3199" t="inlineStr">
        <is>
          <t>Matte Fixation Lipstick</t>
        </is>
      </c>
      <c r="D3199" t="inlineStr">
        <is>
          <t>Cosmetics, Matte Fixation Lipstick, 0.12 oz (Bohemian-Nude Beige)</t>
        </is>
      </c>
      <c r="E3199" s="2">
        <f>HYPERLINK("https://www.amazon.com/Senna-Cosmetics-Fixation-Lipstick-Bohemian-Nude/dp/B08YDLYTGZ/ref=sr_1_1?keywords=Matte+Fixation+Lipstick&amp;qid=1695565693&amp;sr=8-1", "https://www.amazon.com/Senna-Cosmetics-Fixation-Lipstick-Bohemian-Nude/dp/B08YDLYTGZ/ref=sr_1_1?keywords=Matte+Fixation+Lipstick&amp;qid=1695565693&amp;sr=8-1")</f>
        <v/>
      </c>
      <c r="F3199" t="inlineStr">
        <is>
          <t>B08YDLYTGZ</t>
        </is>
      </c>
      <c r="G3199">
        <f>_xlfn.IMAGE("https://camerareadycosmetics.com/cdn/shop/products/senna_pinkadelic_lipstick_open_with_cap_50x.jpg?v=1579174020")</f>
        <v/>
      </c>
      <c r="H3199">
        <f>_xlfn.IMAGE("https://m.media-amazon.com/images/I/51haOpiun7L._AC_UL320_.jpg")</f>
        <v/>
      </c>
      <c r="K3199" t="inlineStr">
        <is>
          <t>13.0</t>
        </is>
      </c>
      <c r="L3199" t="n">
        <v>26</v>
      </c>
      <c r="M3199" s="1" t="inlineStr">
        <is>
          <t>100.00%</t>
        </is>
      </c>
      <c r="N3199" t="n">
        <v>2</v>
      </c>
      <c r="O3199" t="n">
        <v>2</v>
      </c>
      <c r="Q3199" t="inlineStr">
        <is>
          <t>InStock</t>
        </is>
      </c>
      <c r="R3199" t="inlineStr">
        <is>
          <t>26.0</t>
        </is>
      </c>
      <c r="S3199" t="inlineStr">
        <is>
          <t>4369582686319</t>
        </is>
      </c>
    </row>
    <row r="3200" ht="75" customHeight="1">
      <c r="A3200" s="2">
        <f>HYPERLINK("https://camerareadycosmetics.com/products/senna-powder-brow-styling-pencil", "https://camerareadycosmetics.com/products/senna-powder-brow-styling-pencil")</f>
        <v/>
      </c>
      <c r="B3200" s="2">
        <f>HYPERLINK("https://camerareadycosmetics.com/products/senna-powder-brow-styling-pencil", "https://camerareadycosmetics.com/products/senna-powder-brow-styling-pencil")</f>
        <v/>
      </c>
      <c r="C3200" t="inlineStr">
        <is>
          <t>Powder Brow Styling Pencil</t>
        </is>
      </c>
      <c r="D3200" t="inlineStr">
        <is>
          <t>Arches &amp; Halos Ultimate Brow Hero Kit - Pencil, Powder, Spoolie, Brush, and Tweezer Kit for Perfect Eyebrows - Includes Five Essential Eyebrow Care Tools - Professional Grade Design - Dark - 1 pc</t>
        </is>
      </c>
      <c r="E3200" s="2">
        <f>HYPERLINK("https://www.amazon.com/Arches-Halos-Ultimate-Brow-Hero/dp/B08WHW4CMN/ref=sr_1_2?keywords=Powder+Brow+Styling+Pencil&amp;qid=1695565552&amp;sr=8-2", "https://www.amazon.com/Arches-Halos-Ultimate-Brow-Hero/dp/B08WHW4CMN/ref=sr_1_2?keywords=Powder+Brow+Styling+Pencil&amp;qid=1695565552&amp;sr=8-2")</f>
        <v/>
      </c>
      <c r="F3200" t="inlineStr">
        <is>
          <t>B08WHW4CMN</t>
        </is>
      </c>
      <c r="G3200">
        <f>_xlfn.IMAGE("https://camerareadycosmetics.com/cdn/shop/products/Powder_Brow_Group_-_Open_1_50x.jpg?v=1694444865")</f>
        <v/>
      </c>
      <c r="H3200">
        <f>_xlfn.IMAGE("https://m.media-amazon.com/images/I/71szREjOMVS._AC_UL320_.jpg")</f>
        <v/>
      </c>
      <c r="K3200" t="inlineStr">
        <is>
          <t>22.0</t>
        </is>
      </c>
      <c r="L3200" t="n">
        <v>34.99</v>
      </c>
      <c r="M3200" s="1" t="inlineStr">
        <is>
          <t>59.05%</t>
        </is>
      </c>
      <c r="N3200" t="n">
        <v>3.7</v>
      </c>
      <c r="O3200" t="n">
        <v>22</v>
      </c>
      <c r="Q3200" t="inlineStr">
        <is>
          <t>InStock</t>
        </is>
      </c>
      <c r="R3200" t="inlineStr">
        <is>
          <t>undefined</t>
        </is>
      </c>
      <c r="S3200" t="inlineStr">
        <is>
          <t>10272563978</t>
        </is>
      </c>
    </row>
    <row r="3201" ht="75" customHeight="1">
      <c r="A3201" s="2">
        <f>HYPERLINK("https://camerareadycosmetics.com/products/senna-powder-brow-styling-pencil", "https://camerareadycosmetics.com/products/senna-powder-brow-styling-pencil")</f>
        <v/>
      </c>
      <c r="B3201" s="2">
        <f>HYPERLINK("https://camerareadycosmetics.com/products/senna-powder-brow-styling-pencil", "https://camerareadycosmetics.com/products/senna-powder-brow-styling-pencil")</f>
        <v/>
      </c>
      <c r="C3201" t="inlineStr">
        <is>
          <t>Powder Brow Styling Pencil</t>
        </is>
      </c>
      <c r="D3201" t="inlineStr">
        <is>
          <t>Maybelline Brow Define and Fill Duo 2-in-1 Defining Pencil with Filling Powder, Soft Brown, 0.021 Ounce</t>
        </is>
      </c>
      <c r="E3201" s="2">
        <f>HYPERLINK("https://www.amazon.com/Maybelline-Define-Defining-Pencil-Filling/dp/B00YJJWRKO/ref=sr_1_10?keywords=Powder+Brow+Styling+Pencil&amp;qid=1695565552&amp;sr=8-10", "https://www.amazon.com/Maybelline-Define-Defining-Pencil-Filling/dp/B00YJJWRKO/ref=sr_1_10?keywords=Powder+Brow+Styling+Pencil&amp;qid=1695565552&amp;sr=8-10")</f>
        <v/>
      </c>
      <c r="F3201" t="inlineStr">
        <is>
          <t>B00YJJWRKO</t>
        </is>
      </c>
      <c r="G3201">
        <f>_xlfn.IMAGE("https://camerareadycosmetics.com/cdn/shop/products/Powder_Brow_Group_-_Open_1_50x.jpg?v=1694444865")</f>
        <v/>
      </c>
      <c r="H3201">
        <f>_xlfn.IMAGE("https://m.media-amazon.com/images/I/710eZIwbXfL._AC_UL320_.jpg")</f>
        <v/>
      </c>
      <c r="K3201" t="inlineStr">
        <is>
          <t>22.0</t>
        </is>
      </c>
      <c r="L3201" t="n">
        <v>19.5</v>
      </c>
      <c r="M3201" s="1" t="inlineStr">
        <is>
          <t>-11.36%</t>
        </is>
      </c>
      <c r="N3201" t="n">
        <v>4.4</v>
      </c>
      <c r="O3201" t="n">
        <v>7374</v>
      </c>
      <c r="Q3201" t="inlineStr">
        <is>
          <t>InStock</t>
        </is>
      </c>
      <c r="R3201" t="inlineStr">
        <is>
          <t>undefined</t>
        </is>
      </c>
      <c r="S3201" t="inlineStr">
        <is>
          <t>10272563978</t>
        </is>
      </c>
    </row>
    <row r="3202" ht="75" customHeight="1">
      <c r="A3202" s="2">
        <f>HYPERLINK("https://camerareadycosmetics.com/products/senna-powder-brow-styling-pencil", "https://camerareadycosmetics.com/products/senna-powder-brow-styling-pencil")</f>
        <v/>
      </c>
      <c r="B3202" s="2">
        <f>HYPERLINK("https://camerareadycosmetics.com/products/senna-powder-brow-styling-pencil", "https://camerareadycosmetics.com/products/senna-powder-brow-styling-pencil")</f>
        <v/>
      </c>
      <c r="C3202" t="inlineStr">
        <is>
          <t>Powder Brow Styling Pencil</t>
        </is>
      </c>
      <c r="D3202" t="inlineStr">
        <is>
          <t>Eyebrow Stencils SET with 36 Pairs Eyebrows Shape Stickers Reusable for Women. Also 3-in-1 Black Eyebrow Pencil that includes Powder &amp; Brush. Easy Eyebrow Grooming &amp; Styling</t>
        </is>
      </c>
      <c r="E3202" s="2">
        <f>HYPERLINK("https://www.amazon.com/Stencils-Eyebrows-Stickers-Reusable-Grooming/dp/B07G9TFWD1/ref=sr_1_1?keywords=Powder+Brow+Styling+Pencil&amp;qid=1695565552&amp;sr=8-1", "https://www.amazon.com/Stencils-Eyebrows-Stickers-Reusable-Grooming/dp/B07G9TFWD1/ref=sr_1_1?keywords=Powder+Brow+Styling+Pencil&amp;qid=1695565552&amp;sr=8-1")</f>
        <v/>
      </c>
      <c r="F3202" t="inlineStr">
        <is>
          <t>B07G9TFWD1</t>
        </is>
      </c>
      <c r="G3202">
        <f>_xlfn.IMAGE("https://camerareadycosmetics.com/cdn/shop/products/Powder_Brow_Group_-_Open_1_50x.jpg?v=1694444865")</f>
        <v/>
      </c>
      <c r="H3202">
        <f>_xlfn.IMAGE("https://m.media-amazon.com/images/I/51Mz9Quc3QL._AC_UL320_.jpg")</f>
        <v/>
      </c>
      <c r="K3202" t="inlineStr">
        <is>
          <t>22.0</t>
        </is>
      </c>
      <c r="L3202" t="n">
        <v>16.99</v>
      </c>
      <c r="M3202" s="1" t="inlineStr">
        <is>
          <t>-22.77%</t>
        </is>
      </c>
      <c r="N3202" t="n">
        <v>3.6</v>
      </c>
      <c r="O3202" t="n">
        <v>1903</v>
      </c>
      <c r="Q3202" t="inlineStr">
        <is>
          <t>InStock</t>
        </is>
      </c>
      <c r="R3202" t="inlineStr">
        <is>
          <t>undefined</t>
        </is>
      </c>
      <c r="S3202" t="inlineStr">
        <is>
          <t>10272563978</t>
        </is>
      </c>
    </row>
    <row r="3203" ht="75" customHeight="1">
      <c r="A3203" s="2">
        <f>HYPERLINK("https://camerareadycosmetics.com/products/senna-powder-brow-styling-pencil", "https://camerareadycosmetics.com/products/senna-powder-brow-styling-pencil")</f>
        <v/>
      </c>
      <c r="B3203" s="2">
        <f>HYPERLINK("https://camerareadycosmetics.com/products/senna-powder-brow-styling-pencil", "https://camerareadycosmetics.com/products/senna-powder-brow-styling-pencil")</f>
        <v/>
      </c>
      <c r="C3203" t="inlineStr">
        <is>
          <t>Powder Brow Styling Pencil</t>
        </is>
      </c>
      <c r="D3203" t="inlineStr">
        <is>
          <t>12 Color Eyebrow Kit, 6 Color Eyebrow Powder + 6 Color Brow Pomade Professional Brow Makeup Palette With Eyebrow Pencil, Brow Stencil, Brush and Tweezers Set, Create You Perfect Brow Styling</t>
        </is>
      </c>
      <c r="E3203" s="2">
        <f>HYPERLINK("https://www.amazon.com/SUMEITANG-Eyebrow-Stencils-Tweezers-Multifunctional/dp/B09C5JN62S/ref=sr_1_4?keywords=Powder+Brow+Styling+Pencil&amp;qid=1695565552&amp;sr=8-4", "https://www.amazon.com/SUMEITANG-Eyebrow-Stencils-Tweezers-Multifunctional/dp/B09C5JN62S/ref=sr_1_4?keywords=Powder+Brow+Styling+Pencil&amp;qid=1695565552&amp;sr=8-4")</f>
        <v/>
      </c>
      <c r="F3203" t="inlineStr">
        <is>
          <t>B09C5JN62S</t>
        </is>
      </c>
      <c r="G3203">
        <f>_xlfn.IMAGE("https://camerareadycosmetics.com/cdn/shop/products/Powder_Brow_Group_-_Open_1_50x.jpg?v=1694444865")</f>
        <v/>
      </c>
      <c r="H3203">
        <f>_xlfn.IMAGE("https://m.media-amazon.com/images/I/71u79l2wehL._AC_UL320_.jpg")</f>
        <v/>
      </c>
      <c r="K3203" t="inlineStr">
        <is>
          <t>22.0</t>
        </is>
      </c>
      <c r="L3203" t="n">
        <v>9.99</v>
      </c>
      <c r="M3203" s="1" t="inlineStr">
        <is>
          <t>-54.59%</t>
        </is>
      </c>
      <c r="N3203" t="n">
        <v>4.1</v>
      </c>
      <c r="O3203" t="n">
        <v>144</v>
      </c>
      <c r="Q3203" t="inlineStr">
        <is>
          <t>InStock</t>
        </is>
      </c>
      <c r="R3203" t="inlineStr">
        <is>
          <t>undefined</t>
        </is>
      </c>
      <c r="S3203" t="inlineStr">
        <is>
          <t>10272563978</t>
        </is>
      </c>
    </row>
    <row r="3204" ht="75" customHeight="1">
      <c r="A3204" s="2">
        <f>HYPERLINK("https://camerareadycosmetics.com/products/senna-powder-brow-styling-pencil", "https://camerareadycosmetics.com/products/senna-powder-brow-styling-pencil")</f>
        <v/>
      </c>
      <c r="B3204" s="2">
        <f>HYPERLINK("https://camerareadycosmetics.com/products/senna-powder-brow-styling-pencil", "https://camerareadycosmetics.com/products/senna-powder-brow-styling-pencil")</f>
        <v/>
      </c>
      <c r="C3204" t="inlineStr">
        <is>
          <t>Powder Brow Styling Pencil</t>
        </is>
      </c>
      <c r="D3204" t="inlineStr">
        <is>
          <t>Revlon Eyebrow Pencil &amp; Powder, ColorStay Brow Creator 2-in-1 Eye Makeup with Spoolie, Longwearing with Precision Tip, 610 Dark Brown, 0.23 Oz</t>
        </is>
      </c>
      <c r="E3204" s="2">
        <f>HYPERLINK("https://www.amazon.com/Revlon-Colorstay-Eyebrow-Pencil-Creator/dp/B07GDJXXTB/ref=sr_1_7?keywords=Powder+Brow+Styling+Pencil&amp;qid=1695565552&amp;sr=8-7", "https://www.amazon.com/Revlon-Colorstay-Eyebrow-Pencil-Creator/dp/B07GDJXXTB/ref=sr_1_7?keywords=Powder+Brow+Styling+Pencil&amp;qid=1695565552&amp;sr=8-7")</f>
        <v/>
      </c>
      <c r="F3204" t="inlineStr">
        <is>
          <t>B07GDJXXTB</t>
        </is>
      </c>
      <c r="G3204">
        <f>_xlfn.IMAGE("https://camerareadycosmetics.com/cdn/shop/products/Powder_Brow_Group_-_Open_1_50x.jpg?v=1694444865")</f>
        <v/>
      </c>
      <c r="H3204">
        <f>_xlfn.IMAGE("https://m.media-amazon.com/images/I/51G3fakZrnS._AC_UL320_.jpg")</f>
        <v/>
      </c>
      <c r="K3204" t="inlineStr">
        <is>
          <t>22.0</t>
        </is>
      </c>
      <c r="L3204" t="n">
        <v>9.33</v>
      </c>
      <c r="M3204" s="1" t="inlineStr">
        <is>
          <t>-57.59%</t>
        </is>
      </c>
      <c r="N3204" t="n">
        <v>4.6</v>
      </c>
      <c r="O3204" t="n">
        <v>2610</v>
      </c>
      <c r="Q3204" t="inlineStr">
        <is>
          <t>InStock</t>
        </is>
      </c>
      <c r="R3204" t="inlineStr">
        <is>
          <t>undefined</t>
        </is>
      </c>
      <c r="S3204" t="inlineStr">
        <is>
          <t>10272563978</t>
        </is>
      </c>
    </row>
    <row r="3205" ht="75" customHeight="1">
      <c r="A3205" s="2">
        <f>HYPERLINK("https://camerareadycosmetics.com/products/senna-powder-brow-styling-pencil", "https://camerareadycosmetics.com/products/senna-powder-brow-styling-pencil")</f>
        <v/>
      </c>
      <c r="B3205" s="2">
        <f>HYPERLINK("https://camerareadycosmetics.com/products/senna-powder-brow-styling-pencil", "https://camerareadycosmetics.com/products/senna-powder-brow-styling-pencil")</f>
        <v/>
      </c>
      <c r="C3205" t="inlineStr">
        <is>
          <t>Powder Brow Styling Pencil</t>
        </is>
      </c>
      <c r="D3205" t="inlineStr">
        <is>
          <t>Maybelline New York Express Brow 2-In-1 Pencil and Powder Eyebrow Makeup, Black Brown, 1 Count</t>
        </is>
      </c>
      <c r="E3205" s="2">
        <f>HYPERLINK("https://www.amazon.com/Maybelline-New-York-Express-Eyebrow/dp/B091J1R4RG/ref=sr_1_5?keywords=Powder+Brow+Styling+Pencil&amp;qid=1695565552&amp;sr=8-5", "https://www.amazon.com/Maybelline-New-York-Express-Eyebrow/dp/B091J1R4RG/ref=sr_1_5?keywords=Powder+Brow+Styling+Pencil&amp;qid=1695565552&amp;sr=8-5")</f>
        <v/>
      </c>
      <c r="F3205" t="inlineStr">
        <is>
          <t>B091J1R4RG</t>
        </is>
      </c>
      <c r="G3205">
        <f>_xlfn.IMAGE("https://camerareadycosmetics.com/cdn/shop/products/Powder_Brow_Group_-_Open_1_50x.jpg?v=1694444865")</f>
        <v/>
      </c>
      <c r="H3205">
        <f>_xlfn.IMAGE("https://m.media-amazon.com/images/I/81dCsF2vGbL._AC_UL320_.jpg")</f>
        <v/>
      </c>
      <c r="K3205" t="inlineStr">
        <is>
          <t>22.0</t>
        </is>
      </c>
      <c r="L3205" t="n">
        <v>7.95</v>
      </c>
      <c r="M3205" s="1" t="inlineStr">
        <is>
          <t>-63.86%</t>
        </is>
      </c>
      <c r="N3205" t="n">
        <v>4.3</v>
      </c>
      <c r="O3205" t="n">
        <v>7005</v>
      </c>
      <c r="Q3205" t="inlineStr">
        <is>
          <t>InStock</t>
        </is>
      </c>
      <c r="R3205" t="inlineStr">
        <is>
          <t>undefined</t>
        </is>
      </c>
      <c r="S3205" t="inlineStr">
        <is>
          <t>10272563978</t>
        </is>
      </c>
    </row>
    <row r="3206" ht="75" customHeight="1">
      <c r="A3206" s="2">
        <f>HYPERLINK("https://camerareadycosmetics.com/products/senna-powder-brow-styling-pencil", "https://camerareadycosmetics.com/products/senna-powder-brow-styling-pencil")</f>
        <v/>
      </c>
      <c r="B3206" s="2">
        <f>HYPERLINK("https://camerareadycosmetics.com/products/senna-powder-brow-styling-pencil", "https://camerareadycosmetics.com/products/senna-powder-brow-styling-pencil")</f>
        <v/>
      </c>
      <c r="C3206" t="inlineStr">
        <is>
          <t>Powder Brow Styling Pencil</t>
        </is>
      </c>
      <c r="D3206" t="inlineStr">
        <is>
          <t>NYX PROFESSIONAL MAKEUP Eyebrow Powder Pencil, Taupe</t>
        </is>
      </c>
      <c r="E3206" s="2">
        <f>HYPERLINK("https://www.amazon.com/NYX-Professional-Makeup-Eyebrow-Powder/dp/B071FF9KV7/ref=sr_1_9?keywords=Powder+Brow+Styling+Pencil&amp;qid=1695565552&amp;sr=8-9", "https://www.amazon.com/NYX-Professional-Makeup-Eyebrow-Powder/dp/B071FF9KV7/ref=sr_1_9?keywords=Powder+Brow+Styling+Pencil&amp;qid=1695565552&amp;sr=8-9")</f>
        <v/>
      </c>
      <c r="F3206" t="inlineStr">
        <is>
          <t>B071FF9KV7</t>
        </is>
      </c>
      <c r="G3206">
        <f>_xlfn.IMAGE("https://camerareadycosmetics.com/cdn/shop/products/Powder_Brow_Group_-_Open_1_50x.jpg?v=1694444865")</f>
        <v/>
      </c>
      <c r="H3206">
        <f>_xlfn.IMAGE("https://m.media-amazon.com/images/I/61Uy72hpMnL._AC_UL320_.jpg")</f>
        <v/>
      </c>
      <c r="K3206" t="inlineStr">
        <is>
          <t>22.0</t>
        </is>
      </c>
      <c r="L3206" t="n">
        <v>6.4</v>
      </c>
      <c r="M3206" s="1" t="inlineStr">
        <is>
          <t>-70.91%</t>
        </is>
      </c>
      <c r="N3206" t="n">
        <v>4.5</v>
      </c>
      <c r="O3206" t="n">
        <v>5731</v>
      </c>
      <c r="Q3206" t="inlineStr">
        <is>
          <t>InStock</t>
        </is>
      </c>
      <c r="R3206" t="inlineStr">
        <is>
          <t>undefined</t>
        </is>
      </c>
      <c r="S3206" t="inlineStr">
        <is>
          <t>10272563978</t>
        </is>
      </c>
    </row>
    <row r="3207" ht="75" customHeight="1">
      <c r="A3207" s="2">
        <f>HYPERLINK("https://camerareadycosmetics.com/products/senna-powder-brow-styling-pencil", "https://camerareadycosmetics.com/products/senna-powder-brow-styling-pencil")</f>
        <v/>
      </c>
      <c r="B3207" s="2">
        <f>HYPERLINK("https://camerareadycosmetics.com/products/senna-powder-brow-styling-pencil", "https://camerareadycosmetics.com/products/senna-powder-brow-styling-pencil")</f>
        <v/>
      </c>
      <c r="C3207" t="inlineStr">
        <is>
          <t>Powder Brow Styling Pencil</t>
        </is>
      </c>
      <c r="D3207" t="inlineStr">
        <is>
          <t>12 Color Eyebrow Kit, 6 Color Eyebrow Powder + 6 Color Brow Pomade Professional Brow Makeup Palette With Eyebrow Pencil, Brow Stencil, Brush and Tweezers Set, Create You Perfect Brow Styling</t>
        </is>
      </c>
      <c r="E3207" s="2">
        <f>HYPERLINK("https://www.amazon.com/SUMEITANG-Eyebrow-Stencils-Tweezers-Multifunctional/dp/B09C5JN62S/ref=sr_1_4?keywords=Powder+Brow+Styling+Pencil&amp;qid=1695565552&amp;sr=8-4", "https://www.amazon.com/SUMEITANG-Eyebrow-Stencils-Tweezers-Multifunctional/dp/B09C5JN62S/ref=sr_1_4?keywords=Powder+Brow+Styling+Pencil&amp;qid=1695565552&amp;sr=8-4")</f>
        <v/>
      </c>
      <c r="F3207" t="inlineStr">
        <is>
          <t>B09C5JN62S</t>
        </is>
      </c>
      <c r="G3207">
        <f>_xlfn.IMAGE("https://camerareadycosmetics.com/cdn/shop/products/Powder_Brow_Group_-_Open_1_50x.jpg?v=1694444865")</f>
        <v/>
      </c>
      <c r="H3207">
        <f>_xlfn.IMAGE("https://m.media-amazon.com/images/I/71u79l2wehL._AC_UL320_.jpg")</f>
        <v/>
      </c>
      <c r="K3207" t="inlineStr">
        <is>
          <t>22.0</t>
        </is>
      </c>
      <c r="L3207" t="n">
        <v>9.99</v>
      </c>
      <c r="M3207" s="1" t="inlineStr">
        <is>
          <t>-54.59%</t>
        </is>
      </c>
      <c r="N3207" t="n">
        <v>4.1</v>
      </c>
      <c r="O3207" t="n">
        <v>144</v>
      </c>
      <c r="Q3207" t="inlineStr">
        <is>
          <t>InStock</t>
        </is>
      </c>
      <c r="R3207" t="inlineStr">
        <is>
          <t>undefined</t>
        </is>
      </c>
      <c r="S3207" t="inlineStr">
        <is>
          <t>10272563978</t>
        </is>
      </c>
    </row>
    <row r="3208" ht="75" customHeight="1">
      <c r="A3208" s="2">
        <f>HYPERLINK("https://camerareadycosmetics.com/products/senna-powder-brow-styling-pencil", "https://camerareadycosmetics.com/products/senna-powder-brow-styling-pencil")</f>
        <v/>
      </c>
      <c r="B3208" s="2">
        <f>HYPERLINK("https://camerareadycosmetics.com/products/senna-powder-brow-styling-pencil", "https://camerareadycosmetics.com/products/senna-powder-brow-styling-pencil")</f>
        <v/>
      </c>
      <c r="C3208" t="inlineStr">
        <is>
          <t>Powder Brow Styling Pencil</t>
        </is>
      </c>
      <c r="D3208" t="inlineStr">
        <is>
          <t>Revlon Eyebrow Pencil &amp; Powder, ColorStay Brow Creator 2-in-1 Eye Makeup with Spoolie, Longwearing with Precision Tip, 610 Dark Brown, 0.23 Oz</t>
        </is>
      </c>
      <c r="E3208" s="2">
        <f>HYPERLINK("https://www.amazon.com/Revlon-Colorstay-Eyebrow-Pencil-Creator/dp/B07GDJXXTB/ref=sr_1_7?keywords=Powder+Brow+Styling+Pencil&amp;qid=1695565552&amp;sr=8-7", "https://www.amazon.com/Revlon-Colorstay-Eyebrow-Pencil-Creator/dp/B07GDJXXTB/ref=sr_1_7?keywords=Powder+Brow+Styling+Pencil&amp;qid=1695565552&amp;sr=8-7")</f>
        <v/>
      </c>
      <c r="F3208" t="inlineStr">
        <is>
          <t>B07GDJXXTB</t>
        </is>
      </c>
      <c r="G3208">
        <f>_xlfn.IMAGE("https://camerareadycosmetics.com/cdn/shop/products/Powder_Brow_Group_-_Open_1_50x.jpg?v=1694444865")</f>
        <v/>
      </c>
      <c r="H3208">
        <f>_xlfn.IMAGE("https://m.media-amazon.com/images/I/51G3fakZrnS._AC_UL320_.jpg")</f>
        <v/>
      </c>
      <c r="K3208" t="inlineStr">
        <is>
          <t>22.0</t>
        </is>
      </c>
      <c r="L3208" t="n">
        <v>9.33</v>
      </c>
      <c r="M3208" s="1" t="inlineStr">
        <is>
          <t>-57.59%</t>
        </is>
      </c>
      <c r="N3208" t="n">
        <v>4.6</v>
      </c>
      <c r="O3208" t="n">
        <v>2610</v>
      </c>
      <c r="Q3208" t="inlineStr">
        <is>
          <t>InStock</t>
        </is>
      </c>
      <c r="R3208" t="inlineStr">
        <is>
          <t>undefined</t>
        </is>
      </c>
      <c r="S3208" t="inlineStr">
        <is>
          <t>10272563978</t>
        </is>
      </c>
    </row>
    <row r="3209" ht="75" customHeight="1">
      <c r="A3209" s="2">
        <f>HYPERLINK("https://camerareadycosmetics.com/products/senna-powder-brow-styling-pencil", "https://camerareadycosmetics.com/products/senna-powder-brow-styling-pencil")</f>
        <v/>
      </c>
      <c r="B3209" s="2">
        <f>HYPERLINK("https://camerareadycosmetics.com/products/senna-powder-brow-styling-pencil", "https://camerareadycosmetics.com/products/senna-powder-brow-styling-pencil")</f>
        <v/>
      </c>
      <c r="C3209" t="inlineStr">
        <is>
          <t>Powder Brow Styling Pencil</t>
        </is>
      </c>
      <c r="D3209" t="inlineStr">
        <is>
          <t>Maybelline New York Express Brow 2-In-1 Pencil and Powder Eyebrow Makeup, Black Brown, 1 Count</t>
        </is>
      </c>
      <c r="E3209" s="2">
        <f>HYPERLINK("https://www.amazon.com/Maybelline-New-York-Express-Eyebrow/dp/B091J1R4RG/ref=sr_1_5?keywords=Powder+Brow+Styling+Pencil&amp;qid=1695565552&amp;sr=8-5", "https://www.amazon.com/Maybelline-New-York-Express-Eyebrow/dp/B091J1R4RG/ref=sr_1_5?keywords=Powder+Brow+Styling+Pencil&amp;qid=1695565552&amp;sr=8-5")</f>
        <v/>
      </c>
      <c r="F3209" t="inlineStr">
        <is>
          <t>B091J1R4RG</t>
        </is>
      </c>
      <c r="G3209">
        <f>_xlfn.IMAGE("https://camerareadycosmetics.com/cdn/shop/products/Powder_Brow_Group_-_Open_1_50x.jpg?v=1694444865")</f>
        <v/>
      </c>
      <c r="H3209">
        <f>_xlfn.IMAGE("https://m.media-amazon.com/images/I/81dCsF2vGbL._AC_UL320_.jpg")</f>
        <v/>
      </c>
      <c r="K3209" t="inlineStr">
        <is>
          <t>22.0</t>
        </is>
      </c>
      <c r="L3209" t="n">
        <v>7.95</v>
      </c>
      <c r="M3209" s="1" t="inlineStr">
        <is>
          <t>-63.86%</t>
        </is>
      </c>
      <c r="N3209" t="n">
        <v>4.3</v>
      </c>
      <c r="O3209" t="n">
        <v>7005</v>
      </c>
      <c r="Q3209" t="inlineStr">
        <is>
          <t>InStock</t>
        </is>
      </c>
      <c r="R3209" t="inlineStr">
        <is>
          <t>undefined</t>
        </is>
      </c>
      <c r="S3209" t="inlineStr">
        <is>
          <t>10272563978</t>
        </is>
      </c>
    </row>
    <row r="3210" ht="75" customHeight="1">
      <c r="A3210" s="2">
        <f>HYPERLINK("https://camerareadycosmetics.com/products/senna-powder-brow-styling-pencil", "https://camerareadycosmetics.com/products/senna-powder-brow-styling-pencil")</f>
        <v/>
      </c>
      <c r="B3210" s="2">
        <f>HYPERLINK("https://camerareadycosmetics.com/products/senna-powder-brow-styling-pencil", "https://camerareadycosmetics.com/products/senna-powder-brow-styling-pencil")</f>
        <v/>
      </c>
      <c r="C3210" t="inlineStr">
        <is>
          <t>Powder Brow Styling Pencil</t>
        </is>
      </c>
      <c r="D3210" t="inlineStr">
        <is>
          <t>NYX PROFESSIONAL MAKEUP Eyebrow Powder Pencil, Taupe</t>
        </is>
      </c>
      <c r="E3210" s="2">
        <f>HYPERLINK("https://www.amazon.com/NYX-Professional-Makeup-Eyebrow-Powder/dp/B071FF9KV7/ref=sr_1_9?keywords=Powder+Brow+Styling+Pencil&amp;qid=1695565552&amp;sr=8-9", "https://www.amazon.com/NYX-Professional-Makeup-Eyebrow-Powder/dp/B071FF9KV7/ref=sr_1_9?keywords=Powder+Brow+Styling+Pencil&amp;qid=1695565552&amp;sr=8-9")</f>
        <v/>
      </c>
      <c r="F3210" t="inlineStr">
        <is>
          <t>B071FF9KV7</t>
        </is>
      </c>
      <c r="G3210">
        <f>_xlfn.IMAGE("https://camerareadycosmetics.com/cdn/shop/products/Powder_Brow_Group_-_Open_1_50x.jpg?v=1694444865")</f>
        <v/>
      </c>
      <c r="H3210">
        <f>_xlfn.IMAGE("https://m.media-amazon.com/images/I/61Uy72hpMnL._AC_UL320_.jpg")</f>
        <v/>
      </c>
      <c r="K3210" t="inlineStr">
        <is>
          <t>22.0</t>
        </is>
      </c>
      <c r="L3210" t="n">
        <v>6.4</v>
      </c>
      <c r="M3210" s="1" t="inlineStr">
        <is>
          <t>-70.91%</t>
        </is>
      </c>
      <c r="N3210" t="n">
        <v>4.5</v>
      </c>
      <c r="O3210" t="n">
        <v>5731</v>
      </c>
      <c r="Q3210" t="inlineStr">
        <is>
          <t>InStock</t>
        </is>
      </c>
      <c r="R3210" t="inlineStr">
        <is>
          <t>undefined</t>
        </is>
      </c>
      <c r="S3210" t="inlineStr">
        <is>
          <t>10272563978</t>
        </is>
      </c>
    </row>
    <row r="3211" ht="75" customHeight="1">
      <c r="A3211" s="2">
        <f>HYPERLINK("https://camerareadycosmetics.com/products/senna-shine-on-lip-lacquer", "https://camerareadycosmetics.com/products/senna-shine-on-lip-lacquer")</f>
        <v/>
      </c>
      <c r="B3211" s="2">
        <f>HYPERLINK("https://camerareadycosmetics.com/products/senna-shine-on-lip-lacquer", "https://camerareadycosmetics.com/products/senna-shine-on-lip-lacquer")</f>
        <v/>
      </c>
      <c r="C3211" t="inlineStr">
        <is>
          <t>Shine On Lip Lacquer</t>
        </is>
      </c>
      <c r="D3211" t="inlineStr">
        <is>
          <t>Sara Happ The Rose Gold Slip One Luxe Gloss: Rich, Long-lasting Lip Gloss, Heal and Soften All Day with Sheer, Reflective Shine, 0.21 oz</t>
        </is>
      </c>
      <c r="E3211" s="2" t="n"/>
      <c r="F3211" t="inlineStr">
        <is>
          <t>B01LXR6JOG</t>
        </is>
      </c>
      <c r="G3211">
        <f>_xlfn.IMAGE("https://camerareadycosmetics.com/cdn/shop/products/senna_liplaquer_torch_closed_50x.jpg?v=1569597055")</f>
        <v/>
      </c>
      <c r="H3211">
        <f>_xlfn.IMAGE("https://m.media-amazon.com/images/I/71y1xcRF7qL._AC_UL320_.jpg")</f>
        <v/>
      </c>
      <c r="K3211" t="inlineStr">
        <is>
          <t>22.0</t>
        </is>
      </c>
      <c r="L3211" t="n">
        <v>28</v>
      </c>
      <c r="M3211" s="1" t="inlineStr">
        <is>
          <t>27.27%</t>
        </is>
      </c>
      <c r="N3211" t="n">
        <v>4.4</v>
      </c>
      <c r="O3211" t="n">
        <v>406</v>
      </c>
      <c r="Q3211" t="inlineStr">
        <is>
          <t>InStock</t>
        </is>
      </c>
      <c r="R3211" t="inlineStr">
        <is>
          <t>undefined</t>
        </is>
      </c>
      <c r="S3211" t="inlineStr">
        <is>
          <t>4094498177135</t>
        </is>
      </c>
    </row>
    <row r="3212" ht="75" customHeight="1">
      <c r="A3212" s="2">
        <f>HYPERLINK("https://camerareadycosmetics.com/products/senna-shine-on-lip-lacquer", "https://camerareadycosmetics.com/products/senna-shine-on-lip-lacquer")</f>
        <v/>
      </c>
      <c r="B3212" s="2">
        <f>HYPERLINK("https://camerareadycosmetics.com/products/senna-shine-on-lip-lacquer", "https://camerareadycosmetics.com/products/senna-shine-on-lip-lacquer")</f>
        <v/>
      </c>
      <c r="C3212" t="inlineStr">
        <is>
          <t>Shine On Lip Lacquer</t>
        </is>
      </c>
      <c r="D3212" t="inlineStr">
        <is>
          <t>NATURAL SHINE Lux Triple Lip CURE Balm THEIA (Red Grapefruit) | Chapstick Hydration and Exfoliator | Overnight Lip Treatment Care Deep Nourishing for Dry Cracked Chapped Lips (0.17oz)</t>
        </is>
      </c>
      <c r="E3212" s="2" t="n"/>
      <c r="F3212" t="inlineStr">
        <is>
          <t>B09YLFJFT2</t>
        </is>
      </c>
      <c r="G3212">
        <f>_xlfn.IMAGE("https://camerareadycosmetics.com/cdn/shop/products/senna_liplaquer_torch_closed_50x.jpg?v=1569597055")</f>
        <v/>
      </c>
      <c r="H3212">
        <f>_xlfn.IMAGE("https://m.media-amazon.com/images/I/51nJTsET4SL._AC_UL320_.jpg")</f>
        <v/>
      </c>
      <c r="K3212" t="inlineStr">
        <is>
          <t>22.0</t>
        </is>
      </c>
      <c r="L3212" t="n">
        <v>18</v>
      </c>
      <c r="M3212" s="1" t="inlineStr">
        <is>
          <t>-18.18%</t>
        </is>
      </c>
      <c r="N3212" t="n">
        <v>4.3</v>
      </c>
      <c r="O3212" t="n">
        <v>32</v>
      </c>
      <c r="Q3212" t="inlineStr">
        <is>
          <t>InStock</t>
        </is>
      </c>
      <c r="R3212" t="inlineStr">
        <is>
          <t>undefined</t>
        </is>
      </c>
      <c r="S3212" t="inlineStr">
        <is>
          <t>4094498177135</t>
        </is>
      </c>
    </row>
    <row r="3213" ht="75" customHeight="1">
      <c r="A3213" s="2">
        <f>HYPERLINK("https://camerareadycosmetics.com/products/senna-shine-on-lip-lacquer", "https://camerareadycosmetics.com/products/senna-shine-on-lip-lacquer")</f>
        <v/>
      </c>
      <c r="B3213" s="2">
        <f>HYPERLINK("https://camerareadycosmetics.com/products/senna-shine-on-lip-lacquer", "https://camerareadycosmetics.com/products/senna-shine-on-lip-lacquer")</f>
        <v/>
      </c>
      <c r="C3213" t="inlineStr">
        <is>
          <t>Shine On Lip Lacquer</t>
        </is>
      </c>
      <c r="D3213" t="inlineStr">
        <is>
          <t>MODE Lip Polish, 05 fl oz, Fresh (Shimmering Cotton Candy Pink) Brush On Intense Shine Lip Gloss Pen, Full Bodied Creamy Color, Natural Fruit Oils and Skincare Ingredients, Vegan, Cruelty Free, USA</t>
        </is>
      </c>
      <c r="E3213" s="2">
        <f>HYPERLINK("https://www.amazon.com/Mode-Polish-05-Shimmering-Skincare-Ingredients/dp/B01EYZWELY/ref=sr_1_6?keywords=Shine+On+Lip+Lacquer&amp;qid=1695565640&amp;sr=8-6", "https://www.amazon.com/Mode-Polish-05-Shimmering-Skincare-Ingredients/dp/B01EYZWELY/ref=sr_1_6?keywords=Shine+On+Lip+Lacquer&amp;qid=1695565640&amp;sr=8-6")</f>
        <v/>
      </c>
      <c r="F3213" t="inlineStr">
        <is>
          <t>B01EYZWELY</t>
        </is>
      </c>
      <c r="G3213">
        <f>_xlfn.IMAGE("https://camerareadycosmetics.com/cdn/shop/products/senna_liplaquer_torch_closed_50x.jpg?v=1569597055")</f>
        <v/>
      </c>
      <c r="H3213">
        <f>_xlfn.IMAGE("https://m.media-amazon.com/images/I/31UBD5O+rmL._AC_UL320_.jpg")</f>
        <v/>
      </c>
      <c r="K3213" t="inlineStr">
        <is>
          <t>22.0</t>
        </is>
      </c>
      <c r="L3213" t="n">
        <v>18</v>
      </c>
      <c r="M3213" s="1" t="inlineStr">
        <is>
          <t>-18.18%</t>
        </is>
      </c>
      <c r="N3213" t="n">
        <v>2.8</v>
      </c>
      <c r="O3213" t="n">
        <v>3</v>
      </c>
      <c r="Q3213" t="inlineStr">
        <is>
          <t>InStock</t>
        </is>
      </c>
      <c r="R3213" t="inlineStr">
        <is>
          <t>undefined</t>
        </is>
      </c>
      <c r="S3213" t="inlineStr">
        <is>
          <t>4094498177135</t>
        </is>
      </c>
    </row>
    <row r="3214" ht="75" customHeight="1">
      <c r="A3214" s="2">
        <f>HYPERLINK("https://camerareadycosmetics.com/products/senna-sketch-a-brow-pencil", "https://camerareadycosmetics.com/products/senna-sketch-a-brow-pencil")</f>
        <v/>
      </c>
      <c r="B3214" s="2">
        <f>HYPERLINK("https://camerareadycosmetics.com/products/senna-sketch-a-brow-pencil", "https://camerareadycosmetics.com/products/senna-sketch-a-brow-pencil")</f>
        <v/>
      </c>
      <c r="C3214" t="inlineStr">
        <is>
          <t>Sketch-A-Brow Pencil</t>
        </is>
      </c>
      <c r="D3214" t="inlineStr">
        <is>
          <t>Senna Cosmetics Sketch-a-Brow, Blonde</t>
        </is>
      </c>
      <c r="E3214" s="2">
        <f>HYPERLINK("https://www.amazon.com/Senna-Cosmetics-SAB01-Sketch-a-Brow-Blonde/dp/B009LNWYZQ/ref=sr_1_2?keywords=Sketch-A-Brow+Pencil&amp;qid=1695565454&amp;sr=8-2", "https://www.amazon.com/Senna-Cosmetics-SAB01-Sketch-a-Brow-Blonde/dp/B009LNWYZQ/ref=sr_1_2?keywords=Sketch-A-Brow+Pencil&amp;qid=1695565454&amp;sr=8-2")</f>
        <v/>
      </c>
      <c r="F3214" t="inlineStr">
        <is>
          <t>B009LNWYZQ</t>
        </is>
      </c>
      <c r="G3214">
        <f>_xlfn.IMAGE("https://camerareadycosmetics.com/cdn/shop/products/senna-sketch-a-brow-Ash-Brown_Open_50x.jpg?v=1689647630")</f>
        <v/>
      </c>
      <c r="H3214">
        <f>_xlfn.IMAGE("https://m.media-amazon.com/images/I/31j4Ydvjf3S._AC_UL320_.jpg")</f>
        <v/>
      </c>
      <c r="K3214" t="inlineStr">
        <is>
          <t>18.0</t>
        </is>
      </c>
      <c r="L3214" t="n">
        <v>16.99</v>
      </c>
      <c r="M3214" s="1" t="inlineStr">
        <is>
          <t>-5.61%</t>
        </is>
      </c>
      <c r="N3214" t="n">
        <v>4.4</v>
      </c>
      <c r="O3214" t="n">
        <v>145</v>
      </c>
      <c r="Q3214" t="inlineStr">
        <is>
          <t>InStock</t>
        </is>
      </c>
      <c r="R3214" t="inlineStr">
        <is>
          <t>undefined</t>
        </is>
      </c>
      <c r="S3214" t="inlineStr">
        <is>
          <t>7044516551</t>
        </is>
      </c>
    </row>
    <row r="3215" ht="75" customHeight="1">
      <c r="A3215" s="2">
        <f>HYPERLINK("https://camerareadycosmetics.com/products/senna-sketch-a-brow-pencil", "https://camerareadycosmetics.com/products/senna-sketch-a-brow-pencil")</f>
        <v/>
      </c>
      <c r="B3215" s="2">
        <f>HYPERLINK("https://camerareadycosmetics.com/products/senna-sketch-a-brow-pencil", "https://camerareadycosmetics.com/products/senna-sketch-a-brow-pencil")</f>
        <v/>
      </c>
      <c r="C3215" t="inlineStr">
        <is>
          <t>Sketch-A-Brow Pencil</t>
        </is>
      </c>
      <c r="D3215" t="inlineStr">
        <is>
          <t>COLORKEY Dual-ended Sketch Eyebrow Pencil, Waterproof Eyebrow Pencil Draw Tiny Eyebrows Fills in Sparse Areas Gaps, Ultra Slim Defining Eyebrow Pencil,Two Colors Flat Core Eyebrown Pencil(#05)</t>
        </is>
      </c>
      <c r="E3215" s="2">
        <f>HYPERLINK("https://www.amazon.com/COLORKEY-Dual-ended-Waterproof-Eyebrows-05/dp/B097QWX6D2/ref=sr_1_3?keywords=Sketch-A-Brow+Pencil&amp;qid=1695565454&amp;sr=8-3", "https://www.amazon.com/COLORKEY-Dual-ended-Waterproof-Eyebrows-05/dp/B097QWX6D2/ref=sr_1_3?keywords=Sketch-A-Brow+Pencil&amp;qid=1695565454&amp;sr=8-3")</f>
        <v/>
      </c>
      <c r="F3215" t="inlineStr">
        <is>
          <t>B097QWX6D2</t>
        </is>
      </c>
      <c r="G3215">
        <f>_xlfn.IMAGE("https://camerareadycosmetics.com/cdn/shop/products/senna-sketch-a-brow-Ash-Brown_Open_50x.jpg?v=1689647630")</f>
        <v/>
      </c>
      <c r="H3215">
        <f>_xlfn.IMAGE("https://m.media-amazon.com/images/I/51lX-ld2mpS._AC_UL320_.jpg")</f>
        <v/>
      </c>
      <c r="K3215" t="inlineStr">
        <is>
          <t>18.0</t>
        </is>
      </c>
      <c r="L3215" t="n">
        <v>12.99</v>
      </c>
      <c r="M3215" s="1" t="inlineStr">
        <is>
          <t>-27.83%</t>
        </is>
      </c>
      <c r="N3215" t="n">
        <v>4.1</v>
      </c>
      <c r="O3215" t="n">
        <v>122</v>
      </c>
      <c r="Q3215" t="inlineStr">
        <is>
          <t>InStock</t>
        </is>
      </c>
      <c r="R3215" t="inlineStr">
        <is>
          <t>undefined</t>
        </is>
      </c>
      <c r="S3215" t="inlineStr">
        <is>
          <t>7044516551</t>
        </is>
      </c>
    </row>
    <row r="3216" ht="75" customHeight="1">
      <c r="A3216" s="2">
        <f>HYPERLINK("https://camerareadycosmetics.com/products/senna-sketch-a-brow-pencil", "https://camerareadycosmetics.com/products/senna-sketch-a-brow-pencil")</f>
        <v/>
      </c>
      <c r="B3216" s="2">
        <f>HYPERLINK("https://camerareadycosmetics.com/products/senna-sketch-a-brow-pencil", "https://camerareadycosmetics.com/products/senna-sketch-a-brow-pencil")</f>
        <v/>
      </c>
      <c r="C3216" t="inlineStr">
        <is>
          <t>Sketch-A-Brow Pencil</t>
        </is>
      </c>
      <c r="D3216" t="inlineStr">
        <is>
          <t>MINA White Mapping Brow Paste 5g | Draw Or Sketch The Right Shape Of The Eyebrow | Help To Perfect Your Brow Tinting</t>
        </is>
      </c>
      <c r="E3216" s="2">
        <f>HYPERLINK("https://www.amazon.com/MINA-Sketch-Eyebrow-Perfect-Tinting/dp/B08H22C29T/ref=sr_1_4?keywords=Sketch-A-Brow+Pencil&amp;qid=1695565454&amp;sr=8-4", "https://www.amazon.com/MINA-Sketch-Eyebrow-Perfect-Tinting/dp/B08H22C29T/ref=sr_1_4?keywords=Sketch-A-Brow+Pencil&amp;qid=1695565454&amp;sr=8-4")</f>
        <v/>
      </c>
      <c r="F3216" t="inlineStr">
        <is>
          <t>B08H22C29T</t>
        </is>
      </c>
      <c r="G3216">
        <f>_xlfn.IMAGE("https://camerareadycosmetics.com/cdn/shop/products/senna-sketch-a-brow-Ash-Brown_Open_50x.jpg?v=1689647630")</f>
        <v/>
      </c>
      <c r="H3216">
        <f>_xlfn.IMAGE("https://m.media-amazon.com/images/I/61qkwvuk+zL._AC_UL320_.jpg")</f>
        <v/>
      </c>
      <c r="K3216" t="inlineStr">
        <is>
          <t>18.0</t>
        </is>
      </c>
      <c r="L3216" t="n">
        <v>9.949999999999999</v>
      </c>
      <c r="M3216" s="1" t="inlineStr">
        <is>
          <t>-44.72%</t>
        </is>
      </c>
      <c r="N3216" t="n">
        <v>4.2</v>
      </c>
      <c r="O3216" t="n">
        <v>523</v>
      </c>
      <c r="Q3216" t="inlineStr">
        <is>
          <t>InStock</t>
        </is>
      </c>
      <c r="R3216" t="inlineStr">
        <is>
          <t>undefined</t>
        </is>
      </c>
      <c r="S3216" t="inlineStr">
        <is>
          <t>7044516551</t>
        </is>
      </c>
    </row>
    <row r="3217" ht="75" customHeight="1">
      <c r="A3217" s="2">
        <f>HYPERLINK("https://camerareadycosmetics.com/products/senna-sketch-a-brow-pencil", "https://camerareadycosmetics.com/products/senna-sketch-a-brow-pencil")</f>
        <v/>
      </c>
      <c r="B3217" s="2">
        <f>HYPERLINK("https://camerareadycosmetics.com/products/senna-sketch-a-brow-pencil", "https://camerareadycosmetics.com/products/senna-sketch-a-brow-pencil")</f>
        <v/>
      </c>
      <c r="C3217" t="inlineStr">
        <is>
          <t>Sketch-A-Brow Pencil</t>
        </is>
      </c>
      <c r="D3217" t="inlineStr">
        <is>
          <t>Eyebrow Pencil Brow Pen with 4 Micro-Fork Tips - 1Pcs Fine Sketch Microblading Eye Brow Tinted Pen, Long Lasting Waterproof &amp; Smudge-proof Brow Pencil,Mohter's Day Gift for Women– 02Dark Brown</t>
        </is>
      </c>
      <c r="E3217" s="2">
        <f>HYPERLINK("https://www.amazon.com/Eyebrow-Pencil-Brow-Micro-Fork-Tips/dp/B0BTTSYM9T/ref=sr_1_10?keywords=Sketch-A-Brow+Pencil&amp;qid=1695565454&amp;sr=8-10", "https://www.amazon.com/Eyebrow-Pencil-Brow-Micro-Fork-Tips/dp/B0BTTSYM9T/ref=sr_1_10?keywords=Sketch-A-Brow+Pencil&amp;qid=1695565454&amp;sr=8-10")</f>
        <v/>
      </c>
      <c r="F3217" t="inlineStr">
        <is>
          <t>B0BTTSYM9T</t>
        </is>
      </c>
      <c r="G3217">
        <f>_xlfn.IMAGE("https://camerareadycosmetics.com/cdn/shop/products/senna-sketch-a-brow-Ash-Brown_Open_50x.jpg?v=1689647630")</f>
        <v/>
      </c>
      <c r="H3217">
        <f>_xlfn.IMAGE("https://m.media-amazon.com/images/I/71m-xm5oCDL._AC_UL320_.jpg")</f>
        <v/>
      </c>
      <c r="K3217" t="inlineStr">
        <is>
          <t>18.0</t>
        </is>
      </c>
      <c r="L3217" t="n">
        <v>7.99</v>
      </c>
      <c r="M3217" s="1" t="inlineStr">
        <is>
          <t>-55.61%</t>
        </is>
      </c>
      <c r="N3217" t="n">
        <v>3.6</v>
      </c>
      <c r="O3217" t="n">
        <v>8</v>
      </c>
      <c r="Q3217" t="inlineStr">
        <is>
          <t>InStock</t>
        </is>
      </c>
      <c r="R3217" t="inlineStr">
        <is>
          <t>undefined</t>
        </is>
      </c>
      <c r="S3217" t="inlineStr">
        <is>
          <t>7044516551</t>
        </is>
      </c>
    </row>
    <row r="3218" ht="75" customHeight="1">
      <c r="A3218" s="2">
        <f>HYPERLINK("https://camerareadycosmetics.com/products/senna-sketch-a-brow-pencil", "https://camerareadycosmetics.com/products/senna-sketch-a-brow-pencil")</f>
        <v/>
      </c>
      <c r="B3218" s="2">
        <f>HYPERLINK("https://camerareadycosmetics.com/products/senna-sketch-a-brow-pencil", "https://camerareadycosmetics.com/products/senna-sketch-a-brow-pencil")</f>
        <v/>
      </c>
      <c r="C3218" t="inlineStr">
        <is>
          <t>Sketch-A-Brow Pencil</t>
        </is>
      </c>
      <c r="D3218" t="inlineStr">
        <is>
          <t>Music Flower Eyebrow Pencil, Liquid Eyebrow Pen, Waterproof Brow Pen with Micro-Fork Tip, Smudgeproof Long Lasting Fine Sketch Microblading Pen, Chestnut</t>
        </is>
      </c>
      <c r="E3218" s="2">
        <f>HYPERLINK("https://www.amazon.com/Music-Flower-Waterproof-Smudge-proof-Chestnut/dp/B07JKSD4YP/ref=sr_1_6?keywords=Sketch-A-Brow+Pencil&amp;qid=1695565454&amp;sr=8-6", "https://www.amazon.com/Music-Flower-Waterproof-Smudge-proof-Chestnut/dp/B07JKSD4YP/ref=sr_1_6?keywords=Sketch-A-Brow+Pencil&amp;qid=1695565454&amp;sr=8-6")</f>
        <v/>
      </c>
      <c r="F3218" t="inlineStr">
        <is>
          <t>B07JKSD4YP</t>
        </is>
      </c>
      <c r="G3218">
        <f>_xlfn.IMAGE("https://camerareadycosmetics.com/cdn/shop/products/senna-sketch-a-brow-Ash-Brown_Open_50x.jpg?v=1689647630")</f>
        <v/>
      </c>
      <c r="H3218">
        <f>_xlfn.IMAGE("https://m.media-amazon.com/images/I/715TWgi3OqL._AC_UL320_.jpg")</f>
        <v/>
      </c>
      <c r="K3218" t="inlineStr">
        <is>
          <t>18.0</t>
        </is>
      </c>
      <c r="L3218" t="n">
        <v>6.89</v>
      </c>
      <c r="M3218" s="1" t="inlineStr">
        <is>
          <t>-61.72%</t>
        </is>
      </c>
      <c r="N3218" t="n">
        <v>4</v>
      </c>
      <c r="O3218" t="n">
        <v>2733</v>
      </c>
      <c r="Q3218" t="inlineStr">
        <is>
          <t>InStock</t>
        </is>
      </c>
      <c r="R3218" t="inlineStr">
        <is>
          <t>undefined</t>
        </is>
      </c>
      <c r="S3218" t="inlineStr">
        <is>
          <t>7044516551</t>
        </is>
      </c>
    </row>
    <row r="3219" ht="75" customHeight="1">
      <c r="A3219" s="2">
        <f>HYPERLINK("https://camerareadycosmetics.com/products/senna-sketch-a-brow-pencil", "https://camerareadycosmetics.com/products/senna-sketch-a-brow-pencil")</f>
        <v/>
      </c>
      <c r="B3219" s="2">
        <f>HYPERLINK("https://camerareadycosmetics.com/products/senna-sketch-a-brow-pencil", "https://camerareadycosmetics.com/products/senna-sketch-a-brow-pencil")</f>
        <v/>
      </c>
      <c r="C3219" t="inlineStr">
        <is>
          <t>Sketch-A-Brow Pencil</t>
        </is>
      </c>
      <c r="D3219" t="inlineStr">
        <is>
          <t>4 Pack Microblading Eyebrow Pen Waterproof Fork Tip Eyebrow Pencil Long Lasting Professional Fine With Gift Sketch Liquid Eye Brow Pencil</t>
        </is>
      </c>
      <c r="E3219" s="2">
        <f>HYPERLINK("https://www.amazon.com/Microblading-Eyebrow-Waterproof-Lasting-Professional/dp/B09Q8YP1GC/ref=sr_1_9?keywords=Sketch-A-Brow+Pencil&amp;qid=1695565454&amp;sr=8-9", "https://www.amazon.com/Microblading-Eyebrow-Waterproof-Lasting-Professional/dp/B09Q8YP1GC/ref=sr_1_9?keywords=Sketch-A-Brow+Pencil&amp;qid=1695565454&amp;sr=8-9")</f>
        <v/>
      </c>
      <c r="F3219" t="inlineStr">
        <is>
          <t>B09Q8YP1GC</t>
        </is>
      </c>
      <c r="G3219">
        <f>_xlfn.IMAGE("https://camerareadycosmetics.com/cdn/shop/products/senna-sketch-a-brow-Ash-Brown_Open_50x.jpg?v=1689647630")</f>
        <v/>
      </c>
      <c r="H3219">
        <f>_xlfn.IMAGE("https://m.media-amazon.com/images/I/71amkZrPDwL._AC_UL320_.jpg")</f>
        <v/>
      </c>
      <c r="K3219" t="inlineStr">
        <is>
          <t>18.0</t>
        </is>
      </c>
      <c r="L3219" t="n">
        <v>6.19</v>
      </c>
      <c r="M3219" s="1" t="inlineStr">
        <is>
          <t>-65.61%</t>
        </is>
      </c>
      <c r="N3219" t="n">
        <v>3.1</v>
      </c>
      <c r="O3219" t="n">
        <v>56</v>
      </c>
      <c r="Q3219" t="inlineStr">
        <is>
          <t>InStock</t>
        </is>
      </c>
      <c r="R3219" t="inlineStr">
        <is>
          <t>undefined</t>
        </is>
      </c>
      <c r="S3219" t="inlineStr">
        <is>
          <t>7044516551</t>
        </is>
      </c>
    </row>
    <row r="3220" ht="75" customHeight="1">
      <c r="A3220" s="2">
        <f>HYPERLINK("https://camerareadycosmetics.com/products/senna-sketch-a-brow-pencil", "https://camerareadycosmetics.com/products/senna-sketch-a-brow-pencil")</f>
        <v/>
      </c>
      <c r="B3220" s="2">
        <f>HYPERLINK("https://camerareadycosmetics.com/products/senna-sketch-a-brow-pencil", "https://camerareadycosmetics.com/products/senna-sketch-a-brow-pencil")</f>
        <v/>
      </c>
      <c r="C3220" t="inlineStr">
        <is>
          <t>Sketch-A-Brow Pencil</t>
        </is>
      </c>
      <c r="D3220" t="inlineStr">
        <is>
          <t>2 Packs Eyebrow Pencils with Soft Brush 2-in-1 Long-lasting Water-proof Sweat-proof Brow Pencil and Brow Brush Eyebrow Shaping and Filling Pencil Makeup Tool (Dark Brown)</t>
        </is>
      </c>
      <c r="E3220" s="2">
        <f>HYPERLINK("https://www.amazon.com/Eyebrow-Pencils-Long-lasting-Water-proof-Sweat-proof/dp/B08NSH3K1S/ref=sr_1_8?keywords=Sketch-A-Brow+Pencil&amp;qid=1695565454&amp;sr=8-8", "https://www.amazon.com/Eyebrow-Pencils-Long-lasting-Water-proof-Sweat-proof/dp/B08NSH3K1S/ref=sr_1_8?keywords=Sketch-A-Brow+Pencil&amp;qid=1695565454&amp;sr=8-8")</f>
        <v/>
      </c>
      <c r="F3220" t="inlineStr">
        <is>
          <t>B08NSH3K1S</t>
        </is>
      </c>
      <c r="G3220">
        <f>_xlfn.IMAGE("https://camerareadycosmetics.com/cdn/shop/products/senna-sketch-a-brow-Ash-Brown_Open_50x.jpg?v=1689647630")</f>
        <v/>
      </c>
      <c r="H3220">
        <f>_xlfn.IMAGE("https://m.media-amazon.com/images/I/61e8SYALWyL._AC_UL320_.jpg")</f>
        <v/>
      </c>
      <c r="K3220" t="inlineStr">
        <is>
          <t>18.0</t>
        </is>
      </c>
      <c r="L3220" t="n">
        <v>5.99</v>
      </c>
      <c r="M3220" s="1" t="inlineStr">
        <is>
          <t>-66.72%</t>
        </is>
      </c>
      <c r="N3220" t="n">
        <v>4.3</v>
      </c>
      <c r="O3220" t="n">
        <v>1794</v>
      </c>
      <c r="Q3220" t="inlineStr">
        <is>
          <t>InStock</t>
        </is>
      </c>
      <c r="R3220" t="inlineStr">
        <is>
          <t>undefined</t>
        </is>
      </c>
      <c r="S3220" t="inlineStr">
        <is>
          <t>7044516551</t>
        </is>
      </c>
    </row>
    <row r="3221" ht="75" customHeight="1">
      <c r="A3221" s="2">
        <f>HYPERLINK("https://camerareadycosmetics.com/products/senna-sketch-a-brow-pencil", "https://camerareadycosmetics.com/products/senna-sketch-a-brow-pencil")</f>
        <v/>
      </c>
      <c r="B3221" s="2">
        <f>HYPERLINK("https://camerareadycosmetics.com/products/senna-sketch-a-brow-pencil", "https://camerareadycosmetics.com/products/senna-sketch-a-brow-pencil")</f>
        <v/>
      </c>
      <c r="C3221" t="inlineStr">
        <is>
          <t>Sketch-A-Brow Pencil</t>
        </is>
      </c>
      <c r="D3221" t="inlineStr">
        <is>
          <t>MAKETOPYZN Liquid Eyebrow Pen with 4-Micro-Fork Tip, Fine Sketch Smudge-free Long Wear Natural Shape, Waterproof Microblading Tattoo Brow Pencil (Black)</t>
        </is>
      </c>
      <c r="E3221" s="2">
        <f>HYPERLINK("https://www.amazon.com/MAKETOPYZN-4-Micro-Fork-Smudge-free-Waterproof-Microblading/dp/B08YN6P6BS/ref=sr_1_7?keywords=Sketch-A-Brow+Pencil&amp;qid=1695565454&amp;sr=8-7", "https://www.amazon.com/MAKETOPYZN-4-Micro-Fork-Smudge-free-Waterproof-Microblading/dp/B08YN6P6BS/ref=sr_1_7?keywords=Sketch-A-Brow+Pencil&amp;qid=1695565454&amp;sr=8-7")</f>
        <v/>
      </c>
      <c r="F3221" t="inlineStr">
        <is>
          <t>B08YN6P6BS</t>
        </is>
      </c>
      <c r="G3221">
        <f>_xlfn.IMAGE("https://camerareadycosmetics.com/cdn/shop/products/senna-sketch-a-brow-Ash-Brown_Open_50x.jpg?v=1689647630")</f>
        <v/>
      </c>
      <c r="H3221">
        <f>_xlfn.IMAGE("https://m.media-amazon.com/images/I/61qrQD6TW+L._AC_UL320_.jpg")</f>
        <v/>
      </c>
      <c r="K3221" t="inlineStr">
        <is>
          <t>18.0</t>
        </is>
      </c>
      <c r="L3221" t="n">
        <v>5.99</v>
      </c>
      <c r="M3221" s="1" t="inlineStr">
        <is>
          <t>-66.72%</t>
        </is>
      </c>
      <c r="N3221" t="n">
        <v>3.8</v>
      </c>
      <c r="O3221" t="n">
        <v>41</v>
      </c>
      <c r="Q3221" t="inlineStr">
        <is>
          <t>InStock</t>
        </is>
      </c>
      <c r="R3221" t="inlineStr">
        <is>
          <t>undefined</t>
        </is>
      </c>
      <c r="S3221" t="inlineStr">
        <is>
          <t>7044516551</t>
        </is>
      </c>
    </row>
    <row r="3222" ht="75" customHeight="1">
      <c r="A3222" s="2">
        <f>HYPERLINK("https://camerareadycosmetics.com/products/senna-sketch-a-brow-pencil", "https://camerareadycosmetics.com/products/senna-sketch-a-brow-pencil")</f>
        <v/>
      </c>
      <c r="B3222" s="2">
        <f>HYPERLINK("https://camerareadycosmetics.com/products/senna-sketch-a-brow-pencil", "https://camerareadycosmetics.com/products/senna-sketch-a-brow-pencil")</f>
        <v/>
      </c>
      <c r="C3222" t="inlineStr">
        <is>
          <t>Sketch-A-Brow Pencil</t>
        </is>
      </c>
      <c r="D3222" t="inlineStr">
        <is>
          <t>Microblading 2 Pack Eyebrow Pen Waterproof Fork Tip Eyebrow Pencil Long Lasting Professional Fine Sketch Liquid Eye Brow Pencil</t>
        </is>
      </c>
      <c r="E3222" s="2">
        <f>HYPERLINK("https://www.amazon.com/Microblading-Eyebrow-Waterproof-Lasting-Professional/dp/B09Q8FXWN4/ref=sr_1_5?keywords=Sketch-A-Brow+Pencil&amp;qid=1695565454&amp;sr=8-5", "https://www.amazon.com/Microblading-Eyebrow-Waterproof-Lasting-Professional/dp/B09Q8FXWN4/ref=sr_1_5?keywords=Sketch-A-Brow+Pencil&amp;qid=1695565454&amp;sr=8-5")</f>
        <v/>
      </c>
      <c r="F3222" t="inlineStr">
        <is>
          <t>B09Q8FXWN4</t>
        </is>
      </c>
      <c r="G3222">
        <f>_xlfn.IMAGE("https://camerareadycosmetics.com/cdn/shop/products/senna-sketch-a-brow-Ash-Brown_Open_50x.jpg?v=1689647630")</f>
        <v/>
      </c>
      <c r="H3222">
        <f>_xlfn.IMAGE("https://m.media-amazon.com/images/I/61Cpv8wJXdL._AC_UL320_.jpg")</f>
        <v/>
      </c>
      <c r="K3222" t="inlineStr">
        <is>
          <t>18.0</t>
        </is>
      </c>
      <c r="L3222" t="n">
        <v>5.99</v>
      </c>
      <c r="M3222" s="1" t="inlineStr">
        <is>
          <t>-66.72%</t>
        </is>
      </c>
      <c r="N3222" t="n">
        <v>3.4</v>
      </c>
      <c r="O3222" t="n">
        <v>111</v>
      </c>
      <c r="Q3222" t="inlineStr">
        <is>
          <t>InStock</t>
        </is>
      </c>
      <c r="R3222" t="inlineStr">
        <is>
          <t>undefined</t>
        </is>
      </c>
      <c r="S3222" t="inlineStr">
        <is>
          <t>7044516551</t>
        </is>
      </c>
    </row>
    <row r="3223" ht="75" customHeight="1">
      <c r="A3223" s="2">
        <f>HYPERLINK("https://camerareadycosmetics.com/products/senna-sketch-a-brow-pencil", "https://camerareadycosmetics.com/products/senna-sketch-a-brow-pencil")</f>
        <v/>
      </c>
      <c r="B3223" s="2">
        <f>HYPERLINK("https://camerareadycosmetics.com/products/senna-sketch-a-brow-pencil", "https://camerareadycosmetics.com/products/senna-sketch-a-brow-pencil")</f>
        <v/>
      </c>
      <c r="C3223" t="inlineStr">
        <is>
          <t>Sketch-A-Brow Pencil</t>
        </is>
      </c>
      <c r="D3223" t="inlineStr">
        <is>
          <t>Eyebrow Pencil Brow Pen with 4 Micro-Fork Tips - 1Pcs Fine Sketch Microblading Eye Brow Tinted Pen, Long Lasting Waterproof &amp; Smudge-proof Brow Pencil,Mohter's Day Gift for Women– 02Dark Brown</t>
        </is>
      </c>
      <c r="E3223" s="2">
        <f>HYPERLINK("https://www.amazon.com/Eyebrow-Pencil-Brow-Micro-Fork-Tips/dp/B0BTTSYM9T/ref=sr_1_10?keywords=Sketch-A-Brow+Pencil&amp;qid=1695565454&amp;sr=8-10", "https://www.amazon.com/Eyebrow-Pencil-Brow-Micro-Fork-Tips/dp/B0BTTSYM9T/ref=sr_1_10?keywords=Sketch-A-Brow+Pencil&amp;qid=1695565454&amp;sr=8-10")</f>
        <v/>
      </c>
      <c r="F3223" t="inlineStr">
        <is>
          <t>B0BTTSYM9T</t>
        </is>
      </c>
      <c r="G3223">
        <f>_xlfn.IMAGE("https://camerareadycosmetics.com/cdn/shop/products/senna-sketch-a-brow-Ash-Brown_Open_50x.jpg?v=1689647630")</f>
        <v/>
      </c>
      <c r="H3223">
        <f>_xlfn.IMAGE("https://m.media-amazon.com/images/I/71m-xm5oCDL._AC_UL320_.jpg")</f>
        <v/>
      </c>
      <c r="K3223" t="inlineStr">
        <is>
          <t>18.0</t>
        </is>
      </c>
      <c r="L3223" t="n">
        <v>7.99</v>
      </c>
      <c r="M3223" s="1" t="inlineStr">
        <is>
          <t>-55.61%</t>
        </is>
      </c>
      <c r="N3223" t="n">
        <v>3.6</v>
      </c>
      <c r="O3223" t="n">
        <v>8</v>
      </c>
      <c r="Q3223" t="inlineStr">
        <is>
          <t>InStock</t>
        </is>
      </c>
      <c r="R3223" t="inlineStr">
        <is>
          <t>undefined</t>
        </is>
      </c>
      <c r="S3223" t="inlineStr">
        <is>
          <t>7044516551</t>
        </is>
      </c>
    </row>
    <row r="3224" ht="75" customHeight="1">
      <c r="A3224" s="2">
        <f>HYPERLINK("https://camerareadycosmetics.com/products/senna-sketch-a-brow-pencil", "https://camerareadycosmetics.com/products/senna-sketch-a-brow-pencil")</f>
        <v/>
      </c>
      <c r="B3224" s="2">
        <f>HYPERLINK("https://camerareadycosmetics.com/products/senna-sketch-a-brow-pencil", "https://camerareadycosmetics.com/products/senna-sketch-a-brow-pencil")</f>
        <v/>
      </c>
      <c r="C3224" t="inlineStr">
        <is>
          <t>Sketch-A-Brow Pencil</t>
        </is>
      </c>
      <c r="D3224" t="inlineStr">
        <is>
          <t>Music Flower Eyebrow Pencil, Liquid Eyebrow Pen, Waterproof Brow Pen with Micro-Fork Tip, Smudgeproof Long Lasting Fine Sketch Microblading Pen, Chestnut</t>
        </is>
      </c>
      <c r="E3224" s="2">
        <f>HYPERLINK("https://www.amazon.com/Music-Flower-Waterproof-Smudge-proof-Chestnut/dp/B07JKSD4YP/ref=sr_1_6?keywords=Sketch-A-Brow+Pencil&amp;qid=1695565454&amp;sr=8-6", "https://www.amazon.com/Music-Flower-Waterproof-Smudge-proof-Chestnut/dp/B07JKSD4YP/ref=sr_1_6?keywords=Sketch-A-Brow+Pencil&amp;qid=1695565454&amp;sr=8-6")</f>
        <v/>
      </c>
      <c r="F3224" t="inlineStr">
        <is>
          <t>B07JKSD4YP</t>
        </is>
      </c>
      <c r="G3224">
        <f>_xlfn.IMAGE("https://camerareadycosmetics.com/cdn/shop/products/senna-sketch-a-brow-Ash-Brown_Open_50x.jpg?v=1689647630")</f>
        <v/>
      </c>
      <c r="H3224">
        <f>_xlfn.IMAGE("https://m.media-amazon.com/images/I/715TWgi3OqL._AC_UL320_.jpg")</f>
        <v/>
      </c>
      <c r="K3224" t="inlineStr">
        <is>
          <t>18.0</t>
        </is>
      </c>
      <c r="L3224" t="n">
        <v>6.89</v>
      </c>
      <c r="M3224" s="1" t="inlineStr">
        <is>
          <t>-61.72%</t>
        </is>
      </c>
      <c r="N3224" t="n">
        <v>4</v>
      </c>
      <c r="O3224" t="n">
        <v>2733</v>
      </c>
      <c r="Q3224" t="inlineStr">
        <is>
          <t>InStock</t>
        </is>
      </c>
      <c r="R3224" t="inlineStr">
        <is>
          <t>undefined</t>
        </is>
      </c>
      <c r="S3224" t="inlineStr">
        <is>
          <t>7044516551</t>
        </is>
      </c>
    </row>
    <row r="3225" ht="75" customHeight="1">
      <c r="A3225" s="2">
        <f>HYPERLINK("https://camerareadycosmetics.com/products/senna-sketch-a-brow-pencil", "https://camerareadycosmetics.com/products/senna-sketch-a-brow-pencil")</f>
        <v/>
      </c>
      <c r="B3225" s="2">
        <f>HYPERLINK("https://camerareadycosmetics.com/products/senna-sketch-a-brow-pencil", "https://camerareadycosmetics.com/products/senna-sketch-a-brow-pencil")</f>
        <v/>
      </c>
      <c r="C3225" t="inlineStr">
        <is>
          <t>Sketch-A-Brow Pencil</t>
        </is>
      </c>
      <c r="D3225" t="inlineStr">
        <is>
          <t>4 Pack Microblading Eyebrow Pen Waterproof Fork Tip Eyebrow Pencil Long Lasting Professional Fine With Gift Sketch Liquid Eye Brow Pencil</t>
        </is>
      </c>
      <c r="E3225" s="2">
        <f>HYPERLINK("https://www.amazon.com/Microblading-Eyebrow-Waterproof-Lasting-Professional/dp/B09Q8YP1GC/ref=sr_1_9?keywords=Sketch-A-Brow+Pencil&amp;qid=1695565454&amp;sr=8-9", "https://www.amazon.com/Microblading-Eyebrow-Waterproof-Lasting-Professional/dp/B09Q8YP1GC/ref=sr_1_9?keywords=Sketch-A-Brow+Pencil&amp;qid=1695565454&amp;sr=8-9")</f>
        <v/>
      </c>
      <c r="F3225" t="inlineStr">
        <is>
          <t>B09Q8YP1GC</t>
        </is>
      </c>
      <c r="G3225">
        <f>_xlfn.IMAGE("https://camerareadycosmetics.com/cdn/shop/products/senna-sketch-a-brow-Ash-Brown_Open_50x.jpg?v=1689647630")</f>
        <v/>
      </c>
      <c r="H3225">
        <f>_xlfn.IMAGE("https://m.media-amazon.com/images/I/71amkZrPDwL._AC_UL320_.jpg")</f>
        <v/>
      </c>
      <c r="K3225" t="inlineStr">
        <is>
          <t>18.0</t>
        </is>
      </c>
      <c r="L3225" t="n">
        <v>6.19</v>
      </c>
      <c r="M3225" s="1" t="inlineStr">
        <is>
          <t>-65.61%</t>
        </is>
      </c>
      <c r="N3225" t="n">
        <v>3.1</v>
      </c>
      <c r="O3225" t="n">
        <v>56</v>
      </c>
      <c r="Q3225" t="inlineStr">
        <is>
          <t>InStock</t>
        </is>
      </c>
      <c r="R3225" t="inlineStr">
        <is>
          <t>undefined</t>
        </is>
      </c>
      <c r="S3225" t="inlineStr">
        <is>
          <t>7044516551</t>
        </is>
      </c>
    </row>
    <row r="3226" ht="75" customHeight="1">
      <c r="A3226" s="2">
        <f>HYPERLINK("https://camerareadycosmetics.com/products/senna-sketch-a-brow-pencil", "https://camerareadycosmetics.com/products/senna-sketch-a-brow-pencil")</f>
        <v/>
      </c>
      <c r="B3226" s="2">
        <f>HYPERLINK("https://camerareadycosmetics.com/products/senna-sketch-a-brow-pencil", "https://camerareadycosmetics.com/products/senna-sketch-a-brow-pencil")</f>
        <v/>
      </c>
      <c r="C3226" t="inlineStr">
        <is>
          <t>Sketch-A-Brow Pencil</t>
        </is>
      </c>
      <c r="D3226" t="inlineStr">
        <is>
          <t>2 Packs Eyebrow Pencils with Soft Brush 2-in-1 Long-lasting Water-proof Sweat-proof Brow Pencil and Brow Brush Eyebrow Shaping and Filling Pencil Makeup Tool (Dark Brown)</t>
        </is>
      </c>
      <c r="E3226" s="2">
        <f>HYPERLINK("https://www.amazon.com/Eyebrow-Pencils-Long-lasting-Water-proof-Sweat-proof/dp/B08NSH3K1S/ref=sr_1_8?keywords=Sketch-A-Brow+Pencil&amp;qid=1695565454&amp;sr=8-8", "https://www.amazon.com/Eyebrow-Pencils-Long-lasting-Water-proof-Sweat-proof/dp/B08NSH3K1S/ref=sr_1_8?keywords=Sketch-A-Brow+Pencil&amp;qid=1695565454&amp;sr=8-8")</f>
        <v/>
      </c>
      <c r="F3226" t="inlineStr">
        <is>
          <t>B08NSH3K1S</t>
        </is>
      </c>
      <c r="G3226">
        <f>_xlfn.IMAGE("https://camerareadycosmetics.com/cdn/shop/products/senna-sketch-a-brow-Ash-Brown_Open_50x.jpg?v=1689647630")</f>
        <v/>
      </c>
      <c r="H3226">
        <f>_xlfn.IMAGE("https://m.media-amazon.com/images/I/61e8SYALWyL._AC_UL320_.jpg")</f>
        <v/>
      </c>
      <c r="K3226" t="inlineStr">
        <is>
          <t>18.0</t>
        </is>
      </c>
      <c r="L3226" t="n">
        <v>5.99</v>
      </c>
      <c r="M3226" s="1" t="inlineStr">
        <is>
          <t>-66.72%</t>
        </is>
      </c>
      <c r="N3226" t="n">
        <v>4.3</v>
      </c>
      <c r="O3226" t="n">
        <v>1794</v>
      </c>
      <c r="Q3226" t="inlineStr">
        <is>
          <t>InStock</t>
        </is>
      </c>
      <c r="R3226" t="inlineStr">
        <is>
          <t>undefined</t>
        </is>
      </c>
      <c r="S3226" t="inlineStr">
        <is>
          <t>7044516551</t>
        </is>
      </c>
    </row>
    <row r="3227" ht="75" customHeight="1">
      <c r="A3227" s="2">
        <f>HYPERLINK("https://camerareadycosmetics.com/products/senna-sketch-a-brow-pencil", "https://camerareadycosmetics.com/products/senna-sketch-a-brow-pencil")</f>
        <v/>
      </c>
      <c r="B3227" s="2">
        <f>HYPERLINK("https://camerareadycosmetics.com/products/senna-sketch-a-brow-pencil", "https://camerareadycosmetics.com/products/senna-sketch-a-brow-pencil")</f>
        <v/>
      </c>
      <c r="C3227" t="inlineStr">
        <is>
          <t>Sketch-A-Brow Pencil</t>
        </is>
      </c>
      <c r="D3227" t="inlineStr">
        <is>
          <t>MAKETOPYZN Liquid Eyebrow Pen with 4-Micro-Fork Tip, Fine Sketch Smudge-free Long Wear Natural Shape, Waterproof Microblading Tattoo Brow Pencil (Black)</t>
        </is>
      </c>
      <c r="E3227" s="2">
        <f>HYPERLINK("https://www.amazon.com/MAKETOPYZN-4-Micro-Fork-Smudge-free-Waterproof-Microblading/dp/B08YN6P6BS/ref=sr_1_7?keywords=Sketch-A-Brow+Pencil&amp;qid=1695565454&amp;sr=8-7", "https://www.amazon.com/MAKETOPYZN-4-Micro-Fork-Smudge-free-Waterproof-Microblading/dp/B08YN6P6BS/ref=sr_1_7?keywords=Sketch-A-Brow+Pencil&amp;qid=1695565454&amp;sr=8-7")</f>
        <v/>
      </c>
      <c r="F3227" t="inlineStr">
        <is>
          <t>B08YN6P6BS</t>
        </is>
      </c>
      <c r="G3227">
        <f>_xlfn.IMAGE("https://camerareadycosmetics.com/cdn/shop/products/senna-sketch-a-brow-Ash-Brown_Open_50x.jpg?v=1689647630")</f>
        <v/>
      </c>
      <c r="H3227">
        <f>_xlfn.IMAGE("https://m.media-amazon.com/images/I/61qrQD6TW+L._AC_UL320_.jpg")</f>
        <v/>
      </c>
      <c r="K3227" t="inlineStr">
        <is>
          <t>18.0</t>
        </is>
      </c>
      <c r="L3227" t="n">
        <v>5.99</v>
      </c>
      <c r="M3227" s="1" t="inlineStr">
        <is>
          <t>-66.72%</t>
        </is>
      </c>
      <c r="N3227" t="n">
        <v>3.8</v>
      </c>
      <c r="O3227" t="n">
        <v>41</v>
      </c>
      <c r="Q3227" t="inlineStr">
        <is>
          <t>InStock</t>
        </is>
      </c>
      <c r="R3227" t="inlineStr">
        <is>
          <t>undefined</t>
        </is>
      </c>
      <c r="S3227" t="inlineStr">
        <is>
          <t>7044516551</t>
        </is>
      </c>
    </row>
    <row r="3228" ht="75" customHeight="1">
      <c r="A3228" s="2">
        <f>HYPERLINK("https://camerareadycosmetics.com/products/senna-sketch-a-brow-pencil", "https://camerareadycosmetics.com/products/senna-sketch-a-brow-pencil")</f>
        <v/>
      </c>
      <c r="B3228" s="2">
        <f>HYPERLINK("https://camerareadycosmetics.com/products/senna-sketch-a-brow-pencil", "https://camerareadycosmetics.com/products/senna-sketch-a-brow-pencil")</f>
        <v/>
      </c>
      <c r="C3228" t="inlineStr">
        <is>
          <t>Sketch-A-Brow Pencil</t>
        </is>
      </c>
      <c r="D3228" t="inlineStr">
        <is>
          <t>Microblading 2 Pack Eyebrow Pen Waterproof Fork Tip Eyebrow Pencil Long Lasting Professional Fine Sketch Liquid Eye Brow Pencil</t>
        </is>
      </c>
      <c r="E3228" s="2">
        <f>HYPERLINK("https://www.amazon.com/Microblading-Eyebrow-Waterproof-Lasting-Professional/dp/B09Q8FXWN4/ref=sr_1_5?keywords=Sketch-A-Brow+Pencil&amp;qid=1695565454&amp;sr=8-5", "https://www.amazon.com/Microblading-Eyebrow-Waterproof-Lasting-Professional/dp/B09Q8FXWN4/ref=sr_1_5?keywords=Sketch-A-Brow+Pencil&amp;qid=1695565454&amp;sr=8-5")</f>
        <v/>
      </c>
      <c r="F3228" t="inlineStr">
        <is>
          <t>B09Q8FXWN4</t>
        </is>
      </c>
      <c r="G3228">
        <f>_xlfn.IMAGE("https://camerareadycosmetics.com/cdn/shop/products/senna-sketch-a-brow-Ash-Brown_Open_50x.jpg?v=1689647630")</f>
        <v/>
      </c>
      <c r="H3228">
        <f>_xlfn.IMAGE("https://m.media-amazon.com/images/I/61Cpv8wJXdL._AC_UL320_.jpg")</f>
        <v/>
      </c>
      <c r="K3228" t="inlineStr">
        <is>
          <t>18.0</t>
        </is>
      </c>
      <c r="L3228" t="n">
        <v>5.99</v>
      </c>
      <c r="M3228" s="1" t="inlineStr">
        <is>
          <t>-66.72%</t>
        </is>
      </c>
      <c r="N3228" t="n">
        <v>3.4</v>
      </c>
      <c r="O3228" t="n">
        <v>111</v>
      </c>
      <c r="Q3228" t="inlineStr">
        <is>
          <t>InStock</t>
        </is>
      </c>
      <c r="R3228" t="inlineStr">
        <is>
          <t>undefined</t>
        </is>
      </c>
      <c r="S3228" t="inlineStr">
        <is>
          <t>7044516551</t>
        </is>
      </c>
    </row>
    <row r="3229" ht="75" customHeight="1">
      <c r="A3229" s="2">
        <f>HYPERLINK("https://camerareadycosmetics.com/products/senna-ultra-last-eyeliner", "https://camerareadycosmetics.com/products/senna-ultra-last-eyeliner")</f>
        <v/>
      </c>
      <c r="B3229" s="2">
        <f>HYPERLINK("https://camerareadycosmetics.com/products/senna-ultra-last-eyeliner", "https://camerareadycosmetics.com/products/senna-ultra-last-eyeliner")</f>
        <v/>
      </c>
      <c r="C3229" t="inlineStr">
        <is>
          <t>Ultra Last Eyeliner</t>
        </is>
      </c>
      <c r="D3229" t="inlineStr">
        <is>
          <t>URBAN DECAY 24/7 Glide-On Waterproof Eyeliner Pencil - Smudge-Proof - 16HR Wear - Long-Lasting, Ultra-Creamy &amp; Blendable Formula - Sharpenable Tip</t>
        </is>
      </c>
      <c r="E3229" s="2">
        <f>HYPERLINK("https://www.amazon.com/Urban-Decay-WHISKEY-Glide-Pencil/dp/B00C9B7KPQ/ref=sr_1_6?keywords=Ultra+Last+Eyeliner&amp;qid=1695565748&amp;sr=8-6", "https://www.amazon.com/Urban-Decay-WHISKEY-Glide-Pencil/dp/B00C9B7KPQ/ref=sr_1_6?keywords=Ultra+Last+Eyeliner&amp;qid=1695565748&amp;sr=8-6")</f>
        <v/>
      </c>
      <c r="F3229" t="inlineStr">
        <is>
          <t>B00C9B7KPQ</t>
        </is>
      </c>
      <c r="G3229">
        <f>_xlfn.IMAGE("https://camerareadycosmetics.com/cdn/shop/products/EL20_Ultra_Last_Eyeliner_Ultra_Brown_50x.jpg?v=1664384869")</f>
        <v/>
      </c>
      <c r="H3229">
        <f>_xlfn.IMAGE("https://m.media-amazon.com/images/I/51qIyAQlChL._AC_UL320_.jpg")</f>
        <v/>
      </c>
      <c r="K3229" t="inlineStr">
        <is>
          <t>20.0</t>
        </is>
      </c>
      <c r="L3229" t="n">
        <v>25</v>
      </c>
      <c r="M3229" s="1" t="inlineStr">
        <is>
          <t>25.00%</t>
        </is>
      </c>
      <c r="N3229" t="n">
        <v>4.4</v>
      </c>
      <c r="O3229" t="n">
        <v>8194</v>
      </c>
      <c r="Q3229" t="inlineStr">
        <is>
          <t>InStock</t>
        </is>
      </c>
      <c r="R3229" t="inlineStr">
        <is>
          <t>20.0</t>
        </is>
      </c>
      <c r="S3229" t="inlineStr">
        <is>
          <t>7503397552313</t>
        </is>
      </c>
    </row>
    <row r="3230" ht="75" customHeight="1">
      <c r="A3230" s="2">
        <f>HYPERLINK("https://camerareadycosmetics.com/products/senna-ultra-last-eyeliner", "https://camerareadycosmetics.com/products/senna-ultra-last-eyeliner")</f>
        <v/>
      </c>
      <c r="B3230" s="2">
        <f>HYPERLINK("https://camerareadycosmetics.com/products/senna-ultra-last-eyeliner", "https://camerareadycosmetics.com/products/senna-ultra-last-eyeliner")</f>
        <v/>
      </c>
      <c r="C3230" t="inlineStr">
        <is>
          <t>Ultra Last Eyeliner</t>
        </is>
      </c>
      <c r="D3230" t="inlineStr">
        <is>
          <t>Catkin Liquid Eyeliner Pen Ultra-fine Waterproof Smoothy Stay 24 hrs Long Lasting Quick Drying for Sensitive Eyes Alcohol Free Natural Brown</t>
        </is>
      </c>
      <c r="E3230" s="2">
        <f>HYPERLINK("https://www.amazon.com/Catkin-Eyeliner-Ultra-fine-Waterproof-Sensitive/dp/B0BJ8Y2L4R/ref=sr_1_9?keywords=Ultra+Last+Eyeliner&amp;qid=1695565748&amp;sr=8-9", "https://www.amazon.com/Catkin-Eyeliner-Ultra-fine-Waterproof-Sensitive/dp/B0BJ8Y2L4R/ref=sr_1_9?keywords=Ultra+Last+Eyeliner&amp;qid=1695565748&amp;sr=8-9")</f>
        <v/>
      </c>
      <c r="F3230" t="inlineStr">
        <is>
          <t>B0BJ8Y2L4R</t>
        </is>
      </c>
      <c r="G3230">
        <f>_xlfn.IMAGE("https://camerareadycosmetics.com/cdn/shop/products/EL20_Ultra_Last_Eyeliner_Ultra_Brown_50x.jpg?v=1664384869")</f>
        <v/>
      </c>
      <c r="H3230">
        <f>_xlfn.IMAGE("https://m.media-amazon.com/images/I/51lDePuWoQL._AC_UL320_.jpg")</f>
        <v/>
      </c>
      <c r="K3230" t="inlineStr">
        <is>
          <t>20.0</t>
        </is>
      </c>
      <c r="L3230" t="n">
        <v>9.99</v>
      </c>
      <c r="M3230" s="1" t="inlineStr">
        <is>
          <t>-50.05%</t>
        </is>
      </c>
      <c r="N3230" t="n">
        <v>4.4</v>
      </c>
      <c r="O3230" t="n">
        <v>55</v>
      </c>
      <c r="Q3230" t="inlineStr">
        <is>
          <t>InStock</t>
        </is>
      </c>
      <c r="R3230" t="inlineStr">
        <is>
          <t>20.0</t>
        </is>
      </c>
      <c r="S3230" t="inlineStr">
        <is>
          <t>7503397552313</t>
        </is>
      </c>
    </row>
    <row r="3231" ht="75" customHeight="1">
      <c r="A3231" s="2">
        <f>HYPERLINK("https://camerareadycosmetics.com/products/senna-ultra-last-eyeliner", "https://camerareadycosmetics.com/products/senna-ultra-last-eyeliner")</f>
        <v/>
      </c>
      <c r="B3231" s="2">
        <f>HYPERLINK("https://camerareadycosmetics.com/products/senna-ultra-last-eyeliner", "https://camerareadycosmetics.com/products/senna-ultra-last-eyeliner")</f>
        <v/>
      </c>
      <c r="C3231" t="inlineStr">
        <is>
          <t>Ultra Last Eyeliner</t>
        </is>
      </c>
      <c r="D3231" t="inlineStr">
        <is>
          <t>L’Oréal Paris Makeup Infallible Super Slim Long-Lasting Liquid Eyeliner, Ultra-Fine Felt Tip, Quick Drying Formula, Glides on Smoothly, Black, Pack of 1</t>
        </is>
      </c>
      <c r="E3231" s="2">
        <f>HYPERLINK("https://www.amazon.com/Paris-Infallible-Long-Lasting-Eyeliner-Ultra-Fine/dp/B00B1DRA94/ref=sr_1_3?keywords=Ultra+Last+Eyeliner&amp;qid=1695565748&amp;sr=8-3", "https://www.amazon.com/Paris-Infallible-Long-Lasting-Eyeliner-Ultra-Fine/dp/B00B1DRA94/ref=sr_1_3?keywords=Ultra+Last+Eyeliner&amp;qid=1695565748&amp;sr=8-3")</f>
        <v/>
      </c>
      <c r="F3231" t="inlineStr">
        <is>
          <t>B00B1DRA94</t>
        </is>
      </c>
      <c r="G3231">
        <f>_xlfn.IMAGE("https://camerareadycosmetics.com/cdn/shop/products/EL20_Ultra_Last_Eyeliner_Ultra_Brown_50x.jpg?v=1664384869")</f>
        <v/>
      </c>
      <c r="H3231">
        <f>_xlfn.IMAGE("https://m.media-amazon.com/images/I/41-PArWWpuL._AC_UL320_.jpg")</f>
        <v/>
      </c>
      <c r="K3231" t="inlineStr">
        <is>
          <t>20.0</t>
        </is>
      </c>
      <c r="L3231" t="n">
        <v>7.8</v>
      </c>
      <c r="M3231" s="1" t="inlineStr">
        <is>
          <t>-61.00%</t>
        </is>
      </c>
      <c r="N3231" t="n">
        <v>4.3</v>
      </c>
      <c r="O3231" t="n">
        <v>16619</v>
      </c>
      <c r="Q3231" t="inlineStr">
        <is>
          <t>InStock</t>
        </is>
      </c>
      <c r="R3231" t="inlineStr">
        <is>
          <t>20.0</t>
        </is>
      </c>
      <c r="S3231" t="inlineStr">
        <is>
          <t>7503397552313</t>
        </is>
      </c>
    </row>
    <row r="3232" ht="75" customHeight="1">
      <c r="A3232" s="2">
        <f>HYPERLINK("https://camerareadycosmetics.com/products/senna-ultra-last-eyeliner", "https://camerareadycosmetics.com/products/senna-ultra-last-eyeliner")</f>
        <v/>
      </c>
      <c r="B3232" s="2">
        <f>HYPERLINK("https://camerareadycosmetics.com/products/senna-ultra-last-eyeliner", "https://camerareadycosmetics.com/products/senna-ultra-last-eyeliner")</f>
        <v/>
      </c>
      <c r="C3232" t="inlineStr">
        <is>
          <t>Ultra Last Eyeliner</t>
        </is>
      </c>
      <c r="D3232" t="inlineStr">
        <is>
          <t>Erinde 2PCS Black Liquid Eyeliner with Eyeliner Stencils, Waterproof Eye Liners Pen, Long-Lasting eyeliner liquid liner, Quickly Dry, Smudgeproof, Longwearing with Ultra-Fine Tip (#01)</t>
        </is>
      </c>
      <c r="E3232" s="2">
        <f>HYPERLINK("https://www.amazon.com/Erinde-Waterproof-Long-Lasting-Smudgeproof-Longwearing/dp/B0C7K6W2CW/ref=sr_1_5?keywords=Ultra+Last+Eyeliner&amp;qid=1695565748&amp;sr=8-5", "https://www.amazon.com/Erinde-Waterproof-Long-Lasting-Smudgeproof-Longwearing/dp/B0C7K6W2CW/ref=sr_1_5?keywords=Ultra+Last+Eyeliner&amp;qid=1695565748&amp;sr=8-5")</f>
        <v/>
      </c>
      <c r="F3232" t="inlineStr">
        <is>
          <t>B0C7K6W2CW</t>
        </is>
      </c>
      <c r="G3232">
        <f>_xlfn.IMAGE("https://camerareadycosmetics.com/cdn/shop/products/EL20_Ultra_Last_Eyeliner_Ultra_Brown_50x.jpg?v=1664384869")</f>
        <v/>
      </c>
      <c r="H3232">
        <f>_xlfn.IMAGE("https://m.media-amazon.com/images/I/71ACGFZUCJL._AC_UL320_.jpg")</f>
        <v/>
      </c>
      <c r="K3232" t="inlineStr">
        <is>
          <t>20.0</t>
        </is>
      </c>
      <c r="L3232" t="n">
        <v>6.99</v>
      </c>
      <c r="M3232" s="1" t="inlineStr">
        <is>
          <t>-65.05%</t>
        </is>
      </c>
      <c r="N3232" t="n">
        <v>4</v>
      </c>
      <c r="O3232" t="n">
        <v>5</v>
      </c>
      <c r="Q3232" t="inlineStr">
        <is>
          <t>InStock</t>
        </is>
      </c>
      <c r="R3232" t="inlineStr">
        <is>
          <t>20.0</t>
        </is>
      </c>
      <c r="S3232" t="inlineStr">
        <is>
          <t>7503397552313</t>
        </is>
      </c>
    </row>
    <row r="3233" ht="75" customHeight="1">
      <c r="A3233" s="2">
        <f>HYPERLINK("https://camerareadycosmetics.com/products/senna-ultra-last-eyeliner", "https://camerareadycosmetics.com/products/senna-ultra-last-eyeliner")</f>
        <v/>
      </c>
      <c r="B3233" s="2">
        <f>HYPERLINK("https://camerareadycosmetics.com/products/senna-ultra-last-eyeliner", "https://camerareadycosmetics.com/products/senna-ultra-last-eyeliner")</f>
        <v/>
      </c>
      <c r="C3233" t="inlineStr">
        <is>
          <t>Ultra Last Eyeliner</t>
        </is>
      </c>
      <c r="D3233" t="inlineStr">
        <is>
          <t>wet n wild Mega Last Breakup Proof Liquid Waterproof Eyeliner, Blackest Black, Quick Drying Retractable Gel Eyeliner, Smudge Resistant, Long Lasting 16 Hour Wear, Ultra Fine Brush Tip Pen</t>
        </is>
      </c>
      <c r="E3233" s="2">
        <f>HYPERLINK("https://www.amazon.com/wet-wild-Waterproof-Retractable-Resistant/dp/B0BV62J1X1/ref=sr_1_1?keywords=Ultra+Last+Eyeliner&amp;qid=1695565748&amp;sr=8-1", "https://www.amazon.com/wet-wild-Waterproof-Retractable-Resistant/dp/B0BV62J1X1/ref=sr_1_1?keywords=Ultra+Last+Eyeliner&amp;qid=1695565748&amp;sr=8-1")</f>
        <v/>
      </c>
      <c r="F3233" t="inlineStr">
        <is>
          <t>B0BV62J1X1</t>
        </is>
      </c>
      <c r="G3233">
        <f>_xlfn.IMAGE("https://camerareadycosmetics.com/cdn/shop/products/EL20_Ultra_Last_Eyeliner_Ultra_Brown_50x.jpg?v=1664384869")</f>
        <v/>
      </c>
      <c r="H3233">
        <f>_xlfn.IMAGE("https://m.media-amazon.com/images/I/41apd6si6eL._AC_UL320_.jpg")</f>
        <v/>
      </c>
      <c r="K3233" t="inlineStr">
        <is>
          <t>20.0</t>
        </is>
      </c>
      <c r="L3233" t="n">
        <v>6.84</v>
      </c>
      <c r="M3233" s="1" t="inlineStr">
        <is>
          <t>-65.80%</t>
        </is>
      </c>
      <c r="N3233" t="n">
        <v>4.4</v>
      </c>
      <c r="O3233" t="n">
        <v>21882</v>
      </c>
      <c r="Q3233" t="inlineStr">
        <is>
          <t>InStock</t>
        </is>
      </c>
      <c r="R3233" t="inlineStr">
        <is>
          <t>20.0</t>
        </is>
      </c>
      <c r="S3233" t="inlineStr">
        <is>
          <t>7503397552313</t>
        </is>
      </c>
    </row>
    <row r="3234" ht="75" customHeight="1">
      <c r="A3234" s="2">
        <f>HYPERLINK("https://camerareadycosmetics.com/products/senna-ultra-last-eyeliner", "https://camerareadycosmetics.com/products/senna-ultra-last-eyeliner")</f>
        <v/>
      </c>
      <c r="B3234" s="2">
        <f>HYPERLINK("https://camerareadycosmetics.com/products/senna-ultra-last-eyeliner", "https://camerareadycosmetics.com/products/senna-ultra-last-eyeliner")</f>
        <v/>
      </c>
      <c r="C3234" t="inlineStr">
        <is>
          <t>Ultra Last Eyeliner</t>
        </is>
      </c>
      <c r="D3234" t="inlineStr">
        <is>
          <t>Long Lasting Brown Liquid Eyeliner Pencil Ultra-Fine Felt-Tip Quick Drying Waterproof Formula Eye Liner Pen Women Eye Makeup, 0.021 Fl; Oz/0.6ml</t>
        </is>
      </c>
      <c r="E3234" s="2">
        <f>HYPERLINK("https://www.amazon.com/Lasting-Eyeliner-Ultra-Fine-Felt-Tip-Waterproof/dp/B09VXTPN79/ref=sr_1_10?keywords=Ultra+Last+Eyeliner&amp;qid=1695565748&amp;sr=8-10", "https://www.amazon.com/Lasting-Eyeliner-Ultra-Fine-Felt-Tip-Waterproof/dp/B09VXTPN79/ref=sr_1_10?keywords=Ultra+Last+Eyeliner&amp;qid=1695565748&amp;sr=8-10")</f>
        <v/>
      </c>
      <c r="F3234" t="inlineStr">
        <is>
          <t>B09VXTPN79</t>
        </is>
      </c>
      <c r="G3234">
        <f>_xlfn.IMAGE("https://camerareadycosmetics.com/cdn/shop/products/EL20_Ultra_Last_Eyeliner_Ultra_Brown_50x.jpg?v=1664384869")</f>
        <v/>
      </c>
      <c r="H3234">
        <f>_xlfn.IMAGE("https://m.media-amazon.com/images/I/61OgVrwQqCL._AC_UL320_.jpg")</f>
        <v/>
      </c>
      <c r="K3234" t="inlineStr">
        <is>
          <t>20.0</t>
        </is>
      </c>
      <c r="L3234" t="n">
        <v>5.88</v>
      </c>
      <c r="M3234" s="1" t="inlineStr">
        <is>
          <t>-70.60%</t>
        </is>
      </c>
      <c r="N3234" t="n">
        <v>3.8</v>
      </c>
      <c r="O3234" t="n">
        <v>99</v>
      </c>
      <c r="Q3234" t="inlineStr">
        <is>
          <t>InStock</t>
        </is>
      </c>
      <c r="R3234" t="inlineStr">
        <is>
          <t>20.0</t>
        </is>
      </c>
      <c r="S3234" t="inlineStr">
        <is>
          <t>7503397552313</t>
        </is>
      </c>
    </row>
    <row r="3235" ht="75" customHeight="1">
      <c r="A3235" s="2">
        <f>HYPERLINK("https://camerareadycosmetics.com/products/senna-ultra-last-eyeliner", "https://camerareadycosmetics.com/products/senna-ultra-last-eyeliner")</f>
        <v/>
      </c>
      <c r="B3235" s="2">
        <f>HYPERLINK("https://camerareadycosmetics.com/products/senna-ultra-last-eyeliner", "https://camerareadycosmetics.com/products/senna-ultra-last-eyeliner")</f>
        <v/>
      </c>
      <c r="C3235" t="inlineStr">
        <is>
          <t>Ultra Last Eyeliner</t>
        </is>
      </c>
      <c r="D3235" t="inlineStr">
        <is>
          <t>LAVONE Eyeliner-Liquid Waterproof Eyeliner Makeup | Quick Drying | Ultra-Fine Tip | Smudge-Proof Formula for Long-Lasting Eye Makeup, with Hair Clips – Black</t>
        </is>
      </c>
      <c r="E3235" s="2">
        <f>HYPERLINK("https://www.amazon.com/LAVONE-Eyeliner-Liquid-Waterproof-Smudge-Proof-Long-Lasting/dp/B0BVMLJRJZ/ref=sr_1_2?keywords=Ultra+Last+Eyeliner&amp;qid=1695565748&amp;sr=8-2", "https://www.amazon.com/LAVONE-Eyeliner-Liquid-Waterproof-Smudge-Proof-Long-Lasting/dp/B0BVMLJRJZ/ref=sr_1_2?keywords=Ultra+Last+Eyeliner&amp;qid=1695565748&amp;sr=8-2")</f>
        <v/>
      </c>
      <c r="F3235" t="inlineStr">
        <is>
          <t>B0BVMLJRJZ</t>
        </is>
      </c>
      <c r="G3235">
        <f>_xlfn.IMAGE("https://camerareadycosmetics.com/cdn/shop/products/EL20_Ultra_Last_Eyeliner_Ultra_Brown_50x.jpg?v=1664384869")</f>
        <v/>
      </c>
      <c r="H3235">
        <f>_xlfn.IMAGE("https://m.media-amazon.com/images/I/512diAelEGL._AC_UL320_.jpg")</f>
        <v/>
      </c>
      <c r="K3235" t="inlineStr">
        <is>
          <t>20.0</t>
        </is>
      </c>
      <c r="L3235" t="n">
        <v>4.99</v>
      </c>
      <c r="M3235" s="1" t="inlineStr">
        <is>
          <t>-75.05%</t>
        </is>
      </c>
      <c r="N3235" t="n">
        <v>4.2</v>
      </c>
      <c r="O3235" t="n">
        <v>34</v>
      </c>
      <c r="Q3235" t="inlineStr">
        <is>
          <t>InStock</t>
        </is>
      </c>
      <c r="R3235" t="inlineStr">
        <is>
          <t>20.0</t>
        </is>
      </c>
      <c r="S3235" t="inlineStr">
        <is>
          <t>7503397552313</t>
        </is>
      </c>
    </row>
    <row r="3236" ht="75" customHeight="1">
      <c r="A3236" s="2">
        <f>HYPERLINK("https://camerareadycosmetics.com/products/senna-ultra-last-eyeliner", "https://camerareadycosmetics.com/products/senna-ultra-last-eyeliner")</f>
        <v/>
      </c>
      <c r="B3236" s="2">
        <f>HYPERLINK("https://camerareadycosmetics.com/products/senna-ultra-last-eyeliner", "https://camerareadycosmetics.com/products/senna-ultra-last-eyeliner")</f>
        <v/>
      </c>
      <c r="C3236" t="inlineStr">
        <is>
          <t>Ultra Last Eyeliner</t>
        </is>
      </c>
      <c r="D3236" t="inlineStr">
        <is>
          <t>Wet n Wild Mega Last Breakup Proof Liquid Waterproof Eyeliner Brush Tip Pen | Quick Drying | Smudge Resistant| Long Lasting 16 Hour Wear| Precise Ultra Fine | Black</t>
        </is>
      </c>
      <c r="E3236" s="2">
        <f>HYPERLINK("https://www.amazon.com/wild-Breakup-Proof-Liquid-Eyeliner-Black/dp/B082YQ8TXR/ref=sr_1_4?keywords=Ultra+Last+Eyeliner&amp;qid=1695565748&amp;rdc=1&amp;sr=8-4", "https://www.amazon.com/wild-Breakup-Proof-Liquid-Eyeliner-Black/dp/B082YQ8TXR/ref=sr_1_4?keywords=Ultra+Last+Eyeliner&amp;qid=1695565748&amp;rdc=1&amp;sr=8-4")</f>
        <v/>
      </c>
      <c r="F3236" t="inlineStr">
        <is>
          <t>B082YQ8TXR</t>
        </is>
      </c>
      <c r="G3236">
        <f>_xlfn.IMAGE("https://camerareadycosmetics.com/cdn/shop/products/EL20_Ultra_Last_Eyeliner_Ultra_Brown_50x.jpg?v=1664384869")</f>
        <v/>
      </c>
      <c r="H3236">
        <f>_xlfn.IMAGE("https://m.media-amazon.com/images/I/61fqBvLANeL._AC_UL320_.jpg")</f>
        <v/>
      </c>
      <c r="K3236" t="inlineStr">
        <is>
          <t>20.0</t>
        </is>
      </c>
      <c r="L3236" t="n">
        <v>4.89</v>
      </c>
      <c r="M3236" s="1" t="inlineStr">
        <is>
          <t>-75.55%</t>
        </is>
      </c>
      <c r="N3236" t="n">
        <v>4.4</v>
      </c>
      <c r="O3236" t="n">
        <v>15345</v>
      </c>
      <c r="Q3236" t="inlineStr">
        <is>
          <t>InStock</t>
        </is>
      </c>
      <c r="R3236" t="inlineStr">
        <is>
          <t>20.0</t>
        </is>
      </c>
      <c r="S3236" t="inlineStr">
        <is>
          <t>7503397552313</t>
        </is>
      </c>
    </row>
    <row r="3237" ht="75" customHeight="1">
      <c r="A3237" s="2">
        <f>HYPERLINK("https://camerareadycosmetics.com/products/senna-ultra-last-eyeliner", "https://camerareadycosmetics.com/products/senna-ultra-last-eyeliner")</f>
        <v/>
      </c>
      <c r="B3237" s="2">
        <f>HYPERLINK("https://camerareadycosmetics.com/products/senna-ultra-last-eyeliner", "https://camerareadycosmetics.com/products/senna-ultra-last-eyeliner")</f>
        <v/>
      </c>
      <c r="C3237" t="inlineStr">
        <is>
          <t>Ultra Last Eyeliner</t>
        </is>
      </c>
      <c r="D3237" t="inlineStr">
        <is>
          <t>e.l.f., No Budge Retractable Eyeliner, Creamy, Ultra-Pigmented, Long Lasting, Enhances, Defines, Intensifies, Boldens, Grey, All-Day Wear, 0.006 Oz</t>
        </is>
      </c>
      <c r="E3237" s="2">
        <f>HYPERLINK("https://www.amazon.com/l-f-Retractable-Eyeliner-Pencil-Waterproof/dp/B07ZVXDB1F/ref=sr_1_8?keywords=Ultra+Last+Eyeliner&amp;qid=1695565748&amp;sr=8-8", "https://www.amazon.com/l-f-Retractable-Eyeliner-Pencil-Waterproof/dp/B07ZVXDB1F/ref=sr_1_8?keywords=Ultra+Last+Eyeliner&amp;qid=1695565748&amp;sr=8-8")</f>
        <v/>
      </c>
      <c r="F3237" t="inlineStr">
        <is>
          <t>B07ZVXDB1F</t>
        </is>
      </c>
      <c r="G3237">
        <f>_xlfn.IMAGE("https://camerareadycosmetics.com/cdn/shop/products/EL20_Ultra_Last_Eyeliner_Ultra_Brown_50x.jpg?v=1664384869")</f>
        <v/>
      </c>
      <c r="H3237">
        <f>_xlfn.IMAGE("https://m.media-amazon.com/images/I/51vcgY-+-cL._AC_UL320_.jpg")</f>
        <v/>
      </c>
      <c r="K3237" t="inlineStr">
        <is>
          <t>20.0</t>
        </is>
      </c>
      <c r="L3237" t="n">
        <v>4.49</v>
      </c>
      <c r="M3237" s="1" t="inlineStr">
        <is>
          <t>-77.55%</t>
        </is>
      </c>
      <c r="N3237" t="n">
        <v>4.5</v>
      </c>
      <c r="O3237" t="n">
        <v>13508</v>
      </c>
      <c r="Q3237" t="inlineStr">
        <is>
          <t>InStock</t>
        </is>
      </c>
      <c r="R3237" t="inlineStr">
        <is>
          <t>20.0</t>
        </is>
      </c>
      <c r="S3237" t="inlineStr">
        <is>
          <t>7503397552313</t>
        </is>
      </c>
    </row>
    <row r="3238" ht="75" customHeight="1">
      <c r="A3238" s="2">
        <f>HYPERLINK("https://camerareadycosmetics.com/products/senna-ultra-last-eyeliner", "https://camerareadycosmetics.com/products/senna-ultra-last-eyeliner")</f>
        <v/>
      </c>
      <c r="B3238" s="2">
        <f>HYPERLINK("https://camerareadycosmetics.com/products/senna-ultra-last-eyeliner", "https://camerareadycosmetics.com/products/senna-ultra-last-eyeliner")</f>
        <v/>
      </c>
      <c r="C3238" t="inlineStr">
        <is>
          <t>Ultra Last Eyeliner</t>
        </is>
      </c>
      <c r="D3238" t="inlineStr">
        <is>
          <t>Catkin Liquid Eyeliner Pen Ultra-fine Waterproof Smoothy Stay 24 hrs Long Lasting Quick Drying for Sensitive Eyes Alcohol Free Natural Brown</t>
        </is>
      </c>
      <c r="E3238" s="2">
        <f>HYPERLINK("https://www.amazon.com/Catkin-Eyeliner-Ultra-fine-Waterproof-Sensitive/dp/B0BJ8Y2L4R/ref=sr_1_9?keywords=Ultra+Last+Eyeliner&amp;qid=1695565748&amp;sr=8-9", "https://www.amazon.com/Catkin-Eyeliner-Ultra-fine-Waterproof-Sensitive/dp/B0BJ8Y2L4R/ref=sr_1_9?keywords=Ultra+Last+Eyeliner&amp;qid=1695565748&amp;sr=8-9")</f>
        <v/>
      </c>
      <c r="F3238" t="inlineStr">
        <is>
          <t>B0BJ8Y2L4R</t>
        </is>
      </c>
      <c r="G3238">
        <f>_xlfn.IMAGE("https://camerareadycosmetics.com/cdn/shop/products/EL20_Ultra_Last_Eyeliner_Ultra_Brown_50x.jpg?v=1664384869")</f>
        <v/>
      </c>
      <c r="H3238">
        <f>_xlfn.IMAGE("https://m.media-amazon.com/images/I/51lDePuWoQL._AC_UL320_.jpg")</f>
        <v/>
      </c>
      <c r="K3238" t="inlineStr">
        <is>
          <t>20.0</t>
        </is>
      </c>
      <c r="L3238" t="n">
        <v>9.99</v>
      </c>
      <c r="M3238" s="1" t="inlineStr">
        <is>
          <t>-50.05%</t>
        </is>
      </c>
      <c r="N3238" t="n">
        <v>4.4</v>
      </c>
      <c r="O3238" t="n">
        <v>55</v>
      </c>
      <c r="Q3238" t="inlineStr">
        <is>
          <t>InStock</t>
        </is>
      </c>
      <c r="R3238" t="inlineStr">
        <is>
          <t>20.0</t>
        </is>
      </c>
      <c r="S3238" t="inlineStr">
        <is>
          <t>7503397552313</t>
        </is>
      </c>
    </row>
    <row r="3239" ht="75" customHeight="1">
      <c r="A3239" s="2">
        <f>HYPERLINK("https://camerareadycosmetics.com/products/senna-ultra-last-eyeliner", "https://camerareadycosmetics.com/products/senna-ultra-last-eyeliner")</f>
        <v/>
      </c>
      <c r="B3239" s="2">
        <f>HYPERLINK("https://camerareadycosmetics.com/products/senna-ultra-last-eyeliner", "https://camerareadycosmetics.com/products/senna-ultra-last-eyeliner")</f>
        <v/>
      </c>
      <c r="C3239" t="inlineStr">
        <is>
          <t>Ultra Last Eyeliner</t>
        </is>
      </c>
      <c r="D3239" t="inlineStr">
        <is>
          <t>L’Oréal Paris Makeup Infallible Super Slim Long-Lasting Liquid Eyeliner, Ultra-Fine Felt Tip, Quick Drying Formula, Glides on Smoothly, Black, Pack of 1</t>
        </is>
      </c>
      <c r="E3239" s="2">
        <f>HYPERLINK("https://www.amazon.com/Paris-Infallible-Long-Lasting-Eyeliner-Ultra-Fine/dp/B00B1DRA94/ref=sr_1_3?keywords=Ultra+Last+Eyeliner&amp;qid=1695565748&amp;sr=8-3", "https://www.amazon.com/Paris-Infallible-Long-Lasting-Eyeliner-Ultra-Fine/dp/B00B1DRA94/ref=sr_1_3?keywords=Ultra+Last+Eyeliner&amp;qid=1695565748&amp;sr=8-3")</f>
        <v/>
      </c>
      <c r="F3239" t="inlineStr">
        <is>
          <t>B00B1DRA94</t>
        </is>
      </c>
      <c r="G3239">
        <f>_xlfn.IMAGE("https://camerareadycosmetics.com/cdn/shop/products/EL20_Ultra_Last_Eyeliner_Ultra_Brown_50x.jpg?v=1664384869")</f>
        <v/>
      </c>
      <c r="H3239">
        <f>_xlfn.IMAGE("https://m.media-amazon.com/images/I/41-PArWWpuL._AC_UL320_.jpg")</f>
        <v/>
      </c>
      <c r="K3239" t="inlineStr">
        <is>
          <t>20.0</t>
        </is>
      </c>
      <c r="L3239" t="n">
        <v>7.8</v>
      </c>
      <c r="M3239" s="1" t="inlineStr">
        <is>
          <t>-61.00%</t>
        </is>
      </c>
      <c r="N3239" t="n">
        <v>4.3</v>
      </c>
      <c r="O3239" t="n">
        <v>16619</v>
      </c>
      <c r="Q3239" t="inlineStr">
        <is>
          <t>InStock</t>
        </is>
      </c>
      <c r="R3239" t="inlineStr">
        <is>
          <t>20.0</t>
        </is>
      </c>
      <c r="S3239" t="inlineStr">
        <is>
          <t>7503397552313</t>
        </is>
      </c>
    </row>
    <row r="3240" ht="75" customHeight="1">
      <c r="A3240" s="2">
        <f>HYPERLINK("https://camerareadycosmetics.com/products/senna-ultra-last-eyeliner", "https://camerareadycosmetics.com/products/senna-ultra-last-eyeliner")</f>
        <v/>
      </c>
      <c r="B3240" s="2">
        <f>HYPERLINK("https://camerareadycosmetics.com/products/senna-ultra-last-eyeliner", "https://camerareadycosmetics.com/products/senna-ultra-last-eyeliner")</f>
        <v/>
      </c>
      <c r="C3240" t="inlineStr">
        <is>
          <t>Ultra Last Eyeliner</t>
        </is>
      </c>
      <c r="D3240" t="inlineStr">
        <is>
          <t>Erinde 2PCS Black Liquid Eyeliner with Eyeliner Stencils, Waterproof Eye Liners Pen, Long-Lasting eyeliner liquid liner, Quickly Dry, Smudgeproof, Longwearing with Ultra-Fine Tip (#01)</t>
        </is>
      </c>
      <c r="E3240" s="2">
        <f>HYPERLINK("https://www.amazon.com/Erinde-Waterproof-Long-Lasting-Smudgeproof-Longwearing/dp/B0C7K6W2CW/ref=sr_1_5?keywords=Ultra+Last+Eyeliner&amp;qid=1695565748&amp;sr=8-5", "https://www.amazon.com/Erinde-Waterproof-Long-Lasting-Smudgeproof-Longwearing/dp/B0C7K6W2CW/ref=sr_1_5?keywords=Ultra+Last+Eyeliner&amp;qid=1695565748&amp;sr=8-5")</f>
        <v/>
      </c>
      <c r="F3240" t="inlineStr">
        <is>
          <t>B0C7K6W2CW</t>
        </is>
      </c>
      <c r="G3240">
        <f>_xlfn.IMAGE("https://camerareadycosmetics.com/cdn/shop/products/EL20_Ultra_Last_Eyeliner_Ultra_Brown_50x.jpg?v=1664384869")</f>
        <v/>
      </c>
      <c r="H3240">
        <f>_xlfn.IMAGE("https://m.media-amazon.com/images/I/71ACGFZUCJL._AC_UL320_.jpg")</f>
        <v/>
      </c>
      <c r="K3240" t="inlineStr">
        <is>
          <t>20.0</t>
        </is>
      </c>
      <c r="L3240" t="n">
        <v>6.99</v>
      </c>
      <c r="M3240" s="1" t="inlineStr">
        <is>
          <t>-65.05%</t>
        </is>
      </c>
      <c r="N3240" t="n">
        <v>4</v>
      </c>
      <c r="O3240" t="n">
        <v>5</v>
      </c>
      <c r="Q3240" t="inlineStr">
        <is>
          <t>InStock</t>
        </is>
      </c>
      <c r="R3240" t="inlineStr">
        <is>
          <t>20.0</t>
        </is>
      </c>
      <c r="S3240" t="inlineStr">
        <is>
          <t>7503397552313</t>
        </is>
      </c>
    </row>
    <row r="3241" ht="75" customHeight="1">
      <c r="A3241" s="2">
        <f>HYPERLINK("https://camerareadycosmetics.com/products/senna-ultra-last-eyeliner", "https://camerareadycosmetics.com/products/senna-ultra-last-eyeliner")</f>
        <v/>
      </c>
      <c r="B3241" s="2">
        <f>HYPERLINK("https://camerareadycosmetics.com/products/senna-ultra-last-eyeliner", "https://camerareadycosmetics.com/products/senna-ultra-last-eyeliner")</f>
        <v/>
      </c>
      <c r="C3241" t="inlineStr">
        <is>
          <t>Ultra Last Eyeliner</t>
        </is>
      </c>
      <c r="D3241" t="inlineStr">
        <is>
          <t>wet n wild Mega Last Breakup Proof Liquid Waterproof Eyeliner, Blackest Black, Quick Drying Retractable Gel Eyeliner, Smudge Resistant, Long Lasting 16 Hour Wear, Ultra Fine Brush Tip Pen</t>
        </is>
      </c>
      <c r="E3241" s="2">
        <f>HYPERLINK("https://www.amazon.com/wet-wild-Waterproof-Retractable-Resistant/dp/B0BV62J1X1/ref=sr_1_1?keywords=Ultra+Last+Eyeliner&amp;qid=1695565748&amp;sr=8-1", "https://www.amazon.com/wet-wild-Waterproof-Retractable-Resistant/dp/B0BV62J1X1/ref=sr_1_1?keywords=Ultra+Last+Eyeliner&amp;qid=1695565748&amp;sr=8-1")</f>
        <v/>
      </c>
      <c r="F3241" t="inlineStr">
        <is>
          <t>B0BV62J1X1</t>
        </is>
      </c>
      <c r="G3241">
        <f>_xlfn.IMAGE("https://camerareadycosmetics.com/cdn/shop/products/EL20_Ultra_Last_Eyeliner_Ultra_Brown_50x.jpg?v=1664384869")</f>
        <v/>
      </c>
      <c r="H3241">
        <f>_xlfn.IMAGE("https://m.media-amazon.com/images/I/41apd6si6eL._AC_UL320_.jpg")</f>
        <v/>
      </c>
      <c r="K3241" t="inlineStr">
        <is>
          <t>20.0</t>
        </is>
      </c>
      <c r="L3241" t="n">
        <v>6.84</v>
      </c>
      <c r="M3241" s="1" t="inlineStr">
        <is>
          <t>-65.80%</t>
        </is>
      </c>
      <c r="N3241" t="n">
        <v>4.4</v>
      </c>
      <c r="O3241" t="n">
        <v>21882</v>
      </c>
      <c r="Q3241" t="inlineStr">
        <is>
          <t>InStock</t>
        </is>
      </c>
      <c r="R3241" t="inlineStr">
        <is>
          <t>20.0</t>
        </is>
      </c>
      <c r="S3241" t="inlineStr">
        <is>
          <t>7503397552313</t>
        </is>
      </c>
    </row>
    <row r="3242" ht="75" customHeight="1">
      <c r="A3242" s="2">
        <f>HYPERLINK("https://camerareadycosmetics.com/products/senna-ultra-last-eyeliner", "https://camerareadycosmetics.com/products/senna-ultra-last-eyeliner")</f>
        <v/>
      </c>
      <c r="B3242" s="2">
        <f>HYPERLINK("https://camerareadycosmetics.com/products/senna-ultra-last-eyeliner", "https://camerareadycosmetics.com/products/senna-ultra-last-eyeliner")</f>
        <v/>
      </c>
      <c r="C3242" t="inlineStr">
        <is>
          <t>Ultra Last Eyeliner</t>
        </is>
      </c>
      <c r="D3242" t="inlineStr">
        <is>
          <t>Long Lasting Brown Liquid Eyeliner Pencil Ultra-Fine Felt-Tip Quick Drying Waterproof Formula Eye Liner Pen Women Eye Makeup, 0.021 Fl; Oz/0.6ml</t>
        </is>
      </c>
      <c r="E3242" s="2">
        <f>HYPERLINK("https://www.amazon.com/Lasting-Eyeliner-Ultra-Fine-Felt-Tip-Waterproof/dp/B09VXTPN79/ref=sr_1_10?keywords=Ultra+Last+Eyeliner&amp;qid=1695565748&amp;sr=8-10", "https://www.amazon.com/Lasting-Eyeliner-Ultra-Fine-Felt-Tip-Waterproof/dp/B09VXTPN79/ref=sr_1_10?keywords=Ultra+Last+Eyeliner&amp;qid=1695565748&amp;sr=8-10")</f>
        <v/>
      </c>
      <c r="F3242" t="inlineStr">
        <is>
          <t>B09VXTPN79</t>
        </is>
      </c>
      <c r="G3242">
        <f>_xlfn.IMAGE("https://camerareadycosmetics.com/cdn/shop/products/EL20_Ultra_Last_Eyeliner_Ultra_Brown_50x.jpg?v=1664384869")</f>
        <v/>
      </c>
      <c r="H3242">
        <f>_xlfn.IMAGE("https://m.media-amazon.com/images/I/61OgVrwQqCL._AC_UL320_.jpg")</f>
        <v/>
      </c>
      <c r="K3242" t="inlineStr">
        <is>
          <t>20.0</t>
        </is>
      </c>
      <c r="L3242" t="n">
        <v>5.88</v>
      </c>
      <c r="M3242" s="1" t="inlineStr">
        <is>
          <t>-70.60%</t>
        </is>
      </c>
      <c r="N3242" t="n">
        <v>3.8</v>
      </c>
      <c r="O3242" t="n">
        <v>99</v>
      </c>
      <c r="Q3242" t="inlineStr">
        <is>
          <t>InStock</t>
        </is>
      </c>
      <c r="R3242" t="inlineStr">
        <is>
          <t>20.0</t>
        </is>
      </c>
      <c r="S3242" t="inlineStr">
        <is>
          <t>7503397552313</t>
        </is>
      </c>
    </row>
    <row r="3243" ht="75" customHeight="1">
      <c r="A3243" s="2">
        <f>HYPERLINK("https://camerareadycosmetics.com/products/senna-ultra-last-eyeliner", "https://camerareadycosmetics.com/products/senna-ultra-last-eyeliner")</f>
        <v/>
      </c>
      <c r="B3243" s="2">
        <f>HYPERLINK("https://camerareadycosmetics.com/products/senna-ultra-last-eyeliner", "https://camerareadycosmetics.com/products/senna-ultra-last-eyeliner")</f>
        <v/>
      </c>
      <c r="C3243" t="inlineStr">
        <is>
          <t>Ultra Last Eyeliner</t>
        </is>
      </c>
      <c r="D3243" t="inlineStr">
        <is>
          <t>LAVONE Eyeliner-Liquid Waterproof Eyeliner Makeup | Quick Drying | Ultra-Fine Tip | Smudge-Proof Formula for Long-Lasting Eye Makeup, with Hair Clips – Black</t>
        </is>
      </c>
      <c r="E3243" s="2">
        <f>HYPERLINK("https://www.amazon.com/LAVONE-Eyeliner-Liquid-Waterproof-Smudge-Proof-Long-Lasting/dp/B0BVMLJRJZ/ref=sr_1_2?keywords=Ultra+Last+Eyeliner&amp;qid=1695565748&amp;sr=8-2", "https://www.amazon.com/LAVONE-Eyeliner-Liquid-Waterproof-Smudge-Proof-Long-Lasting/dp/B0BVMLJRJZ/ref=sr_1_2?keywords=Ultra+Last+Eyeliner&amp;qid=1695565748&amp;sr=8-2")</f>
        <v/>
      </c>
      <c r="F3243" t="inlineStr">
        <is>
          <t>B0BVMLJRJZ</t>
        </is>
      </c>
      <c r="G3243">
        <f>_xlfn.IMAGE("https://camerareadycosmetics.com/cdn/shop/products/EL20_Ultra_Last_Eyeliner_Ultra_Brown_50x.jpg?v=1664384869")</f>
        <v/>
      </c>
      <c r="H3243">
        <f>_xlfn.IMAGE("https://m.media-amazon.com/images/I/512diAelEGL._AC_UL320_.jpg")</f>
        <v/>
      </c>
      <c r="K3243" t="inlineStr">
        <is>
          <t>20.0</t>
        </is>
      </c>
      <c r="L3243" t="n">
        <v>4.99</v>
      </c>
      <c r="M3243" s="1" t="inlineStr">
        <is>
          <t>-75.05%</t>
        </is>
      </c>
      <c r="N3243" t="n">
        <v>4.2</v>
      </c>
      <c r="O3243" t="n">
        <v>34</v>
      </c>
      <c r="Q3243" t="inlineStr">
        <is>
          <t>InStock</t>
        </is>
      </c>
      <c r="R3243" t="inlineStr">
        <is>
          <t>20.0</t>
        </is>
      </c>
      <c r="S3243" t="inlineStr">
        <is>
          <t>7503397552313</t>
        </is>
      </c>
    </row>
    <row r="3244" ht="75" customHeight="1">
      <c r="A3244" s="2">
        <f>HYPERLINK("https://camerareadycosmetics.com/products/senna-ultra-last-eyeliner", "https://camerareadycosmetics.com/products/senna-ultra-last-eyeliner")</f>
        <v/>
      </c>
      <c r="B3244" s="2">
        <f>HYPERLINK("https://camerareadycosmetics.com/products/senna-ultra-last-eyeliner", "https://camerareadycosmetics.com/products/senna-ultra-last-eyeliner")</f>
        <v/>
      </c>
      <c r="C3244" t="inlineStr">
        <is>
          <t>Ultra Last Eyeliner</t>
        </is>
      </c>
      <c r="D3244" t="inlineStr">
        <is>
          <t>Wet n Wild Mega Last Breakup Proof Liquid Waterproof Eyeliner Brush Tip Pen | Quick Drying | Smudge Resistant| Long Lasting 16 Hour Wear| Precise Ultra Fine | Black</t>
        </is>
      </c>
      <c r="E3244" s="2">
        <f>HYPERLINK("https://www.amazon.com/wild-Breakup-Proof-Liquid-Eyeliner-Black/dp/B082YQ8TXR/ref=sr_1_4?keywords=Ultra+Last+Eyeliner&amp;qid=1695565748&amp;rdc=1&amp;sr=8-4", "https://www.amazon.com/wild-Breakup-Proof-Liquid-Eyeliner-Black/dp/B082YQ8TXR/ref=sr_1_4?keywords=Ultra+Last+Eyeliner&amp;qid=1695565748&amp;rdc=1&amp;sr=8-4")</f>
        <v/>
      </c>
      <c r="F3244" t="inlineStr">
        <is>
          <t>B082YQ8TXR</t>
        </is>
      </c>
      <c r="G3244">
        <f>_xlfn.IMAGE("https://camerareadycosmetics.com/cdn/shop/products/EL20_Ultra_Last_Eyeliner_Ultra_Brown_50x.jpg?v=1664384869")</f>
        <v/>
      </c>
      <c r="H3244">
        <f>_xlfn.IMAGE("https://m.media-amazon.com/images/I/61fqBvLANeL._AC_UL320_.jpg")</f>
        <v/>
      </c>
      <c r="K3244" t="inlineStr">
        <is>
          <t>20.0</t>
        </is>
      </c>
      <c r="L3244" t="n">
        <v>4.89</v>
      </c>
      <c r="M3244" s="1" t="inlineStr">
        <is>
          <t>-75.55%</t>
        </is>
      </c>
      <c r="N3244" t="n">
        <v>4.4</v>
      </c>
      <c r="O3244" t="n">
        <v>15345</v>
      </c>
      <c r="Q3244" t="inlineStr">
        <is>
          <t>InStock</t>
        </is>
      </c>
      <c r="R3244" t="inlineStr">
        <is>
          <t>20.0</t>
        </is>
      </c>
      <c r="S3244" t="inlineStr">
        <is>
          <t>7503397552313</t>
        </is>
      </c>
    </row>
    <row r="3245" ht="75" customHeight="1">
      <c r="A3245" s="2">
        <f>HYPERLINK("https://camerareadycosmetics.com/products/senna-ultra-last-eyeliner", "https://camerareadycosmetics.com/products/senna-ultra-last-eyeliner")</f>
        <v/>
      </c>
      <c r="B3245" s="2">
        <f>HYPERLINK("https://camerareadycosmetics.com/products/senna-ultra-last-eyeliner", "https://camerareadycosmetics.com/products/senna-ultra-last-eyeliner")</f>
        <v/>
      </c>
      <c r="C3245" t="inlineStr">
        <is>
          <t>Ultra Last Eyeliner</t>
        </is>
      </c>
      <c r="D3245" t="inlineStr">
        <is>
          <t>e.l.f., No Budge Retractable Eyeliner, Creamy, Ultra-Pigmented, Long Lasting, Enhances, Defines, Intensifies, Boldens, Grey, All-Day Wear, 0.006 Oz</t>
        </is>
      </c>
      <c r="E3245" s="2">
        <f>HYPERLINK("https://www.amazon.com/l-f-Retractable-Eyeliner-Pencil-Waterproof/dp/B07ZVXDB1F/ref=sr_1_8?keywords=Ultra+Last+Eyeliner&amp;qid=1695565748&amp;sr=8-8", "https://www.amazon.com/l-f-Retractable-Eyeliner-Pencil-Waterproof/dp/B07ZVXDB1F/ref=sr_1_8?keywords=Ultra+Last+Eyeliner&amp;qid=1695565748&amp;sr=8-8")</f>
        <v/>
      </c>
      <c r="F3245" t="inlineStr">
        <is>
          <t>B07ZVXDB1F</t>
        </is>
      </c>
      <c r="G3245">
        <f>_xlfn.IMAGE("https://camerareadycosmetics.com/cdn/shop/products/EL20_Ultra_Last_Eyeliner_Ultra_Brown_50x.jpg?v=1664384869")</f>
        <v/>
      </c>
      <c r="H3245">
        <f>_xlfn.IMAGE("https://m.media-amazon.com/images/I/51vcgY-+-cL._AC_UL320_.jpg")</f>
        <v/>
      </c>
      <c r="K3245" t="inlineStr">
        <is>
          <t>20.0</t>
        </is>
      </c>
      <c r="L3245" t="n">
        <v>4.49</v>
      </c>
      <c r="M3245" s="1" t="inlineStr">
        <is>
          <t>-77.55%</t>
        </is>
      </c>
      <c r="N3245" t="n">
        <v>4.5</v>
      </c>
      <c r="O3245" t="n">
        <v>13508</v>
      </c>
      <c r="Q3245" t="inlineStr">
        <is>
          <t>InStock</t>
        </is>
      </c>
      <c r="R3245" t="inlineStr">
        <is>
          <t>20.0</t>
        </is>
      </c>
      <c r="S3245" t="inlineStr">
        <is>
          <t>7503397552313</t>
        </is>
      </c>
    </row>
    <row r="3246" ht="75" customHeight="1">
      <c r="A3246" s="2">
        <f>HYPERLINK("https://camerareadycosmetics.com/products/sigma-eyeshadow-primer", "https://camerareadycosmetics.com/products/sigma-eyeshadow-primer")</f>
        <v/>
      </c>
      <c r="B3246" s="2">
        <f>HYPERLINK("https://camerareadycosmetics.com/products/sigma-eyeshadow-primer", "https://camerareadycosmetics.com/products/sigma-eyeshadow-primer")</f>
        <v/>
      </c>
      <c r="C3246" t="inlineStr">
        <is>
          <t>Eyeshadow Base Primer</t>
        </is>
      </c>
      <c r="D3246" t="inlineStr">
        <is>
          <t>Elizabeth Mott Thank Me Later Eye Primer for Long-Lasting Power Grip Eye Makeup, Eyeshadow Base to Control Oil, Prevent Creasing for All-Day Eye Makeup Wear 10g</t>
        </is>
      </c>
      <c r="E3246" s="2">
        <f>HYPERLINK("https://www.amazon.com/Elizabeth-Mott-Long-Lasting-Waterproof-Eyeshadow/dp/B018JDMD4K/ref=sr_1_4?keywords=Eyeshadow+Base+Primer&amp;qid=1695565605&amp;sr=8-4", "https://www.amazon.com/Elizabeth-Mott-Long-Lasting-Waterproof-Eyeshadow/dp/B018JDMD4K/ref=sr_1_4?keywords=Eyeshadow+Base+Primer&amp;qid=1695565605&amp;sr=8-4")</f>
        <v/>
      </c>
      <c r="F3246" t="inlineStr">
        <is>
          <t>B018JDMD4K</t>
        </is>
      </c>
      <c r="G3246">
        <f>_xlfn.IMAGE("https://camerareadycosmetics.com/cdn/shop/products/radiance-swatch-ebp05_pdp04_1080x1080_1_50x.jpg?v=1654618565")</f>
        <v/>
      </c>
      <c r="H3246">
        <f>_xlfn.IMAGE("https://m.media-amazon.com/images/I/41IcbLGgpFL._AC_UL320_.jpg")</f>
        <v/>
      </c>
      <c r="K3246" t="inlineStr">
        <is>
          <t>20.0</t>
        </is>
      </c>
      <c r="L3246" t="n">
        <v>13.99</v>
      </c>
      <c r="M3246" s="1" t="inlineStr">
        <is>
          <t>-30.05%</t>
        </is>
      </c>
      <c r="N3246" t="n">
        <v>4.4</v>
      </c>
      <c r="O3246" t="n">
        <v>20704</v>
      </c>
      <c r="Q3246" t="inlineStr">
        <is>
          <t>InStock</t>
        </is>
      </c>
      <c r="R3246" t="inlineStr">
        <is>
          <t>undefined</t>
        </is>
      </c>
      <c r="S3246" t="inlineStr">
        <is>
          <t>549733924874</t>
        </is>
      </c>
    </row>
    <row r="3247" ht="75" customHeight="1">
      <c r="A3247" s="2">
        <f>HYPERLINK("https://camerareadycosmetics.com/products/sigma-eyeshadow-primer", "https://camerareadycosmetics.com/products/sigma-eyeshadow-primer")</f>
        <v/>
      </c>
      <c r="B3247" s="2">
        <f>HYPERLINK("https://camerareadycosmetics.com/products/sigma-eyeshadow-primer", "https://camerareadycosmetics.com/products/sigma-eyeshadow-primer")</f>
        <v/>
      </c>
      <c r="C3247" t="inlineStr">
        <is>
          <t>Eyeshadow Base Primer</t>
        </is>
      </c>
      <c r="D3247" t="inlineStr">
        <is>
          <t>NYX PROFESSIONAL MAKEUP Eyeshadow Base Primer, Skin Tone</t>
        </is>
      </c>
      <c r="E3247" s="2">
        <f>HYPERLINK("https://www.amazon.com/NYX-Professional-Makeup-Eyeshadow-Packaging/dp/B0030O9LYY/ref=sr_1_7?keywords=Eyeshadow+Base+Primer&amp;qid=1695565605&amp;sr=8-7", "https://www.amazon.com/NYX-Professional-Makeup-Eyeshadow-Packaging/dp/B0030O9LYY/ref=sr_1_7?keywords=Eyeshadow+Base+Primer&amp;qid=1695565605&amp;sr=8-7")</f>
        <v/>
      </c>
      <c r="F3247" t="inlineStr">
        <is>
          <t>B0030O9LYY</t>
        </is>
      </c>
      <c r="G3247">
        <f>_xlfn.IMAGE("https://camerareadycosmetics.com/cdn/shop/products/radiance-swatch-ebp05_pdp04_1080x1080_1_50x.jpg?v=1654618565")</f>
        <v/>
      </c>
      <c r="H3247">
        <f>_xlfn.IMAGE("https://m.media-amazon.com/images/I/61d1RMTfdhL._AC_UL320_.jpg")</f>
        <v/>
      </c>
      <c r="K3247" t="inlineStr">
        <is>
          <t>20.0</t>
        </is>
      </c>
      <c r="L3247" t="n">
        <v>9.99</v>
      </c>
      <c r="M3247" s="1" t="inlineStr">
        <is>
          <t>-50.05%</t>
        </is>
      </c>
      <c r="N3247" t="n">
        <v>4.2</v>
      </c>
      <c r="O3247" t="n">
        <v>14422</v>
      </c>
      <c r="Q3247" t="inlineStr">
        <is>
          <t>InStock</t>
        </is>
      </c>
      <c r="R3247" t="inlineStr">
        <is>
          <t>undefined</t>
        </is>
      </c>
      <c r="S3247" t="inlineStr">
        <is>
          <t>549733924874</t>
        </is>
      </c>
    </row>
    <row r="3248" ht="75" customHeight="1">
      <c r="A3248" s="2">
        <f>HYPERLINK("https://camerareadycosmetics.com/products/sigma-eyeshadow-primer", "https://camerareadycosmetics.com/products/sigma-eyeshadow-primer")</f>
        <v/>
      </c>
      <c r="B3248" s="2">
        <f>HYPERLINK("https://camerareadycosmetics.com/products/sigma-eyeshadow-primer", "https://camerareadycosmetics.com/products/sigma-eyeshadow-primer")</f>
        <v/>
      </c>
      <c r="C3248" t="inlineStr">
        <is>
          <t>Eyeshadow Base Primer</t>
        </is>
      </c>
      <c r="D3248" t="inlineStr">
        <is>
          <t>NYX PROFESSIONAL MAKEUP Eyeshadow Base Primer, Skin Tone</t>
        </is>
      </c>
      <c r="E3248" s="2">
        <f>HYPERLINK("https://www.amazon.com/NYX-Professional-Makeup-Eyeshadow-Packaging/dp/B0030O9LYY/ref=sr_1_7?keywords=Eyeshadow+Base+Primer&amp;qid=1695565605&amp;sr=8-7", "https://www.amazon.com/NYX-Professional-Makeup-Eyeshadow-Packaging/dp/B0030O9LYY/ref=sr_1_7?keywords=Eyeshadow+Base+Primer&amp;qid=1695565605&amp;sr=8-7")</f>
        <v/>
      </c>
      <c r="F3248" t="inlineStr">
        <is>
          <t>B0030O9LYY</t>
        </is>
      </c>
      <c r="G3248">
        <f>_xlfn.IMAGE("https://camerareadycosmetics.com/cdn/shop/products/radiance-swatch-ebp05_pdp04_1080x1080_1_50x.jpg?v=1654618565")</f>
        <v/>
      </c>
      <c r="H3248">
        <f>_xlfn.IMAGE("https://m.media-amazon.com/images/I/61d1RMTfdhL._AC_UL320_.jpg")</f>
        <v/>
      </c>
      <c r="K3248" t="inlineStr">
        <is>
          <t>20.0</t>
        </is>
      </c>
      <c r="L3248" t="n">
        <v>9.99</v>
      </c>
      <c r="M3248" s="1" t="inlineStr">
        <is>
          <t>-50.05%</t>
        </is>
      </c>
      <c r="N3248" t="n">
        <v>4.2</v>
      </c>
      <c r="O3248" t="n">
        <v>14422</v>
      </c>
      <c r="Q3248" t="inlineStr">
        <is>
          <t>InStock</t>
        </is>
      </c>
      <c r="R3248" t="inlineStr">
        <is>
          <t>undefined</t>
        </is>
      </c>
      <c r="S3248" t="inlineStr">
        <is>
          <t>549733924874</t>
        </is>
      </c>
    </row>
    <row r="3249" ht="75" customHeight="1">
      <c r="A3249" s="2">
        <f>HYPERLINK("https://camerareadycosmetics.com/products/sigma-long-wear-eyeliner-pencil", "https://camerareadycosmetics.com/products/sigma-long-wear-eyeliner-pencil")</f>
        <v/>
      </c>
      <c r="B3249" s="2">
        <f>HYPERLINK("https://camerareadycosmetics.com/products/sigma-long-wear-eyeliner-pencil", "https://camerareadycosmetics.com/products/sigma-long-wear-eyeliner-pencil")</f>
        <v/>
      </c>
      <c r="C3249" t="inlineStr">
        <is>
          <t>Long Wear Eyeliner Pencil</t>
        </is>
      </c>
      <c r="D3249" t="inlineStr">
        <is>
          <t>Christian Dior Waterproof Eyeliner Long-Wear Eyeliner Pencil With Blending Tip And Sharpener, Trinidad Black No.094</t>
        </is>
      </c>
      <c r="E3249" s="2">
        <f>HYPERLINK("https://www.amazon.com/Christian-Dior-Waterproof-Long-wear-Sharpener/dp/B001GMANIA/ref=sr_1_6?keywords=Long+Wear+Eyeliner+Pencil&amp;qid=1695565681&amp;sr=8-6", "https://www.amazon.com/Christian-Dior-Waterproof-Long-wear-Sharpener/dp/B001GMANIA/ref=sr_1_6?keywords=Long+Wear+Eyeliner+Pencil&amp;qid=1695565681&amp;sr=8-6")</f>
        <v/>
      </c>
      <c r="F3249" t="inlineStr">
        <is>
          <t>B001GMANIA</t>
        </is>
      </c>
      <c r="G3249">
        <f>_xlfn.IMAGE("https://camerareadycosmetics.com/cdn/shop/products/el025-2_pdp01_1080x1080_e9a4b184-de7b-41c5-b0d9-cd5c18e9b558_50x.jpg?v=1525104722")</f>
        <v/>
      </c>
      <c r="H3249">
        <f>_xlfn.IMAGE("https://m.media-amazon.com/images/I/51VqaVrWyvL._AC_UL320_.jpg")</f>
        <v/>
      </c>
      <c r="K3249" t="inlineStr">
        <is>
          <t>15.0</t>
        </is>
      </c>
      <c r="L3249" t="n">
        <v>25</v>
      </c>
      <c r="M3249" s="1" t="inlineStr">
        <is>
          <t>66.67%</t>
        </is>
      </c>
      <c r="N3249" t="n">
        <v>4.5</v>
      </c>
      <c r="O3249" t="n">
        <v>605</v>
      </c>
      <c r="Q3249" t="inlineStr">
        <is>
          <t>InStock</t>
        </is>
      </c>
      <c r="R3249" t="inlineStr">
        <is>
          <t>undefined</t>
        </is>
      </c>
      <c r="S3249" t="inlineStr">
        <is>
          <t>529194713098</t>
        </is>
      </c>
    </row>
    <row r="3250" ht="75" customHeight="1">
      <c r="A3250" s="2">
        <f>HYPERLINK("https://camerareadycosmetics.com/products/sigma-long-wear-eyeliner-pencil", "https://camerareadycosmetics.com/products/sigma-long-wear-eyeliner-pencil")</f>
        <v/>
      </c>
      <c r="B3250" s="2">
        <f>HYPERLINK("https://camerareadycosmetics.com/products/sigma-long-wear-eyeliner-pencil", "https://camerareadycosmetics.com/products/sigma-long-wear-eyeliner-pencil")</f>
        <v/>
      </c>
      <c r="C3250" t="inlineStr">
        <is>
          <t>Long Wear Eyeliner Pencil</t>
        </is>
      </c>
      <c r="D3250" t="inlineStr">
        <is>
          <t>VASANTI Kajal Waterline Eyeliner Pencil - Long-lasting, Waterproof, Smudge-proof, Safe for Sensitive Eyes, Waterline Eye Liner - Opthalmologist Approved and Tested (Intense Black)</t>
        </is>
      </c>
      <c r="E3250" s="2">
        <f>HYPERLINK("https://www.amazon.com/Kajal-Waterline-Eyeliner-VASANTI-Ophthalmologist/dp/B01GW09XRW/ref=sr_1_7?keywords=Long+Wear+Eyeliner+Pencil&amp;qid=1695565681&amp;sr=8-7", "https://www.amazon.com/Kajal-Waterline-Eyeliner-VASANTI-Ophthalmologist/dp/B01GW09XRW/ref=sr_1_7?keywords=Long+Wear+Eyeliner+Pencil&amp;qid=1695565681&amp;sr=8-7")</f>
        <v/>
      </c>
      <c r="F3250" t="inlineStr">
        <is>
          <t>B01GW09XRW</t>
        </is>
      </c>
      <c r="G3250">
        <f>_xlfn.IMAGE("https://camerareadycosmetics.com/cdn/shop/products/el025-2_pdp01_1080x1080_e9a4b184-de7b-41c5-b0d9-cd5c18e9b558_50x.jpg?v=1525104722")</f>
        <v/>
      </c>
      <c r="H3250">
        <f>_xlfn.IMAGE("https://m.media-amazon.com/images/I/61djA5bUFvL._AC_UL320_.jpg")</f>
        <v/>
      </c>
      <c r="K3250" t="inlineStr">
        <is>
          <t>15.0</t>
        </is>
      </c>
      <c r="L3250" t="n">
        <v>19</v>
      </c>
      <c r="M3250" s="1" t="inlineStr">
        <is>
          <t>26.67%</t>
        </is>
      </c>
      <c r="N3250" t="n">
        <v>4.2</v>
      </c>
      <c r="O3250" t="n">
        <v>3794</v>
      </c>
      <c r="Q3250" t="inlineStr">
        <is>
          <t>InStock</t>
        </is>
      </c>
      <c r="R3250" t="inlineStr">
        <is>
          <t>undefined</t>
        </is>
      </c>
      <c r="S3250" t="inlineStr">
        <is>
          <t>529194713098</t>
        </is>
      </c>
    </row>
    <row r="3251" ht="75" customHeight="1">
      <c r="A3251" s="2">
        <f>HYPERLINK("https://camerareadycosmetics.com/products/sigma-long-wear-eyeliner-pencil", "https://camerareadycosmetics.com/products/sigma-long-wear-eyeliner-pencil")</f>
        <v/>
      </c>
      <c r="B3251" s="2">
        <f>HYPERLINK("https://camerareadycosmetics.com/products/sigma-long-wear-eyeliner-pencil", "https://camerareadycosmetics.com/products/sigma-long-wear-eyeliner-pencil")</f>
        <v/>
      </c>
      <c r="C3251" t="inlineStr">
        <is>
          <t>Long Wear Eyeliner Pencil</t>
        </is>
      </c>
      <c r="D3251" t="inlineStr">
        <is>
          <t>Limitless Long-Wear Pencil Eyeliner</t>
        </is>
      </c>
      <c r="E3251" s="2">
        <f>HYPERLINK("https://www.amazon.com/Eyeko-Limitless-Long-Wear-Pencil-Eyeliner/dp/B09MR3YGNC/ref=sr_1_4?keywords=Long+Wear+Eyeliner+Pencil&amp;qid=1695565681&amp;sr=8-4", "https://www.amazon.com/Eyeko-Limitless-Long-Wear-Pencil-Eyeliner/dp/B09MR3YGNC/ref=sr_1_4?keywords=Long+Wear+Eyeliner+Pencil&amp;qid=1695565681&amp;sr=8-4")</f>
        <v/>
      </c>
      <c r="F3251" t="inlineStr">
        <is>
          <t>B09MR3YGNC</t>
        </is>
      </c>
      <c r="G3251">
        <f>_xlfn.IMAGE("https://camerareadycosmetics.com/cdn/shop/products/el025-2_pdp01_1080x1080_e9a4b184-de7b-41c5-b0d9-cd5c18e9b558_50x.jpg?v=1525104722")</f>
        <v/>
      </c>
      <c r="H3251">
        <f>_xlfn.IMAGE("https://m.media-amazon.com/images/I/31HTPKBGNXL._AC_UL320_.jpg")</f>
        <v/>
      </c>
      <c r="K3251" t="inlineStr">
        <is>
          <t>15.0</t>
        </is>
      </c>
      <c r="L3251" t="n">
        <v>18</v>
      </c>
      <c r="M3251" s="1" t="inlineStr">
        <is>
          <t>20.00%</t>
        </is>
      </c>
      <c r="N3251" t="n">
        <v>3.4</v>
      </c>
      <c r="O3251" t="n">
        <v>7</v>
      </c>
      <c r="Q3251" t="inlineStr">
        <is>
          <t>InStock</t>
        </is>
      </c>
      <c r="R3251" t="inlineStr">
        <is>
          <t>undefined</t>
        </is>
      </c>
      <c r="S3251" t="inlineStr">
        <is>
          <t>529194713098</t>
        </is>
      </c>
    </row>
    <row r="3252" ht="75" customHeight="1">
      <c r="A3252" s="2">
        <f>HYPERLINK("https://camerareadycosmetics.com/products/sigma-long-wear-eyeliner-pencil", "https://camerareadycosmetics.com/products/sigma-long-wear-eyeliner-pencil")</f>
        <v/>
      </c>
      <c r="B3252" s="2">
        <f>HYPERLINK("https://camerareadycosmetics.com/products/sigma-long-wear-eyeliner-pencil", "https://camerareadycosmetics.com/products/sigma-long-wear-eyeliner-pencil")</f>
        <v/>
      </c>
      <c r="C3252" t="inlineStr">
        <is>
          <t>Long Wear Eyeliner Pencil</t>
        </is>
      </c>
      <c r="D3252" t="inlineStr">
        <is>
          <t>Sigma Beauty Long Wear Eyeliner Pencil – Professional Makeup Eyeliner Pencil with a Fine, Precision Tip &amp; Smooth, Matte Finish for Impeccable, All-Day Eye Liner Application (Wicked Black)</t>
        </is>
      </c>
      <c r="E3252" s="2">
        <f>HYPERLINK("https://www.amazon.com/Sigma-Beauty-Eyeliner-Pencil-Wicked/dp/B07B9GYNDJ/ref=sr_1_10?keywords=Long+Wear+Eyeliner+Pencil&amp;qid=1695565681&amp;sr=8-10", "https://www.amazon.com/Sigma-Beauty-Eyeliner-Pencil-Wicked/dp/B07B9GYNDJ/ref=sr_1_10?keywords=Long+Wear+Eyeliner+Pencil&amp;qid=1695565681&amp;sr=8-10")</f>
        <v/>
      </c>
      <c r="F3252" t="inlineStr">
        <is>
          <t>B07B9GYNDJ</t>
        </is>
      </c>
      <c r="G3252">
        <f>_xlfn.IMAGE("https://camerareadycosmetics.com/cdn/shop/products/el025-2_pdp01_1080x1080_e9a4b184-de7b-41c5-b0d9-cd5c18e9b558_50x.jpg?v=1525104722")</f>
        <v/>
      </c>
      <c r="H3252">
        <f>_xlfn.IMAGE("https://m.media-amazon.com/images/I/51NUQmsQGCL._AC_UL320_.jpg")</f>
        <v/>
      </c>
      <c r="K3252" t="inlineStr">
        <is>
          <t>15.0</t>
        </is>
      </c>
      <c r="L3252" t="n">
        <v>16</v>
      </c>
      <c r="M3252" s="1" t="inlineStr">
        <is>
          <t>6.67%</t>
        </is>
      </c>
      <c r="N3252" t="n">
        <v>4.2</v>
      </c>
      <c r="O3252" t="n">
        <v>115</v>
      </c>
      <c r="Q3252" t="inlineStr">
        <is>
          <t>InStock</t>
        </is>
      </c>
      <c r="R3252" t="inlineStr">
        <is>
          <t>undefined</t>
        </is>
      </c>
      <c r="S3252" t="inlineStr">
        <is>
          <t>529194713098</t>
        </is>
      </c>
    </row>
    <row r="3253" ht="75" customHeight="1">
      <c r="A3253" s="2">
        <f>HYPERLINK("https://camerareadycosmetics.com/products/sigma-long-wear-eyeliner-pencil", "https://camerareadycosmetics.com/products/sigma-long-wear-eyeliner-pencil")</f>
        <v/>
      </c>
      <c r="B3253" s="2">
        <f>HYPERLINK("https://camerareadycosmetics.com/products/sigma-long-wear-eyeliner-pencil", "https://camerareadycosmetics.com/products/sigma-long-wear-eyeliner-pencil")</f>
        <v/>
      </c>
      <c r="C3253" t="inlineStr">
        <is>
          <t>Long Wear Eyeliner Pencil</t>
        </is>
      </c>
      <c r="D3253" t="inlineStr">
        <is>
          <t>Milani Stay Put Eyeliner - Duchess (0.01 Ounce) Cruelty-Free Self-Sharpening Eye Pencil with Built-In Smudger - Line &amp; Define Eyes with High Pigment Shades for Long-Lasting Wear</t>
        </is>
      </c>
      <c r="E3253" s="2">
        <f>HYPERLINK("https://www.amazon.com/Milani-Stay-Eyeliner-Self-Sharpening-Built/dp/B07VQWZ4RZ/ref=sr_1_8?keywords=Long+Wear+Eyeliner+Pencil&amp;qid=1695565681&amp;sr=8-8", "https://www.amazon.com/Milani-Stay-Eyeliner-Self-Sharpening-Built/dp/B07VQWZ4RZ/ref=sr_1_8?keywords=Long+Wear+Eyeliner+Pencil&amp;qid=1695565681&amp;sr=8-8")</f>
        <v/>
      </c>
      <c r="F3253" t="inlineStr">
        <is>
          <t>B07VQWZ4RZ</t>
        </is>
      </c>
      <c r="G3253">
        <f>_xlfn.IMAGE("https://camerareadycosmetics.com/cdn/shop/products/el025-2_pdp01_1080x1080_e9a4b184-de7b-41c5-b0d9-cd5c18e9b558_50x.jpg?v=1525104722")</f>
        <v/>
      </c>
      <c r="H3253">
        <f>_xlfn.IMAGE("https://m.media-amazon.com/images/I/61hsY14z7oL._AC_UL320_.jpg")</f>
        <v/>
      </c>
      <c r="K3253" t="inlineStr">
        <is>
          <t>15.0</t>
        </is>
      </c>
      <c r="L3253" t="n">
        <v>8.880000000000001</v>
      </c>
      <c r="M3253" s="1" t="inlineStr">
        <is>
          <t>-40.80%</t>
        </is>
      </c>
      <c r="N3253" t="n">
        <v>4.5</v>
      </c>
      <c r="O3253" t="n">
        <v>2358</v>
      </c>
      <c r="Q3253" t="inlineStr">
        <is>
          <t>InStock</t>
        </is>
      </c>
      <c r="R3253" t="inlineStr">
        <is>
          <t>undefined</t>
        </is>
      </c>
      <c r="S3253" t="inlineStr">
        <is>
          <t>529194713098</t>
        </is>
      </c>
    </row>
    <row r="3254" ht="75" customHeight="1">
      <c r="A3254" s="2">
        <f>HYPERLINK("https://camerareadycosmetics.com/products/sigma-long-wear-eyeliner-pencil", "https://camerareadycosmetics.com/products/sigma-long-wear-eyeliner-pencil")</f>
        <v/>
      </c>
      <c r="B3254" s="2">
        <f>HYPERLINK("https://camerareadycosmetics.com/products/sigma-long-wear-eyeliner-pencil", "https://camerareadycosmetics.com/products/sigma-long-wear-eyeliner-pencil")</f>
        <v/>
      </c>
      <c r="C3254" t="inlineStr">
        <is>
          <t>Long Wear Eyeliner Pencil</t>
        </is>
      </c>
      <c r="D3254" t="inlineStr">
        <is>
          <t>Kiko Milano Intense Colour Long Lasting Eyeliner 01 | Intense And Smooth-gliding Outer Eye Pencil With Long Wear</t>
        </is>
      </c>
      <c r="E3254" s="2">
        <f>HYPERLINK("https://www.amazon.com/KIKO-MILANO-Intense-Eyeliner-smooth-gliding/dp/B07DFL3S4J/ref=sr_1_9?keywords=Long+Wear+Eyeliner+Pencil&amp;qid=1695565681&amp;sr=8-9", "https://www.amazon.com/KIKO-MILANO-Intense-Eyeliner-smooth-gliding/dp/B07DFL3S4J/ref=sr_1_9?keywords=Long+Wear+Eyeliner+Pencil&amp;qid=1695565681&amp;sr=8-9")</f>
        <v/>
      </c>
      <c r="F3254" t="inlineStr">
        <is>
          <t>B07DFL3S4J</t>
        </is>
      </c>
      <c r="G3254">
        <f>_xlfn.IMAGE("https://camerareadycosmetics.com/cdn/shop/products/el025-2_pdp01_1080x1080_e9a4b184-de7b-41c5-b0d9-cd5c18e9b558_50x.jpg?v=1525104722")</f>
        <v/>
      </c>
      <c r="H3254">
        <f>_xlfn.IMAGE("https://m.media-amazon.com/images/I/41hJ8Q3i+EL._AC_UL320_.jpg")</f>
        <v/>
      </c>
      <c r="K3254" t="inlineStr">
        <is>
          <t>15.0</t>
        </is>
      </c>
      <c r="L3254" t="n">
        <v>8.050000000000001</v>
      </c>
      <c r="M3254" s="1" t="inlineStr">
        <is>
          <t>-46.33%</t>
        </is>
      </c>
      <c r="N3254" t="n">
        <v>4.5</v>
      </c>
      <c r="O3254" t="n">
        <v>2774</v>
      </c>
      <c r="Q3254" t="inlineStr">
        <is>
          <t>InStock</t>
        </is>
      </c>
      <c r="R3254" t="inlineStr">
        <is>
          <t>undefined</t>
        </is>
      </c>
      <c r="S3254" t="inlineStr">
        <is>
          <t>529194713098</t>
        </is>
      </c>
    </row>
    <row r="3255" ht="75" customHeight="1">
      <c r="A3255" s="2">
        <f>HYPERLINK("https://camerareadycosmetics.com/products/sigma-long-wear-eyeliner-pencil", "https://camerareadycosmetics.com/products/sigma-long-wear-eyeliner-pencil")</f>
        <v/>
      </c>
      <c r="B3255" s="2">
        <f>HYPERLINK("https://camerareadycosmetics.com/products/sigma-long-wear-eyeliner-pencil", "https://camerareadycosmetics.com/products/sigma-long-wear-eyeliner-pencil")</f>
        <v/>
      </c>
      <c r="C3255" t="inlineStr">
        <is>
          <t>Long Wear Eyeliner Pencil</t>
        </is>
      </c>
      <c r="D3255" t="inlineStr">
        <is>
          <t>Palladio Retractable Waterproof Eyeliner, Richly Pigmented Color and Creamy, Slip Twist Up Pencil Eye Liner, Smudge Proof Long Lasting Application, All Day Wear, No Sharpener Required, Exotic Plum</t>
        </is>
      </c>
      <c r="E3255" s="2">
        <f>HYPERLINK("https://www.amazon.com/Palladio-Retractable-Waterproof-Pigmented-Application/dp/B003TJG65M/ref=sr_1_5?keywords=Long+Wear+Eyeliner+Pencil&amp;qid=1695565681&amp;sr=8-5", "https://www.amazon.com/Palladio-Retractable-Waterproof-Pigmented-Application/dp/B003TJG65M/ref=sr_1_5?keywords=Long+Wear+Eyeliner+Pencil&amp;qid=1695565681&amp;sr=8-5")</f>
        <v/>
      </c>
      <c r="F3255" t="inlineStr">
        <is>
          <t>B003TJG65M</t>
        </is>
      </c>
      <c r="G3255">
        <f>_xlfn.IMAGE("https://camerareadycosmetics.com/cdn/shop/products/el025-2_pdp01_1080x1080_e9a4b184-de7b-41c5-b0d9-cd5c18e9b558_50x.jpg?v=1525104722")</f>
        <v/>
      </c>
      <c r="H3255">
        <f>_xlfn.IMAGE("https://m.media-amazon.com/images/I/41oMsyRe8qL._AC_UL320_.jpg")</f>
        <v/>
      </c>
      <c r="K3255" t="inlineStr">
        <is>
          <t>15.0</t>
        </is>
      </c>
      <c r="L3255" t="n">
        <v>7.99</v>
      </c>
      <c r="M3255" s="1" t="inlineStr">
        <is>
          <t>-46.73%</t>
        </is>
      </c>
      <c r="N3255" t="n">
        <v>4.3</v>
      </c>
      <c r="O3255" t="n">
        <v>6393</v>
      </c>
      <c r="Q3255" t="inlineStr">
        <is>
          <t>InStock</t>
        </is>
      </c>
      <c r="R3255" t="inlineStr">
        <is>
          <t>undefined</t>
        </is>
      </c>
      <c r="S3255" t="inlineStr">
        <is>
          <t>529194713098</t>
        </is>
      </c>
    </row>
    <row r="3256" ht="75" customHeight="1">
      <c r="A3256" s="2">
        <f>HYPERLINK("https://camerareadycosmetics.com/products/sigma-long-wear-eyeliner-pencil", "https://camerareadycosmetics.com/products/sigma-long-wear-eyeliner-pencil")</f>
        <v/>
      </c>
      <c r="B3256" s="2">
        <f>HYPERLINK("https://camerareadycosmetics.com/products/sigma-long-wear-eyeliner-pencil", "https://camerareadycosmetics.com/products/sigma-long-wear-eyeliner-pencil")</f>
        <v/>
      </c>
      <c r="C3256" t="inlineStr">
        <is>
          <t>Long Wear Eyeliner Pencil</t>
        </is>
      </c>
      <c r="D3256" t="inlineStr">
        <is>
          <t>NYX PROFESSIONAL MAKEUP Epic Wear Liner Stick, Long-Lasting Eyeliner Pencil - Pitch Black</t>
        </is>
      </c>
      <c r="E3256" s="2">
        <f>HYPERLINK("https://www.amazon.com/NYX-PROFESSIONAL-MAKEUP-Eyeliner-Pencil/dp/B08B22LPXQ/ref=sr_1_1?keywords=Long+Wear+Eyeliner+Pencil&amp;qid=1695565681&amp;sr=8-1", "https://www.amazon.com/NYX-PROFESSIONAL-MAKEUP-Eyeliner-Pencil/dp/B08B22LPXQ/ref=sr_1_1?keywords=Long+Wear+Eyeliner+Pencil&amp;qid=1695565681&amp;sr=8-1")</f>
        <v/>
      </c>
      <c r="F3256" t="inlineStr">
        <is>
          <t>B08B22LPXQ</t>
        </is>
      </c>
      <c r="G3256">
        <f>_xlfn.IMAGE("https://camerareadycosmetics.com/cdn/shop/products/el025-2_pdp01_1080x1080_e9a4b184-de7b-41c5-b0d9-cd5c18e9b558_50x.jpg?v=1525104722")</f>
        <v/>
      </c>
      <c r="H3256">
        <f>_xlfn.IMAGE("https://m.media-amazon.com/images/I/81a8nWBTmxL._AC_UL320_.jpg")</f>
        <v/>
      </c>
      <c r="K3256" t="inlineStr">
        <is>
          <t>15.0</t>
        </is>
      </c>
      <c r="L3256" t="n">
        <v>7.97</v>
      </c>
      <c r="M3256" s="1" t="inlineStr">
        <is>
          <t>-46.87%</t>
        </is>
      </c>
      <c r="N3256" t="n">
        <v>4.2</v>
      </c>
      <c r="O3256" t="n">
        <v>7594</v>
      </c>
      <c r="Q3256" t="inlineStr">
        <is>
          <t>InStock</t>
        </is>
      </c>
      <c r="R3256" t="inlineStr">
        <is>
          <t>undefined</t>
        </is>
      </c>
      <c r="S3256" t="inlineStr">
        <is>
          <t>529194713098</t>
        </is>
      </c>
    </row>
    <row r="3257" ht="75" customHeight="1">
      <c r="A3257" s="2">
        <f>HYPERLINK("https://camerareadycosmetics.com/products/sigma-long-wear-eyeliner-pencil", "https://camerareadycosmetics.com/products/sigma-long-wear-eyeliner-pencil")</f>
        <v/>
      </c>
      <c r="B3257" s="2">
        <f>HYPERLINK("https://camerareadycosmetics.com/products/sigma-long-wear-eyeliner-pencil", "https://camerareadycosmetics.com/products/sigma-long-wear-eyeliner-pencil")</f>
        <v/>
      </c>
      <c r="C3257" t="inlineStr">
        <is>
          <t>Long Wear Eyeliner Pencil</t>
        </is>
      </c>
      <c r="D3257" t="inlineStr">
        <is>
          <t>Maybelline New York TattooStudio Long-Lasting Sharpenable Eyeliner Pencil, Glide on Smooth Gel Pigments with 36 Hour Wear, Waterproof, Deep Onyx, 1 Count</t>
        </is>
      </c>
      <c r="E3257" s="2">
        <f>HYPERLINK("https://www.amazon.com/Maybelline-New-York-Tattoostudio-Waterproof/dp/B07GX832KD/ref=sr_1_2?keywords=Long+Wear+Eyeliner+Pencil&amp;qid=1695565681&amp;sr=8-2", "https://www.amazon.com/Maybelline-New-York-Tattoostudio-Waterproof/dp/B07GX832KD/ref=sr_1_2?keywords=Long+Wear+Eyeliner+Pencil&amp;qid=1695565681&amp;sr=8-2")</f>
        <v/>
      </c>
      <c r="F3257" t="inlineStr">
        <is>
          <t>B07GX832KD</t>
        </is>
      </c>
      <c r="G3257">
        <f>_xlfn.IMAGE("https://camerareadycosmetics.com/cdn/shop/products/el025-2_pdp01_1080x1080_e9a4b184-de7b-41c5-b0d9-cd5c18e9b558_50x.jpg?v=1525104722")</f>
        <v/>
      </c>
      <c r="H3257">
        <f>_xlfn.IMAGE("https://m.media-amazon.com/images/I/61Kws0R-6gL._AC_UL320_.jpg")</f>
        <v/>
      </c>
      <c r="K3257" t="inlineStr">
        <is>
          <t>15.0</t>
        </is>
      </c>
      <c r="L3257" t="n">
        <v>6.3</v>
      </c>
      <c r="M3257" s="1" t="inlineStr">
        <is>
          <t>-58.00%</t>
        </is>
      </c>
      <c r="N3257" t="n">
        <v>4.3</v>
      </c>
      <c r="O3257" t="n">
        <v>28510</v>
      </c>
      <c r="Q3257" t="inlineStr">
        <is>
          <t>InStock</t>
        </is>
      </c>
      <c r="R3257" t="inlineStr">
        <is>
          <t>undefined</t>
        </is>
      </c>
      <c r="S3257" t="inlineStr">
        <is>
          <t>529194713098</t>
        </is>
      </c>
    </row>
    <row r="3258" ht="75" customHeight="1">
      <c r="A3258" s="2">
        <f>HYPERLINK("https://camerareadycosmetics.com/products/sigma-long-wear-eyeliner-pencil", "https://camerareadycosmetics.com/products/sigma-long-wear-eyeliner-pencil")</f>
        <v/>
      </c>
      <c r="B3258" s="2">
        <f>HYPERLINK("https://camerareadycosmetics.com/products/sigma-long-wear-eyeliner-pencil", "https://camerareadycosmetics.com/products/sigma-long-wear-eyeliner-pencil")</f>
        <v/>
      </c>
      <c r="C3258" t="inlineStr">
        <is>
          <t>Long Wear Eyeliner Pencil</t>
        </is>
      </c>
      <c r="D3258" t="inlineStr">
        <is>
          <t>Maybelline New York TattooStudio Long-Lasting Sharpenable Eyeliner Pencil, Glide on Smooth Gel Pigments with 36 Hour Wear, Waterproof, Deep Onyx, 1 Count</t>
        </is>
      </c>
      <c r="E3258" s="2">
        <f>HYPERLINK("https://www.amazon.com/Maybelline-New-York-Tattoostudio-Waterproof/dp/B07GX832KD/ref=sr_1_2?keywords=Long+Wear+Eyeliner+Pencil&amp;qid=1695565681&amp;sr=8-2", "https://www.amazon.com/Maybelline-New-York-Tattoostudio-Waterproof/dp/B07GX832KD/ref=sr_1_2?keywords=Long+Wear+Eyeliner+Pencil&amp;qid=1695565681&amp;sr=8-2")</f>
        <v/>
      </c>
      <c r="F3258" t="inlineStr">
        <is>
          <t>B07GX832KD</t>
        </is>
      </c>
      <c r="G3258">
        <f>_xlfn.IMAGE("https://camerareadycosmetics.com/cdn/shop/products/el025-2_pdp01_1080x1080_e9a4b184-de7b-41c5-b0d9-cd5c18e9b558_50x.jpg?v=1525104722")</f>
        <v/>
      </c>
      <c r="H3258">
        <f>_xlfn.IMAGE("https://m.media-amazon.com/images/I/61Kws0R-6gL._AC_UL320_.jpg")</f>
        <v/>
      </c>
      <c r="K3258" t="inlineStr">
        <is>
          <t>15.0</t>
        </is>
      </c>
      <c r="L3258" t="n">
        <v>6.3</v>
      </c>
      <c r="M3258" s="1" t="inlineStr">
        <is>
          <t>-58.00%</t>
        </is>
      </c>
      <c r="N3258" t="n">
        <v>4.3</v>
      </c>
      <c r="O3258" t="n">
        <v>28510</v>
      </c>
      <c r="Q3258" t="inlineStr">
        <is>
          <t>InStock</t>
        </is>
      </c>
      <c r="R3258" t="inlineStr">
        <is>
          <t>undefined</t>
        </is>
      </c>
      <c r="S3258" t="inlineStr">
        <is>
          <t>529194713098</t>
        </is>
      </c>
    </row>
    <row r="3259" ht="75" customHeight="1">
      <c r="A3259" s="2">
        <f>HYPERLINK("https://camerareadycosmetics.com/products/sigma-sculpt-highlight-contour-palette", "https://camerareadycosmetics.com/products/sigma-sculpt-highlight-contour-palette")</f>
        <v/>
      </c>
      <c r="B3259" s="2">
        <f>HYPERLINK("https://camerareadycosmetics.com/products/sigma-sculpt-highlight-contour-palette", "https://camerareadycosmetics.com/products/sigma-sculpt-highlight-contour-palette")</f>
        <v/>
      </c>
      <c r="C3259" t="inlineStr">
        <is>
          <t>Sculpt Highlight + Contour Palette</t>
        </is>
      </c>
      <c r="D3259" t="inlineStr">
        <is>
          <t>SIGMA Beauty Sculpt Highlight Plus Contour Palette Makeup Women 0.98 oz</t>
        </is>
      </c>
      <c r="E3259" s="2">
        <f>HYPERLINK("https://www.amazon.com/Sigma-Beauty-Palette-Highlight-Contour/dp/B07DD34R1G/ref=sr_1_2?keywords=Sculpt+Highlight+Contour+Palette&amp;qid=1695565793&amp;sr=8-2", "https://www.amazon.com/Sigma-Beauty-Palette-Highlight-Contour/dp/B07DD34R1G/ref=sr_1_2?keywords=Sculpt+Highlight+Contour+Palette&amp;qid=1695565793&amp;sr=8-2")</f>
        <v/>
      </c>
      <c r="F3259" t="inlineStr">
        <is>
          <t>B07DD34R1G</t>
        </is>
      </c>
      <c r="G3259">
        <f>_xlfn.IMAGE("https://camerareadycosmetics.com/cdn/shop/products/Sigma-Sculpt-Highlight-_-Contour-Palette_50x.jpg?v=1591917012")</f>
        <v/>
      </c>
      <c r="H3259">
        <f>_xlfn.IMAGE("https://m.media-amazon.com/images/I/61YEZ8yBE1L._AC_UL320_.jpg")</f>
        <v/>
      </c>
      <c r="K3259" t="inlineStr">
        <is>
          <t>49.0</t>
        </is>
      </c>
      <c r="L3259" t="n">
        <v>52</v>
      </c>
      <c r="M3259" s="1" t="inlineStr">
        <is>
          <t>6.12%</t>
        </is>
      </c>
      <c r="N3259" t="n">
        <v>4.4</v>
      </c>
      <c r="O3259" t="n">
        <v>51</v>
      </c>
      <c r="Q3259" t="inlineStr">
        <is>
          <t>InStock</t>
        </is>
      </c>
      <c r="R3259" t="inlineStr">
        <is>
          <t>undefined</t>
        </is>
      </c>
      <c r="S3259" t="inlineStr">
        <is>
          <t>4486134825071</t>
        </is>
      </c>
    </row>
    <row r="3260" ht="75" customHeight="1">
      <c r="A3260" s="2">
        <f>HYPERLINK("https://camerareadycosmetics.com/products/sigma-sculpt-highlight-contour-palette", "https://camerareadycosmetics.com/products/sigma-sculpt-highlight-contour-palette")</f>
        <v/>
      </c>
      <c r="B3260" s="2">
        <f>HYPERLINK("https://camerareadycosmetics.com/products/sigma-sculpt-highlight-contour-palette", "https://camerareadycosmetics.com/products/sigma-sculpt-highlight-contour-palette")</f>
        <v/>
      </c>
      <c r="C3260" t="inlineStr">
        <is>
          <t>Sculpt Highlight + Contour Palette</t>
        </is>
      </c>
      <c r="D3260" t="inlineStr">
        <is>
          <t>Makeup Revolution Ultra Cream Contour Palette, Makeup Palette Includes Highlighters &amp; Contour Shades, Adds Definition &amp; Sculpts Features, Vegan, 13g</t>
        </is>
      </c>
      <c r="E3260" s="2">
        <f>HYPERLINK("https://www.amazon.com/Makeup-Revolution-Ultra-Contour-Palette/dp/B01ARH5WBW/ref=sr_1_5?keywords=Sculpt+Highlight+Contour+Palette&amp;qid=1695565793&amp;sr=8-5", "https://www.amazon.com/Makeup-Revolution-Ultra-Contour-Palette/dp/B01ARH5WBW/ref=sr_1_5?keywords=Sculpt+Highlight+Contour+Palette&amp;qid=1695565793&amp;sr=8-5")</f>
        <v/>
      </c>
      <c r="F3260" t="inlineStr">
        <is>
          <t>B01ARH5WBW</t>
        </is>
      </c>
      <c r="G3260">
        <f>_xlfn.IMAGE("https://camerareadycosmetics.com/cdn/shop/products/Sigma-Sculpt-Highlight-_-Contour-Palette_50x.jpg?v=1591917012")</f>
        <v/>
      </c>
      <c r="H3260">
        <f>_xlfn.IMAGE("https://m.media-amazon.com/images/I/61OdFxW839L._AC_UL320_.jpg")</f>
        <v/>
      </c>
      <c r="K3260" t="inlineStr">
        <is>
          <t>49.0</t>
        </is>
      </c>
      <c r="L3260" t="n">
        <v>10</v>
      </c>
      <c r="M3260" s="1" t="inlineStr">
        <is>
          <t>-79.59%</t>
        </is>
      </c>
      <c r="N3260" t="n">
        <v>4.1</v>
      </c>
      <c r="O3260" t="n">
        <v>1550</v>
      </c>
      <c r="Q3260" t="inlineStr">
        <is>
          <t>InStock</t>
        </is>
      </c>
      <c r="R3260" t="inlineStr">
        <is>
          <t>undefined</t>
        </is>
      </c>
      <c r="S3260" t="inlineStr">
        <is>
          <t>4486134825071</t>
        </is>
      </c>
    </row>
    <row r="3261" ht="75" customHeight="1">
      <c r="A3261" s="2">
        <f>HYPERLINK("https://camerareadycosmetics.com/products/sigma-sculpt-highlight-contour-palette", "https://camerareadycosmetics.com/products/sigma-sculpt-highlight-contour-palette")</f>
        <v/>
      </c>
      <c r="B3261" s="2">
        <f>HYPERLINK("https://camerareadycosmetics.com/products/sigma-sculpt-highlight-contour-palette", "https://camerareadycosmetics.com/products/sigma-sculpt-highlight-contour-palette")</f>
        <v/>
      </c>
      <c r="C3261" t="inlineStr">
        <is>
          <t>Sculpt Highlight + Contour Palette</t>
        </is>
      </c>
      <c r="D3261" t="inlineStr">
        <is>
          <t>W7 Lift &amp; Sculpt Cream Contour Kit - Concealing, Highlighting &amp; Contouring Makeup Palette - Step-by-Step Instructions Included</t>
        </is>
      </c>
      <c r="E3261" s="2" t="n"/>
      <c r="F3261" t="inlineStr">
        <is>
          <t>B074G44PVR</t>
        </is>
      </c>
      <c r="G3261">
        <f>_xlfn.IMAGE("https://camerareadycosmetics.com/cdn/shop/products/Sigma-Sculpt-Highlight-_-Contour-Palette_50x.jpg?v=1591917012")</f>
        <v/>
      </c>
      <c r="H3261">
        <f>_xlfn.IMAGE("https://m.media-amazon.com/images/I/71A15XgwKEL._AC_UL320_.jpg")</f>
        <v/>
      </c>
      <c r="K3261" t="inlineStr">
        <is>
          <t>49.0</t>
        </is>
      </c>
      <c r="L3261" t="n">
        <v>6.95</v>
      </c>
      <c r="M3261" s="1" t="inlineStr">
        <is>
          <t>-85.82%</t>
        </is>
      </c>
      <c r="N3261" t="n">
        <v>4.1</v>
      </c>
      <c r="O3261" t="n">
        <v>4488</v>
      </c>
      <c r="Q3261" t="inlineStr">
        <is>
          <t>InStock</t>
        </is>
      </c>
      <c r="R3261" t="inlineStr">
        <is>
          <t>undefined</t>
        </is>
      </c>
      <c r="S3261" t="inlineStr">
        <is>
          <t>4486134825071</t>
        </is>
      </c>
    </row>
    <row r="3262" ht="75" customHeight="1">
      <c r="A3262" s="2">
        <f>HYPERLINK("https://camerareadycosmetics.com/products/sigma-sculpt-highlight-contour-palette", "https://camerareadycosmetics.com/products/sigma-sculpt-highlight-contour-palette")</f>
        <v/>
      </c>
      <c r="B3262" s="2">
        <f>HYPERLINK("https://camerareadycosmetics.com/products/sigma-sculpt-highlight-contour-palette", "https://camerareadycosmetics.com/products/sigma-sculpt-highlight-contour-palette")</f>
        <v/>
      </c>
      <c r="C3262" t="inlineStr">
        <is>
          <t>Sculpt Highlight + Contour Palette</t>
        </is>
      </c>
      <c r="D3262" t="inlineStr">
        <is>
          <t>W7 Lift &amp; Sculpt Cream Contour Kit - Concealing, Highlighting &amp; Contouring Makeup Palette - Step-by-Step Instructions Included</t>
        </is>
      </c>
      <c r="E3262" s="2">
        <f>HYPERLINK("https://www.amazon.com/W7-Sculpt-Cream-Contour-Step/dp/B074G44PVR/ref=sr_1_1?keywords=Sculpt+Highlight+Contour+Palette&amp;qid=1695565793&amp;sr=8-1", "https://www.amazon.com/W7-Sculpt-Cream-Contour-Step/dp/B074G44PVR/ref=sr_1_1?keywords=Sculpt+Highlight+Contour+Palette&amp;qid=1695565793&amp;sr=8-1")</f>
        <v/>
      </c>
      <c r="F3262" t="inlineStr">
        <is>
          <t>B074G44PVR</t>
        </is>
      </c>
      <c r="G3262">
        <f>_xlfn.IMAGE("https://camerareadycosmetics.com/cdn/shop/products/Sigma-Sculpt-Highlight-_-Contour-Palette_50x.jpg?v=1591917012")</f>
        <v/>
      </c>
      <c r="H3262">
        <f>_xlfn.IMAGE("https://m.media-amazon.com/images/I/71A15XgwKEL._AC_UL320_.jpg")</f>
        <v/>
      </c>
      <c r="K3262" t="inlineStr">
        <is>
          <t>49.0</t>
        </is>
      </c>
      <c r="L3262" t="n">
        <v>6.95</v>
      </c>
      <c r="M3262" s="1" t="inlineStr">
        <is>
          <t>-85.82%</t>
        </is>
      </c>
      <c r="N3262" t="n">
        <v>4.1</v>
      </c>
      <c r="O3262" t="n">
        <v>4488</v>
      </c>
      <c r="Q3262" t="inlineStr">
        <is>
          <t>InStock</t>
        </is>
      </c>
      <c r="R3262" t="inlineStr">
        <is>
          <t>undefined</t>
        </is>
      </c>
      <c r="S3262" t="inlineStr">
        <is>
          <t>4486134825071</t>
        </is>
      </c>
    </row>
    <row r="3263" ht="75" customHeight="1">
      <c r="A3263" s="2">
        <f>HYPERLINK("https://camerareadycosmetics.com/products/sigma-sculpt-highlight-contour-palette", "https://camerareadycosmetics.com/products/sigma-sculpt-highlight-contour-palette")</f>
        <v/>
      </c>
      <c r="B3263" s="2">
        <f>HYPERLINK("https://camerareadycosmetics.com/products/sigma-sculpt-highlight-contour-palette", "https://camerareadycosmetics.com/products/sigma-sculpt-highlight-contour-palette")</f>
        <v/>
      </c>
      <c r="C3263" t="inlineStr">
        <is>
          <t>Sculpt Highlight + Contour Palette</t>
        </is>
      </c>
      <c r="D3263" t="inlineStr">
        <is>
          <t>Makeup Revolution Ultra Cream Contour Palette, Makeup Palette Includes Highlighters &amp; Contour Shades, Adds Definition &amp; Sculpts Features, Vegan, 13g</t>
        </is>
      </c>
      <c r="E3263" s="2">
        <f>HYPERLINK("https://www.amazon.com/Makeup-Revolution-Ultra-Contour-Palette/dp/B01ARH5WBW/ref=sr_1_5?keywords=Sculpt+Highlight+Contour+Palette&amp;qid=1695565793&amp;sr=8-5", "https://www.amazon.com/Makeup-Revolution-Ultra-Contour-Palette/dp/B01ARH5WBW/ref=sr_1_5?keywords=Sculpt+Highlight+Contour+Palette&amp;qid=1695565793&amp;sr=8-5")</f>
        <v/>
      </c>
      <c r="F3263" t="inlineStr">
        <is>
          <t>B01ARH5WBW</t>
        </is>
      </c>
      <c r="G3263">
        <f>_xlfn.IMAGE("https://camerareadycosmetics.com/cdn/shop/products/Sigma-Sculpt-Highlight-_-Contour-Palette_50x.jpg?v=1591917012")</f>
        <v/>
      </c>
      <c r="H3263">
        <f>_xlfn.IMAGE("https://m.media-amazon.com/images/I/61OdFxW839L._AC_UL320_.jpg")</f>
        <v/>
      </c>
      <c r="K3263" t="inlineStr">
        <is>
          <t>49.0</t>
        </is>
      </c>
      <c r="L3263" t="n">
        <v>10</v>
      </c>
      <c r="M3263" s="1" t="inlineStr">
        <is>
          <t>-79.59%</t>
        </is>
      </c>
      <c r="N3263" t="n">
        <v>4.1</v>
      </c>
      <c r="O3263" t="n">
        <v>1550</v>
      </c>
      <c r="Q3263" t="inlineStr">
        <is>
          <t>InStock</t>
        </is>
      </c>
      <c r="R3263" t="inlineStr">
        <is>
          <t>undefined</t>
        </is>
      </c>
      <c r="S3263" t="inlineStr">
        <is>
          <t>4486134825071</t>
        </is>
      </c>
    </row>
    <row r="3264" ht="75" customHeight="1">
      <c r="A3264" s="2">
        <f>HYPERLINK("https://camerareadycosmetics.com/products/sigma-sculpt-highlight-contour-palette", "https://camerareadycosmetics.com/products/sigma-sculpt-highlight-contour-palette")</f>
        <v/>
      </c>
      <c r="B3264" s="2">
        <f>HYPERLINK("https://camerareadycosmetics.com/products/sigma-sculpt-highlight-contour-palette", "https://camerareadycosmetics.com/products/sigma-sculpt-highlight-contour-palette")</f>
        <v/>
      </c>
      <c r="C3264" t="inlineStr">
        <is>
          <t>Sculpt Highlight + Contour Palette</t>
        </is>
      </c>
      <c r="D3264" t="inlineStr">
        <is>
          <t>W7 Lift &amp; Sculpt Cream Contour Kit - Concealing, Highlighting &amp; Contouring Makeup Palette - Step-by-Step Instructions Included</t>
        </is>
      </c>
      <c r="E3264" s="2" t="n"/>
      <c r="F3264" t="inlineStr">
        <is>
          <t>B074G44PVR</t>
        </is>
      </c>
      <c r="G3264">
        <f>_xlfn.IMAGE("https://camerareadycosmetics.com/cdn/shop/products/Sigma-Sculpt-Highlight-_-Contour-Palette_50x.jpg?v=1591917012")</f>
        <v/>
      </c>
      <c r="H3264">
        <f>_xlfn.IMAGE("https://m.media-amazon.com/images/I/71A15XgwKEL._AC_UL320_.jpg")</f>
        <v/>
      </c>
      <c r="K3264" t="inlineStr">
        <is>
          <t>49.0</t>
        </is>
      </c>
      <c r="L3264" t="n">
        <v>6.95</v>
      </c>
      <c r="M3264" s="1" t="inlineStr">
        <is>
          <t>-85.82%</t>
        </is>
      </c>
      <c r="N3264" t="n">
        <v>4.1</v>
      </c>
      <c r="O3264" t="n">
        <v>4488</v>
      </c>
      <c r="Q3264" t="inlineStr">
        <is>
          <t>InStock</t>
        </is>
      </c>
      <c r="R3264" t="inlineStr">
        <is>
          <t>undefined</t>
        </is>
      </c>
      <c r="S3264" t="inlineStr">
        <is>
          <t>4486134825071</t>
        </is>
      </c>
    </row>
    <row r="3265" ht="75" customHeight="1">
      <c r="A3265" s="2">
        <f>HYPERLINK("https://camerareadycosmetics.com/products/sigma-sculpt-highlight-contour-palette", "https://camerareadycosmetics.com/products/sigma-sculpt-highlight-contour-palette")</f>
        <v/>
      </c>
      <c r="B3265" s="2">
        <f>HYPERLINK("https://camerareadycosmetics.com/products/sigma-sculpt-highlight-contour-palette", "https://camerareadycosmetics.com/products/sigma-sculpt-highlight-contour-palette")</f>
        <v/>
      </c>
      <c r="C3265" t="inlineStr">
        <is>
          <t>Sculpt Highlight + Contour Palette</t>
        </is>
      </c>
      <c r="D3265" t="inlineStr">
        <is>
          <t>W7 Lift &amp; Sculpt Cream Contour Kit - Concealing, Highlighting &amp; Contouring Makeup Palette - Step-by-Step Instructions Included</t>
        </is>
      </c>
      <c r="E3265" s="2">
        <f>HYPERLINK("https://www.amazon.com/W7-Sculpt-Cream-Contour-Step/dp/B074G44PVR/ref=sr_1_1?keywords=Sculpt+Highlight+Contour+Palette&amp;qid=1695565793&amp;sr=8-1", "https://www.amazon.com/W7-Sculpt-Cream-Contour-Step/dp/B074G44PVR/ref=sr_1_1?keywords=Sculpt+Highlight+Contour+Palette&amp;qid=1695565793&amp;sr=8-1")</f>
        <v/>
      </c>
      <c r="F3265" t="inlineStr">
        <is>
          <t>B074G44PVR</t>
        </is>
      </c>
      <c r="G3265">
        <f>_xlfn.IMAGE("https://camerareadycosmetics.com/cdn/shop/products/Sigma-Sculpt-Highlight-_-Contour-Palette_50x.jpg?v=1591917012")</f>
        <v/>
      </c>
      <c r="H3265">
        <f>_xlfn.IMAGE("https://m.media-amazon.com/images/I/71A15XgwKEL._AC_UL320_.jpg")</f>
        <v/>
      </c>
      <c r="K3265" t="inlineStr">
        <is>
          <t>49.0</t>
        </is>
      </c>
      <c r="L3265" t="n">
        <v>6.95</v>
      </c>
      <c r="M3265" s="1" t="inlineStr">
        <is>
          <t>-85.82%</t>
        </is>
      </c>
      <c r="N3265" t="n">
        <v>4.1</v>
      </c>
      <c r="O3265" t="n">
        <v>4488</v>
      </c>
      <c r="Q3265" t="inlineStr">
        <is>
          <t>InStock</t>
        </is>
      </c>
      <c r="R3265" t="inlineStr">
        <is>
          <t>undefined</t>
        </is>
      </c>
      <c r="S3265" t="inlineStr">
        <is>
          <t>4486134825071</t>
        </is>
      </c>
    </row>
    <row r="3266" ht="75" customHeight="1">
      <c r="A3266" s="2">
        <f>HYPERLINK("https://camerareadycosmetics.com/products/skindinavia-bridal-makeup-finish-spray", "https://camerareadycosmetics.com/products/skindinavia-bridal-makeup-finish-spray")</f>
        <v/>
      </c>
      <c r="B3266" s="2">
        <f>HYPERLINK("https://camerareadycosmetics.com/products/skindinavia-bridal-makeup-finish-spray", "https://camerareadycosmetics.com/products/skindinavia-bridal-makeup-finish-spray")</f>
        <v/>
      </c>
      <c r="C3266" t="inlineStr">
        <is>
          <t>Bridal Makeup Finish Spray</t>
        </is>
      </c>
      <c r="D3266" t="inlineStr">
        <is>
          <t>Skindinavia The Makeup Finishing Spray Bridal, Long-Lasting Up to 16+ Hours, Heat-Resistant &amp; Waterproof, Wedding Day Essentials (4 Oz)</t>
        </is>
      </c>
      <c r="E3266" s="2">
        <f>HYPERLINK("https://www.amazon.com/Skindinavia-Long-Lasting-Heat-Resistant-Waterproof-Essentials/dp/B00JVTPJJS/ref=sr_1_1?keywords=Bridal+Makeup+Finish+Spray&amp;qid=1695565417&amp;sr=8-1", "https://www.amazon.com/Skindinavia-Long-Lasting-Heat-Resistant-Waterproof-Essentials/dp/B00JVTPJJS/ref=sr_1_1?keywords=Bridal+Makeup+Finish+Spray&amp;qid=1695565417&amp;sr=8-1")</f>
        <v/>
      </c>
      <c r="F3266" t="inlineStr">
        <is>
          <t>B00JVTPJJS</t>
        </is>
      </c>
      <c r="G3266">
        <f>_xlfn.IMAGE("https://camerareadycosmetics.com/cdn/shop/products/9895_zoom_1418330017_50x.jpg?v=1689637513")</f>
        <v/>
      </c>
      <c r="H3266">
        <f>_xlfn.IMAGE("https://m.media-amazon.com/images/I/61ghpVgAE6L._AC_UL320_.jpg")</f>
        <v/>
      </c>
      <c r="K3266" t="inlineStr">
        <is>
          <t>29.0</t>
        </is>
      </c>
      <c r="L3266" t="n">
        <v>29</v>
      </c>
      <c r="M3266" s="1" t="inlineStr">
        <is>
          <t>0.00%</t>
        </is>
      </c>
      <c r="N3266" t="n">
        <v>4.5</v>
      </c>
      <c r="O3266" t="n">
        <v>4111</v>
      </c>
      <c r="Q3266" t="inlineStr">
        <is>
          <t>InStock</t>
        </is>
      </c>
      <c r="R3266" t="inlineStr">
        <is>
          <t>undefined</t>
        </is>
      </c>
      <c r="S3266" t="inlineStr">
        <is>
          <t>7038254983</t>
        </is>
      </c>
    </row>
    <row r="3267" ht="75" customHeight="1">
      <c r="A3267" s="2">
        <f>HYPERLINK("https://camerareadycosmetics.com/products/skindinavia-bridal-makeup-finish-spray", "https://camerareadycosmetics.com/products/skindinavia-bridal-makeup-finish-spray")</f>
        <v/>
      </c>
      <c r="B3267" s="2">
        <f>HYPERLINK("https://camerareadycosmetics.com/products/skindinavia-bridal-makeup-finish-spray", "https://camerareadycosmetics.com/products/skindinavia-bridal-makeup-finish-spray")</f>
        <v/>
      </c>
      <c r="C3267" t="inlineStr">
        <is>
          <t>Bridal Makeup Finish Spray</t>
        </is>
      </c>
      <c r="D3267" t="inlineStr">
        <is>
          <t>NYX PROFESSIONAL MAKEUP Makeup Setting Spray, Matte Finish - Maxi</t>
        </is>
      </c>
      <c r="E3267" s="2">
        <f>HYPERLINK("https://www.amazon.com/NYX-PROFESSIONAL-MAKEUP-Makeup-Setting/dp/B086LLNM3R/ref=sr_1_2?keywords=Bridal+Makeup+Finish+Spray&amp;qid=1695565417&amp;sr=8-2", "https://www.amazon.com/NYX-PROFESSIONAL-MAKEUP-Makeup-Setting/dp/B086LLNM3R/ref=sr_1_2?keywords=Bridal+Makeup+Finish+Spray&amp;qid=1695565417&amp;sr=8-2")</f>
        <v/>
      </c>
      <c r="F3267" t="inlineStr">
        <is>
          <t>B086LLNM3R</t>
        </is>
      </c>
      <c r="G3267">
        <f>_xlfn.IMAGE("https://camerareadycosmetics.com/cdn/shop/products/9895_zoom_1418330017_50x.jpg?v=1689637513")</f>
        <v/>
      </c>
      <c r="H3267">
        <f>_xlfn.IMAGE("https://m.media-amazon.com/images/I/51PpD6FqI2L._AC_UL320_.jpg")</f>
        <v/>
      </c>
      <c r="K3267" t="inlineStr">
        <is>
          <t>29.0</t>
        </is>
      </c>
      <c r="L3267" t="n">
        <v>22</v>
      </c>
      <c r="M3267" s="1" t="inlineStr">
        <is>
          <t>-24.14%</t>
        </is>
      </c>
      <c r="N3267" t="n">
        <v>4.5</v>
      </c>
      <c r="O3267" t="n">
        <v>101187</v>
      </c>
      <c r="Q3267" t="inlineStr">
        <is>
          <t>InStock</t>
        </is>
      </c>
      <c r="R3267" t="inlineStr">
        <is>
          <t>undefined</t>
        </is>
      </c>
      <c r="S3267" t="inlineStr">
        <is>
          <t>7038254983</t>
        </is>
      </c>
    </row>
    <row r="3268" ht="75" customHeight="1">
      <c r="A3268" s="2">
        <f>HYPERLINK("https://camerareadycosmetics.com/products/skindinavia-bridal-makeup-finish-spray", "https://camerareadycosmetics.com/products/skindinavia-bridal-makeup-finish-spray")</f>
        <v/>
      </c>
      <c r="B3268" s="2">
        <f>HYPERLINK("https://camerareadycosmetics.com/products/skindinavia-bridal-makeup-finish-spray", "https://camerareadycosmetics.com/products/skindinavia-bridal-makeup-finish-spray")</f>
        <v/>
      </c>
      <c r="C3268" t="inlineStr">
        <is>
          <t>Bridal Makeup Finish Spray</t>
        </is>
      </c>
      <c r="D3268" t="inlineStr">
        <is>
          <t>UCANBE Long Lasting Makeup Setting Spray Kit- 6.76 Fl oz Hydrating Matte Finish Mist Lightweight Face Make up Fixer +Travel Size Spray Bottle+Sponge Puff Makeup Set</t>
        </is>
      </c>
      <c r="E3268" s="2">
        <f>HYPERLINK("https://www.amazon.com/UCANBE-Lasting-Setting-Hydrating-Lightweight/dp/B09QPN81ZF/ref=sr_1_10?keywords=Bridal+Makeup+Finish+Spray&amp;qid=1695565417&amp;sr=8-10", "https://www.amazon.com/UCANBE-Lasting-Setting-Hydrating-Lightweight/dp/B09QPN81ZF/ref=sr_1_10?keywords=Bridal+Makeup+Finish+Spray&amp;qid=1695565417&amp;sr=8-10")</f>
        <v/>
      </c>
      <c r="F3268" t="inlineStr">
        <is>
          <t>B09QPN81ZF</t>
        </is>
      </c>
      <c r="G3268">
        <f>_xlfn.IMAGE("https://camerareadycosmetics.com/cdn/shop/products/9895_zoom_1418330017_50x.jpg?v=1689637513")</f>
        <v/>
      </c>
      <c r="H3268">
        <f>_xlfn.IMAGE("https://m.media-amazon.com/images/I/61M28u8o0LL._AC_UL320_.jpg")</f>
        <v/>
      </c>
      <c r="K3268" t="inlineStr">
        <is>
          <t>29.0</t>
        </is>
      </c>
      <c r="L3268" t="n">
        <v>15.99</v>
      </c>
      <c r="M3268" s="1" t="inlineStr">
        <is>
          <t>-44.86%</t>
        </is>
      </c>
      <c r="N3268" t="n">
        <v>4.4</v>
      </c>
      <c r="O3268" t="n">
        <v>574</v>
      </c>
      <c r="Q3268" t="inlineStr">
        <is>
          <t>InStock</t>
        </is>
      </c>
      <c r="R3268" t="inlineStr">
        <is>
          <t>undefined</t>
        </is>
      </c>
      <c r="S3268" t="inlineStr">
        <is>
          <t>7038254983</t>
        </is>
      </c>
    </row>
    <row r="3269" ht="75" customHeight="1">
      <c r="A3269" s="2">
        <f>HYPERLINK("https://camerareadycosmetics.com/products/skindinavia-bridal-makeup-finish-spray", "https://camerareadycosmetics.com/products/skindinavia-bridal-makeup-finish-spray")</f>
        <v/>
      </c>
      <c r="B3269" s="2">
        <f>HYPERLINK("https://camerareadycosmetics.com/products/skindinavia-bridal-makeup-finish-spray", "https://camerareadycosmetics.com/products/skindinavia-bridal-makeup-finish-spray")</f>
        <v/>
      </c>
      <c r="C3269" t="inlineStr">
        <is>
          <t>Bridal Makeup Finish Spray</t>
        </is>
      </c>
      <c r="D3269" t="inlineStr">
        <is>
          <t>UCANBE Makeup Setting Spray - Matte Finishing Spray Long Lasting Face Mist, Oil Control Lightweight Hydrate Make Up Spray, 6.7 Fl Oz Large Size</t>
        </is>
      </c>
      <c r="E3269" s="2">
        <f>HYPERLINK("https://www.amazon.com/UCANBE-Makeup-Setting-Spray-Lightweight/dp/B09QGJRZKF/ref=sr_1_7?keywords=Bridal+Makeup+Finish+Spray&amp;qid=1695565417&amp;sr=8-7", "https://www.amazon.com/UCANBE-Makeup-Setting-Spray-Lightweight/dp/B09QGJRZKF/ref=sr_1_7?keywords=Bridal+Makeup+Finish+Spray&amp;qid=1695565417&amp;sr=8-7")</f>
        <v/>
      </c>
      <c r="F3269" t="inlineStr">
        <is>
          <t>B09QGJRZKF</t>
        </is>
      </c>
      <c r="G3269">
        <f>_xlfn.IMAGE("https://camerareadycosmetics.com/cdn/shop/products/9895_zoom_1418330017_50x.jpg?v=1689637513")</f>
        <v/>
      </c>
      <c r="H3269">
        <f>_xlfn.IMAGE("https://m.media-amazon.com/images/I/614FGpCr-sL._AC_UL320_.jpg")</f>
        <v/>
      </c>
      <c r="K3269" t="inlineStr">
        <is>
          <t>29.0</t>
        </is>
      </c>
      <c r="L3269" t="n">
        <v>14.99</v>
      </c>
      <c r="M3269" s="1" t="inlineStr">
        <is>
          <t>-48.31%</t>
        </is>
      </c>
      <c r="N3269" t="n">
        <v>4.3</v>
      </c>
      <c r="O3269" t="n">
        <v>1632</v>
      </c>
      <c r="Q3269" t="inlineStr">
        <is>
          <t>InStock</t>
        </is>
      </c>
      <c r="R3269" t="inlineStr">
        <is>
          <t>undefined</t>
        </is>
      </c>
      <c r="S3269" t="inlineStr">
        <is>
          <t>7038254983</t>
        </is>
      </c>
    </row>
    <row r="3270" ht="75" customHeight="1">
      <c r="A3270" s="2">
        <f>HYPERLINK("https://camerareadycosmetics.com/products/skindinavia-bridal-makeup-finish-spray", "https://camerareadycosmetics.com/products/skindinavia-bridal-makeup-finish-spray")</f>
        <v/>
      </c>
      <c r="B3270" s="2">
        <f>HYPERLINK("https://camerareadycosmetics.com/products/skindinavia-bridal-makeup-finish-spray", "https://camerareadycosmetics.com/products/skindinavia-bridal-makeup-finish-spray")</f>
        <v/>
      </c>
      <c r="C3270" t="inlineStr">
        <is>
          <t>Bridal Makeup Finish Spray</t>
        </is>
      </c>
      <c r="D3270" t="inlineStr">
        <is>
          <t>AirBrush Foundation Spray, Silky Mist Foundation Spray Makeup Set with Brush, Full Coverage Foundation for Smooth Radiant Finish, Formula Breathable Lightweight Hydrating | #02 Nude</t>
        </is>
      </c>
      <c r="E3270" s="2">
        <f>HYPERLINK("https://www.amazon.com/LOKFAR-Foundation-Breathable-Lightweight-Hydrating/dp/B0C9GNW7TZ/ref=sr_1_8?keywords=Bridal+Makeup+Finish+Spray&amp;qid=1695565417&amp;sr=8-8", "https://www.amazon.com/LOKFAR-Foundation-Breathable-Lightweight-Hydrating/dp/B0C9GNW7TZ/ref=sr_1_8?keywords=Bridal+Makeup+Finish+Spray&amp;qid=1695565417&amp;sr=8-8")</f>
        <v/>
      </c>
      <c r="F3270" t="inlineStr">
        <is>
          <t>B0C9GNW7TZ</t>
        </is>
      </c>
      <c r="G3270">
        <f>_xlfn.IMAGE("https://camerareadycosmetics.com/cdn/shop/products/9895_zoom_1418330017_50x.jpg?v=1689637513")</f>
        <v/>
      </c>
      <c r="H3270">
        <f>_xlfn.IMAGE("https://m.media-amazon.com/images/I/61HzhlPx6SL._AC_UL320_.jpg")</f>
        <v/>
      </c>
      <c r="K3270" t="inlineStr">
        <is>
          <t>29.0</t>
        </is>
      </c>
      <c r="L3270" t="n">
        <v>13.99</v>
      </c>
      <c r="M3270" s="1" t="inlineStr">
        <is>
          <t>-51.76%</t>
        </is>
      </c>
      <c r="N3270" t="n">
        <v>3.9</v>
      </c>
      <c r="O3270" t="n">
        <v>234</v>
      </c>
      <c r="Q3270" t="inlineStr">
        <is>
          <t>InStock</t>
        </is>
      </c>
      <c r="R3270" t="inlineStr">
        <is>
          <t>undefined</t>
        </is>
      </c>
      <c r="S3270" t="inlineStr">
        <is>
          <t>7038254983</t>
        </is>
      </c>
    </row>
    <row r="3271" ht="75" customHeight="1">
      <c r="A3271" s="2">
        <f>HYPERLINK("https://camerareadycosmetics.com/products/skindinavia-bridal-makeup-finish-spray", "https://camerareadycosmetics.com/products/skindinavia-bridal-makeup-finish-spray")</f>
        <v/>
      </c>
      <c r="B3271" s="2">
        <f>HYPERLINK("https://camerareadycosmetics.com/products/skindinavia-bridal-makeup-finish-spray", "https://camerareadycosmetics.com/products/skindinavia-bridal-makeup-finish-spray")</f>
        <v/>
      </c>
      <c r="C3271" t="inlineStr">
        <is>
          <t>Bridal Makeup Finish Spray</t>
        </is>
      </c>
      <c r="D3271" t="inlineStr">
        <is>
          <t>Urban Decay All Nighter Long-Lasting Makeup Setting Spray - Award-Winning Makeup Finishing Spray - Lasts Up To 16 Hours - Oil-Free, Natural Finish - Non-Drying Formula for All Skin Type</t>
        </is>
      </c>
      <c r="E3271" s="2">
        <f>HYPERLINK("https://www.amazon.com/Nighter-Long-Lasting-Makeup-Setting-Spray/dp/B07Z8CYZQH/ref=sr_1_9?keywords=Bridal+Makeup+Finish+Spray&amp;qid=1695565417&amp;sr=8-9", "https://www.amazon.com/Nighter-Long-Lasting-Makeup-Setting-Spray/dp/B07Z8CYZQH/ref=sr_1_9?keywords=Bridal+Makeup+Finish+Spray&amp;qid=1695565417&amp;sr=8-9")</f>
        <v/>
      </c>
      <c r="F3271" t="inlineStr">
        <is>
          <t>B07Z8CYZQH</t>
        </is>
      </c>
      <c r="G3271">
        <f>_xlfn.IMAGE("https://camerareadycosmetics.com/cdn/shop/products/9895_zoom_1418330017_50x.jpg?v=1689637513")</f>
        <v/>
      </c>
      <c r="H3271">
        <f>_xlfn.IMAGE("https://m.media-amazon.com/images/I/51TIhhtT+aL._AC_UL320_.jpg")</f>
        <v/>
      </c>
      <c r="K3271" t="inlineStr">
        <is>
          <t>29.0</t>
        </is>
      </c>
      <c r="L3271" t="n">
        <v>13.6</v>
      </c>
      <c r="M3271" s="1" t="inlineStr">
        <is>
          <t>-53.10%</t>
        </is>
      </c>
      <c r="N3271" t="n">
        <v>4.7</v>
      </c>
      <c r="O3271" t="n">
        <v>11811</v>
      </c>
      <c r="Q3271" t="inlineStr">
        <is>
          <t>InStock</t>
        </is>
      </c>
      <c r="R3271" t="inlineStr">
        <is>
          <t>undefined</t>
        </is>
      </c>
      <c r="S3271" t="inlineStr">
        <is>
          <t>7038254983</t>
        </is>
      </c>
    </row>
    <row r="3272" ht="75" customHeight="1">
      <c r="A3272" s="2">
        <f>HYPERLINK("https://camerareadycosmetics.com/products/skindinavia-bridal-makeup-finish-spray", "https://camerareadycosmetics.com/products/skindinavia-bridal-makeup-finish-spray")</f>
        <v/>
      </c>
      <c r="B3272" s="2">
        <f>HYPERLINK("https://camerareadycosmetics.com/products/skindinavia-bridal-makeup-finish-spray", "https://camerareadycosmetics.com/products/skindinavia-bridal-makeup-finish-spray")</f>
        <v/>
      </c>
      <c r="C3272" t="inlineStr">
        <is>
          <t>Bridal Makeup Finish Spray</t>
        </is>
      </c>
      <c r="D3272" t="inlineStr">
        <is>
          <t>Maybelline New York Facestudio Lasting Fix Makeup Setting Spray, Matte Finish, 3.4 fl. oz.</t>
        </is>
      </c>
      <c r="E3272" s="2">
        <f>HYPERLINK("https://www.amazon.com/Maybelline-New-York-Facestudio-Lasting/dp/B07PGQDBWG/ref=sr_1_4?keywords=Bridal+Makeup+Finish+Spray&amp;qid=1695565417&amp;sr=8-4", "https://www.amazon.com/Maybelline-New-York-Facestudio-Lasting/dp/B07PGQDBWG/ref=sr_1_4?keywords=Bridal+Makeup+Finish+Spray&amp;qid=1695565417&amp;sr=8-4")</f>
        <v/>
      </c>
      <c r="F3272" t="inlineStr">
        <is>
          <t>B07PGQDBWG</t>
        </is>
      </c>
      <c r="G3272">
        <f>_xlfn.IMAGE("https://camerareadycosmetics.com/cdn/shop/products/9895_zoom_1418330017_50x.jpg?v=1689637513")</f>
        <v/>
      </c>
      <c r="H3272">
        <f>_xlfn.IMAGE("https://m.media-amazon.com/images/I/71ZrDrXdybL._AC_UL320_.jpg")</f>
        <v/>
      </c>
      <c r="K3272" t="inlineStr">
        <is>
          <t>29.0</t>
        </is>
      </c>
      <c r="L3272" t="n">
        <v>7.94</v>
      </c>
      <c r="M3272" s="1" t="inlineStr">
        <is>
          <t>-72.62%</t>
        </is>
      </c>
      <c r="N3272" t="n">
        <v>4.4</v>
      </c>
      <c r="O3272" t="n">
        <v>10604</v>
      </c>
      <c r="Q3272" t="inlineStr">
        <is>
          <t>InStock</t>
        </is>
      </c>
      <c r="R3272" t="inlineStr">
        <is>
          <t>undefined</t>
        </is>
      </c>
      <c r="S3272" t="inlineStr">
        <is>
          <t>7038254983</t>
        </is>
      </c>
    </row>
    <row r="3273" ht="75" customHeight="1">
      <c r="A3273" s="2">
        <f>HYPERLINK("https://camerareadycosmetics.com/products/skindinavia-bridal-makeup-finish-spray", "https://camerareadycosmetics.com/products/skindinavia-bridal-makeup-finish-spray")</f>
        <v/>
      </c>
      <c r="B3273" s="2">
        <f>HYPERLINK("https://camerareadycosmetics.com/products/skindinavia-bridal-makeup-finish-spray", "https://camerareadycosmetics.com/products/skindinavia-bridal-makeup-finish-spray")</f>
        <v/>
      </c>
      <c r="C3273" t="inlineStr">
        <is>
          <t>Bridal Makeup Finish Spray</t>
        </is>
      </c>
      <c r="D3273" t="inlineStr">
        <is>
          <t>Ruby Kisses Setting Spray - Ultra-fine mist, Sets makeup, Long-Lasting Formula for a Flawless Finish (Matte)</t>
        </is>
      </c>
      <c r="E3273" s="2">
        <f>HYPERLINK("https://www.amazon.com/Ruby-Kisses-Setting-Spray-Long-Lasting/dp/B0C1562M3T/ref=sr_1_5?keywords=Bridal+Makeup+Finish+Spray&amp;qid=1695565417&amp;sr=8-5", "https://www.amazon.com/Ruby-Kisses-Setting-Spray-Long-Lasting/dp/B0C1562M3T/ref=sr_1_5?keywords=Bridal+Makeup+Finish+Spray&amp;qid=1695565417&amp;sr=8-5")</f>
        <v/>
      </c>
      <c r="F3273" t="inlineStr">
        <is>
          <t>B0C1562M3T</t>
        </is>
      </c>
      <c r="G3273">
        <f>_xlfn.IMAGE("https://camerareadycosmetics.com/cdn/shop/products/9895_zoom_1418330017_50x.jpg?v=1689637513")</f>
        <v/>
      </c>
      <c r="H3273">
        <f>_xlfn.IMAGE("https://m.media-amazon.com/images/I/610o6EOKseL._AC_UL320_.jpg")</f>
        <v/>
      </c>
      <c r="K3273" t="inlineStr">
        <is>
          <t>29.0</t>
        </is>
      </c>
      <c r="L3273" t="n">
        <v>6.99</v>
      </c>
      <c r="M3273" s="1" t="inlineStr">
        <is>
          <t>-75.90%</t>
        </is>
      </c>
      <c r="N3273" t="n">
        <v>4.3</v>
      </c>
      <c r="O3273" t="n">
        <v>36</v>
      </c>
      <c r="Q3273" t="inlineStr">
        <is>
          <t>InStock</t>
        </is>
      </c>
      <c r="R3273" t="inlineStr">
        <is>
          <t>undefined</t>
        </is>
      </c>
      <c r="S3273" t="inlineStr">
        <is>
          <t>7038254983</t>
        </is>
      </c>
    </row>
    <row r="3274" ht="75" customHeight="1">
      <c r="A3274" s="2">
        <f>HYPERLINK("https://camerareadycosmetics.com/products/skindinavia-bridal-makeup-finish-spray", "https://camerareadycosmetics.com/products/skindinavia-bridal-makeup-finish-spray")</f>
        <v/>
      </c>
      <c r="B3274" s="2">
        <f>HYPERLINK("https://camerareadycosmetics.com/products/skindinavia-bridal-makeup-finish-spray", "https://camerareadycosmetics.com/products/skindinavia-bridal-makeup-finish-spray")</f>
        <v/>
      </c>
      <c r="C3274" t="inlineStr">
        <is>
          <t>Bridal Makeup Finish Spray</t>
        </is>
      </c>
      <c r="D3274" t="inlineStr">
        <is>
          <t>UCANBE Makeup Setting Spray - Matte Finishing Spray Long Lasting Face Mist, Oil Control Lightweight Hydrate Make Up Spray, 6.7 Fl Oz Large Size</t>
        </is>
      </c>
      <c r="E3274" s="2">
        <f>HYPERLINK("https://www.amazon.com/UCANBE-Makeup-Setting-Spray-Lightweight/dp/B09QGJRZKF/ref=sr_1_7?keywords=Bridal+Makeup+Finish+Spray&amp;qid=1695565417&amp;sr=8-7", "https://www.amazon.com/UCANBE-Makeup-Setting-Spray-Lightweight/dp/B09QGJRZKF/ref=sr_1_7?keywords=Bridal+Makeup+Finish+Spray&amp;qid=1695565417&amp;sr=8-7")</f>
        <v/>
      </c>
      <c r="F3274" t="inlineStr">
        <is>
          <t>B09QGJRZKF</t>
        </is>
      </c>
      <c r="G3274">
        <f>_xlfn.IMAGE("https://camerareadycosmetics.com/cdn/shop/products/9895_zoom_1418330017_50x.jpg?v=1689637513")</f>
        <v/>
      </c>
      <c r="H3274">
        <f>_xlfn.IMAGE("https://m.media-amazon.com/images/I/614FGpCr-sL._AC_UL320_.jpg")</f>
        <v/>
      </c>
      <c r="K3274" t="inlineStr">
        <is>
          <t>29.0</t>
        </is>
      </c>
      <c r="L3274" t="n">
        <v>14.99</v>
      </c>
      <c r="M3274" s="1" t="inlineStr">
        <is>
          <t>-48.31%</t>
        </is>
      </c>
      <c r="N3274" t="n">
        <v>4.3</v>
      </c>
      <c r="O3274" t="n">
        <v>1632</v>
      </c>
      <c r="Q3274" t="inlineStr">
        <is>
          <t>InStock</t>
        </is>
      </c>
      <c r="R3274" t="inlineStr">
        <is>
          <t>undefined</t>
        </is>
      </c>
      <c r="S3274" t="inlineStr">
        <is>
          <t>7038254983</t>
        </is>
      </c>
    </row>
    <row r="3275" ht="75" customHeight="1">
      <c r="A3275" s="2">
        <f>HYPERLINK("https://camerareadycosmetics.com/products/skindinavia-bridal-makeup-finish-spray", "https://camerareadycosmetics.com/products/skindinavia-bridal-makeup-finish-spray")</f>
        <v/>
      </c>
      <c r="B3275" s="2">
        <f>HYPERLINK("https://camerareadycosmetics.com/products/skindinavia-bridal-makeup-finish-spray", "https://camerareadycosmetics.com/products/skindinavia-bridal-makeup-finish-spray")</f>
        <v/>
      </c>
      <c r="C3275" t="inlineStr">
        <is>
          <t>Bridal Makeup Finish Spray</t>
        </is>
      </c>
      <c r="D3275" t="inlineStr">
        <is>
          <t>AirBrush Foundation Spray, Silky Mist Foundation Spray Makeup Set with Brush, Full Coverage Foundation for Smooth Radiant Finish, Formula Breathable Lightweight Hydrating | #02 Nude</t>
        </is>
      </c>
      <c r="E3275" s="2">
        <f>HYPERLINK("https://www.amazon.com/LOKFAR-Foundation-Breathable-Lightweight-Hydrating/dp/B0C9GNW7TZ/ref=sr_1_8?keywords=Bridal+Makeup+Finish+Spray&amp;qid=1695565417&amp;sr=8-8", "https://www.amazon.com/LOKFAR-Foundation-Breathable-Lightweight-Hydrating/dp/B0C9GNW7TZ/ref=sr_1_8?keywords=Bridal+Makeup+Finish+Spray&amp;qid=1695565417&amp;sr=8-8")</f>
        <v/>
      </c>
      <c r="F3275" t="inlineStr">
        <is>
          <t>B0C9GNW7TZ</t>
        </is>
      </c>
      <c r="G3275">
        <f>_xlfn.IMAGE("https://camerareadycosmetics.com/cdn/shop/products/9895_zoom_1418330017_50x.jpg?v=1689637513")</f>
        <v/>
      </c>
      <c r="H3275">
        <f>_xlfn.IMAGE("https://m.media-amazon.com/images/I/61HzhlPx6SL._AC_UL320_.jpg")</f>
        <v/>
      </c>
      <c r="K3275" t="inlineStr">
        <is>
          <t>29.0</t>
        </is>
      </c>
      <c r="L3275" t="n">
        <v>13.99</v>
      </c>
      <c r="M3275" s="1" t="inlineStr">
        <is>
          <t>-51.76%</t>
        </is>
      </c>
      <c r="N3275" t="n">
        <v>3.9</v>
      </c>
      <c r="O3275" t="n">
        <v>234</v>
      </c>
      <c r="Q3275" t="inlineStr">
        <is>
          <t>InStock</t>
        </is>
      </c>
      <c r="R3275" t="inlineStr">
        <is>
          <t>undefined</t>
        </is>
      </c>
      <c r="S3275" t="inlineStr">
        <is>
          <t>7038254983</t>
        </is>
      </c>
    </row>
    <row r="3276" ht="75" customHeight="1">
      <c r="A3276" s="2">
        <f>HYPERLINK("https://camerareadycosmetics.com/products/skindinavia-bridal-makeup-finish-spray", "https://camerareadycosmetics.com/products/skindinavia-bridal-makeup-finish-spray")</f>
        <v/>
      </c>
      <c r="B3276" s="2">
        <f>HYPERLINK("https://camerareadycosmetics.com/products/skindinavia-bridal-makeup-finish-spray", "https://camerareadycosmetics.com/products/skindinavia-bridal-makeup-finish-spray")</f>
        <v/>
      </c>
      <c r="C3276" t="inlineStr">
        <is>
          <t>Bridal Makeup Finish Spray</t>
        </is>
      </c>
      <c r="D3276" t="inlineStr">
        <is>
          <t>Urban Decay All Nighter Long-Lasting Makeup Setting Spray - Award-Winning Makeup Finishing Spray - Lasts Up To 16 Hours - Oil-Free, Natural Finish - Non-Drying Formula for All Skin Type</t>
        </is>
      </c>
      <c r="E3276" s="2">
        <f>HYPERLINK("https://www.amazon.com/Nighter-Long-Lasting-Makeup-Setting-Spray/dp/B07Z8CYZQH/ref=sr_1_9?keywords=Bridal+Makeup+Finish+Spray&amp;qid=1695565417&amp;sr=8-9", "https://www.amazon.com/Nighter-Long-Lasting-Makeup-Setting-Spray/dp/B07Z8CYZQH/ref=sr_1_9?keywords=Bridal+Makeup+Finish+Spray&amp;qid=1695565417&amp;sr=8-9")</f>
        <v/>
      </c>
      <c r="F3276" t="inlineStr">
        <is>
          <t>B07Z8CYZQH</t>
        </is>
      </c>
      <c r="G3276">
        <f>_xlfn.IMAGE("https://camerareadycosmetics.com/cdn/shop/products/9895_zoom_1418330017_50x.jpg?v=1689637513")</f>
        <v/>
      </c>
      <c r="H3276">
        <f>_xlfn.IMAGE("https://m.media-amazon.com/images/I/51TIhhtT+aL._AC_UL320_.jpg")</f>
        <v/>
      </c>
      <c r="K3276" t="inlineStr">
        <is>
          <t>29.0</t>
        </is>
      </c>
      <c r="L3276" t="n">
        <v>13.6</v>
      </c>
      <c r="M3276" s="1" t="inlineStr">
        <is>
          <t>-53.10%</t>
        </is>
      </c>
      <c r="N3276" t="n">
        <v>4.7</v>
      </c>
      <c r="O3276" t="n">
        <v>11811</v>
      </c>
      <c r="Q3276" t="inlineStr">
        <is>
          <t>InStock</t>
        </is>
      </c>
      <c r="R3276" t="inlineStr">
        <is>
          <t>undefined</t>
        </is>
      </c>
      <c r="S3276" t="inlineStr">
        <is>
          <t>7038254983</t>
        </is>
      </c>
    </row>
    <row r="3277" ht="75" customHeight="1">
      <c r="A3277" s="2">
        <f>HYPERLINK("https://camerareadycosmetics.com/products/skindinavia-bridal-makeup-finish-spray", "https://camerareadycosmetics.com/products/skindinavia-bridal-makeup-finish-spray")</f>
        <v/>
      </c>
      <c r="B3277" s="2">
        <f>HYPERLINK("https://camerareadycosmetics.com/products/skindinavia-bridal-makeup-finish-spray", "https://camerareadycosmetics.com/products/skindinavia-bridal-makeup-finish-spray")</f>
        <v/>
      </c>
      <c r="C3277" t="inlineStr">
        <is>
          <t>Bridal Makeup Finish Spray</t>
        </is>
      </c>
      <c r="D3277" t="inlineStr">
        <is>
          <t>Maybelline New York Facestudio Lasting Fix Makeup Setting Spray, Matte Finish, 3.4 fl. oz.</t>
        </is>
      </c>
      <c r="E3277" s="2">
        <f>HYPERLINK("https://www.amazon.com/Maybelline-New-York-Facestudio-Lasting/dp/B07PGQDBWG/ref=sr_1_4?keywords=Bridal+Makeup+Finish+Spray&amp;qid=1695565417&amp;sr=8-4", "https://www.amazon.com/Maybelline-New-York-Facestudio-Lasting/dp/B07PGQDBWG/ref=sr_1_4?keywords=Bridal+Makeup+Finish+Spray&amp;qid=1695565417&amp;sr=8-4")</f>
        <v/>
      </c>
      <c r="F3277" t="inlineStr">
        <is>
          <t>B07PGQDBWG</t>
        </is>
      </c>
      <c r="G3277">
        <f>_xlfn.IMAGE("https://camerareadycosmetics.com/cdn/shop/products/9895_zoom_1418330017_50x.jpg?v=1689637513")</f>
        <v/>
      </c>
      <c r="H3277">
        <f>_xlfn.IMAGE("https://m.media-amazon.com/images/I/71ZrDrXdybL._AC_UL320_.jpg")</f>
        <v/>
      </c>
      <c r="K3277" t="inlineStr">
        <is>
          <t>29.0</t>
        </is>
      </c>
      <c r="L3277" t="n">
        <v>7.94</v>
      </c>
      <c r="M3277" s="1" t="inlineStr">
        <is>
          <t>-72.62%</t>
        </is>
      </c>
      <c r="N3277" t="n">
        <v>4.4</v>
      </c>
      <c r="O3277" t="n">
        <v>10604</v>
      </c>
      <c r="Q3277" t="inlineStr">
        <is>
          <t>InStock</t>
        </is>
      </c>
      <c r="R3277" t="inlineStr">
        <is>
          <t>undefined</t>
        </is>
      </c>
      <c r="S3277" t="inlineStr">
        <is>
          <t>7038254983</t>
        </is>
      </c>
    </row>
    <row r="3278" ht="75" customHeight="1">
      <c r="A3278" s="2">
        <f>HYPERLINK("https://camerareadycosmetics.com/products/skindinavia-bridal-makeup-finish-spray", "https://camerareadycosmetics.com/products/skindinavia-bridal-makeup-finish-spray")</f>
        <v/>
      </c>
      <c r="B3278" s="2">
        <f>HYPERLINK("https://camerareadycosmetics.com/products/skindinavia-bridal-makeup-finish-spray", "https://camerareadycosmetics.com/products/skindinavia-bridal-makeup-finish-spray")</f>
        <v/>
      </c>
      <c r="C3278" t="inlineStr">
        <is>
          <t>Bridal Makeup Finish Spray</t>
        </is>
      </c>
      <c r="D3278" t="inlineStr">
        <is>
          <t>Ruby Kisses Setting Spray - Ultra-fine mist, Sets makeup, Long-Lasting Formula for a Flawless Finish (Matte)</t>
        </is>
      </c>
      <c r="E3278" s="2">
        <f>HYPERLINK("https://www.amazon.com/Ruby-Kisses-Setting-Spray-Long-Lasting/dp/B0C1562M3T/ref=sr_1_5?keywords=Bridal+Makeup+Finish+Spray&amp;qid=1695565417&amp;sr=8-5", "https://www.amazon.com/Ruby-Kisses-Setting-Spray-Long-Lasting/dp/B0C1562M3T/ref=sr_1_5?keywords=Bridal+Makeup+Finish+Spray&amp;qid=1695565417&amp;sr=8-5")</f>
        <v/>
      </c>
      <c r="F3278" t="inlineStr">
        <is>
          <t>B0C1562M3T</t>
        </is>
      </c>
      <c r="G3278">
        <f>_xlfn.IMAGE("https://camerareadycosmetics.com/cdn/shop/products/9895_zoom_1418330017_50x.jpg?v=1689637513")</f>
        <v/>
      </c>
      <c r="H3278">
        <f>_xlfn.IMAGE("https://m.media-amazon.com/images/I/610o6EOKseL._AC_UL320_.jpg")</f>
        <v/>
      </c>
      <c r="K3278" t="inlineStr">
        <is>
          <t>29.0</t>
        </is>
      </c>
      <c r="L3278" t="n">
        <v>6.99</v>
      </c>
      <c r="M3278" s="1" t="inlineStr">
        <is>
          <t>-75.90%</t>
        </is>
      </c>
      <c r="N3278" t="n">
        <v>4.3</v>
      </c>
      <c r="O3278" t="n">
        <v>36</v>
      </c>
      <c r="Q3278" t="inlineStr">
        <is>
          <t>InStock</t>
        </is>
      </c>
      <c r="R3278" t="inlineStr">
        <is>
          <t>undefined</t>
        </is>
      </c>
      <c r="S3278" t="inlineStr">
        <is>
          <t>7038254983</t>
        </is>
      </c>
    </row>
    <row r="3279" ht="75" customHeight="1">
      <c r="A3279" s="2">
        <f>HYPERLINK("https://camerareadycosmetics.com/products/skindinavia-the-makeup-finishing-spray-oil-control", "https://camerareadycosmetics.com/products/skindinavia-the-makeup-finishing-spray-oil-control")</f>
        <v/>
      </c>
      <c r="B3279" s="2">
        <f>HYPERLINK("https://camerareadycosmetics.com/products/skindinavia-the-makeup-finishing-spray-oil-control", "https://camerareadycosmetics.com/products/skindinavia-the-makeup-finishing-spray-oil-control")</f>
        <v/>
      </c>
      <c r="C3279" t="inlineStr">
        <is>
          <t>The Makeup Finishing Spray - Oil Control</t>
        </is>
      </c>
      <c r="D3279" t="inlineStr">
        <is>
          <t>Skindinavia The Makeup Finishing Spray Oil Control, For Oily Skin, Long-Lasting Up to 16+ Hours, Heat-Resistant &amp; Waterproof, Fine Mist Finishing Spray for Makeup (8 Oz)</t>
        </is>
      </c>
      <c r="E3279" s="2">
        <f>HYPERLINK("https://www.amazon.com/Skindinavia-Makeup-Control-Finishing-Spray/dp/B00JZKWOGY/ref=sr_1_1?keywords=The+Makeup+Finishing+Spray+-+Oil+Control&amp;qid=1695565436&amp;sr=8-1", "https://www.amazon.com/Skindinavia-Makeup-Control-Finishing-Spray/dp/B00JZKWOGY/ref=sr_1_1?keywords=The+Makeup+Finishing+Spray+-+Oil+Control&amp;qid=1695565436&amp;sr=8-1")</f>
        <v/>
      </c>
      <c r="F3279" t="inlineStr">
        <is>
          <t>B00JZKWOGY</t>
        </is>
      </c>
      <c r="G3279">
        <f>_xlfn.IMAGE("https://camerareadycosmetics.com/cdn/shop/products/2599_zoom_1438817615_50x.jpg?v=1689637509")</f>
        <v/>
      </c>
      <c r="H3279">
        <f>_xlfn.IMAGE("https://m.media-amazon.com/images/I/61ZU2ru9EhL._AC_UL320_.jpg")</f>
        <v/>
      </c>
      <c r="K3279" t="inlineStr">
        <is>
          <t>11.0</t>
        </is>
      </c>
      <c r="L3279" t="n">
        <v>39</v>
      </c>
      <c r="M3279" s="1" t="inlineStr">
        <is>
          <t>254.55%</t>
        </is>
      </c>
      <c r="N3279" t="n">
        <v>4.5</v>
      </c>
      <c r="O3279" t="n">
        <v>4111</v>
      </c>
      <c r="Q3279" t="inlineStr">
        <is>
          <t>InStock</t>
        </is>
      </c>
      <c r="R3279" t="inlineStr">
        <is>
          <t>undefined</t>
        </is>
      </c>
      <c r="S3279" t="inlineStr">
        <is>
          <t>7038248647</t>
        </is>
      </c>
    </row>
    <row r="3280" ht="75" customHeight="1">
      <c r="A3280" s="2">
        <f>HYPERLINK("https://camerareadycosmetics.com/products/skindinavia-the-makeup-finishing-spray-oil-control", "https://camerareadycosmetics.com/products/skindinavia-the-makeup-finishing-spray-oil-control")</f>
        <v/>
      </c>
      <c r="B3280" s="2">
        <f>HYPERLINK("https://camerareadycosmetics.com/products/skindinavia-the-makeup-finishing-spray-oil-control", "https://camerareadycosmetics.com/products/skindinavia-the-makeup-finishing-spray-oil-control")</f>
        <v/>
      </c>
      <c r="C3280" t="inlineStr">
        <is>
          <t>The Makeup Finishing Spray - Oil Control</t>
        </is>
      </c>
      <c r="D3280" t="inlineStr">
        <is>
          <t>Urban Decay All Nighter Ultra Matte Setting Spray - Makeup Finishing Spray - Lasts Up To 16 Hours - Oil &amp; Shine-Controlling Mist - Great for Oily Skin</t>
        </is>
      </c>
      <c r="E3280" s="2">
        <f>HYPERLINK("https://www.amazon.com/Urban-Decay-Spray-Ultra-Matte/dp/B083TY8N7Q/ref=sr_1_9?keywords=The+Makeup+Finishing+Spray+-+Oil+Control&amp;qid=1695565436&amp;sr=8-9", "https://www.amazon.com/Urban-Decay-Spray-Ultra-Matte/dp/B083TY8N7Q/ref=sr_1_9?keywords=The+Makeup+Finishing+Spray+-+Oil+Control&amp;qid=1695565436&amp;sr=8-9")</f>
        <v/>
      </c>
      <c r="F3280" t="inlineStr">
        <is>
          <t>B083TY8N7Q</t>
        </is>
      </c>
      <c r="G3280">
        <f>_xlfn.IMAGE("https://camerareadycosmetics.com/cdn/shop/products/2599_zoom_1438817615_50x.jpg?v=1689637509")</f>
        <v/>
      </c>
      <c r="H3280">
        <f>_xlfn.IMAGE("https://m.media-amazon.com/images/I/51Ah3OYNwbL._AC_UL320_.jpg")</f>
        <v/>
      </c>
      <c r="K3280" t="inlineStr">
        <is>
          <t>11.0</t>
        </is>
      </c>
      <c r="L3280" t="n">
        <v>30.6</v>
      </c>
      <c r="M3280" s="1" t="inlineStr">
        <is>
          <t>178.18%</t>
        </is>
      </c>
      <c r="N3280" t="n">
        <v>4.2</v>
      </c>
      <c r="O3280" t="n">
        <v>2247</v>
      </c>
      <c r="Q3280" t="inlineStr">
        <is>
          <t>InStock</t>
        </is>
      </c>
      <c r="R3280" t="inlineStr">
        <is>
          <t>undefined</t>
        </is>
      </c>
      <c r="S3280" t="inlineStr">
        <is>
          <t>7038248647</t>
        </is>
      </c>
    </row>
    <row r="3281" ht="75" customHeight="1">
      <c r="A3281" s="2">
        <f>HYPERLINK("https://camerareadycosmetics.com/products/skindinavia-the-makeup-finishing-spray-oil-control", "https://camerareadycosmetics.com/products/skindinavia-the-makeup-finishing-spray-oil-control")</f>
        <v/>
      </c>
      <c r="B3281" s="2">
        <f>HYPERLINK("https://camerareadycosmetics.com/products/skindinavia-the-makeup-finishing-spray-oil-control", "https://camerareadycosmetics.com/products/skindinavia-the-makeup-finishing-spray-oil-control")</f>
        <v/>
      </c>
      <c r="C3281" t="inlineStr">
        <is>
          <t>The Makeup Finishing Spray - Oil Control</t>
        </is>
      </c>
      <c r="D3281" t="inlineStr">
        <is>
          <t>Urban Decay De-Slick Oil Control Matte Makeup Setting Spray - Controls Oil, Blocks Shine &amp; Locks Makeup in Place - Oil-Free, Microfine Face Mist</t>
        </is>
      </c>
      <c r="E3281" s="2">
        <f>HYPERLINK("https://www.amazon.com/Slick-Makeup-Setting-Spray-Control/dp/B01484D0EG/ref=sr_1_2?keywords=The+Makeup+Finishing+Spray+-+Oil+Control&amp;qid=1695565436&amp;sr=8-2", "https://www.amazon.com/Slick-Makeup-Setting-Spray-Control/dp/B01484D0EG/ref=sr_1_2?keywords=The+Makeup+Finishing+Spray+-+Oil+Control&amp;qid=1695565436&amp;sr=8-2")</f>
        <v/>
      </c>
      <c r="F3281" t="inlineStr">
        <is>
          <t>B01484D0EG</t>
        </is>
      </c>
      <c r="G3281">
        <f>_xlfn.IMAGE("https://camerareadycosmetics.com/cdn/shop/products/2599_zoom_1438817615_50x.jpg?v=1689637509")</f>
        <v/>
      </c>
      <c r="H3281">
        <f>_xlfn.IMAGE("https://m.media-amazon.com/images/I/71dJku3pgUL._AC_UL320_.jpg")</f>
        <v/>
      </c>
      <c r="K3281" t="inlineStr">
        <is>
          <t>11.0</t>
        </is>
      </c>
      <c r="L3281" t="n">
        <v>30.6</v>
      </c>
      <c r="M3281" s="1" t="inlineStr">
        <is>
          <t>178.18%</t>
        </is>
      </c>
      <c r="N3281" t="n">
        <v>4.6</v>
      </c>
      <c r="O3281" t="n">
        <v>2044</v>
      </c>
      <c r="Q3281" t="inlineStr">
        <is>
          <t>InStock</t>
        </is>
      </c>
      <c r="R3281" t="inlineStr">
        <is>
          <t>undefined</t>
        </is>
      </c>
      <c r="S3281" t="inlineStr">
        <is>
          <t>7038248647</t>
        </is>
      </c>
    </row>
    <row r="3282" ht="75" customHeight="1">
      <c r="A3282" s="2">
        <f>HYPERLINK("https://camerareadycosmetics.com/products/skindinavia-the-makeup-finishing-spray-oil-control", "https://camerareadycosmetics.com/products/skindinavia-the-makeup-finishing-spray-oil-control")</f>
        <v/>
      </c>
      <c r="B3282" s="2">
        <f>HYPERLINK("https://camerareadycosmetics.com/products/skindinavia-the-makeup-finishing-spray-oil-control", "https://camerareadycosmetics.com/products/skindinavia-the-makeup-finishing-spray-oil-control")</f>
        <v/>
      </c>
      <c r="C3282" t="inlineStr">
        <is>
          <t>The Makeup Finishing Spray - Oil Control</t>
        </is>
      </c>
      <c r="D3282" t="inlineStr">
        <is>
          <t>Gerard Cosmetics Slay All Day Makeup Setting Spray | Rose Scented | Matte Finish with Oil Control | Cruelty Free, Long Lasting Finishing Spray, 3.38oz (100ml)</t>
        </is>
      </c>
      <c r="E3282" s="2">
        <f>HYPERLINK("https://www.amazon.com/Gerard-Cosmetics-Slay-Setting-Spray/dp/B0762XS7RF/ref=sr_1_10?keywords=The+Makeup+Finishing+Spray+-+Oil+Control&amp;qid=1695565436&amp;rdc=1&amp;sr=8-10", "https://www.amazon.com/Gerard-Cosmetics-Slay-Setting-Spray/dp/B0762XS7RF/ref=sr_1_10?keywords=The+Makeup+Finishing+Spray+-+Oil+Control&amp;qid=1695565436&amp;rdc=1&amp;sr=8-10")</f>
        <v/>
      </c>
      <c r="F3282" t="inlineStr">
        <is>
          <t>B0762XS7RF</t>
        </is>
      </c>
      <c r="G3282">
        <f>_xlfn.IMAGE("https://camerareadycosmetics.com/cdn/shop/products/2599_zoom_1438817615_50x.jpg?v=1689637509")</f>
        <v/>
      </c>
      <c r="H3282">
        <f>_xlfn.IMAGE("https://m.media-amazon.com/images/I/51cJFBFNSAL._AC_UL320_.jpg")</f>
        <v/>
      </c>
      <c r="K3282" t="inlineStr">
        <is>
          <t>11.0</t>
        </is>
      </c>
      <c r="L3282" t="n">
        <v>22</v>
      </c>
      <c r="M3282" s="1" t="inlineStr">
        <is>
          <t>100.00%</t>
        </is>
      </c>
      <c r="N3282" t="n">
        <v>4.3</v>
      </c>
      <c r="O3282" t="n">
        <v>1061</v>
      </c>
      <c r="Q3282" t="inlineStr">
        <is>
          <t>InStock</t>
        </is>
      </c>
      <c r="R3282" t="inlineStr">
        <is>
          <t>undefined</t>
        </is>
      </c>
      <c r="S3282" t="inlineStr">
        <is>
          <t>7038248647</t>
        </is>
      </c>
    </row>
    <row r="3283" ht="75" customHeight="1">
      <c r="A3283" s="2">
        <f>HYPERLINK("https://camerareadycosmetics.com/products/skindinavia-the-makeup-finishing-spray-oil-control", "https://camerareadycosmetics.com/products/skindinavia-the-makeup-finishing-spray-oil-control")</f>
        <v/>
      </c>
      <c r="B3283" s="2">
        <f>HYPERLINK("https://camerareadycosmetics.com/products/skindinavia-the-makeup-finishing-spray-oil-control", "https://camerareadycosmetics.com/products/skindinavia-the-makeup-finishing-spray-oil-control")</f>
        <v/>
      </c>
      <c r="C3283" t="inlineStr">
        <is>
          <t>The Makeup Finishing Spray - Oil Control</t>
        </is>
      </c>
      <c r="D3283" t="inlineStr">
        <is>
          <t>LUNA Long Lasting Makeup Finishing Setting Spray, Weightless with Micro-Fine Mist Oil Control, Natural Finish, Non-Drying Formula for All Skin Type, Korean Makeup, 3.3 fl oz</t>
        </is>
      </c>
      <c r="E3283" s="2">
        <f>HYPERLINK("https://www.amazon.com/AEKYUNG-Long-Lasting-Lightweight-Micro-Fine-Non-Drying/dp/B09BCNGCLK/ref=sr_1_5?keywords=The+Makeup+Finishing+Spray+-+Oil+Control&amp;qid=1695565436&amp;sr=8-5", "https://www.amazon.com/AEKYUNG-Long-Lasting-Lightweight-Micro-Fine-Non-Drying/dp/B09BCNGCLK/ref=sr_1_5?keywords=The+Makeup+Finishing+Spray+-+Oil+Control&amp;qid=1695565436&amp;sr=8-5")</f>
        <v/>
      </c>
      <c r="F3283" t="inlineStr">
        <is>
          <t>B09BCNGCLK</t>
        </is>
      </c>
      <c r="G3283">
        <f>_xlfn.IMAGE("https://camerareadycosmetics.com/cdn/shop/products/2599_zoom_1438817615_50x.jpg?v=1689637509")</f>
        <v/>
      </c>
      <c r="H3283">
        <f>_xlfn.IMAGE("https://m.media-amazon.com/images/I/61NC4pwec2L._AC_UL320_.jpg")</f>
        <v/>
      </c>
      <c r="K3283" t="inlineStr">
        <is>
          <t>11.0</t>
        </is>
      </c>
      <c r="L3283" t="n">
        <v>17.99</v>
      </c>
      <c r="M3283" s="1" t="inlineStr">
        <is>
          <t>63.55%</t>
        </is>
      </c>
      <c r="N3283" t="n">
        <v>4.5</v>
      </c>
      <c r="O3283" t="n">
        <v>159</v>
      </c>
      <c r="Q3283" t="inlineStr">
        <is>
          <t>InStock</t>
        </is>
      </c>
      <c r="R3283" t="inlineStr">
        <is>
          <t>undefined</t>
        </is>
      </c>
      <c r="S3283" t="inlineStr">
        <is>
          <t>7038248647</t>
        </is>
      </c>
    </row>
    <row r="3284" ht="75" customHeight="1">
      <c r="A3284" s="2">
        <f>HYPERLINK("https://camerareadycosmetics.com/products/skindinavia-the-makeup-finishing-spray-oil-control", "https://camerareadycosmetics.com/products/skindinavia-the-makeup-finishing-spray-oil-control")</f>
        <v/>
      </c>
      <c r="B3284" s="2">
        <f>HYPERLINK("https://camerareadycosmetics.com/products/skindinavia-the-makeup-finishing-spray-oil-control", "https://camerareadycosmetics.com/products/skindinavia-the-makeup-finishing-spray-oil-control")</f>
        <v/>
      </c>
      <c r="C3284" t="inlineStr">
        <is>
          <t>The Makeup Finishing Spray - Oil Control</t>
        </is>
      </c>
      <c r="D3284" t="inlineStr">
        <is>
          <t>UCANBE Makeup Setting Spray - Matte Finishing Spray Long Lasting Face Mist, Oil Control Lightweight Hydrate Make Up Spray, 6.7 Fl Oz Large Size</t>
        </is>
      </c>
      <c r="E3284" s="2">
        <f>HYPERLINK("https://www.amazon.com/UCANBE-Makeup-Setting-Spray-Lightweight/dp/B09QGJRZKF/ref=sr_1_3?keywords=The+Makeup+Finishing+Spray+-+Oil+Control&amp;qid=1695565436&amp;sr=8-3", "https://www.amazon.com/UCANBE-Makeup-Setting-Spray-Lightweight/dp/B09QGJRZKF/ref=sr_1_3?keywords=The+Makeup+Finishing+Spray+-+Oil+Control&amp;qid=1695565436&amp;sr=8-3")</f>
        <v/>
      </c>
      <c r="F3284" t="inlineStr">
        <is>
          <t>B09QGJRZKF</t>
        </is>
      </c>
      <c r="G3284">
        <f>_xlfn.IMAGE("https://camerareadycosmetics.com/cdn/shop/products/2599_zoom_1438817615_50x.jpg?v=1689637509")</f>
        <v/>
      </c>
      <c r="H3284">
        <f>_xlfn.IMAGE("https://m.media-amazon.com/images/I/614FGpCr-sL._AC_UL320_.jpg")</f>
        <v/>
      </c>
      <c r="K3284" t="inlineStr">
        <is>
          <t>11.0</t>
        </is>
      </c>
      <c r="L3284" t="n">
        <v>14.99</v>
      </c>
      <c r="M3284" s="1" t="inlineStr">
        <is>
          <t>36.27%</t>
        </is>
      </c>
      <c r="N3284" t="n">
        <v>4.3</v>
      </c>
      <c r="O3284" t="n">
        <v>1632</v>
      </c>
      <c r="Q3284" t="inlineStr">
        <is>
          <t>InStock</t>
        </is>
      </c>
      <c r="R3284" t="inlineStr">
        <is>
          <t>undefined</t>
        </is>
      </c>
      <c r="S3284" t="inlineStr">
        <is>
          <t>7038248647</t>
        </is>
      </c>
    </row>
    <row r="3285" ht="75" customHeight="1">
      <c r="A3285" s="2">
        <f>HYPERLINK("https://camerareadycosmetics.com/products/skindinavia-the-makeup-finishing-spray-oil-control", "https://camerareadycosmetics.com/products/skindinavia-the-makeup-finishing-spray-oil-control")</f>
        <v/>
      </c>
      <c r="B3285" s="2">
        <f>HYPERLINK("https://camerareadycosmetics.com/products/skindinavia-the-makeup-finishing-spray-oil-control", "https://camerareadycosmetics.com/products/skindinavia-the-makeup-finishing-spray-oil-control")</f>
        <v/>
      </c>
      <c r="C3285" t="inlineStr">
        <is>
          <t>The Makeup Finishing Spray - Oil Control</t>
        </is>
      </c>
      <c r="D3285" t="inlineStr">
        <is>
          <t>KYDA Makeup Setting Spray, Ultra Fine Lightweight Setting Mist, Lasting Oil Control Makeup Finish, Quick Drying Formula, Face Makeup Fixer Spray, for All Skin, 3.38 Fl Oz, by Ownest Beauty</t>
        </is>
      </c>
      <c r="E3285" s="2">
        <f>HYPERLINK("https://www.amazon.com/KYDA-Setting-Lightweight-Lasting-Control/dp/B0C9M569B4/ref=sr_1_6?keywords=The+Makeup+Finishing+Spray+-+Oil+Control&amp;qid=1695565436&amp;sr=8-6", "https://www.amazon.com/KYDA-Setting-Lightweight-Lasting-Control/dp/B0C9M569B4/ref=sr_1_6?keywords=The+Makeup+Finishing+Spray+-+Oil+Control&amp;qid=1695565436&amp;sr=8-6")</f>
        <v/>
      </c>
      <c r="F3285" t="inlineStr">
        <is>
          <t>B0C9M569B4</t>
        </is>
      </c>
      <c r="G3285">
        <f>_xlfn.IMAGE("https://camerareadycosmetics.com/cdn/shop/products/2599_zoom_1438817615_50x.jpg?v=1689637509")</f>
        <v/>
      </c>
      <c r="H3285">
        <f>_xlfn.IMAGE("https://m.media-amazon.com/images/I/61GLjWX9+PL._AC_UL320_.jpg")</f>
        <v/>
      </c>
      <c r="K3285" t="inlineStr">
        <is>
          <t>11.0</t>
        </is>
      </c>
      <c r="L3285" t="n">
        <v>12.98</v>
      </c>
      <c r="M3285" s="1" t="inlineStr">
        <is>
          <t>18.00%</t>
        </is>
      </c>
      <c r="N3285" t="n">
        <v>5</v>
      </c>
      <c r="O3285" t="n">
        <v>1</v>
      </c>
      <c r="Q3285" t="inlineStr">
        <is>
          <t>InStock</t>
        </is>
      </c>
      <c r="R3285" t="inlineStr">
        <is>
          <t>undefined</t>
        </is>
      </c>
      <c r="S3285" t="inlineStr">
        <is>
          <t>7038248647</t>
        </is>
      </c>
    </row>
    <row r="3286" ht="75" customHeight="1">
      <c r="A3286" s="2">
        <f>HYPERLINK("https://camerareadycosmetics.com/products/skindinavia-the-makeup-finishing-spray-oil-control", "https://camerareadycosmetics.com/products/skindinavia-the-makeup-finishing-spray-oil-control")</f>
        <v/>
      </c>
      <c r="B3286" s="2">
        <f>HYPERLINK("https://camerareadycosmetics.com/products/skindinavia-the-makeup-finishing-spray-oil-control", "https://camerareadycosmetics.com/products/skindinavia-the-makeup-finishing-spray-oil-control")</f>
        <v/>
      </c>
      <c r="C3286" t="inlineStr">
        <is>
          <t>The Makeup Finishing Spray - Oil Control</t>
        </is>
      </c>
      <c r="D3286" t="inlineStr">
        <is>
          <t>Matte Setting Spray, 12h Long Lasting Makeup Finishing Spray, Oil control Face Primer Mist for All Skin, Cruelty-free Vegan Formula with Chamomile, 1.7 Fl Oz</t>
        </is>
      </c>
      <c r="E3286" s="2">
        <f>HYPERLINK("https://www.amazon.com/CARSLAN-Setting-Finishing-Cruelty-free-Chamomile/dp/B0BJ2RB83M/ref=sr_1_4?keywords=The+Makeup+Finishing+Spray+-+Oil+Control&amp;qid=1695565436&amp;sr=8-4", "https://www.amazon.com/CARSLAN-Setting-Finishing-Cruelty-free-Chamomile/dp/B0BJ2RB83M/ref=sr_1_4?keywords=The+Makeup+Finishing+Spray+-+Oil+Control&amp;qid=1695565436&amp;sr=8-4")</f>
        <v/>
      </c>
      <c r="F3286" t="inlineStr">
        <is>
          <t>B0BJ2RB83M</t>
        </is>
      </c>
      <c r="G3286">
        <f>_xlfn.IMAGE("https://camerareadycosmetics.com/cdn/shop/products/2599_zoom_1438817615_50x.jpg?v=1689637509")</f>
        <v/>
      </c>
      <c r="H3286">
        <f>_xlfn.IMAGE("https://m.media-amazon.com/images/I/51Jn9+ZRqCL._AC_UL320_.jpg")</f>
        <v/>
      </c>
      <c r="K3286" t="inlineStr">
        <is>
          <t>11.0</t>
        </is>
      </c>
      <c r="L3286" t="n">
        <v>7.99</v>
      </c>
      <c r="M3286" s="1" t="inlineStr">
        <is>
          <t>-27.36%</t>
        </is>
      </c>
      <c r="N3286" t="n">
        <v>4.1</v>
      </c>
      <c r="O3286" t="n">
        <v>17</v>
      </c>
      <c r="Q3286" t="inlineStr">
        <is>
          <t>InStock</t>
        </is>
      </c>
      <c r="R3286" t="inlineStr">
        <is>
          <t>undefined</t>
        </is>
      </c>
      <c r="S3286" t="inlineStr">
        <is>
          <t>7038248647</t>
        </is>
      </c>
    </row>
    <row r="3287" ht="75" customHeight="1">
      <c r="A3287" s="2">
        <f>HYPERLINK("https://camerareadycosmetics.com/products/skindinavia-the-makeup-primer-spray", "https://camerareadycosmetics.com/products/skindinavia-the-makeup-primer-spray")</f>
        <v/>
      </c>
      <c r="B3287" s="2">
        <f>HYPERLINK("https://camerareadycosmetics.com/products/skindinavia-the-makeup-primer-spray", "https://camerareadycosmetics.com/products/skindinavia-the-makeup-primer-spray")</f>
        <v/>
      </c>
      <c r="C3287" t="inlineStr">
        <is>
          <t>The Makeup Primer Spray</t>
        </is>
      </c>
      <c r="D3287" t="inlineStr">
        <is>
          <t>Milani Make It Last Original - Natural Finish Setting SPray - 3-in-1 Setting Spray and Primer- Prime + Correct + Set - Makeup Finishing Spray and Primer - Long Lasting Makeup Primer and Spray - 2 Pack</t>
        </is>
      </c>
      <c r="E3287" s="2">
        <f>HYPERLINK("https://www.amazon.com/Milani-Setting-Spray-Primer-Correct/dp/B0BN4NW7D3/ref=sr_1_10?keywords=The+Makeup+Primer+Spray&amp;qid=1695565448&amp;sr=8-10", "https://www.amazon.com/Milani-Setting-Spray-Primer-Correct/dp/B0BN4NW7D3/ref=sr_1_10?keywords=The+Makeup+Primer+Spray&amp;qid=1695565448&amp;sr=8-10")</f>
        <v/>
      </c>
      <c r="F3287" t="inlineStr">
        <is>
          <t>B0BN4NW7D3</t>
        </is>
      </c>
      <c r="G3287">
        <f>_xlfn.IMAGE("https://camerareadycosmetics.com/cdn/shop/products/skindinavia-The-Makeup-Primer-Spray--Primer_4oz_50x.jpg?v=1689644344")</f>
        <v/>
      </c>
      <c r="H3287">
        <f>_xlfn.IMAGE("https://m.media-amazon.com/images/I/61KyvSzNbVL._AC_UL320_.jpg")</f>
        <v/>
      </c>
      <c r="K3287" t="inlineStr">
        <is>
          <t>14.0</t>
        </is>
      </c>
      <c r="L3287" t="n">
        <v>18.94</v>
      </c>
      <c r="M3287" s="1" t="inlineStr">
        <is>
          <t>35.29%</t>
        </is>
      </c>
      <c r="N3287" t="n">
        <v>4.4</v>
      </c>
      <c r="O3287" t="n">
        <v>42009</v>
      </c>
      <c r="Q3287" t="inlineStr">
        <is>
          <t>InStock</t>
        </is>
      </c>
      <c r="R3287" t="inlineStr">
        <is>
          <t>undefined</t>
        </is>
      </c>
      <c r="S3287" t="inlineStr">
        <is>
          <t>7041212423</t>
        </is>
      </c>
    </row>
    <row r="3288" ht="75" customHeight="1">
      <c r="A3288" s="2">
        <f>HYPERLINK("https://camerareadycosmetics.com/products/skindinavia-the-makeup-primer-spray", "https://camerareadycosmetics.com/products/skindinavia-the-makeup-primer-spray")</f>
        <v/>
      </c>
      <c r="B3288" s="2">
        <f>HYPERLINK("https://camerareadycosmetics.com/products/skindinavia-the-makeup-primer-spray", "https://camerareadycosmetics.com/products/skindinavia-the-makeup-primer-spray")</f>
        <v/>
      </c>
      <c r="C3288" t="inlineStr">
        <is>
          <t>The Makeup Primer Spray</t>
        </is>
      </c>
      <c r="D3288" t="inlineStr">
        <is>
          <t>NYX PROFESSIONAL MAKEUP Bare With Me Multitasking Primer &amp; Setting Spray</t>
        </is>
      </c>
      <c r="E3288" s="2">
        <f>HYPERLINK("https://www.amazon.com/NYX-Prime-Refresh-Spray-Ounce/dp/B07SB2LG6S/ref=sr_1_2?keywords=The+Makeup+Primer+Spray&amp;qid=1695565448&amp;sr=8-2", "https://www.amazon.com/NYX-Prime-Refresh-Spray-Ounce/dp/B07SB2LG6S/ref=sr_1_2?keywords=The+Makeup+Primer+Spray&amp;qid=1695565448&amp;sr=8-2")</f>
        <v/>
      </c>
      <c r="F3288" t="inlineStr">
        <is>
          <t>B07SB2LG6S</t>
        </is>
      </c>
      <c r="G3288">
        <f>_xlfn.IMAGE("https://camerareadycosmetics.com/cdn/shop/products/skindinavia-The-Makeup-Primer-Spray--Primer_4oz_50x.jpg?v=1689644344")</f>
        <v/>
      </c>
      <c r="H3288">
        <f>_xlfn.IMAGE("https://m.media-amazon.com/images/I/61c5qo76ATL._AC_UL320_.jpg")</f>
        <v/>
      </c>
      <c r="K3288" t="inlineStr">
        <is>
          <t>14.0</t>
        </is>
      </c>
      <c r="L3288" t="n">
        <v>8.359999999999999</v>
      </c>
      <c r="M3288" s="1" t="inlineStr">
        <is>
          <t>-40.29%</t>
        </is>
      </c>
      <c r="N3288" t="n">
        <v>4.5</v>
      </c>
      <c r="O3288" t="n">
        <v>3885</v>
      </c>
      <c r="Q3288" t="inlineStr">
        <is>
          <t>InStock</t>
        </is>
      </c>
      <c r="R3288" t="inlineStr">
        <is>
          <t>undefined</t>
        </is>
      </c>
      <c r="S3288" t="inlineStr">
        <is>
          <t>7041212423</t>
        </is>
      </c>
    </row>
    <row r="3289" ht="75" customHeight="1">
      <c r="A3289" s="2">
        <f>HYPERLINK("https://camerareadycosmetics.com/products/skindinavia-the-makeup-primer-spray", "https://camerareadycosmetics.com/products/skindinavia-the-makeup-primer-spray")</f>
        <v/>
      </c>
      <c r="B3289" s="2">
        <f>HYPERLINK("https://camerareadycosmetics.com/products/skindinavia-the-makeup-primer-spray", "https://camerareadycosmetics.com/products/skindinavia-the-makeup-primer-spray")</f>
        <v/>
      </c>
      <c r="C3289" t="inlineStr">
        <is>
          <t>The Makeup Primer Spray</t>
        </is>
      </c>
      <c r="D3289" t="inlineStr">
        <is>
          <t>Wet n Wild Photo Focus Matte Finish Setting Spray for Makeup, Long Lasting Vegan, Cruelty Free Makeup Primer and Spray 1.52 Fl Oz</t>
        </is>
      </c>
      <c r="E3289" s="2">
        <f>HYPERLINK("https://www.amazon.com/wet-wild-Finish-Setting-Appeal/dp/B077TVRT43/ref=sr_1_7?keywords=The+Makeup+Primer+Spray&amp;qid=1695565448&amp;rdc=1&amp;sr=8-7", "https://www.amazon.com/wet-wild-Finish-Setting-Appeal/dp/B077TVRT43/ref=sr_1_7?keywords=The+Makeup+Primer+Spray&amp;qid=1695565448&amp;rdc=1&amp;sr=8-7")</f>
        <v/>
      </c>
      <c r="F3289" t="inlineStr">
        <is>
          <t>B077TVRT43</t>
        </is>
      </c>
      <c r="G3289">
        <f>_xlfn.IMAGE("https://camerareadycosmetics.com/cdn/shop/products/skindinavia-The-Makeup-Primer-Spray--Primer_4oz_50x.jpg?v=1689644344")</f>
        <v/>
      </c>
      <c r="H3289">
        <f>_xlfn.IMAGE("https://m.media-amazon.com/images/I/61tKikoveGL._AC_UL320_.jpg")</f>
        <v/>
      </c>
      <c r="K3289" t="inlineStr">
        <is>
          <t>14.0</t>
        </is>
      </c>
      <c r="L3289" t="n">
        <v>4.89</v>
      </c>
      <c r="M3289" s="1" t="inlineStr">
        <is>
          <t>-65.07%</t>
        </is>
      </c>
      <c r="N3289" t="n">
        <v>4.3</v>
      </c>
      <c r="O3289" t="n">
        <v>4786</v>
      </c>
      <c r="Q3289" t="inlineStr">
        <is>
          <t>InStock</t>
        </is>
      </c>
      <c r="R3289" t="inlineStr">
        <is>
          <t>undefined</t>
        </is>
      </c>
      <c r="S3289" t="inlineStr">
        <is>
          <t>7041212423</t>
        </is>
      </c>
    </row>
    <row r="3290" ht="75" customHeight="1">
      <c r="A3290" s="2">
        <f>HYPERLINK("https://camerareadycosmetics.com/products/skindinavia-the-makeup-primer-spray", "https://camerareadycosmetics.com/products/skindinavia-the-makeup-primer-spray")</f>
        <v/>
      </c>
      <c r="B3290" s="2">
        <f>HYPERLINK("https://camerareadycosmetics.com/products/skindinavia-the-makeup-primer-spray", "https://camerareadycosmetics.com/products/skindinavia-the-makeup-primer-spray")</f>
        <v/>
      </c>
      <c r="C3290" t="inlineStr">
        <is>
          <t>The Makeup Primer Spray</t>
        </is>
      </c>
      <c r="D3290" t="inlineStr">
        <is>
          <t>Wet n Wild Photo Focus Matte Finish Setting Spray for Makeup, Long Lasting Vegan, Cruelty Free Makeup Primer and Spray 1.52 Fl Oz</t>
        </is>
      </c>
      <c r="E3290" s="2">
        <f>HYPERLINK("https://www.amazon.com/wet-wild-Finish-Setting-Appeal/dp/B077TVRT43/ref=sr_1_7?keywords=The+Makeup+Primer+Spray&amp;qid=1695565448&amp;rdc=1&amp;sr=8-7", "https://www.amazon.com/wet-wild-Finish-Setting-Appeal/dp/B077TVRT43/ref=sr_1_7?keywords=The+Makeup+Primer+Spray&amp;qid=1695565448&amp;rdc=1&amp;sr=8-7")</f>
        <v/>
      </c>
      <c r="F3290" t="inlineStr">
        <is>
          <t>B077TVRT43</t>
        </is>
      </c>
      <c r="G3290">
        <f>_xlfn.IMAGE("https://camerareadycosmetics.com/cdn/shop/products/skindinavia-The-Makeup-Primer-Spray--Primer_4oz_50x.jpg?v=1689644344")</f>
        <v/>
      </c>
      <c r="H3290">
        <f>_xlfn.IMAGE("https://m.media-amazon.com/images/I/61tKikoveGL._AC_UL320_.jpg")</f>
        <v/>
      </c>
      <c r="K3290" t="inlineStr">
        <is>
          <t>14.0</t>
        </is>
      </c>
      <c r="L3290" t="n">
        <v>4.89</v>
      </c>
      <c r="M3290" s="1" t="inlineStr">
        <is>
          <t>-65.07%</t>
        </is>
      </c>
      <c r="N3290" t="n">
        <v>4.3</v>
      </c>
      <c r="O3290" t="n">
        <v>4786</v>
      </c>
      <c r="Q3290" t="inlineStr">
        <is>
          <t>InStock</t>
        </is>
      </c>
      <c r="R3290" t="inlineStr">
        <is>
          <t>undefined</t>
        </is>
      </c>
      <c r="S3290" t="inlineStr">
        <is>
          <t>7041212423</t>
        </is>
      </c>
    </row>
    <row r="3291" ht="75" customHeight="1">
      <c r="A3291" s="2">
        <f>HYPERLINK("https://camerareadycosmetics.com/products/skindinavia-the-makeup-primer-spray-oil-control", "https://camerareadycosmetics.com/products/skindinavia-the-makeup-primer-spray-oil-control")</f>
        <v/>
      </c>
      <c r="B3291" s="2">
        <f>HYPERLINK("https://camerareadycosmetics.com/products/skindinavia-the-makeup-primer-spray-oil-control", "https://camerareadycosmetics.com/products/skindinavia-the-makeup-primer-spray-oil-control")</f>
        <v/>
      </c>
      <c r="C3291" t="inlineStr">
        <is>
          <t>The Makeup Primer Spray - Oil Control</t>
        </is>
      </c>
      <c r="D3291" t="inlineStr">
        <is>
          <t>Skindinavia The Makeup Finishing Spray Oil Control, For Oily Skin, Long-Lasting Up to 16+ Hours, Heat-Resistant &amp; Waterproof, Fine Mist Finishing Spray for Makeup (8 Oz)</t>
        </is>
      </c>
      <c r="E3291" s="2">
        <f>HYPERLINK("https://www.amazon.com/Skindinavia-Makeup-Control-Finishing-Spray/dp/B00JZKWOGY/ref=sr_1_2?keywords=The+Makeup+Primer+Spray+-+Oil+Control&amp;qid=1695565462&amp;sr=8-2", "https://www.amazon.com/Skindinavia-Makeup-Control-Finishing-Spray/dp/B00JZKWOGY/ref=sr_1_2?keywords=The+Makeup+Primer+Spray+-+Oil+Control&amp;qid=1695565462&amp;sr=8-2")</f>
        <v/>
      </c>
      <c r="F3291" t="inlineStr">
        <is>
          <t>B00JZKWOGY</t>
        </is>
      </c>
      <c r="G3291">
        <f>_xlfn.IMAGE("https://camerareadycosmetics.com/cdn/shop/products/skindinavia_primer_spray_oil_control_8oz_grande_a1b8b652-4526-48c4-b509-73b34df50db9_50x.jpg?v=1691124810")</f>
        <v/>
      </c>
      <c r="H3291">
        <f>_xlfn.IMAGE("https://m.media-amazon.com/images/I/61ZU2ru9EhL._AC_UL320_.jpg")</f>
        <v/>
      </c>
      <c r="K3291" t="inlineStr">
        <is>
          <t>14.0</t>
        </is>
      </c>
      <c r="L3291" t="n">
        <v>39</v>
      </c>
      <c r="M3291" s="1" t="inlineStr">
        <is>
          <t>178.57%</t>
        </is>
      </c>
      <c r="N3291" t="n">
        <v>4.5</v>
      </c>
      <c r="O3291" t="n">
        <v>4111</v>
      </c>
      <c r="Q3291" t="inlineStr">
        <is>
          <t>InStock</t>
        </is>
      </c>
      <c r="R3291" t="inlineStr">
        <is>
          <t>undefined</t>
        </is>
      </c>
      <c r="S3291" t="inlineStr">
        <is>
          <t>9672311882</t>
        </is>
      </c>
    </row>
    <row r="3292" ht="75" customHeight="1">
      <c r="A3292" s="2">
        <f>HYPERLINK("https://camerareadycosmetics.com/products/skindinavia-the-makeup-primer-spray-oil-control", "https://camerareadycosmetics.com/products/skindinavia-the-makeup-primer-spray-oil-control")</f>
        <v/>
      </c>
      <c r="B3292" s="2">
        <f>HYPERLINK("https://camerareadycosmetics.com/products/skindinavia-the-makeup-primer-spray-oil-control", "https://camerareadycosmetics.com/products/skindinavia-the-makeup-primer-spray-oil-control")</f>
        <v/>
      </c>
      <c r="C3292" t="inlineStr">
        <is>
          <t>The Makeup Primer Spray - Oil Control</t>
        </is>
      </c>
      <c r="D3292" t="inlineStr">
        <is>
          <t>Skindinavia The Makeup Primer Spray Oil Control, Long-Lasting Oil Control Face Primer, Shine Reducing, Pore-Minimizer, Oil Absorbing, Mattifying Primer for Oily Skin (4 Oz)</t>
        </is>
      </c>
      <c r="E3292" s="2">
        <f>HYPERLINK("https://www.amazon.com/Skindinavia-Long-Lasting-Pore-Minimizer-Absorbing-Mattifying/dp/B00K06EYDS/ref=sr_1_1?keywords=The+Makeup+Primer+Spray+-+Oil+Control&amp;qid=1695565462&amp;sr=8-1", "https://www.amazon.com/Skindinavia-Long-Lasting-Pore-Minimizer-Absorbing-Mattifying/dp/B00K06EYDS/ref=sr_1_1?keywords=The+Makeup+Primer+Spray+-+Oil+Control&amp;qid=1695565462&amp;sr=8-1")</f>
        <v/>
      </c>
      <c r="F3292" t="inlineStr">
        <is>
          <t>B00K06EYDS</t>
        </is>
      </c>
      <c r="G3292">
        <f>_xlfn.IMAGE("https://camerareadycosmetics.com/cdn/shop/products/skindinavia_primer_spray_oil_control_8oz_grande_a1b8b652-4526-48c4-b509-73b34df50db9_50x.jpg?v=1691124810")</f>
        <v/>
      </c>
      <c r="H3292">
        <f>_xlfn.IMAGE("https://m.media-amazon.com/images/I/61xs1f-t2+L._AC_UL320_.jpg")</f>
        <v/>
      </c>
      <c r="K3292" t="inlineStr">
        <is>
          <t>14.0</t>
        </is>
      </c>
      <c r="L3292" t="n">
        <v>35</v>
      </c>
      <c r="M3292" s="1" t="inlineStr">
        <is>
          <t>150.00%</t>
        </is>
      </c>
      <c r="N3292" t="n">
        <v>4.4</v>
      </c>
      <c r="O3292" t="n">
        <v>749</v>
      </c>
      <c r="Q3292" t="inlineStr">
        <is>
          <t>InStock</t>
        </is>
      </c>
      <c r="R3292" t="inlineStr">
        <is>
          <t>undefined</t>
        </is>
      </c>
      <c r="S3292" t="inlineStr">
        <is>
          <t>9672311882</t>
        </is>
      </c>
    </row>
    <row r="3293" ht="75" customHeight="1">
      <c r="A3293" s="2">
        <f>HYPERLINK("https://camerareadycosmetics.com/products/skindinavia-the-makeup-primer-spray-oil-control", "https://camerareadycosmetics.com/products/skindinavia-the-makeup-primer-spray-oil-control")</f>
        <v/>
      </c>
      <c r="B3293" s="2">
        <f>HYPERLINK("https://camerareadycosmetics.com/products/skindinavia-the-makeup-primer-spray-oil-control", "https://camerareadycosmetics.com/products/skindinavia-the-makeup-primer-spray-oil-control")</f>
        <v/>
      </c>
      <c r="C3293" t="inlineStr">
        <is>
          <t>The Makeup Primer Spray - Oil Control</t>
        </is>
      </c>
      <c r="D3293" t="inlineStr">
        <is>
          <t>Urban Decay All Nighter Ultra Matte Setting Spray - Makeup Finishing Spray - Lasts Up To 16 Hours - Oil &amp; Shine-Controlling Mist - Great for Oily Skin</t>
        </is>
      </c>
      <c r="E3293" s="2">
        <f>HYPERLINK("https://www.amazon.com/Urban-Decay-Spray-Ultra-Matte/dp/B083TY8N7Q/ref=sr_1_8?keywords=The+Makeup+Primer+Spray+-+Oil+Control&amp;qid=1695565462&amp;sr=8-8", "https://www.amazon.com/Urban-Decay-Spray-Ultra-Matte/dp/B083TY8N7Q/ref=sr_1_8?keywords=The+Makeup+Primer+Spray+-+Oil+Control&amp;qid=1695565462&amp;sr=8-8")</f>
        <v/>
      </c>
      <c r="F3293" t="inlineStr">
        <is>
          <t>B083TY8N7Q</t>
        </is>
      </c>
      <c r="G3293">
        <f>_xlfn.IMAGE("https://camerareadycosmetics.com/cdn/shop/products/skindinavia_primer_spray_oil_control_8oz_grande_a1b8b652-4526-48c4-b509-73b34df50db9_50x.jpg?v=1691124810")</f>
        <v/>
      </c>
      <c r="H3293">
        <f>_xlfn.IMAGE("https://m.media-amazon.com/images/I/51Ah3OYNwbL._AC_UL320_.jpg")</f>
        <v/>
      </c>
      <c r="K3293" t="inlineStr">
        <is>
          <t>14.0</t>
        </is>
      </c>
      <c r="L3293" t="n">
        <v>30.6</v>
      </c>
      <c r="M3293" s="1" t="inlineStr">
        <is>
          <t>118.57%</t>
        </is>
      </c>
      <c r="N3293" t="n">
        <v>4.2</v>
      </c>
      <c r="O3293" t="n">
        <v>2247</v>
      </c>
      <c r="Q3293" t="inlineStr">
        <is>
          <t>InStock</t>
        </is>
      </c>
      <c r="R3293" t="inlineStr">
        <is>
          <t>undefined</t>
        </is>
      </c>
      <c r="S3293" t="inlineStr">
        <is>
          <t>9672311882</t>
        </is>
      </c>
    </row>
    <row r="3294" ht="75" customHeight="1">
      <c r="A3294" s="2">
        <f>HYPERLINK("https://camerareadycosmetics.com/products/skindinavia-the-makeup-primer-spray-oil-control", "https://camerareadycosmetics.com/products/skindinavia-the-makeup-primer-spray-oil-control")</f>
        <v/>
      </c>
      <c r="B3294" s="2">
        <f>HYPERLINK("https://camerareadycosmetics.com/products/skindinavia-the-makeup-primer-spray-oil-control", "https://camerareadycosmetics.com/products/skindinavia-the-makeup-primer-spray-oil-control")</f>
        <v/>
      </c>
      <c r="C3294" t="inlineStr">
        <is>
          <t>The Makeup Primer Spray - Oil Control</t>
        </is>
      </c>
      <c r="D3294" t="inlineStr">
        <is>
          <t>Gerard Cosmetics Slay All Day Makeup Setting Spray | Rose Scented | Matte Finish with Oil Control | Cruelty Free, Long Lasting Finishing Spray, 3.38oz (100ml)</t>
        </is>
      </c>
      <c r="E3294" s="2">
        <f>HYPERLINK("https://www.amazon.com/Gerard-Cosmetics-Slay-Setting-Spray/dp/B0762XS7RF/ref=sr_1_9?keywords=The+Makeup+Primer+Spray+-+Oil+Control&amp;qid=1695565462&amp;rdc=1&amp;sr=8-9", "https://www.amazon.com/Gerard-Cosmetics-Slay-Setting-Spray/dp/B0762XS7RF/ref=sr_1_9?keywords=The+Makeup+Primer+Spray+-+Oil+Control&amp;qid=1695565462&amp;rdc=1&amp;sr=8-9")</f>
        <v/>
      </c>
      <c r="F3294" t="inlineStr">
        <is>
          <t>B0762XS7RF</t>
        </is>
      </c>
      <c r="G3294">
        <f>_xlfn.IMAGE("https://camerareadycosmetics.com/cdn/shop/products/skindinavia_primer_spray_oil_control_8oz_grande_a1b8b652-4526-48c4-b509-73b34df50db9_50x.jpg?v=1691124810")</f>
        <v/>
      </c>
      <c r="H3294">
        <f>_xlfn.IMAGE("https://m.media-amazon.com/images/I/51cJFBFNSAL._AC_UL320_.jpg")</f>
        <v/>
      </c>
      <c r="K3294" t="inlineStr">
        <is>
          <t>14.0</t>
        </is>
      </c>
      <c r="L3294" t="n">
        <v>22</v>
      </c>
      <c r="M3294" s="1" t="inlineStr">
        <is>
          <t>57.14%</t>
        </is>
      </c>
      <c r="N3294" t="n">
        <v>4.3</v>
      </c>
      <c r="O3294" t="n">
        <v>1061</v>
      </c>
      <c r="Q3294" t="inlineStr">
        <is>
          <t>InStock</t>
        </is>
      </c>
      <c r="R3294" t="inlineStr">
        <is>
          <t>undefined</t>
        </is>
      </c>
      <c r="S3294" t="inlineStr">
        <is>
          <t>9672311882</t>
        </is>
      </c>
    </row>
    <row r="3295" ht="75" customHeight="1">
      <c r="A3295" s="2">
        <f>HYPERLINK("https://camerareadycosmetics.com/products/skindinavia-the-makeup-primer-spray-oil-control", "https://camerareadycosmetics.com/products/skindinavia-the-makeup-primer-spray-oil-control")</f>
        <v/>
      </c>
      <c r="B3295" s="2">
        <f>HYPERLINK("https://camerareadycosmetics.com/products/skindinavia-the-makeup-primer-spray-oil-control", "https://camerareadycosmetics.com/products/skindinavia-the-makeup-primer-spray-oil-control")</f>
        <v/>
      </c>
      <c r="C3295" t="inlineStr">
        <is>
          <t>The Makeup Primer Spray - Oil Control</t>
        </is>
      </c>
      <c r="D3295" t="inlineStr">
        <is>
          <t>LUNA Long Lasting Makeup Finishing Setting Spray, Weightless with Micro-Fine Mist Oil Control, Natural Finish, Non-Drying Formula for All Skin Type, Korean Makeup, 3.3 fl oz</t>
        </is>
      </c>
      <c r="E3295" s="2">
        <f>HYPERLINK("https://www.amazon.com/AEKYUNG-Long-Lasting-Lightweight-Micro-Fine-Non-Drying/dp/B09BCNGCLK/ref=sr_1_7?keywords=The+Makeup+Primer+Spray+-+Oil+Control&amp;qid=1695565462&amp;sr=8-7", "https://www.amazon.com/AEKYUNG-Long-Lasting-Lightweight-Micro-Fine-Non-Drying/dp/B09BCNGCLK/ref=sr_1_7?keywords=The+Makeup+Primer+Spray+-+Oil+Control&amp;qid=1695565462&amp;sr=8-7")</f>
        <v/>
      </c>
      <c r="F3295" t="inlineStr">
        <is>
          <t>B09BCNGCLK</t>
        </is>
      </c>
      <c r="G3295">
        <f>_xlfn.IMAGE("https://camerareadycosmetics.com/cdn/shop/products/skindinavia_primer_spray_oil_control_8oz_grande_a1b8b652-4526-48c4-b509-73b34df50db9_50x.jpg?v=1691124810")</f>
        <v/>
      </c>
      <c r="H3295">
        <f>_xlfn.IMAGE("https://m.media-amazon.com/images/I/61NC4pwec2L._AC_UL320_.jpg")</f>
        <v/>
      </c>
      <c r="K3295" t="inlineStr">
        <is>
          <t>14.0</t>
        </is>
      </c>
      <c r="L3295" t="n">
        <v>17.99</v>
      </c>
      <c r="M3295" s="1" t="inlineStr">
        <is>
          <t>28.50%</t>
        </is>
      </c>
      <c r="N3295" t="n">
        <v>4.5</v>
      </c>
      <c r="O3295" t="n">
        <v>159</v>
      </c>
      <c r="Q3295" t="inlineStr">
        <is>
          <t>InStock</t>
        </is>
      </c>
      <c r="R3295" t="inlineStr">
        <is>
          <t>undefined</t>
        </is>
      </c>
      <c r="S3295" t="inlineStr">
        <is>
          <t>9672311882</t>
        </is>
      </c>
    </row>
    <row r="3296" ht="75" customHeight="1">
      <c r="A3296" s="2">
        <f>HYPERLINK("https://camerareadycosmetics.com/products/skindinavia-the-makeup-primer-spray-oil-control", "https://camerareadycosmetics.com/products/skindinavia-the-makeup-primer-spray-oil-control")</f>
        <v/>
      </c>
      <c r="B3296" s="2">
        <f>HYPERLINK("https://camerareadycosmetics.com/products/skindinavia-the-makeup-primer-spray-oil-control", "https://camerareadycosmetics.com/products/skindinavia-the-makeup-primer-spray-oil-control")</f>
        <v/>
      </c>
      <c r="C3296" t="inlineStr">
        <is>
          <t>The Makeup Primer Spray - Oil Control</t>
        </is>
      </c>
      <c r="D3296" t="inlineStr">
        <is>
          <t>Urban Decay De-Slick Oil Control Matte Makeup Setting Spray - Controls Oil, Blocks Shine &amp; Locks Makeup in Place - Oil-Free, Microfine Face Mist</t>
        </is>
      </c>
      <c r="E3296" s="2">
        <f>HYPERLINK("https://www.amazon.com/Slick-Setting-Spray-slick-Travel/dp/B06WWCG7GG/ref=sr_1_5?keywords=The+Makeup+Primer+Spray+-+Oil+Control&amp;qid=1695565462&amp;sr=8-5", "https://www.amazon.com/Slick-Setting-Spray-slick-Travel/dp/B06WWCG7GG/ref=sr_1_5?keywords=The+Makeup+Primer+Spray+-+Oil+Control&amp;qid=1695565462&amp;sr=8-5")</f>
        <v/>
      </c>
      <c r="F3296" t="inlineStr">
        <is>
          <t>B06WWCG7GG</t>
        </is>
      </c>
      <c r="G3296">
        <f>_xlfn.IMAGE("https://camerareadycosmetics.com/cdn/shop/products/skindinavia_primer_spray_oil_control_8oz_grande_a1b8b652-4526-48c4-b509-73b34df50db9_50x.jpg?v=1691124810")</f>
        <v/>
      </c>
      <c r="H3296">
        <f>_xlfn.IMAGE("https://m.media-amazon.com/images/I/61yfmAySxAL._AC_UL320_.jpg")</f>
        <v/>
      </c>
      <c r="K3296" t="inlineStr">
        <is>
          <t>14.0</t>
        </is>
      </c>
      <c r="L3296" t="n">
        <v>13.6</v>
      </c>
      <c r="M3296" s="1" t="inlineStr">
        <is>
          <t>-2.86%</t>
        </is>
      </c>
      <c r="N3296" t="n">
        <v>4.6</v>
      </c>
      <c r="O3296" t="n">
        <v>2044</v>
      </c>
      <c r="Q3296" t="inlineStr">
        <is>
          <t>InStock</t>
        </is>
      </c>
      <c r="R3296" t="inlineStr">
        <is>
          <t>undefined</t>
        </is>
      </c>
      <c r="S3296" t="inlineStr">
        <is>
          <t>9672311882</t>
        </is>
      </c>
    </row>
    <row r="3297" ht="75" customHeight="1">
      <c r="A3297" s="2">
        <f>HYPERLINK("https://camerareadycosmetics.com/products/skindinavia-the-makeup-primer-spray-oil-control", "https://camerareadycosmetics.com/products/skindinavia-the-makeup-primer-spray-oil-control")</f>
        <v/>
      </c>
      <c r="B3297" s="2">
        <f>HYPERLINK("https://camerareadycosmetics.com/products/skindinavia-the-makeup-primer-spray-oil-control", "https://camerareadycosmetics.com/products/skindinavia-the-makeup-primer-spray-oil-control")</f>
        <v/>
      </c>
      <c r="C3297" t="inlineStr">
        <is>
          <t>The Makeup Primer Spray - Oil Control</t>
        </is>
      </c>
      <c r="D3297" t="inlineStr">
        <is>
          <t>Oil Control Primer Spray</t>
        </is>
      </c>
      <c r="E3297" s="2">
        <f>HYPERLINK("https://www.amazon.com/City-Color-Control-Primer-Citrus/dp/B01LZPUFRD/ref=sr_1_4?keywords=The+Makeup+Primer+Spray+-+Oil+Control&amp;qid=1695565462&amp;sr=8-4", "https://www.amazon.com/City-Color-Control-Primer-Citrus/dp/B01LZPUFRD/ref=sr_1_4?keywords=The+Makeup+Primer+Spray+-+Oil+Control&amp;qid=1695565462&amp;sr=8-4")</f>
        <v/>
      </c>
      <c r="F3297" t="inlineStr">
        <is>
          <t>B01LZPUFRD</t>
        </is>
      </c>
      <c r="G3297">
        <f>_xlfn.IMAGE("https://camerareadycosmetics.com/cdn/shop/products/skindinavia_primer_spray_oil_control_8oz_grande_a1b8b652-4526-48c4-b509-73b34df50db9_50x.jpg?v=1691124810")</f>
        <v/>
      </c>
      <c r="H3297">
        <f>_xlfn.IMAGE("https://m.media-amazon.com/images/I/71-imyJiXLL._AC_UL320_.jpg")</f>
        <v/>
      </c>
      <c r="K3297" t="inlineStr">
        <is>
          <t>14.0</t>
        </is>
      </c>
      <c r="L3297" t="n">
        <v>8.99</v>
      </c>
      <c r="M3297" s="1" t="inlineStr">
        <is>
          <t>-35.79%</t>
        </is>
      </c>
      <c r="N3297" t="n">
        <v>4.2</v>
      </c>
      <c r="O3297" t="n">
        <v>839</v>
      </c>
      <c r="Q3297" t="inlineStr">
        <is>
          <t>InStock</t>
        </is>
      </c>
      <c r="R3297" t="inlineStr">
        <is>
          <t>undefined</t>
        </is>
      </c>
      <c r="S3297" t="inlineStr">
        <is>
          <t>9672311882</t>
        </is>
      </c>
    </row>
    <row r="3298" ht="75" customHeight="1">
      <c r="A3298" s="2">
        <f>HYPERLINK("https://camerareadycosmetics.com/products/skindinavia-the-makeup-primer-spray-oil-control", "https://camerareadycosmetics.com/products/skindinavia-the-makeup-primer-spray-oil-control")</f>
        <v/>
      </c>
      <c r="B3298" s="2">
        <f>HYPERLINK("https://camerareadycosmetics.com/products/skindinavia-the-makeup-primer-spray-oil-control", "https://camerareadycosmetics.com/products/skindinavia-the-makeup-primer-spray-oil-control")</f>
        <v/>
      </c>
      <c r="C3298" t="inlineStr">
        <is>
          <t>The Makeup Primer Spray - Oil Control</t>
        </is>
      </c>
      <c r="D3298" t="inlineStr">
        <is>
          <t>Matte Setting Spray, 12h Long Lasting Makeup Finishing Spray, Oil control Face Primer Mist for All Skin, Cruelty-free Vegan Formula with Chamomile, 1.7 Fl Oz</t>
        </is>
      </c>
      <c r="E3298" s="2">
        <f>HYPERLINK("https://www.amazon.com/CARSLAN-Setting-Finishing-Cruelty-free-Chamomile/dp/B0BJ2RB83M/ref=sr_1_6?keywords=The+Makeup+Primer+Spray+-+Oil+Control&amp;qid=1695565462&amp;sr=8-6", "https://www.amazon.com/CARSLAN-Setting-Finishing-Cruelty-free-Chamomile/dp/B0BJ2RB83M/ref=sr_1_6?keywords=The+Makeup+Primer+Spray+-+Oil+Control&amp;qid=1695565462&amp;sr=8-6")</f>
        <v/>
      </c>
      <c r="F3298" t="inlineStr">
        <is>
          <t>B0BJ2RB83M</t>
        </is>
      </c>
      <c r="G3298">
        <f>_xlfn.IMAGE("https://camerareadycosmetics.com/cdn/shop/products/skindinavia_primer_spray_oil_control_8oz_grande_a1b8b652-4526-48c4-b509-73b34df50db9_50x.jpg?v=1691124810")</f>
        <v/>
      </c>
      <c r="H3298">
        <f>_xlfn.IMAGE("https://m.media-amazon.com/images/I/51Jn9+ZRqCL._AC_UL320_.jpg")</f>
        <v/>
      </c>
      <c r="K3298" t="inlineStr">
        <is>
          <t>14.0</t>
        </is>
      </c>
      <c r="L3298" t="n">
        <v>7.99</v>
      </c>
      <c r="M3298" s="1" t="inlineStr">
        <is>
          <t>-42.93%</t>
        </is>
      </c>
      <c r="N3298" t="n">
        <v>4.1</v>
      </c>
      <c r="O3298" t="n">
        <v>17</v>
      </c>
      <c r="Q3298" t="inlineStr">
        <is>
          <t>InStock</t>
        </is>
      </c>
      <c r="R3298" t="inlineStr">
        <is>
          <t>undefined</t>
        </is>
      </c>
      <c r="S3298" t="inlineStr">
        <is>
          <t>9672311882</t>
        </is>
      </c>
    </row>
    <row r="3299" ht="75" customHeight="1">
      <c r="A3299" s="2">
        <f>HYPERLINK("https://camerareadycosmetics.com/products/skindinavia-the-original-makeup-finishing-spray", "https://camerareadycosmetics.com/products/skindinavia-the-original-makeup-finishing-spray")</f>
        <v/>
      </c>
      <c r="B3299" s="2">
        <f>HYPERLINK("https://camerareadycosmetics.com/products/skindinavia-the-original-makeup-finishing-spray", "https://camerareadycosmetics.com/products/skindinavia-the-original-makeup-finishing-spray")</f>
        <v/>
      </c>
      <c r="C3299" t="inlineStr">
        <is>
          <t>The Original Makeup Finishing Spray</t>
        </is>
      </c>
      <c r="D3299" t="inlineStr">
        <is>
          <t>Skindinavia The Makeup Finishing Spray, Long-Lasting Up to 16+ Hours, Heat-Resistant &amp; Waterproof, Fine Mist Finishing Spray for Makeup (4 Oz)</t>
        </is>
      </c>
      <c r="E3299" s="2">
        <f>HYPERLINK("https://www.amazon.com/Skindinavia-Makeup-Finishing-Spray-Fluid/dp/B00JZKWO14/ref=sr_1_3?keywords=The+Original+Makeup+Finishing+Spray&amp;qid=1695565439&amp;sr=8-3", "https://www.amazon.com/Skindinavia-Makeup-Finishing-Spray-Fluid/dp/B00JZKWO14/ref=sr_1_3?keywords=The+Original+Makeup+Finishing+Spray&amp;qid=1695565439&amp;sr=8-3")</f>
        <v/>
      </c>
      <c r="F3299" t="inlineStr">
        <is>
          <t>B00JZKWO14</t>
        </is>
      </c>
      <c r="G3299">
        <f>_xlfn.IMAGE("https://camerareadycosmetics.com/cdn/shop/products/2595_zoom_1438819706_50x.jpg?v=1689637494")</f>
        <v/>
      </c>
      <c r="H3299">
        <f>_xlfn.IMAGE("https://m.media-amazon.com/images/I/61vO++PneaL._AC_UL320_.jpg")</f>
        <v/>
      </c>
      <c r="K3299" t="inlineStr">
        <is>
          <t>11.0</t>
        </is>
      </c>
      <c r="L3299" t="n">
        <v>29</v>
      </c>
      <c r="M3299" s="1" t="inlineStr">
        <is>
          <t>163.64%</t>
        </is>
      </c>
      <c r="N3299" t="n">
        <v>4.5</v>
      </c>
      <c r="O3299" t="n">
        <v>4111</v>
      </c>
      <c r="Q3299" t="inlineStr">
        <is>
          <t>InStock</t>
        </is>
      </c>
      <c r="R3299" t="inlineStr">
        <is>
          <t>undefined</t>
        </is>
      </c>
      <c r="S3299" t="inlineStr">
        <is>
          <t>7038240775</t>
        </is>
      </c>
    </row>
    <row r="3300" ht="75" customHeight="1">
      <c r="A3300" s="2">
        <f>HYPERLINK("https://camerareadycosmetics.com/products/skin-illustrator-zero-color-loose-setting-powder", "https://camerareadycosmetics.com/products/skin-illustrator-zero-color-loose-setting-powder")</f>
        <v/>
      </c>
      <c r="B3300" s="2">
        <f>HYPERLINK("https://camerareadycosmetics.com/products/skin-illustrator-zero-color-loose-setting-powder", "https://camerareadycosmetics.com/products/skin-illustrator-zero-color-loose-setting-powder")</f>
        <v/>
      </c>
      <c r="C3300" t="inlineStr">
        <is>
          <t>Zero Color Loose Setting Powder</t>
        </is>
      </c>
      <c r="D3300" t="inlineStr">
        <is>
          <t>PPI Skin Illustrator Zero Color Loose Setting Powder, Color Less Translucent Face Powder for Setting Makeup, 3oz Shaker Top Bottle</t>
        </is>
      </c>
      <c r="E3300" s="2">
        <f>HYPERLINK("https://www.amazon.com/Skin-Illustrator-Setting-Powder-Translucent/dp/B07D3DFVRF/ref=sr_1_1?keywords=Zero+Color+Loose+Setting+Powder&amp;qid=1695565685&amp;sr=8-1", "https://www.amazon.com/Skin-Illustrator-Setting-Powder-Translucent/dp/B07D3DFVRF/ref=sr_1_1?keywords=Zero+Color+Loose+Setting+Powder&amp;qid=1695565685&amp;sr=8-1")</f>
        <v/>
      </c>
      <c r="F3300" t="inlineStr">
        <is>
          <t>B07D3DFVRF</t>
        </is>
      </c>
      <c r="G3300">
        <f>_xlfn.IMAGE("https://camerareadycosmetics.com/cdn/shop/products/PPI-skin-illustrator-zero-color-makeup-setting-powder_1_50x.jpg?v=1565380961")</f>
        <v/>
      </c>
      <c r="H3300">
        <f>_xlfn.IMAGE("https://m.media-amazon.com/images/I/71eacfzntbL._AC_UL320_.jpg")</f>
        <v/>
      </c>
      <c r="K3300" t="inlineStr">
        <is>
          <t>14.0</t>
        </is>
      </c>
      <c r="L3300" t="n">
        <v>25.98</v>
      </c>
      <c r="M3300" s="1" t="inlineStr">
        <is>
          <t>85.57%</t>
        </is>
      </c>
      <c r="N3300" t="n">
        <v>3.9</v>
      </c>
      <c r="O3300" t="n">
        <v>29</v>
      </c>
      <c r="Q3300" t="inlineStr">
        <is>
          <t>InStock</t>
        </is>
      </c>
      <c r="R3300" t="inlineStr">
        <is>
          <t>undefined</t>
        </is>
      </c>
      <c r="S3300" t="inlineStr">
        <is>
          <t>3947261755503</t>
        </is>
      </c>
    </row>
    <row r="3301" ht="75" customHeight="1">
      <c r="A3301" s="2">
        <f>HYPERLINK("https://camerareadycosmetics.com/products/skin-illustrator-zero-color-loose-setting-powder", "https://camerareadycosmetics.com/products/skin-illustrator-zero-color-loose-setting-powder")</f>
        <v/>
      </c>
      <c r="B3301" s="2">
        <f>HYPERLINK("https://camerareadycosmetics.com/products/skin-illustrator-zero-color-loose-setting-powder", "https://camerareadycosmetics.com/products/skin-illustrator-zero-color-loose-setting-powder")</f>
        <v/>
      </c>
      <c r="C3301" t="inlineStr">
        <is>
          <t>Zero Color Loose Setting Powder</t>
        </is>
      </c>
      <c r="D3301" t="inlineStr">
        <is>
          <t>2 Colors Oil Control Loose Powder Setting Make Up Kit Waterproof Poreless Long Lasting Soft-Matte Face Powder Makeup Set, 2pcs*0.32Oz</t>
        </is>
      </c>
      <c r="E3301" s="2">
        <f>HYPERLINK("https://www.amazon.com/Control-Setting-Waterproof-Poreless-Soft-Matte/dp/B098X3FLGY/ref=sr_1_2?keywords=Zero+Color+Loose+Setting+Powder&amp;qid=1695565685&amp;sr=8-2", "https://www.amazon.com/Control-Setting-Waterproof-Poreless-Soft-Matte/dp/B098X3FLGY/ref=sr_1_2?keywords=Zero+Color+Loose+Setting+Powder&amp;qid=1695565685&amp;sr=8-2")</f>
        <v/>
      </c>
      <c r="F3301" t="inlineStr">
        <is>
          <t>B098X3FLGY</t>
        </is>
      </c>
      <c r="G3301">
        <f>_xlfn.IMAGE("https://camerareadycosmetics.com/cdn/shop/products/PPI-skin-illustrator-zero-color-makeup-setting-powder_1_50x.jpg?v=1565380961")</f>
        <v/>
      </c>
      <c r="H3301">
        <f>_xlfn.IMAGE("https://m.media-amazon.com/images/I/71eZOD5mpgL._AC_UL320_.jpg")</f>
        <v/>
      </c>
      <c r="K3301" t="inlineStr">
        <is>
          <t>14.0</t>
        </is>
      </c>
      <c r="L3301" t="n">
        <v>13.99</v>
      </c>
      <c r="M3301" s="1" t="inlineStr">
        <is>
          <t>-0.07%</t>
        </is>
      </c>
      <c r="N3301" t="n">
        <v>4.2</v>
      </c>
      <c r="O3301" t="n">
        <v>169</v>
      </c>
      <c r="Q3301" t="inlineStr">
        <is>
          <t>InStock</t>
        </is>
      </c>
      <c r="R3301" t="inlineStr">
        <is>
          <t>undefined</t>
        </is>
      </c>
      <c r="S3301" t="inlineStr">
        <is>
          <t>3947261755503</t>
        </is>
      </c>
    </row>
    <row r="3302" ht="75" customHeight="1">
      <c r="A3302" s="2">
        <f>HYPERLINK("https://camerareadycosmetics.com/products/skin-illustrator-zero-color-loose-setting-powder", "https://camerareadycosmetics.com/products/skin-illustrator-zero-color-loose-setting-powder")</f>
        <v/>
      </c>
      <c r="B3302" s="2">
        <f>HYPERLINK("https://camerareadycosmetics.com/products/skin-illustrator-zero-color-loose-setting-powder", "https://camerareadycosmetics.com/products/skin-illustrator-zero-color-loose-setting-powder")</f>
        <v/>
      </c>
      <c r="C3302" t="inlineStr">
        <is>
          <t>Zero Color Loose Setting Powder</t>
        </is>
      </c>
      <c r="D3302" t="inlineStr">
        <is>
          <t>ETUDE Zero Sebum Drying Powder 4g New | Lightweight Oil Control No Sebum Loose Face Powder with 80% Mineral | Long Lasting for Setting or Foundation Makes Skin Downy</t>
        </is>
      </c>
      <c r="E3302" s="2">
        <f>HYPERLINK("https://www.amazon.com/Lightweight-Control-Mineral-Lasting-Foundation/dp/B09T9KWWBG/ref=sr_1_5?keywords=Zero+Color+Loose+Setting+Powder&amp;qid=1695565685&amp;sr=8-5", "https://www.amazon.com/Lightweight-Control-Mineral-Lasting-Foundation/dp/B09T9KWWBG/ref=sr_1_5?keywords=Zero+Color+Loose+Setting+Powder&amp;qid=1695565685&amp;sr=8-5")</f>
        <v/>
      </c>
      <c r="F3302" t="inlineStr">
        <is>
          <t>B09T9KWWBG</t>
        </is>
      </c>
      <c r="G3302">
        <f>_xlfn.IMAGE("https://camerareadycosmetics.com/cdn/shop/products/PPI-skin-illustrator-zero-color-makeup-setting-powder_1_50x.jpg?v=1565380961")</f>
        <v/>
      </c>
      <c r="H3302">
        <f>_xlfn.IMAGE("https://m.media-amazon.com/images/I/51HF50+u2WL._AC_UL320_.jpg")</f>
        <v/>
      </c>
      <c r="K3302" t="inlineStr">
        <is>
          <t>14.0</t>
        </is>
      </c>
      <c r="L3302" t="n">
        <v>7.5</v>
      </c>
      <c r="M3302" s="1" t="inlineStr">
        <is>
          <t>-46.43%</t>
        </is>
      </c>
      <c r="N3302" t="n">
        <v>4.3</v>
      </c>
      <c r="O3302" t="n">
        <v>9899</v>
      </c>
      <c r="Q3302" t="inlineStr">
        <is>
          <t>InStock</t>
        </is>
      </c>
      <c r="R3302" t="inlineStr">
        <is>
          <t>undefined</t>
        </is>
      </c>
      <c r="S3302" t="inlineStr">
        <is>
          <t>3947261755503</t>
        </is>
      </c>
    </row>
    <row r="3303" ht="75" customHeight="1">
      <c r="A3303" s="2">
        <f>HYPERLINK("https://camerareadycosmetics.com/products/skyn-iceland-berry-lip-fix", "https://camerareadycosmetics.com/products/skyn-iceland-berry-lip-fix")</f>
        <v/>
      </c>
      <c r="B3303" s="2">
        <f>HYPERLINK("https://camerareadycosmetics.com/products/skyn-iceland-berry-lip-fix", "https://camerareadycosmetics.com/products/skyn-iceland-berry-lip-fix")</f>
        <v/>
      </c>
      <c r="C3303" t="inlineStr">
        <is>
          <t>Berry Lip Fix</t>
        </is>
      </c>
      <c r="D3303" t="inlineStr">
        <is>
          <t>skyn ICELAND Berry Lip Fix: for Damaged Lips with Long-Lasting Hydration, 12ml / 0.41 oz</t>
        </is>
      </c>
      <c r="E3303" s="2">
        <f>HYPERLINK("https://www.amazon.com/skyn-ICELAND-Berry-Lip-0-41/dp/B07574V8WG/ref=sr_1_1?keywords=Berry+Lip+Fix&amp;qid=1695565758&amp;sr=8-1", "https://www.amazon.com/skyn-ICELAND-Berry-Lip-0-41/dp/B07574V8WG/ref=sr_1_1?keywords=Berry+Lip+Fix&amp;qid=1695565758&amp;sr=8-1")</f>
        <v/>
      </c>
      <c r="F3303" t="inlineStr">
        <is>
          <t>B07574V8WG</t>
        </is>
      </c>
      <c r="G3303">
        <f>_xlfn.IMAGE("https://camerareadycosmetics.com/cdn/shop/products/Skyn_Iceland_Berry_Lip_Fix-open_1_50x.jpg?v=1547679885")</f>
        <v/>
      </c>
      <c r="H3303">
        <f>_xlfn.IMAGE("https://m.media-amazon.com/images/I/81cUvanTxlL._AC_UL320_.jpg")</f>
        <v/>
      </c>
      <c r="K3303" t="inlineStr">
        <is>
          <t>16.0</t>
        </is>
      </c>
      <c r="L3303" t="n">
        <v>26</v>
      </c>
      <c r="M3303" s="1" t="inlineStr">
        <is>
          <t>62.50%</t>
        </is>
      </c>
      <c r="N3303" t="n">
        <v>4.4</v>
      </c>
      <c r="O3303" t="n">
        <v>493</v>
      </c>
      <c r="Q3303" t="inlineStr">
        <is>
          <t>InStock</t>
        </is>
      </c>
      <c r="R3303" t="inlineStr">
        <is>
          <t>undefined</t>
        </is>
      </c>
      <c r="S3303" t="inlineStr">
        <is>
          <t>2094133837935</t>
        </is>
      </c>
    </row>
    <row r="3304" ht="75" customHeight="1">
      <c r="A3304" s="2">
        <f>HYPERLINK("https://camerareadycosmetics.com/products/skyn-iceland-berry-lip-fix", "https://camerareadycosmetics.com/products/skyn-iceland-berry-lip-fix")</f>
        <v/>
      </c>
      <c r="B3304" s="2">
        <f>HYPERLINK("https://camerareadycosmetics.com/products/skyn-iceland-berry-lip-fix", "https://camerareadycosmetics.com/products/skyn-iceland-berry-lip-fix")</f>
        <v/>
      </c>
      <c r="C3304" t="inlineStr">
        <is>
          <t>Berry Lip Fix</t>
        </is>
      </c>
      <c r="D3304" t="inlineStr">
        <is>
          <t>ETUDE Fixing Tint Bar #2 Clear Berry | No Smudge Fixing Tint Long Lasting Hydro Matte Lipstick That Fixes comfortably | Daily Use Soft Texture Color Lipstick | Korean Moisturizing Lightweight Lip Stain</t>
        </is>
      </c>
      <c r="E3304" s="2">
        <f>HYPERLINK("https://www.amazon.com/Lasting-Lipstick-comfortably-Moisturizing-Lightweight/dp/B0B5W5VWYS/ref=sr_1_8?keywords=Berry+Lip+Fix&amp;qid=1695565758&amp;sr=8-8", "https://www.amazon.com/Lasting-Lipstick-comfortably-Moisturizing-Lightweight/dp/B0B5W5VWYS/ref=sr_1_8?keywords=Berry+Lip+Fix&amp;qid=1695565758&amp;sr=8-8")</f>
        <v/>
      </c>
      <c r="F3304" t="inlineStr">
        <is>
          <t>B0B5W5VWYS</t>
        </is>
      </c>
      <c r="G3304">
        <f>_xlfn.IMAGE("https://camerareadycosmetics.com/cdn/shop/products/Skyn_Iceland_Berry_Lip_Fix-open_1_50x.jpg?v=1547679885")</f>
        <v/>
      </c>
      <c r="H3304">
        <f>_xlfn.IMAGE("https://m.media-amazon.com/images/I/51YVH-JBoML._AC_UL320_.jpg")</f>
        <v/>
      </c>
      <c r="K3304" t="inlineStr">
        <is>
          <t>16.0</t>
        </is>
      </c>
      <c r="L3304" t="n">
        <v>17</v>
      </c>
      <c r="M3304" s="1" t="inlineStr">
        <is>
          <t>6.25%</t>
        </is>
      </c>
      <c r="N3304" t="n">
        <v>4.2</v>
      </c>
      <c r="O3304" t="n">
        <v>68</v>
      </c>
      <c r="Q3304" t="inlineStr">
        <is>
          <t>InStock</t>
        </is>
      </c>
      <c r="R3304" t="inlineStr">
        <is>
          <t>undefined</t>
        </is>
      </c>
      <c r="S3304" t="inlineStr">
        <is>
          <t>2094133837935</t>
        </is>
      </c>
    </row>
    <row r="3305" ht="75" customHeight="1">
      <c r="A3305" s="2">
        <f>HYPERLINK("https://camerareadycosmetics.com/products/smashbox-always-on-cream-eyeshadow", "https://camerareadycosmetics.com/products/smashbox-always-on-cream-eyeshadow")</f>
        <v/>
      </c>
      <c r="B3305" s="2">
        <f>HYPERLINK("https://camerareadycosmetics.com/products/smashbox-always-on-cream-eyeshadow", "https://camerareadycosmetics.com/products/smashbox-always-on-cream-eyeshadow")</f>
        <v/>
      </c>
      <c r="C3305" t="inlineStr">
        <is>
          <t>Always On Cream Eyeshadow</t>
        </is>
      </c>
      <c r="D3305" t="inlineStr">
        <is>
          <t>SMASHBOX Always On Cream Shadow - Taupe</t>
        </is>
      </c>
      <c r="E3305" s="2">
        <f>HYPERLINK("https://www.amazon.com/SMASHBOX-Always-Cream-Shadow-Taupe/dp/B0BL961ZD1/ref=sr_1_10?keywords=Always+On+Cream+Eyeshadow&amp;qid=1695565635&amp;sr=8-10", "https://www.amazon.com/SMASHBOX-Always-Cream-Shadow-Taupe/dp/B0BL961ZD1/ref=sr_1_10?keywords=Always+On+Cream+Eyeshadow&amp;qid=1695565635&amp;sr=8-10")</f>
        <v/>
      </c>
      <c r="F3305" t="inlineStr">
        <is>
          <t>B0BL961ZD1</t>
        </is>
      </c>
      <c r="G3305">
        <f>_xlfn.IMAGE("https://camerareadycosmetics.com/cdn/shop/products/rose-Smashbox-Always-On-Cream-Eyeshadow_50x.jpg?v=1612601930")</f>
        <v/>
      </c>
      <c r="H3305">
        <f>_xlfn.IMAGE("https://m.media-amazon.com/images/I/51SydQemSjL._AC_UL320_.jpg")</f>
        <v/>
      </c>
      <c r="K3305" t="inlineStr">
        <is>
          <t>28.0</t>
        </is>
      </c>
      <c r="L3305" t="n">
        <v>19.88</v>
      </c>
      <c r="M3305" s="1" t="inlineStr">
        <is>
          <t>-29.00%</t>
        </is>
      </c>
      <c r="N3305" t="n">
        <v>3.5</v>
      </c>
      <c r="O3305" t="n">
        <v>7</v>
      </c>
      <c r="Q3305" t="inlineStr">
        <is>
          <t>InStock</t>
        </is>
      </c>
      <c r="R3305" t="inlineStr">
        <is>
          <t>undefined</t>
        </is>
      </c>
      <c r="S3305" t="inlineStr">
        <is>
          <t>6280286929081</t>
        </is>
      </c>
    </row>
    <row r="3306" ht="75" customHeight="1">
      <c r="A3306" s="2">
        <f>HYPERLINK("https://camerareadycosmetics.com/products/smashbox-always-on-cream-eyeshadow", "https://camerareadycosmetics.com/products/smashbox-always-on-cream-eyeshadow")</f>
        <v/>
      </c>
      <c r="B3306" s="2">
        <f>HYPERLINK("https://camerareadycosmetics.com/products/smashbox-always-on-cream-eyeshadow", "https://camerareadycosmetics.com/products/smashbox-always-on-cream-eyeshadow")</f>
        <v/>
      </c>
      <c r="C3306" t="inlineStr">
        <is>
          <t>Always On Cream Eyeshadow</t>
        </is>
      </c>
      <c r="D3306" t="inlineStr">
        <is>
          <t>Smashbox Always On Cream Eyeshadow - Greige Women Eye Shadow 0.34 oz</t>
        </is>
      </c>
      <c r="E3306" s="2">
        <f>HYPERLINK("https://www.amazon.com/SmashBox-Always-Cream-Eyeshadow-Greige/dp/B09BG8T2DG/ref=sr_1_2?keywords=Always+On+Cream+Eyeshadow&amp;qid=1695565635&amp;sr=8-2", "https://www.amazon.com/SmashBox-Always-Cream-Eyeshadow-Greige/dp/B09BG8T2DG/ref=sr_1_2?keywords=Always+On+Cream+Eyeshadow&amp;qid=1695565635&amp;sr=8-2")</f>
        <v/>
      </c>
      <c r="F3306" t="inlineStr">
        <is>
          <t>B09BG8T2DG</t>
        </is>
      </c>
      <c r="G3306">
        <f>_xlfn.IMAGE("https://camerareadycosmetics.com/cdn/shop/products/rose-Smashbox-Always-On-Cream-Eyeshadow_50x.jpg?v=1612601930")</f>
        <v/>
      </c>
      <c r="H3306">
        <f>_xlfn.IMAGE("https://m.media-amazon.com/images/I/61cum9neXBL._AC_UL320_.jpg")</f>
        <v/>
      </c>
      <c r="K3306" t="inlineStr">
        <is>
          <t>28.0</t>
        </is>
      </c>
      <c r="L3306" t="n">
        <v>19.68</v>
      </c>
      <c r="M3306" s="1" t="inlineStr">
        <is>
          <t>-29.71%</t>
        </is>
      </c>
      <c r="N3306" t="n">
        <v>3.8</v>
      </c>
      <c r="O3306" t="n">
        <v>7</v>
      </c>
      <c r="Q3306" t="inlineStr">
        <is>
          <t>InStock</t>
        </is>
      </c>
      <c r="R3306" t="inlineStr">
        <is>
          <t>undefined</t>
        </is>
      </c>
      <c r="S3306" t="inlineStr">
        <is>
          <t>6280286929081</t>
        </is>
      </c>
    </row>
    <row r="3307" ht="75" customHeight="1">
      <c r="A3307" s="2">
        <f>HYPERLINK("https://camerareadycosmetics.com/products/smashbox-always-on-cream-eyeshadow", "https://camerareadycosmetics.com/products/smashbox-always-on-cream-eyeshadow")</f>
        <v/>
      </c>
      <c r="B3307" s="2">
        <f>HYPERLINK("https://camerareadycosmetics.com/products/smashbox-always-on-cream-eyeshadow", "https://camerareadycosmetics.com/products/smashbox-always-on-cream-eyeshadow")</f>
        <v/>
      </c>
      <c r="C3307" t="inlineStr">
        <is>
          <t>Always On Cream Eyeshadow</t>
        </is>
      </c>
      <c r="D3307" t="inlineStr">
        <is>
          <t>Smashbox Always On Shimmer Cream Eye Shadow - Golden Shimmer 0.34oz (10ml)</t>
        </is>
      </c>
      <c r="E3307" s="2">
        <f>HYPERLINK("https://www.amazon.com/Smashbox-Always-Shimmer-Cream-Shadow/dp/B0BPMVQCQD/ref=sr_1_9?keywords=Always+On+Cream+Eyeshadow&amp;qid=1695565635&amp;sr=8-9", "https://www.amazon.com/Smashbox-Always-Shimmer-Cream-Shadow/dp/B0BPMVQCQD/ref=sr_1_9?keywords=Always+On+Cream+Eyeshadow&amp;qid=1695565635&amp;sr=8-9")</f>
        <v/>
      </c>
      <c r="F3307" t="inlineStr">
        <is>
          <t>B0BPMVQCQD</t>
        </is>
      </c>
      <c r="G3307">
        <f>_xlfn.IMAGE("https://camerareadycosmetics.com/cdn/shop/products/rose-Smashbox-Always-On-Cream-Eyeshadow_50x.jpg?v=1612601930")</f>
        <v/>
      </c>
      <c r="H3307">
        <f>_xlfn.IMAGE("https://m.media-amazon.com/images/I/51gbYeeFY8L._AC_UL320_.jpg")</f>
        <v/>
      </c>
      <c r="K3307" t="inlineStr">
        <is>
          <t>28.0</t>
        </is>
      </c>
      <c r="L3307" t="n">
        <v>19.6</v>
      </c>
      <c r="M3307" s="1" t="inlineStr">
        <is>
          <t>-30.00%</t>
        </is>
      </c>
      <c r="N3307" t="n">
        <v>5</v>
      </c>
      <c r="O3307" t="n">
        <v>1</v>
      </c>
      <c r="Q3307" t="inlineStr">
        <is>
          <t>InStock</t>
        </is>
      </c>
      <c r="R3307" t="inlineStr">
        <is>
          <t>undefined</t>
        </is>
      </c>
      <c r="S3307" t="inlineStr">
        <is>
          <t>6280286929081</t>
        </is>
      </c>
    </row>
    <row r="3308" ht="75" customHeight="1">
      <c r="A3308" s="2">
        <f>HYPERLINK("https://camerareadycosmetics.com/products/smashbox-always-on-cream-eyeshadow", "https://camerareadycosmetics.com/products/smashbox-always-on-cream-eyeshadow")</f>
        <v/>
      </c>
      <c r="B3308" s="2">
        <f>HYPERLINK("https://camerareadycosmetics.com/products/smashbox-always-on-cream-eyeshadow", "https://camerareadycosmetics.com/products/smashbox-always-on-cream-eyeshadow")</f>
        <v/>
      </c>
      <c r="C3308" t="inlineStr">
        <is>
          <t>Always On Cream Eyeshadow</t>
        </is>
      </c>
      <c r="D3308" t="inlineStr">
        <is>
          <t>Smashbox Always On Cream Shadow Guava</t>
        </is>
      </c>
      <c r="E3308" s="2">
        <f>HYPERLINK("https://www.amazon.com/Smashbox-Always-Cream-Shadow-Guava/dp/B09BDCHXMP/ref=sr_1_8?keywords=Always+On+Cream+Eyeshadow&amp;qid=1695565635&amp;sr=8-8", "https://www.amazon.com/Smashbox-Always-Cream-Shadow-Guava/dp/B09BDCHXMP/ref=sr_1_8?keywords=Always+On+Cream+Eyeshadow&amp;qid=1695565635&amp;sr=8-8")</f>
        <v/>
      </c>
      <c r="F3308" t="inlineStr">
        <is>
          <t>B09BDCHXMP</t>
        </is>
      </c>
      <c r="G3308">
        <f>_xlfn.IMAGE("https://camerareadycosmetics.com/cdn/shop/products/rose-Smashbox-Always-On-Cream-Eyeshadow_50x.jpg?v=1612601930")</f>
        <v/>
      </c>
      <c r="H3308">
        <f>_xlfn.IMAGE("https://m.media-amazon.com/images/I/21TjaldVoEL._AC_UL320_.jpg")</f>
        <v/>
      </c>
      <c r="K3308" t="inlineStr">
        <is>
          <t>28.0</t>
        </is>
      </c>
      <c r="L3308" t="n">
        <v>18.58</v>
      </c>
      <c r="M3308" s="1" t="inlineStr">
        <is>
          <t>-33.64%</t>
        </is>
      </c>
      <c r="N3308" t="n">
        <v>5</v>
      </c>
      <c r="O3308" t="n">
        <v>5</v>
      </c>
      <c r="Q3308" t="inlineStr">
        <is>
          <t>InStock</t>
        </is>
      </c>
      <c r="R3308" t="inlineStr">
        <is>
          <t>undefined</t>
        </is>
      </c>
      <c r="S3308" t="inlineStr">
        <is>
          <t>6280286929081</t>
        </is>
      </c>
    </row>
    <row r="3309" ht="75" customHeight="1">
      <c r="A3309" s="2">
        <f>HYPERLINK("https://camerareadycosmetics.com/products/smashbox-always-on-cream-eyeshadow", "https://camerareadycosmetics.com/products/smashbox-always-on-cream-eyeshadow")</f>
        <v/>
      </c>
      <c r="B3309" s="2">
        <f>HYPERLINK("https://camerareadycosmetics.com/products/smashbox-always-on-cream-eyeshadow", "https://camerareadycosmetics.com/products/smashbox-always-on-cream-eyeshadow")</f>
        <v/>
      </c>
      <c r="C3309" t="inlineStr">
        <is>
          <t>Always On Cream Eyeshadow</t>
        </is>
      </c>
      <c r="D3309" t="inlineStr">
        <is>
          <t>Smashbox Always On Shimmer Cream Eye Shadow - Charcoal Shimmer 0.34oz (10ml)</t>
        </is>
      </c>
      <c r="E3309" s="2">
        <f>HYPERLINK("https://www.amazon.com/Smashbox-Always-Shimmer-Cream-Shadow/dp/B0BPMXZ4TK/ref=sr_1_7?keywords=Always+On+Cream+Eyeshadow&amp;qid=1695565635&amp;sr=8-7", "https://www.amazon.com/Smashbox-Always-Shimmer-Cream-Shadow/dp/B0BPMXZ4TK/ref=sr_1_7?keywords=Always+On+Cream+Eyeshadow&amp;qid=1695565635&amp;sr=8-7")</f>
        <v/>
      </c>
      <c r="F3309" t="inlineStr">
        <is>
          <t>B0BPMXZ4TK</t>
        </is>
      </c>
      <c r="G3309">
        <f>_xlfn.IMAGE("https://camerareadycosmetics.com/cdn/shop/products/rose-Smashbox-Always-On-Cream-Eyeshadow_50x.jpg?v=1612601930")</f>
        <v/>
      </c>
      <c r="H3309">
        <f>_xlfn.IMAGE("https://m.media-amazon.com/images/I/61XulR27zCL._AC_UL320_.jpg")</f>
        <v/>
      </c>
      <c r="K3309" t="inlineStr">
        <is>
          <t>28.0</t>
        </is>
      </c>
      <c r="L3309" t="n">
        <v>14.97</v>
      </c>
      <c r="M3309" s="1" t="inlineStr">
        <is>
          <t>-46.54%</t>
        </is>
      </c>
      <c r="N3309" t="n">
        <v>5</v>
      </c>
      <c r="O3309" t="n">
        <v>1</v>
      </c>
      <c r="Q3309" t="inlineStr">
        <is>
          <t>InStock</t>
        </is>
      </c>
      <c r="R3309" t="inlineStr">
        <is>
          <t>undefined</t>
        </is>
      </c>
      <c r="S3309" t="inlineStr">
        <is>
          <t>6280286929081</t>
        </is>
      </c>
    </row>
    <row r="3310" ht="75" customHeight="1">
      <c r="A3310" s="2">
        <f>HYPERLINK("https://camerareadycosmetics.com/products/smashbox-always-on-cream-eyeshadow", "https://camerareadycosmetics.com/products/smashbox-always-on-cream-eyeshadow")</f>
        <v/>
      </c>
      <c r="B3310" s="2">
        <f>HYPERLINK("https://camerareadycosmetics.com/products/smashbox-always-on-cream-eyeshadow", "https://camerareadycosmetics.com/products/smashbox-always-on-cream-eyeshadow")</f>
        <v/>
      </c>
      <c r="C3310" t="inlineStr">
        <is>
          <t>Always On Cream Eyeshadow</t>
        </is>
      </c>
      <c r="D3310" t="inlineStr">
        <is>
          <t>Smashbox Always On Cream Eyeshadow - Rose Women Eye Shadow 0.34 oz</t>
        </is>
      </c>
      <c r="E3310" s="2">
        <f>HYPERLINK("https://www.amazon.com/SmashBox-Always-Cream-Eyeshadow-Shadow/dp/B09BDD7FLS/ref=sr_1_3?keywords=Always+On+Cream+Eyeshadow&amp;qid=1695565635&amp;sr=8-3", "https://www.amazon.com/SmashBox-Always-Cream-Eyeshadow-Shadow/dp/B09BDD7FLS/ref=sr_1_3?keywords=Always+On+Cream+Eyeshadow&amp;qid=1695565635&amp;sr=8-3")</f>
        <v/>
      </c>
      <c r="F3310" t="inlineStr">
        <is>
          <t>B09BDD7FLS</t>
        </is>
      </c>
      <c r="G3310">
        <f>_xlfn.IMAGE("https://camerareadycosmetics.com/cdn/shop/products/rose-Smashbox-Always-On-Cream-Eyeshadow_50x.jpg?v=1612601930")</f>
        <v/>
      </c>
      <c r="H3310">
        <f>_xlfn.IMAGE("https://m.media-amazon.com/images/I/61ccPjw7drL._AC_UL320_.jpg")</f>
        <v/>
      </c>
      <c r="K3310" t="inlineStr">
        <is>
          <t>28.0</t>
        </is>
      </c>
      <c r="L3310" t="n">
        <v>14.8</v>
      </c>
      <c r="M3310" s="1" t="inlineStr">
        <is>
          <t>-47.14%</t>
        </is>
      </c>
      <c r="N3310" t="n">
        <v>4</v>
      </c>
      <c r="O3310" t="n">
        <v>17</v>
      </c>
      <c r="Q3310" t="inlineStr">
        <is>
          <t>InStock</t>
        </is>
      </c>
      <c r="R3310" t="inlineStr">
        <is>
          <t>undefined</t>
        </is>
      </c>
      <c r="S3310" t="inlineStr">
        <is>
          <t>6280286929081</t>
        </is>
      </c>
    </row>
    <row r="3311" ht="75" customHeight="1">
      <c r="A3311" s="2">
        <f>HYPERLINK("https://camerareadycosmetics.com/products/smashbox-always-on-cream-eyeshadow", "https://camerareadycosmetics.com/products/smashbox-always-on-cream-eyeshadow")</f>
        <v/>
      </c>
      <c r="B3311" s="2">
        <f>HYPERLINK("https://camerareadycosmetics.com/products/smashbox-always-on-cream-eyeshadow", "https://camerareadycosmetics.com/products/smashbox-always-on-cream-eyeshadow")</f>
        <v/>
      </c>
      <c r="C3311" t="inlineStr">
        <is>
          <t>Always On Cream Eyeshadow</t>
        </is>
      </c>
      <c r="D3311" t="inlineStr">
        <is>
          <t>Smashbox Always On Cream Shadow Sepia</t>
        </is>
      </c>
      <c r="E3311" s="2">
        <f>HYPERLINK("https://www.amazon.com/Smashbox-Always-Cream-Shadow-Sepia/dp/B09BGC2KKR/ref=sr_1_4?keywords=Always+On+Cream+Eyeshadow&amp;qid=1695565635&amp;sr=8-4", "https://www.amazon.com/Smashbox-Always-Cream-Shadow-Sepia/dp/B09BGC2KKR/ref=sr_1_4?keywords=Always+On+Cream+Eyeshadow&amp;qid=1695565635&amp;sr=8-4")</f>
        <v/>
      </c>
      <c r="F3311" t="inlineStr">
        <is>
          <t>B09BGC2KKR</t>
        </is>
      </c>
      <c r="G3311">
        <f>_xlfn.IMAGE("https://camerareadycosmetics.com/cdn/shop/products/rose-Smashbox-Always-On-Cream-Eyeshadow_50x.jpg?v=1612601930")</f>
        <v/>
      </c>
      <c r="H3311">
        <f>_xlfn.IMAGE("https://m.media-amazon.com/images/I/51FukS39bvL._AC_UL320_.jpg")</f>
        <v/>
      </c>
      <c r="K3311" t="inlineStr">
        <is>
          <t>28.0</t>
        </is>
      </c>
      <c r="L3311" t="n">
        <v>14.38</v>
      </c>
      <c r="M3311" s="1" t="inlineStr">
        <is>
          <t>-48.64%</t>
        </is>
      </c>
      <c r="N3311" t="n">
        <v>4.5</v>
      </c>
      <c r="O3311" t="n">
        <v>4</v>
      </c>
      <c r="Q3311" t="inlineStr">
        <is>
          <t>InStock</t>
        </is>
      </c>
      <c r="R3311" t="inlineStr">
        <is>
          <t>undefined</t>
        </is>
      </c>
      <c r="S3311" t="inlineStr">
        <is>
          <t>6280286929081</t>
        </is>
      </c>
    </row>
    <row r="3312" ht="75" customHeight="1">
      <c r="A3312" s="2">
        <f>HYPERLINK("https://camerareadycosmetics.com/products/smashbox-always-on-cream-eyeshadow", "https://camerareadycosmetics.com/products/smashbox-always-on-cream-eyeshadow")</f>
        <v/>
      </c>
      <c r="B3312" s="2">
        <f>HYPERLINK("https://camerareadycosmetics.com/products/smashbox-always-on-cream-eyeshadow", "https://camerareadycosmetics.com/products/smashbox-always-on-cream-eyeshadow")</f>
        <v/>
      </c>
      <c r="C3312" t="inlineStr">
        <is>
          <t>Always On Cream Eyeshadow</t>
        </is>
      </c>
      <c r="D3312" t="inlineStr">
        <is>
          <t>smashbox ALWAYS ON CREAM EYESHADOW OLIVE 0.34 fl oz</t>
        </is>
      </c>
      <c r="E3312" s="2">
        <f>HYPERLINK("https://www.amazon.com/smashbox-ALWAYS-CREAM-EYESHADOW-OLIVE/dp/B09BG7XP43/ref=sr_1_5?keywords=Always+On+Cream+Eyeshadow&amp;qid=1695565635&amp;sr=8-5", "https://www.amazon.com/smashbox-ALWAYS-CREAM-EYESHADOW-OLIVE/dp/B09BG7XP43/ref=sr_1_5?keywords=Always+On+Cream+Eyeshadow&amp;qid=1695565635&amp;sr=8-5")</f>
        <v/>
      </c>
      <c r="F3312" t="inlineStr">
        <is>
          <t>B09BG7XP43</t>
        </is>
      </c>
      <c r="G3312">
        <f>_xlfn.IMAGE("https://camerareadycosmetics.com/cdn/shop/products/rose-Smashbox-Always-On-Cream-Eyeshadow_50x.jpg?v=1612601930")</f>
        <v/>
      </c>
      <c r="H3312">
        <f>_xlfn.IMAGE("https://m.media-amazon.com/images/I/41EJKOKOHlL._AC_UL320_.jpg")</f>
        <v/>
      </c>
      <c r="K3312" t="inlineStr">
        <is>
          <t>28.0</t>
        </is>
      </c>
      <c r="L3312" t="n">
        <v>12</v>
      </c>
      <c r="M3312" s="1" t="inlineStr">
        <is>
          <t>-57.14%</t>
        </is>
      </c>
      <c r="N3312" t="n">
        <v>4.8</v>
      </c>
      <c r="O3312" t="n">
        <v>7</v>
      </c>
      <c r="Q3312" t="inlineStr">
        <is>
          <t>InStock</t>
        </is>
      </c>
      <c r="R3312" t="inlineStr">
        <is>
          <t>undefined</t>
        </is>
      </c>
      <c r="S3312" t="inlineStr">
        <is>
          <t>6280286929081</t>
        </is>
      </c>
    </row>
    <row r="3313" ht="75" customHeight="1">
      <c r="A3313" s="2">
        <f>HYPERLINK("https://camerareadycosmetics.com/products/smashbox-always-on-cream-eyeshadow", "https://camerareadycosmetics.com/products/smashbox-always-on-cream-eyeshadow")</f>
        <v/>
      </c>
      <c r="B3313" s="2">
        <f>HYPERLINK("https://camerareadycosmetics.com/products/smashbox-always-on-cream-eyeshadow", "https://camerareadycosmetics.com/products/smashbox-always-on-cream-eyeshadow")</f>
        <v/>
      </c>
      <c r="C3313" t="inlineStr">
        <is>
          <t>Always On Cream Eyeshadow</t>
        </is>
      </c>
      <c r="D3313" t="inlineStr">
        <is>
          <t>Smashbox Always On Cream Eyeshadow - Amber Women Eye Shadow 0.34 oz</t>
        </is>
      </c>
      <c r="E3313" s="2">
        <f>HYPERLINK("https://www.amazon.com/SmashBox-Always-Cream-Eyeshadow-Shadow/dp/B09BG923KP/ref=sr_1_1?keywords=Always+On+Cream+Eyeshadow&amp;qid=1695565635&amp;sr=8-1", "https://www.amazon.com/SmashBox-Always-Cream-Eyeshadow-Shadow/dp/B09BG923KP/ref=sr_1_1?keywords=Always+On+Cream+Eyeshadow&amp;qid=1695565635&amp;sr=8-1")</f>
        <v/>
      </c>
      <c r="F3313" t="inlineStr">
        <is>
          <t>B09BG923KP</t>
        </is>
      </c>
      <c r="G3313">
        <f>_xlfn.IMAGE("https://camerareadycosmetics.com/cdn/shop/products/rose-Smashbox-Always-On-Cream-Eyeshadow_50x.jpg?v=1612601930")</f>
        <v/>
      </c>
      <c r="H3313">
        <f>_xlfn.IMAGE("https://m.media-amazon.com/images/I/61plouvECoL._AC_UL320_.jpg")</f>
        <v/>
      </c>
      <c r="K3313" t="inlineStr">
        <is>
          <t>28.0</t>
        </is>
      </c>
      <c r="L3313" t="n">
        <v>11.88</v>
      </c>
      <c r="M3313" s="1" t="inlineStr">
        <is>
          <t>-57.57%</t>
        </is>
      </c>
      <c r="N3313" t="n">
        <v>4.8</v>
      </c>
      <c r="O3313" t="n">
        <v>15</v>
      </c>
      <c r="Q3313" t="inlineStr">
        <is>
          <t>InStock</t>
        </is>
      </c>
      <c r="R3313" t="inlineStr">
        <is>
          <t>undefined</t>
        </is>
      </c>
      <c r="S3313" t="inlineStr">
        <is>
          <t>6280286929081</t>
        </is>
      </c>
    </row>
    <row r="3314" ht="75" customHeight="1">
      <c r="A3314" s="2">
        <f>HYPERLINK("https://camerareadycosmetics.com/products/smashbox-always-on-cream-eyeshadow", "https://camerareadycosmetics.com/products/smashbox-always-on-cream-eyeshadow")</f>
        <v/>
      </c>
      <c r="B3314" s="2">
        <f>HYPERLINK("https://camerareadycosmetics.com/products/smashbox-always-on-cream-eyeshadow", "https://camerareadycosmetics.com/products/smashbox-always-on-cream-eyeshadow")</f>
        <v/>
      </c>
      <c r="C3314" t="inlineStr">
        <is>
          <t>Always On Cream Eyeshadow</t>
        </is>
      </c>
      <c r="D3314" t="inlineStr">
        <is>
          <t>Smashbox Always On Cream Shadow Sepia</t>
        </is>
      </c>
      <c r="E3314" s="2">
        <f>HYPERLINK("https://www.amazon.com/Smashbox-Always-Cream-Shadow-Sepia/dp/B09BGC2KKR/ref=sr_1_4?keywords=Always+On+Cream+Eyeshadow&amp;qid=1695565635&amp;sr=8-4", "https://www.amazon.com/Smashbox-Always-Cream-Shadow-Sepia/dp/B09BGC2KKR/ref=sr_1_4?keywords=Always+On+Cream+Eyeshadow&amp;qid=1695565635&amp;sr=8-4")</f>
        <v/>
      </c>
      <c r="F3314" t="inlineStr">
        <is>
          <t>B09BGC2KKR</t>
        </is>
      </c>
      <c r="G3314">
        <f>_xlfn.IMAGE("https://camerareadycosmetics.com/cdn/shop/products/rose-Smashbox-Always-On-Cream-Eyeshadow_50x.jpg?v=1612601930")</f>
        <v/>
      </c>
      <c r="H3314">
        <f>_xlfn.IMAGE("https://m.media-amazon.com/images/I/51FukS39bvL._AC_UL320_.jpg")</f>
        <v/>
      </c>
      <c r="K3314" t="inlineStr">
        <is>
          <t>28.0</t>
        </is>
      </c>
      <c r="L3314" t="n">
        <v>14.38</v>
      </c>
      <c r="M3314" s="1" t="inlineStr">
        <is>
          <t>-48.64%</t>
        </is>
      </c>
      <c r="N3314" t="n">
        <v>4.5</v>
      </c>
      <c r="O3314" t="n">
        <v>4</v>
      </c>
      <c r="Q3314" t="inlineStr">
        <is>
          <t>InStock</t>
        </is>
      </c>
      <c r="R3314" t="inlineStr">
        <is>
          <t>undefined</t>
        </is>
      </c>
      <c r="S3314" t="inlineStr">
        <is>
          <t>6280286929081</t>
        </is>
      </c>
    </row>
    <row r="3315" ht="75" customHeight="1">
      <c r="A3315" s="2">
        <f>HYPERLINK("https://camerareadycosmetics.com/products/smashbox-always-on-cream-eyeshadow", "https://camerareadycosmetics.com/products/smashbox-always-on-cream-eyeshadow")</f>
        <v/>
      </c>
      <c r="B3315" s="2">
        <f>HYPERLINK("https://camerareadycosmetics.com/products/smashbox-always-on-cream-eyeshadow", "https://camerareadycosmetics.com/products/smashbox-always-on-cream-eyeshadow")</f>
        <v/>
      </c>
      <c r="C3315" t="inlineStr">
        <is>
          <t>Always On Cream Eyeshadow</t>
        </is>
      </c>
      <c r="D3315" t="inlineStr">
        <is>
          <t>smashbox ALWAYS ON CREAM EYESHADOW OLIVE 0.34 fl oz</t>
        </is>
      </c>
      <c r="E3315" s="2">
        <f>HYPERLINK("https://www.amazon.com/smashbox-ALWAYS-CREAM-EYESHADOW-OLIVE/dp/B09BG7XP43/ref=sr_1_5?keywords=Always+On+Cream+Eyeshadow&amp;qid=1695565635&amp;sr=8-5", "https://www.amazon.com/smashbox-ALWAYS-CREAM-EYESHADOW-OLIVE/dp/B09BG7XP43/ref=sr_1_5?keywords=Always+On+Cream+Eyeshadow&amp;qid=1695565635&amp;sr=8-5")</f>
        <v/>
      </c>
      <c r="F3315" t="inlineStr">
        <is>
          <t>B09BG7XP43</t>
        </is>
      </c>
      <c r="G3315">
        <f>_xlfn.IMAGE("https://camerareadycosmetics.com/cdn/shop/products/rose-Smashbox-Always-On-Cream-Eyeshadow_50x.jpg?v=1612601930")</f>
        <v/>
      </c>
      <c r="H3315">
        <f>_xlfn.IMAGE("https://m.media-amazon.com/images/I/41EJKOKOHlL._AC_UL320_.jpg")</f>
        <v/>
      </c>
      <c r="K3315" t="inlineStr">
        <is>
          <t>28.0</t>
        </is>
      </c>
      <c r="L3315" t="n">
        <v>12</v>
      </c>
      <c r="M3315" s="1" t="inlineStr">
        <is>
          <t>-57.14%</t>
        </is>
      </c>
      <c r="N3315" t="n">
        <v>4.8</v>
      </c>
      <c r="O3315" t="n">
        <v>7</v>
      </c>
      <c r="Q3315" t="inlineStr">
        <is>
          <t>InStock</t>
        </is>
      </c>
      <c r="R3315" t="inlineStr">
        <is>
          <t>undefined</t>
        </is>
      </c>
      <c r="S3315" t="inlineStr">
        <is>
          <t>6280286929081</t>
        </is>
      </c>
    </row>
    <row r="3316" ht="75" customHeight="1">
      <c r="A3316" s="2">
        <f>HYPERLINK("https://camerareadycosmetics.com/products/smashbox-always-on-cream-eyeshadow", "https://camerareadycosmetics.com/products/smashbox-always-on-cream-eyeshadow")</f>
        <v/>
      </c>
      <c r="B3316" s="2">
        <f>HYPERLINK("https://camerareadycosmetics.com/products/smashbox-always-on-cream-eyeshadow", "https://camerareadycosmetics.com/products/smashbox-always-on-cream-eyeshadow")</f>
        <v/>
      </c>
      <c r="C3316" t="inlineStr">
        <is>
          <t>Always On Cream Eyeshadow</t>
        </is>
      </c>
      <c r="D3316" t="inlineStr">
        <is>
          <t>Smashbox Always On Cream Eyeshadow - Amber Women Eye Shadow 0.34 oz</t>
        </is>
      </c>
      <c r="E3316" s="2">
        <f>HYPERLINK("https://www.amazon.com/SmashBox-Always-Cream-Eyeshadow-Shadow/dp/B09BG923KP/ref=sr_1_1?keywords=Always+On+Cream+Eyeshadow&amp;qid=1695565635&amp;sr=8-1", "https://www.amazon.com/SmashBox-Always-Cream-Eyeshadow-Shadow/dp/B09BG923KP/ref=sr_1_1?keywords=Always+On+Cream+Eyeshadow&amp;qid=1695565635&amp;sr=8-1")</f>
        <v/>
      </c>
      <c r="F3316" t="inlineStr">
        <is>
          <t>B09BG923KP</t>
        </is>
      </c>
      <c r="G3316">
        <f>_xlfn.IMAGE("https://camerareadycosmetics.com/cdn/shop/products/rose-Smashbox-Always-On-Cream-Eyeshadow_50x.jpg?v=1612601930")</f>
        <v/>
      </c>
      <c r="H3316">
        <f>_xlfn.IMAGE("https://m.media-amazon.com/images/I/61plouvECoL._AC_UL320_.jpg")</f>
        <v/>
      </c>
      <c r="K3316" t="inlineStr">
        <is>
          <t>28.0</t>
        </is>
      </c>
      <c r="L3316" t="n">
        <v>11.88</v>
      </c>
      <c r="M3316" s="1" t="inlineStr">
        <is>
          <t>-57.57%</t>
        </is>
      </c>
      <c r="N3316" t="n">
        <v>4.8</v>
      </c>
      <c r="O3316" t="n">
        <v>15</v>
      </c>
      <c r="Q3316" t="inlineStr">
        <is>
          <t>InStock</t>
        </is>
      </c>
      <c r="R3316" t="inlineStr">
        <is>
          <t>undefined</t>
        </is>
      </c>
      <c r="S3316" t="inlineStr">
        <is>
          <t>6280286929081</t>
        </is>
      </c>
    </row>
    <row r="3317" ht="75" customHeight="1">
      <c r="A3317" s="2">
        <f>HYPERLINK("https://camerareadycosmetics.com/products/smashbox-always-on-cream-shimmer-eyeshadow", "https://camerareadycosmetics.com/products/smashbox-always-on-cream-shimmer-eyeshadow")</f>
        <v/>
      </c>
      <c r="B3317" s="2">
        <f>HYPERLINK("https://camerareadycosmetics.com/products/smashbox-always-on-cream-shimmer-eyeshadow", "https://camerareadycosmetics.com/products/smashbox-always-on-cream-shimmer-eyeshadow")</f>
        <v/>
      </c>
      <c r="C3317" t="inlineStr">
        <is>
          <t>Always On Cream Shimmer Eyeshadow</t>
        </is>
      </c>
      <c r="D3317" t="inlineStr">
        <is>
          <t>Smashbox Always On Shimmer Cream Eye Shadow - Charcoal Shimmer 0.34oz (10ml)</t>
        </is>
      </c>
      <c r="E3317" s="2">
        <f>HYPERLINK("https://www.amazon.com/Smashbox-Always-Shimmer-Cream-Shadow/dp/B0BPMXZ4TK/ref=sr_1_2?keywords=Always+On+Cream+Shimmer+Eyeshadow&amp;qid=1695565791&amp;sr=8-2", "https://www.amazon.com/Smashbox-Always-Shimmer-Cream-Shadow/dp/B0BPMXZ4TK/ref=sr_1_2?keywords=Always+On+Cream+Shimmer+Eyeshadow&amp;qid=1695565791&amp;sr=8-2")</f>
        <v/>
      </c>
      <c r="F3317" t="inlineStr">
        <is>
          <t>B0BPMXZ4TK</t>
        </is>
      </c>
      <c r="G3317">
        <f>_xlfn.IMAGE("https://camerareadycosmetics.com/cdn/shop/products/607710005877_50x.jpg?v=1659363362")</f>
        <v/>
      </c>
      <c r="H3317">
        <f>_xlfn.IMAGE("https://m.media-amazon.com/images/I/61XulR27zCL._AC_UL320_.jpg")</f>
        <v/>
      </c>
      <c r="K3317" t="inlineStr">
        <is>
          <t>28.0</t>
        </is>
      </c>
      <c r="L3317" t="n">
        <v>14.97</v>
      </c>
      <c r="M3317" s="1" t="inlineStr">
        <is>
          <t>-46.54%</t>
        </is>
      </c>
      <c r="N3317" t="n">
        <v>5</v>
      </c>
      <c r="O3317" t="n">
        <v>1</v>
      </c>
      <c r="Q3317" t="inlineStr">
        <is>
          <t>InStock</t>
        </is>
      </c>
      <c r="R3317" t="inlineStr">
        <is>
          <t>undefined</t>
        </is>
      </c>
      <c r="S3317" t="inlineStr">
        <is>
          <t>7432851620025</t>
        </is>
      </c>
    </row>
    <row r="3318" ht="75" customHeight="1">
      <c r="A3318" s="2">
        <f>HYPERLINK("https://camerareadycosmetics.com/products/smashbox-always-on-cream-shimmer-eyeshadow", "https://camerareadycosmetics.com/products/smashbox-always-on-cream-shimmer-eyeshadow")</f>
        <v/>
      </c>
      <c r="B3318" s="2">
        <f>HYPERLINK("https://camerareadycosmetics.com/products/smashbox-always-on-cream-shimmer-eyeshadow", "https://camerareadycosmetics.com/products/smashbox-always-on-cream-shimmer-eyeshadow")</f>
        <v/>
      </c>
      <c r="C3318" t="inlineStr">
        <is>
          <t>Always On Cream Shimmer Eyeshadow</t>
        </is>
      </c>
      <c r="D3318" t="inlineStr">
        <is>
          <t>smashbox ALWAYS ON CREAM EYESHADOW OLIVE 0.34 fl oz</t>
        </is>
      </c>
      <c r="E3318" s="2">
        <f>HYPERLINK("https://www.amazon.com/smashbox-ALWAYS-CREAM-EYESHADOW-OLIVE/dp/B09BG7XP43/ref=sr_1_5?keywords=Always+On+Cream+Shimmer+Eyeshadow&amp;qid=1695565791&amp;sr=8-5", "https://www.amazon.com/smashbox-ALWAYS-CREAM-EYESHADOW-OLIVE/dp/B09BG7XP43/ref=sr_1_5?keywords=Always+On+Cream+Shimmer+Eyeshadow&amp;qid=1695565791&amp;sr=8-5")</f>
        <v/>
      </c>
      <c r="F3318" t="inlineStr">
        <is>
          <t>B09BG7XP43</t>
        </is>
      </c>
      <c r="G3318">
        <f>_xlfn.IMAGE("https://camerareadycosmetics.com/cdn/shop/products/607710005877_50x.jpg?v=1659363362")</f>
        <v/>
      </c>
      <c r="H3318">
        <f>_xlfn.IMAGE("https://m.media-amazon.com/images/I/41EJKOKOHlL._AC_UL320_.jpg")</f>
        <v/>
      </c>
      <c r="K3318" t="inlineStr">
        <is>
          <t>28.0</t>
        </is>
      </c>
      <c r="L3318" t="n">
        <v>12</v>
      </c>
      <c r="M3318" s="1" t="inlineStr">
        <is>
          <t>-57.14%</t>
        </is>
      </c>
      <c r="N3318" t="n">
        <v>4.8</v>
      </c>
      <c r="O3318" t="n">
        <v>7</v>
      </c>
      <c r="Q3318" t="inlineStr">
        <is>
          <t>InStock</t>
        </is>
      </c>
      <c r="R3318" t="inlineStr">
        <is>
          <t>undefined</t>
        </is>
      </c>
      <c r="S3318" t="inlineStr">
        <is>
          <t>7432851620025</t>
        </is>
      </c>
    </row>
    <row r="3319" ht="75" customHeight="1">
      <c r="A3319" s="2">
        <f>HYPERLINK("https://camerareadycosmetics.com/products/smashbox-always-on-cream-shimmer-eyeshadow", "https://camerareadycosmetics.com/products/smashbox-always-on-cream-shimmer-eyeshadow")</f>
        <v/>
      </c>
      <c r="B3319" s="2">
        <f>HYPERLINK("https://camerareadycosmetics.com/products/smashbox-always-on-cream-shimmer-eyeshadow", "https://camerareadycosmetics.com/products/smashbox-always-on-cream-shimmer-eyeshadow")</f>
        <v/>
      </c>
      <c r="C3319" t="inlineStr">
        <is>
          <t>Always On Cream Shimmer Eyeshadow</t>
        </is>
      </c>
      <c r="D3319" t="inlineStr">
        <is>
          <t>Revlon Crème Eyeshadow Palette, Illuminance Eye Makeup with Crease- Resistant Ingredients, Creamy Pigmented in Blendable Matte &amp; Shimmer Finishes, 730 Skin Lights, 0.12 Oz</t>
        </is>
      </c>
      <c r="E3319" s="2">
        <f>HYPERLINK("https://www.amazon.com/Revlon-Illuminance-Creme-Shadow-Skinlights/dp/B000U5TUQU/ref=sr_1_10?keywords=Always+On+Cream+Shimmer+Eyeshadow&amp;qid=1695565791&amp;sr=8-10", "https://www.amazon.com/Revlon-Illuminance-Creme-Shadow-Skinlights/dp/B000U5TUQU/ref=sr_1_10?keywords=Always+On+Cream+Shimmer+Eyeshadow&amp;qid=1695565791&amp;sr=8-10")</f>
        <v/>
      </c>
      <c r="F3319" t="inlineStr">
        <is>
          <t>B000U5TUQU</t>
        </is>
      </c>
      <c r="G3319">
        <f>_xlfn.IMAGE("https://camerareadycosmetics.com/cdn/shop/products/607710005877_50x.jpg?v=1659363362")</f>
        <v/>
      </c>
      <c r="H3319">
        <f>_xlfn.IMAGE("https://m.media-amazon.com/images/I/51RrN8eAX4L._AC_UL320_.jpg")</f>
        <v/>
      </c>
      <c r="K3319" t="inlineStr">
        <is>
          <t>28.0</t>
        </is>
      </c>
      <c r="L3319" t="n">
        <v>6.48</v>
      </c>
      <c r="M3319" s="1" t="inlineStr">
        <is>
          <t>-76.86%</t>
        </is>
      </c>
      <c r="N3319" t="n">
        <v>4.2</v>
      </c>
      <c r="O3319" t="n">
        <v>10094</v>
      </c>
      <c r="Q3319" t="inlineStr">
        <is>
          <t>InStock</t>
        </is>
      </c>
      <c r="R3319" t="inlineStr">
        <is>
          <t>undefined</t>
        </is>
      </c>
      <c r="S3319" t="inlineStr">
        <is>
          <t>7432851620025</t>
        </is>
      </c>
    </row>
    <row r="3320" ht="75" customHeight="1">
      <c r="A3320" s="2">
        <f>HYPERLINK("https://camerareadycosmetics.com/products/smashbox-always-on-cream-shimmer-eyeshadow", "https://camerareadycosmetics.com/products/smashbox-always-on-cream-shimmer-eyeshadow")</f>
        <v/>
      </c>
      <c r="B3320" s="2">
        <f>HYPERLINK("https://camerareadycosmetics.com/products/smashbox-always-on-cream-shimmer-eyeshadow", "https://camerareadycosmetics.com/products/smashbox-always-on-cream-shimmer-eyeshadow")</f>
        <v/>
      </c>
      <c r="C3320" t="inlineStr">
        <is>
          <t>Always On Cream Shimmer Eyeshadow</t>
        </is>
      </c>
      <c r="D3320" t="inlineStr">
        <is>
          <t>smashbox ALWAYS ON CREAM EYESHADOW OLIVE 0.34 fl oz</t>
        </is>
      </c>
      <c r="E3320" s="2">
        <f>HYPERLINK("https://www.amazon.com/smashbox-ALWAYS-CREAM-EYESHADOW-OLIVE/dp/B09BG7XP43/ref=sr_1_5?keywords=Always+On+Cream+Shimmer+Eyeshadow&amp;qid=1695565791&amp;sr=8-5", "https://www.amazon.com/smashbox-ALWAYS-CREAM-EYESHADOW-OLIVE/dp/B09BG7XP43/ref=sr_1_5?keywords=Always+On+Cream+Shimmer+Eyeshadow&amp;qid=1695565791&amp;sr=8-5")</f>
        <v/>
      </c>
      <c r="F3320" t="inlineStr">
        <is>
          <t>B09BG7XP43</t>
        </is>
      </c>
      <c r="G3320">
        <f>_xlfn.IMAGE("https://camerareadycosmetics.com/cdn/shop/products/607710005877_50x.jpg?v=1659363362")</f>
        <v/>
      </c>
      <c r="H3320">
        <f>_xlfn.IMAGE("https://m.media-amazon.com/images/I/41EJKOKOHlL._AC_UL320_.jpg")</f>
        <v/>
      </c>
      <c r="K3320" t="inlineStr">
        <is>
          <t>28.0</t>
        </is>
      </c>
      <c r="L3320" t="n">
        <v>12</v>
      </c>
      <c r="M3320" s="1" t="inlineStr">
        <is>
          <t>-57.14%</t>
        </is>
      </c>
      <c r="N3320" t="n">
        <v>4.8</v>
      </c>
      <c r="O3320" t="n">
        <v>7</v>
      </c>
      <c r="Q3320" t="inlineStr">
        <is>
          <t>InStock</t>
        </is>
      </c>
      <c r="R3320" t="inlineStr">
        <is>
          <t>undefined</t>
        </is>
      </c>
      <c r="S3320" t="inlineStr">
        <is>
          <t>7432851620025</t>
        </is>
      </c>
    </row>
    <row r="3321" ht="75" customHeight="1">
      <c r="A3321" s="2">
        <f>HYPERLINK("https://camerareadycosmetics.com/products/smashbox-always-on-cream-shimmer-eyeshadow", "https://camerareadycosmetics.com/products/smashbox-always-on-cream-shimmer-eyeshadow")</f>
        <v/>
      </c>
      <c r="B3321" s="2">
        <f>HYPERLINK("https://camerareadycosmetics.com/products/smashbox-always-on-cream-shimmer-eyeshadow", "https://camerareadycosmetics.com/products/smashbox-always-on-cream-shimmer-eyeshadow")</f>
        <v/>
      </c>
      <c r="C3321" t="inlineStr">
        <is>
          <t>Always On Cream Shimmer Eyeshadow</t>
        </is>
      </c>
      <c r="D3321" t="inlineStr">
        <is>
          <t>Revlon Crème Eyeshadow Palette, Illuminance Eye Makeup with Crease- Resistant Ingredients, Creamy Pigmented in Blendable Matte &amp; Shimmer Finishes, 730 Skin Lights, 0.12 Oz</t>
        </is>
      </c>
      <c r="E3321" s="2">
        <f>HYPERLINK("https://www.amazon.com/Revlon-Illuminance-Creme-Shadow-Skinlights/dp/B000U5TUQU/ref=sr_1_10?keywords=Always+On+Cream+Shimmer+Eyeshadow&amp;qid=1695565791&amp;sr=8-10", "https://www.amazon.com/Revlon-Illuminance-Creme-Shadow-Skinlights/dp/B000U5TUQU/ref=sr_1_10?keywords=Always+On+Cream+Shimmer+Eyeshadow&amp;qid=1695565791&amp;sr=8-10")</f>
        <v/>
      </c>
      <c r="F3321" t="inlineStr">
        <is>
          <t>B000U5TUQU</t>
        </is>
      </c>
      <c r="G3321">
        <f>_xlfn.IMAGE("https://camerareadycosmetics.com/cdn/shop/products/607710005877_50x.jpg?v=1659363362")</f>
        <v/>
      </c>
      <c r="H3321">
        <f>_xlfn.IMAGE("https://m.media-amazon.com/images/I/51RrN8eAX4L._AC_UL320_.jpg")</f>
        <v/>
      </c>
      <c r="K3321" t="inlineStr">
        <is>
          <t>28.0</t>
        </is>
      </c>
      <c r="L3321" t="n">
        <v>6.48</v>
      </c>
      <c r="M3321" s="1" t="inlineStr">
        <is>
          <t>-76.86%</t>
        </is>
      </c>
      <c r="N3321" t="n">
        <v>4.2</v>
      </c>
      <c r="O3321" t="n">
        <v>10094</v>
      </c>
      <c r="Q3321" t="inlineStr">
        <is>
          <t>InStock</t>
        </is>
      </c>
      <c r="R3321" t="inlineStr">
        <is>
          <t>undefined</t>
        </is>
      </c>
      <c r="S3321" t="inlineStr">
        <is>
          <t>7432851620025</t>
        </is>
      </c>
    </row>
    <row r="3322" ht="75" customHeight="1">
      <c r="A3322" s="2">
        <f>HYPERLINK("https://camerareadycosmetics.com/products/smashbox-always-on-gel-liner", "https://camerareadycosmetics.com/products/smashbox-always-on-gel-liner")</f>
        <v/>
      </c>
      <c r="B3322" s="2">
        <f>HYPERLINK("https://camerareadycosmetics.com/products/smashbox-always-on-gel-liner", "https://camerareadycosmetics.com/products/smashbox-always-on-gel-liner")</f>
        <v/>
      </c>
      <c r="C3322" t="inlineStr">
        <is>
          <t>Always On Gel Liner</t>
        </is>
      </c>
      <c r="D3322" t="inlineStr">
        <is>
          <t>Smashbox Always On Gel Liner, Baller, 0.04 Ounce</t>
        </is>
      </c>
      <c r="E3322" s="2">
        <f>HYPERLINK("https://www.amazon.com/Smashbox-Always-Liner-Baller-Ounce/dp/B06XWT5D3F/ref=sr_1_3?keywords=Always+On+Gel+Liner&amp;qid=1695565547&amp;sr=8-3", "https://www.amazon.com/Smashbox-Always-Liner-Baller-Ounce/dp/B06XWT5D3F/ref=sr_1_3?keywords=Always+On+Gel+Liner&amp;qid=1695565547&amp;sr=8-3")</f>
        <v/>
      </c>
      <c r="F3322" t="inlineStr">
        <is>
          <t>B06XWT5D3F</t>
        </is>
      </c>
      <c r="G3322">
        <f>_xlfn.IMAGE("https://camerareadycosmetics.com/cdn/shop/products/bubbly-smashbox-gel-eye-liner_50x.jpg?v=1534273170")</f>
        <v/>
      </c>
      <c r="H3322">
        <f>_xlfn.IMAGE("https://m.media-amazon.com/images/I/71esRoubaxL._AC_UL320_.jpg")</f>
        <v/>
      </c>
      <c r="K3322" t="inlineStr">
        <is>
          <t>25.0</t>
        </is>
      </c>
      <c r="L3322" t="n">
        <v>20.48</v>
      </c>
      <c r="M3322" s="1" t="inlineStr">
        <is>
          <t>-18.08%</t>
        </is>
      </c>
      <c r="N3322" t="n">
        <v>4</v>
      </c>
      <c r="O3322" t="n">
        <v>26</v>
      </c>
      <c r="Q3322" t="inlineStr">
        <is>
          <t>InStock</t>
        </is>
      </c>
      <c r="R3322" t="inlineStr">
        <is>
          <t>undefined</t>
        </is>
      </c>
      <c r="S3322" t="inlineStr">
        <is>
          <t>1398125232239</t>
        </is>
      </c>
    </row>
    <row r="3323" ht="75" customHeight="1">
      <c r="A3323" s="2">
        <f>HYPERLINK("https://camerareadycosmetics.com/products/smashbox-always-on-gel-liner", "https://camerareadycosmetics.com/products/smashbox-always-on-gel-liner")</f>
        <v/>
      </c>
      <c r="B3323" s="2">
        <f>HYPERLINK("https://camerareadycosmetics.com/products/smashbox-always-on-gel-liner", "https://camerareadycosmetics.com/products/smashbox-always-on-gel-liner")</f>
        <v/>
      </c>
      <c r="C3323" t="inlineStr">
        <is>
          <t>Always On Gel Liner</t>
        </is>
      </c>
      <c r="D3323" t="inlineStr">
        <is>
          <t>Erinde Black Gel Eyeliner, Waterproof Long Lasting Cream Eyeliner Gel, High-Intensity Pigments Smudge-Proof Eye Liner Eyebrow Makeup, Water-Resistant Eyeliner with 2PCS Brushes, 02# Balck</t>
        </is>
      </c>
      <c r="E3323" s="2">
        <f>HYPERLINK("https://www.amazon.com/Erinde-Waterproof-High-Intensity-Smudge-Proof-Water-Resistant/dp/B09TFG713T/ref=sr_1_7?keywords=Always+On+Gel+Liner&amp;qid=1695565547&amp;sr=8-7", "https://www.amazon.com/Erinde-Waterproof-High-Intensity-Smudge-Proof-Water-Resistant/dp/B09TFG713T/ref=sr_1_7?keywords=Always+On+Gel+Liner&amp;qid=1695565547&amp;sr=8-7")</f>
        <v/>
      </c>
      <c r="F3323" t="inlineStr">
        <is>
          <t>B09TFG713T</t>
        </is>
      </c>
      <c r="G3323">
        <f>_xlfn.IMAGE("https://camerareadycosmetics.com/cdn/shop/products/bubbly-smashbox-gel-eye-liner_50x.jpg?v=1534273170")</f>
        <v/>
      </c>
      <c r="H3323">
        <f>_xlfn.IMAGE("https://m.media-amazon.com/images/I/61mYAZZp1-L._AC_UL320_.jpg")</f>
        <v/>
      </c>
      <c r="K3323" t="inlineStr">
        <is>
          <t>25.0</t>
        </is>
      </c>
      <c r="L3323" t="n">
        <v>8.99</v>
      </c>
      <c r="M3323" s="1" t="inlineStr">
        <is>
          <t>-64.04%</t>
        </is>
      </c>
      <c r="N3323" t="n">
        <v>4</v>
      </c>
      <c r="O3323" t="n">
        <v>917</v>
      </c>
      <c r="Q3323" t="inlineStr">
        <is>
          <t>InStock</t>
        </is>
      </c>
      <c r="R3323" t="inlineStr">
        <is>
          <t>undefined</t>
        </is>
      </c>
      <c r="S3323" t="inlineStr">
        <is>
          <t>1398125232239</t>
        </is>
      </c>
    </row>
    <row r="3324" ht="75" customHeight="1">
      <c r="A3324" s="2">
        <f>HYPERLINK("https://camerareadycosmetics.com/products/smashbox-always-on-gel-liner", "https://camerareadycosmetics.com/products/smashbox-always-on-gel-liner")</f>
        <v/>
      </c>
      <c r="B3324" s="2">
        <f>HYPERLINK("https://camerareadycosmetics.com/products/smashbox-always-on-gel-liner", "https://camerareadycosmetics.com/products/smashbox-always-on-gel-liner")</f>
        <v/>
      </c>
      <c r="C3324" t="inlineStr">
        <is>
          <t>Always On Gel Liner</t>
        </is>
      </c>
      <c r="D3324" t="inlineStr">
        <is>
          <t>Maybelline New York TattooStudio Long-Lasting Sharpenable Eyeliner Pencil, Glide on Smooth Gel Pigments with 36 Hour Wear, Waterproof, Smooth Walnut, 1 Count</t>
        </is>
      </c>
      <c r="E3324" s="2">
        <f>HYPERLINK("https://www.amazon.com/Maybelline-tattoostudio-Long-Lasting-Sharpenable-Effortlessly/dp/B07W69B228/ref=sr_1_8?keywords=Always+On+Gel+Liner&amp;qid=1695565547&amp;sr=8-8", "https://www.amazon.com/Maybelline-tattoostudio-Long-Lasting-Sharpenable-Effortlessly/dp/B07W69B228/ref=sr_1_8?keywords=Always+On+Gel+Liner&amp;qid=1695565547&amp;sr=8-8")</f>
        <v/>
      </c>
      <c r="F3324" t="inlineStr">
        <is>
          <t>B07W69B228</t>
        </is>
      </c>
      <c r="G3324">
        <f>_xlfn.IMAGE("https://camerareadycosmetics.com/cdn/shop/products/bubbly-smashbox-gel-eye-liner_50x.jpg?v=1534273170")</f>
        <v/>
      </c>
      <c r="H3324">
        <f>_xlfn.IMAGE("https://m.media-amazon.com/images/I/61s5hhuRAcL._AC_UL320_.jpg")</f>
        <v/>
      </c>
      <c r="K3324" t="inlineStr">
        <is>
          <t>25.0</t>
        </is>
      </c>
      <c r="L3324" t="n">
        <v>7.66</v>
      </c>
      <c r="M3324" s="1" t="inlineStr">
        <is>
          <t>-69.36%</t>
        </is>
      </c>
      <c r="N3324" t="n">
        <v>4.3</v>
      </c>
      <c r="O3324" t="n">
        <v>28510</v>
      </c>
      <c r="Q3324" t="inlineStr">
        <is>
          <t>InStock</t>
        </is>
      </c>
      <c r="R3324" t="inlineStr">
        <is>
          <t>undefined</t>
        </is>
      </c>
      <c r="S3324" t="inlineStr">
        <is>
          <t>1398125232239</t>
        </is>
      </c>
    </row>
    <row r="3325" ht="75" customHeight="1">
      <c r="A3325" s="2">
        <f>HYPERLINK("https://camerareadycosmetics.com/products/smashbox-always-on-gel-liner", "https://camerareadycosmetics.com/products/smashbox-always-on-gel-liner")</f>
        <v/>
      </c>
      <c r="B3325" s="2">
        <f>HYPERLINK("https://camerareadycosmetics.com/products/smashbox-always-on-gel-liner", "https://camerareadycosmetics.com/products/smashbox-always-on-gel-liner")</f>
        <v/>
      </c>
      <c r="C3325" t="inlineStr">
        <is>
          <t>Always On Gel Liner</t>
        </is>
      </c>
      <c r="D3325" t="inlineStr">
        <is>
          <t>Erinde Black Gel Eyeliner, Waterproof Long Lasting Cream Eyeliner Gel, High-Intensity Pigments Smudge-Proof Eye Liner Eyebrow Makeup, Water-Resistant Eyeliner with 2PCS Brushes, 02# Balck</t>
        </is>
      </c>
      <c r="E3325" s="2">
        <f>HYPERLINK("https://www.amazon.com/Erinde-Waterproof-High-Intensity-Smudge-Proof-Water-Resistant/dp/B09TFG713T/ref=sr_1_7?keywords=Always+On+Gel+Liner&amp;qid=1695565547&amp;sr=8-7", "https://www.amazon.com/Erinde-Waterproof-High-Intensity-Smudge-Proof-Water-Resistant/dp/B09TFG713T/ref=sr_1_7?keywords=Always+On+Gel+Liner&amp;qid=1695565547&amp;sr=8-7")</f>
        <v/>
      </c>
      <c r="F3325" t="inlineStr">
        <is>
          <t>B09TFG713T</t>
        </is>
      </c>
      <c r="G3325">
        <f>_xlfn.IMAGE("https://camerareadycosmetics.com/cdn/shop/products/bubbly-smashbox-gel-eye-liner_50x.jpg?v=1534273170")</f>
        <v/>
      </c>
      <c r="H3325">
        <f>_xlfn.IMAGE("https://m.media-amazon.com/images/I/61mYAZZp1-L._AC_UL320_.jpg")</f>
        <v/>
      </c>
      <c r="K3325" t="inlineStr">
        <is>
          <t>25.0</t>
        </is>
      </c>
      <c r="L3325" t="n">
        <v>8.99</v>
      </c>
      <c r="M3325" s="1" t="inlineStr">
        <is>
          <t>-64.04%</t>
        </is>
      </c>
      <c r="N3325" t="n">
        <v>4</v>
      </c>
      <c r="O3325" t="n">
        <v>917</v>
      </c>
      <c r="Q3325" t="inlineStr">
        <is>
          <t>InStock</t>
        </is>
      </c>
      <c r="R3325" t="inlineStr">
        <is>
          <t>undefined</t>
        </is>
      </c>
      <c r="S3325" t="inlineStr">
        <is>
          <t>1398125232239</t>
        </is>
      </c>
    </row>
    <row r="3326" ht="75" customHeight="1">
      <c r="A3326" s="2">
        <f>HYPERLINK("https://camerareadycosmetics.com/products/smashbox-always-on-gel-liner", "https://camerareadycosmetics.com/products/smashbox-always-on-gel-liner")</f>
        <v/>
      </c>
      <c r="B3326" s="2">
        <f>HYPERLINK("https://camerareadycosmetics.com/products/smashbox-always-on-gel-liner", "https://camerareadycosmetics.com/products/smashbox-always-on-gel-liner")</f>
        <v/>
      </c>
      <c r="C3326" t="inlineStr">
        <is>
          <t>Always On Gel Liner</t>
        </is>
      </c>
      <c r="D3326" t="inlineStr">
        <is>
          <t>Maybelline New York TattooStudio Long-Lasting Sharpenable Eyeliner Pencil, Glide on Smooth Gel Pigments with 36 Hour Wear, Waterproof, Smooth Walnut, 1 Count</t>
        </is>
      </c>
      <c r="E3326" s="2">
        <f>HYPERLINK("https://www.amazon.com/Maybelline-tattoostudio-Long-Lasting-Sharpenable-Effortlessly/dp/B07W69B228/ref=sr_1_8?keywords=Always+On+Gel+Liner&amp;qid=1695565547&amp;sr=8-8", "https://www.amazon.com/Maybelline-tattoostudio-Long-Lasting-Sharpenable-Effortlessly/dp/B07W69B228/ref=sr_1_8?keywords=Always+On+Gel+Liner&amp;qid=1695565547&amp;sr=8-8")</f>
        <v/>
      </c>
      <c r="F3326" t="inlineStr">
        <is>
          <t>B07W69B228</t>
        </is>
      </c>
      <c r="G3326">
        <f>_xlfn.IMAGE("https://camerareadycosmetics.com/cdn/shop/products/bubbly-smashbox-gel-eye-liner_50x.jpg?v=1534273170")</f>
        <v/>
      </c>
      <c r="H3326">
        <f>_xlfn.IMAGE("https://m.media-amazon.com/images/I/61s5hhuRAcL._AC_UL320_.jpg")</f>
        <v/>
      </c>
      <c r="K3326" t="inlineStr">
        <is>
          <t>25.0</t>
        </is>
      </c>
      <c r="L3326" t="n">
        <v>7.66</v>
      </c>
      <c r="M3326" s="1" t="inlineStr">
        <is>
          <t>-69.36%</t>
        </is>
      </c>
      <c r="N3326" t="n">
        <v>4.3</v>
      </c>
      <c r="O3326" t="n">
        <v>28510</v>
      </c>
      <c r="Q3326" t="inlineStr">
        <is>
          <t>InStock</t>
        </is>
      </c>
      <c r="R3326" t="inlineStr">
        <is>
          <t>undefined</t>
        </is>
      </c>
      <c r="S3326" t="inlineStr">
        <is>
          <t>1398125232239</t>
        </is>
      </c>
    </row>
    <row r="3327" ht="75" customHeight="1">
      <c r="A3327" s="2">
        <f>HYPERLINK("https://camerareadycosmetics.com/products/smashbox-always-on-liquid-eye-liner", "https://camerareadycosmetics.com/products/smashbox-always-on-liquid-eye-liner")</f>
        <v/>
      </c>
      <c r="B3327" s="2">
        <f>HYPERLINK("https://camerareadycosmetics.com/products/smashbox-always-on-liquid-eye-liner", "https://camerareadycosmetics.com/products/smashbox-always-on-liquid-eye-liner")</f>
        <v/>
      </c>
      <c r="C3327" t="inlineStr">
        <is>
          <t>Always On Liquid Eye Liner</t>
        </is>
      </c>
      <c r="D3327" t="inlineStr">
        <is>
          <t>NYX PROFESSIONAL MAKEUP Epic Wear Liquid Liner, Long-Lasting Waterproof Eyeliner - Stone Fox</t>
        </is>
      </c>
      <c r="E3327" s="2">
        <f>HYPERLINK("https://www.amazon.com/NYX-PROFESSIONAL-MAKEUP-Long-Lasting-Waterproof/dp/B08VFGVKB7/ref=sr_1_6?keywords=Always+On+Liquid+Eye+Liner&amp;qid=1695565724&amp;sr=8-6", "https://www.amazon.com/NYX-PROFESSIONAL-MAKEUP-Long-Lasting-Waterproof/dp/B08VFGVKB7/ref=sr_1_6?keywords=Always+On+Liquid+Eye+Liner&amp;qid=1695565724&amp;sr=8-6")</f>
        <v/>
      </c>
      <c r="F3327" t="inlineStr">
        <is>
          <t>B08VFGVKB7</t>
        </is>
      </c>
      <c r="G3327">
        <f>_xlfn.IMAGE("https://camerareadycosmetics.com/cdn/shop/files/smashbox_always_on_liquid_eye_liner_50x.jpg?v=1687203222")</f>
        <v/>
      </c>
      <c r="H3327">
        <f>_xlfn.IMAGE("https://m.media-amazon.com/images/I/51PqMVs7UzS._AC_UL320_.jpg")</f>
        <v/>
      </c>
      <c r="K3327" t="inlineStr">
        <is>
          <t>25.0</t>
        </is>
      </c>
      <c r="L3327" t="n">
        <v>7.99</v>
      </c>
      <c r="M3327" s="1" t="inlineStr">
        <is>
          <t>-68.04%</t>
        </is>
      </c>
      <c r="N3327" t="n">
        <v>4.4</v>
      </c>
      <c r="O3327" t="n">
        <v>10682</v>
      </c>
      <c r="Q3327" t="inlineStr">
        <is>
          <t>InStock</t>
        </is>
      </c>
      <c r="R3327" t="inlineStr">
        <is>
          <t>undefined</t>
        </is>
      </c>
      <c r="S3327" t="inlineStr">
        <is>
          <t>1400412536943</t>
        </is>
      </c>
    </row>
    <row r="3328" ht="75" customHeight="1">
      <c r="A3328" s="2">
        <f>HYPERLINK("https://camerareadycosmetics.com/products/smashbox-always-on-liquid-eye-liner", "https://camerareadycosmetics.com/products/smashbox-always-on-liquid-eye-liner")</f>
        <v/>
      </c>
      <c r="B3328" s="2">
        <f>HYPERLINK("https://camerareadycosmetics.com/products/smashbox-always-on-liquid-eye-liner", "https://camerareadycosmetics.com/products/smashbox-always-on-liquid-eye-liner")</f>
        <v/>
      </c>
      <c r="C3328" t="inlineStr">
        <is>
          <t>Always On Liquid Eye Liner</t>
        </is>
      </c>
      <c r="D3328" t="inlineStr">
        <is>
          <t>L’Oréal Paris Makeup Infallible Super Slim Long-Lasting Liquid Eyeliner, Ultra-Fine Felt Tip, Quick Drying Formula, Glides on Smoothly, Black, Pack of 1</t>
        </is>
      </c>
      <c r="E3328" s="2">
        <f>HYPERLINK("https://www.amazon.com/Paris-Infallible-Long-Lasting-Eyeliner-Ultra-Fine/dp/B00B1DRA94/ref=sr_1_5?keywords=Always+On+Liquid+Eye+Liner&amp;qid=1695565724&amp;sr=8-5", "https://www.amazon.com/Paris-Infallible-Long-Lasting-Eyeliner-Ultra-Fine/dp/B00B1DRA94/ref=sr_1_5?keywords=Always+On+Liquid+Eye+Liner&amp;qid=1695565724&amp;sr=8-5")</f>
        <v/>
      </c>
      <c r="F3328" t="inlineStr">
        <is>
          <t>B00B1DRA94</t>
        </is>
      </c>
      <c r="G3328">
        <f>_xlfn.IMAGE("https://camerareadycosmetics.com/cdn/shop/files/smashbox_always_on_liquid_eye_liner_50x.jpg?v=1687203222")</f>
        <v/>
      </c>
      <c r="H3328">
        <f>_xlfn.IMAGE("https://m.media-amazon.com/images/I/41-PArWWpuL._AC_UL320_.jpg")</f>
        <v/>
      </c>
      <c r="K3328" t="inlineStr">
        <is>
          <t>25.0</t>
        </is>
      </c>
      <c r="L3328" t="n">
        <v>7.8</v>
      </c>
      <c r="M3328" s="1" t="inlineStr">
        <is>
          <t>-68.80%</t>
        </is>
      </c>
      <c r="N3328" t="n">
        <v>4.3</v>
      </c>
      <c r="O3328" t="n">
        <v>16619</v>
      </c>
      <c r="Q3328" t="inlineStr">
        <is>
          <t>InStock</t>
        </is>
      </c>
      <c r="R3328" t="inlineStr">
        <is>
          <t>undefined</t>
        </is>
      </c>
      <c r="S3328" t="inlineStr">
        <is>
          <t>1400412536943</t>
        </is>
      </c>
    </row>
    <row r="3329" ht="75" customHeight="1">
      <c r="A3329" s="2">
        <f>HYPERLINK("https://camerareadycosmetics.com/products/smashbox-always-on-liquid-eye-liner", "https://camerareadycosmetics.com/products/smashbox-always-on-liquid-eye-liner")</f>
        <v/>
      </c>
      <c r="B3329" s="2">
        <f>HYPERLINK("https://camerareadycosmetics.com/products/smashbox-always-on-liquid-eye-liner", "https://camerareadycosmetics.com/products/smashbox-always-on-liquid-eye-liner")</f>
        <v/>
      </c>
      <c r="C3329" t="inlineStr">
        <is>
          <t>Always On Liquid Eye Liner</t>
        </is>
      </c>
      <c r="D3329" t="inlineStr">
        <is>
          <t>Almay Conditioning Liquid Eyeliner, Longwearing, Waterproof, Hydrating, 10 Black, 0.03 fl oz.</t>
        </is>
      </c>
      <c r="E3329" s="2">
        <f>HYPERLINK("https://www.amazon.com/Almay-Conditioning-Longwearing-Waterproof-Hydrating/dp/B09L1JYWYK/ref=sr_1_8?keywords=Always+On+Liquid+Eye+Liner&amp;qid=1695565724&amp;sr=8-8", "https://www.amazon.com/Almay-Conditioning-Longwearing-Waterproof-Hydrating/dp/B09L1JYWYK/ref=sr_1_8?keywords=Always+On+Liquid+Eye+Liner&amp;qid=1695565724&amp;sr=8-8")</f>
        <v/>
      </c>
      <c r="F3329" t="inlineStr">
        <is>
          <t>B09L1JYWYK</t>
        </is>
      </c>
      <c r="G3329">
        <f>_xlfn.IMAGE("https://camerareadycosmetics.com/cdn/shop/files/smashbox_always_on_liquid_eye_liner_50x.jpg?v=1687203222")</f>
        <v/>
      </c>
      <c r="H3329">
        <f>_xlfn.IMAGE("https://m.media-amazon.com/images/I/51HDu8TyuuL._AC_UL320_.jpg")</f>
        <v/>
      </c>
      <c r="K3329" t="inlineStr">
        <is>
          <t>25.0</t>
        </is>
      </c>
      <c r="L3329" t="n">
        <v>7.4</v>
      </c>
      <c r="M3329" s="1" t="inlineStr">
        <is>
          <t>-70.40%</t>
        </is>
      </c>
      <c r="N3329" t="n">
        <v>4.2</v>
      </c>
      <c r="O3329" t="n">
        <v>6060</v>
      </c>
      <c r="Q3329" t="inlineStr">
        <is>
          <t>InStock</t>
        </is>
      </c>
      <c r="R3329" t="inlineStr">
        <is>
          <t>undefined</t>
        </is>
      </c>
      <c r="S3329" t="inlineStr">
        <is>
          <t>1400412536943</t>
        </is>
      </c>
    </row>
    <row r="3330" ht="75" customHeight="1">
      <c r="A3330" s="2">
        <f>HYPERLINK("https://camerareadycosmetics.com/products/smashbox-always-on-liquid-eye-liner", "https://camerareadycosmetics.com/products/smashbox-always-on-liquid-eye-liner")</f>
        <v/>
      </c>
      <c r="B3330" s="2">
        <f>HYPERLINK("https://camerareadycosmetics.com/products/smashbox-always-on-liquid-eye-liner", "https://camerareadycosmetics.com/products/smashbox-always-on-liquid-eye-liner")</f>
        <v/>
      </c>
      <c r="C3330" t="inlineStr">
        <is>
          <t>Always On Liquid Eye Liner</t>
        </is>
      </c>
      <c r="D3330" t="inlineStr">
        <is>
          <t>Erinde 2PCS Black Liquid Eyeliner with Eyeliner Stencils, Waterproof Eye Liners Pen, Long-Lasting eyeliner liquid liner, Quickly Dry, Smudgeproof, Longwearing with Ultra-Fine Tip (#01)</t>
        </is>
      </c>
      <c r="E3330" s="2">
        <f>HYPERLINK("https://www.amazon.com/Erinde-Waterproof-Long-Lasting-Smudgeproof-Longwearing/dp/B0C7K6W2CW/ref=sr_1_3?keywords=Always+On+Liquid+Eye+Liner&amp;qid=1695565724&amp;sr=8-3", "https://www.amazon.com/Erinde-Waterproof-Long-Lasting-Smudgeproof-Longwearing/dp/B0C7K6W2CW/ref=sr_1_3?keywords=Always+On+Liquid+Eye+Liner&amp;qid=1695565724&amp;sr=8-3")</f>
        <v/>
      </c>
      <c r="F3330" t="inlineStr">
        <is>
          <t>B0C7K6W2CW</t>
        </is>
      </c>
      <c r="G3330">
        <f>_xlfn.IMAGE("https://camerareadycosmetics.com/cdn/shop/files/smashbox_always_on_liquid_eye_liner_50x.jpg?v=1687203222")</f>
        <v/>
      </c>
      <c r="H3330">
        <f>_xlfn.IMAGE("https://m.media-amazon.com/images/I/71ACGFZUCJL._AC_UL320_.jpg")</f>
        <v/>
      </c>
      <c r="K3330" t="inlineStr">
        <is>
          <t>25.0</t>
        </is>
      </c>
      <c r="L3330" t="n">
        <v>6.99</v>
      </c>
      <c r="M3330" s="1" t="inlineStr">
        <is>
          <t>-72.04%</t>
        </is>
      </c>
      <c r="N3330" t="n">
        <v>4</v>
      </c>
      <c r="O3330" t="n">
        <v>5</v>
      </c>
      <c r="Q3330" t="inlineStr">
        <is>
          <t>InStock</t>
        </is>
      </c>
      <c r="R3330" t="inlineStr">
        <is>
          <t>undefined</t>
        </is>
      </c>
      <c r="S3330" t="inlineStr">
        <is>
          <t>1400412536943</t>
        </is>
      </c>
    </row>
    <row r="3331" ht="75" customHeight="1">
      <c r="A3331" s="2">
        <f>HYPERLINK("https://camerareadycosmetics.com/products/smashbox-always-on-liquid-eye-liner", "https://camerareadycosmetics.com/products/smashbox-always-on-liquid-eye-liner")</f>
        <v/>
      </c>
      <c r="B3331" s="2">
        <f>HYPERLINK("https://camerareadycosmetics.com/products/smashbox-always-on-liquid-eye-liner", "https://camerareadycosmetics.com/products/smashbox-always-on-liquid-eye-liner")</f>
        <v/>
      </c>
      <c r="C3331" t="inlineStr">
        <is>
          <t>Always On Liquid Eye Liner</t>
        </is>
      </c>
      <c r="D3331" t="inlineStr">
        <is>
          <t>Almay Intense Liquid Eyeliner, Waterproof and Longwearing, Hypoallergenic, Cruelty Free, -Fragrance Free, Ophthalmologist Tested, 223 Black Pearl, 0.08 oz</t>
        </is>
      </c>
      <c r="E3331" s="2">
        <f>HYPERLINK("https://www.amazon.com/Almay-Intense-Liquid-Eyeliner-Black/dp/B07H3X8SNK/ref=sr_1_10?keywords=Always+On+Liquid+Eye+Liner&amp;qid=1695565724&amp;sr=8-10", "https://www.amazon.com/Almay-Intense-Liquid-Eyeliner-Black/dp/B07H3X8SNK/ref=sr_1_10?keywords=Always+On+Liquid+Eye+Liner&amp;qid=1695565724&amp;sr=8-10")</f>
        <v/>
      </c>
      <c r="F3331" t="inlineStr">
        <is>
          <t>B07H3X8SNK</t>
        </is>
      </c>
      <c r="G3331">
        <f>_xlfn.IMAGE("https://camerareadycosmetics.com/cdn/shop/files/smashbox_always_on_liquid_eye_liner_50x.jpg?v=1687203222")</f>
        <v/>
      </c>
      <c r="H3331">
        <f>_xlfn.IMAGE("https://m.media-amazon.com/images/I/416-udywdGL._AC_UL320_.jpg")</f>
        <v/>
      </c>
      <c r="K3331" t="inlineStr">
        <is>
          <t>25.0</t>
        </is>
      </c>
      <c r="L3331" t="n">
        <v>6.95</v>
      </c>
      <c r="M3331" s="1" t="inlineStr">
        <is>
          <t>-72.20%</t>
        </is>
      </c>
      <c r="N3331" t="n">
        <v>4.2</v>
      </c>
      <c r="O3331" t="n">
        <v>6764</v>
      </c>
      <c r="Q3331" t="inlineStr">
        <is>
          <t>InStock</t>
        </is>
      </c>
      <c r="R3331" t="inlineStr">
        <is>
          <t>undefined</t>
        </is>
      </c>
      <c r="S3331" t="inlineStr">
        <is>
          <t>1400412536943</t>
        </is>
      </c>
    </row>
    <row r="3332" ht="75" customHeight="1">
      <c r="A3332" s="2">
        <f>HYPERLINK("https://camerareadycosmetics.com/products/smashbox-always-on-liquid-eye-liner", "https://camerareadycosmetics.com/products/smashbox-always-on-liquid-eye-liner")</f>
        <v/>
      </c>
      <c r="B3332" s="2">
        <f>HYPERLINK("https://camerareadycosmetics.com/products/smashbox-always-on-liquid-eye-liner", "https://camerareadycosmetics.com/products/smashbox-always-on-liquid-eye-liner")</f>
        <v/>
      </c>
      <c r="C3332" t="inlineStr">
        <is>
          <t>Always On Liquid Eye Liner</t>
        </is>
      </c>
      <c r="D3332" t="inlineStr">
        <is>
          <t>ONarisae liquid eyeliner waterproof eyeliner Pigmented smudge proof eye liner dual style liquid liner with glitter Dark Blue</t>
        </is>
      </c>
      <c r="E3332" s="2">
        <f>HYPERLINK("https://www.amazon.com/ONarisae-eyeliner-waterproof-Pigmented-glitter/dp/B0C5T5VGKQ/ref=sr_1_9?keywords=Always+On+Liquid+Eye+Liner&amp;qid=1695565724&amp;sr=8-9", "https://www.amazon.com/ONarisae-eyeliner-waterproof-Pigmented-glitter/dp/B0C5T5VGKQ/ref=sr_1_9?keywords=Always+On+Liquid+Eye+Liner&amp;qid=1695565724&amp;sr=8-9")</f>
        <v/>
      </c>
      <c r="F3332" t="inlineStr">
        <is>
          <t>B0C5T5VGKQ</t>
        </is>
      </c>
      <c r="G3332">
        <f>_xlfn.IMAGE("https://camerareadycosmetics.com/cdn/shop/files/smashbox_always_on_liquid_eye_liner_50x.jpg?v=1687203222")</f>
        <v/>
      </c>
      <c r="H3332">
        <f>_xlfn.IMAGE("https://m.media-amazon.com/images/I/61JZoRGJzCL._AC_UL320_.jpg")</f>
        <v/>
      </c>
      <c r="K3332" t="inlineStr">
        <is>
          <t>25.0</t>
        </is>
      </c>
      <c r="L3332" t="n">
        <v>4.79</v>
      </c>
      <c r="M3332" s="1" t="inlineStr">
        <is>
          <t>-80.84%</t>
        </is>
      </c>
      <c r="N3332" t="n">
        <v>4</v>
      </c>
      <c r="O3332" t="n">
        <v>10</v>
      </c>
      <c r="Q3332" t="inlineStr">
        <is>
          <t>InStock</t>
        </is>
      </c>
      <c r="R3332" t="inlineStr">
        <is>
          <t>undefined</t>
        </is>
      </c>
      <c r="S3332" t="inlineStr">
        <is>
          <t>1400412536943</t>
        </is>
      </c>
    </row>
    <row r="3333" ht="75" customHeight="1">
      <c r="A3333" s="2">
        <f>HYPERLINK("https://camerareadycosmetics.com/products/smashbox-always-on-liquid-eye-liner", "https://camerareadycosmetics.com/products/smashbox-always-on-liquid-eye-liner")</f>
        <v/>
      </c>
      <c r="B3333" s="2">
        <f>HYPERLINK("https://camerareadycosmetics.com/products/smashbox-always-on-liquid-eye-liner", "https://camerareadycosmetics.com/products/smashbox-always-on-liquid-eye-liner")</f>
        <v/>
      </c>
      <c r="C3333" t="inlineStr">
        <is>
          <t>Always On Liquid Eye Liner</t>
        </is>
      </c>
      <c r="D3333" t="inlineStr">
        <is>
          <t>NYX PROFESSIONAL MAKEUP Epic Wear Liquid Liner, Long-Lasting Waterproof Eyeliner - Stone Fox</t>
        </is>
      </c>
      <c r="E3333" s="2">
        <f>HYPERLINK("https://www.amazon.com/NYX-PROFESSIONAL-MAKEUP-Long-Lasting-Waterproof/dp/B08VFGVKB7/ref=sr_1_6?keywords=Always+On+Liquid+Eye+Liner&amp;qid=1695565724&amp;sr=8-6", "https://www.amazon.com/NYX-PROFESSIONAL-MAKEUP-Long-Lasting-Waterproof/dp/B08VFGVKB7/ref=sr_1_6?keywords=Always+On+Liquid+Eye+Liner&amp;qid=1695565724&amp;sr=8-6")</f>
        <v/>
      </c>
      <c r="F3333" t="inlineStr">
        <is>
          <t>B08VFGVKB7</t>
        </is>
      </c>
      <c r="G3333">
        <f>_xlfn.IMAGE("https://camerareadycosmetics.com/cdn/shop/files/smashbox_always_on_liquid_eye_liner_50x.jpg?v=1687203222")</f>
        <v/>
      </c>
      <c r="H3333">
        <f>_xlfn.IMAGE("https://m.media-amazon.com/images/I/51PqMVs7UzS._AC_UL320_.jpg")</f>
        <v/>
      </c>
      <c r="K3333" t="inlineStr">
        <is>
          <t>25.0</t>
        </is>
      </c>
      <c r="L3333" t="n">
        <v>7.99</v>
      </c>
      <c r="M3333" s="1" t="inlineStr">
        <is>
          <t>-68.04%</t>
        </is>
      </c>
      <c r="N3333" t="n">
        <v>4.4</v>
      </c>
      <c r="O3333" t="n">
        <v>10682</v>
      </c>
      <c r="Q3333" t="inlineStr">
        <is>
          <t>InStock</t>
        </is>
      </c>
      <c r="R3333" t="inlineStr">
        <is>
          <t>undefined</t>
        </is>
      </c>
      <c r="S3333" t="inlineStr">
        <is>
          <t>1400412536943</t>
        </is>
      </c>
    </row>
    <row r="3334" ht="75" customHeight="1">
      <c r="A3334" s="2">
        <f>HYPERLINK("https://camerareadycosmetics.com/products/smashbox-always-on-liquid-eye-liner", "https://camerareadycosmetics.com/products/smashbox-always-on-liquid-eye-liner")</f>
        <v/>
      </c>
      <c r="B3334" s="2">
        <f>HYPERLINK("https://camerareadycosmetics.com/products/smashbox-always-on-liquid-eye-liner", "https://camerareadycosmetics.com/products/smashbox-always-on-liquid-eye-liner")</f>
        <v/>
      </c>
      <c r="C3334" t="inlineStr">
        <is>
          <t>Always On Liquid Eye Liner</t>
        </is>
      </c>
      <c r="D3334" t="inlineStr">
        <is>
          <t>L’Oréal Paris Makeup Infallible Super Slim Long-Lasting Liquid Eyeliner, Ultra-Fine Felt Tip, Quick Drying Formula, Glides on Smoothly, Black, Pack of 1</t>
        </is>
      </c>
      <c r="E3334" s="2">
        <f>HYPERLINK("https://www.amazon.com/Paris-Infallible-Long-Lasting-Eyeliner-Ultra-Fine/dp/B00B1DRA94/ref=sr_1_5?keywords=Always+On+Liquid+Eye+Liner&amp;qid=1695565724&amp;sr=8-5", "https://www.amazon.com/Paris-Infallible-Long-Lasting-Eyeliner-Ultra-Fine/dp/B00B1DRA94/ref=sr_1_5?keywords=Always+On+Liquid+Eye+Liner&amp;qid=1695565724&amp;sr=8-5")</f>
        <v/>
      </c>
      <c r="F3334" t="inlineStr">
        <is>
          <t>B00B1DRA94</t>
        </is>
      </c>
      <c r="G3334">
        <f>_xlfn.IMAGE("https://camerareadycosmetics.com/cdn/shop/files/smashbox_always_on_liquid_eye_liner_50x.jpg?v=1687203222")</f>
        <v/>
      </c>
      <c r="H3334">
        <f>_xlfn.IMAGE("https://m.media-amazon.com/images/I/41-PArWWpuL._AC_UL320_.jpg")</f>
        <v/>
      </c>
      <c r="K3334" t="inlineStr">
        <is>
          <t>25.0</t>
        </is>
      </c>
      <c r="L3334" t="n">
        <v>7.8</v>
      </c>
      <c r="M3334" s="1" t="inlineStr">
        <is>
          <t>-68.80%</t>
        </is>
      </c>
      <c r="N3334" t="n">
        <v>4.3</v>
      </c>
      <c r="O3334" t="n">
        <v>16619</v>
      </c>
      <c r="Q3334" t="inlineStr">
        <is>
          <t>InStock</t>
        </is>
      </c>
      <c r="R3334" t="inlineStr">
        <is>
          <t>undefined</t>
        </is>
      </c>
      <c r="S3334" t="inlineStr">
        <is>
          <t>1400412536943</t>
        </is>
      </c>
    </row>
    <row r="3335" ht="75" customHeight="1">
      <c r="A3335" s="2">
        <f>HYPERLINK("https://camerareadycosmetics.com/products/smashbox-always-on-liquid-eye-liner", "https://camerareadycosmetics.com/products/smashbox-always-on-liquid-eye-liner")</f>
        <v/>
      </c>
      <c r="B3335" s="2">
        <f>HYPERLINK("https://camerareadycosmetics.com/products/smashbox-always-on-liquid-eye-liner", "https://camerareadycosmetics.com/products/smashbox-always-on-liquid-eye-liner")</f>
        <v/>
      </c>
      <c r="C3335" t="inlineStr">
        <is>
          <t>Always On Liquid Eye Liner</t>
        </is>
      </c>
      <c r="D3335" t="inlineStr">
        <is>
          <t>Almay Conditioning Liquid Eyeliner, Longwearing, Waterproof, Hydrating, 10 Black, 0.03 fl oz.</t>
        </is>
      </c>
      <c r="E3335" s="2">
        <f>HYPERLINK("https://www.amazon.com/Almay-Conditioning-Longwearing-Waterproof-Hydrating/dp/B09L1JYWYK/ref=sr_1_8?keywords=Always+On+Liquid+Eye+Liner&amp;qid=1695565724&amp;sr=8-8", "https://www.amazon.com/Almay-Conditioning-Longwearing-Waterproof-Hydrating/dp/B09L1JYWYK/ref=sr_1_8?keywords=Always+On+Liquid+Eye+Liner&amp;qid=1695565724&amp;sr=8-8")</f>
        <v/>
      </c>
      <c r="F3335" t="inlineStr">
        <is>
          <t>B09L1JYWYK</t>
        </is>
      </c>
      <c r="G3335">
        <f>_xlfn.IMAGE("https://camerareadycosmetics.com/cdn/shop/files/smashbox_always_on_liquid_eye_liner_50x.jpg?v=1687203222")</f>
        <v/>
      </c>
      <c r="H3335">
        <f>_xlfn.IMAGE("https://m.media-amazon.com/images/I/51HDu8TyuuL._AC_UL320_.jpg")</f>
        <v/>
      </c>
      <c r="K3335" t="inlineStr">
        <is>
          <t>25.0</t>
        </is>
      </c>
      <c r="L3335" t="n">
        <v>7.4</v>
      </c>
      <c r="M3335" s="1" t="inlineStr">
        <is>
          <t>-70.40%</t>
        </is>
      </c>
      <c r="N3335" t="n">
        <v>4.2</v>
      </c>
      <c r="O3335" t="n">
        <v>6060</v>
      </c>
      <c r="Q3335" t="inlineStr">
        <is>
          <t>InStock</t>
        </is>
      </c>
      <c r="R3335" t="inlineStr">
        <is>
          <t>undefined</t>
        </is>
      </c>
      <c r="S3335" t="inlineStr">
        <is>
          <t>1400412536943</t>
        </is>
      </c>
    </row>
    <row r="3336" ht="75" customHeight="1">
      <c r="A3336" s="2">
        <f>HYPERLINK("https://camerareadycosmetics.com/products/smashbox-always-on-liquid-eye-liner", "https://camerareadycosmetics.com/products/smashbox-always-on-liquid-eye-liner")</f>
        <v/>
      </c>
      <c r="B3336" s="2">
        <f>HYPERLINK("https://camerareadycosmetics.com/products/smashbox-always-on-liquid-eye-liner", "https://camerareadycosmetics.com/products/smashbox-always-on-liquid-eye-liner")</f>
        <v/>
      </c>
      <c r="C3336" t="inlineStr">
        <is>
          <t>Always On Liquid Eye Liner</t>
        </is>
      </c>
      <c r="D3336" t="inlineStr">
        <is>
          <t>Erinde 2PCS Black Liquid Eyeliner with Eyeliner Stencils, Waterproof Eye Liners Pen, Long-Lasting eyeliner liquid liner, Quickly Dry, Smudgeproof, Longwearing with Ultra-Fine Tip (#01)</t>
        </is>
      </c>
      <c r="E3336" s="2">
        <f>HYPERLINK("https://www.amazon.com/Erinde-Waterproof-Long-Lasting-Smudgeproof-Longwearing/dp/B0C7K6W2CW/ref=sr_1_3?keywords=Always+On+Liquid+Eye+Liner&amp;qid=1695565724&amp;sr=8-3", "https://www.amazon.com/Erinde-Waterproof-Long-Lasting-Smudgeproof-Longwearing/dp/B0C7K6W2CW/ref=sr_1_3?keywords=Always+On+Liquid+Eye+Liner&amp;qid=1695565724&amp;sr=8-3")</f>
        <v/>
      </c>
      <c r="F3336" t="inlineStr">
        <is>
          <t>B0C7K6W2CW</t>
        </is>
      </c>
      <c r="G3336">
        <f>_xlfn.IMAGE("https://camerareadycosmetics.com/cdn/shop/files/smashbox_always_on_liquid_eye_liner_50x.jpg?v=1687203222")</f>
        <v/>
      </c>
      <c r="H3336">
        <f>_xlfn.IMAGE("https://m.media-amazon.com/images/I/71ACGFZUCJL._AC_UL320_.jpg")</f>
        <v/>
      </c>
      <c r="K3336" t="inlineStr">
        <is>
          <t>25.0</t>
        </is>
      </c>
      <c r="L3336" t="n">
        <v>6.99</v>
      </c>
      <c r="M3336" s="1" t="inlineStr">
        <is>
          <t>-72.04%</t>
        </is>
      </c>
      <c r="N3336" t="n">
        <v>4</v>
      </c>
      <c r="O3336" t="n">
        <v>5</v>
      </c>
      <c r="Q3336" t="inlineStr">
        <is>
          <t>InStock</t>
        </is>
      </c>
      <c r="R3336" t="inlineStr">
        <is>
          <t>undefined</t>
        </is>
      </c>
      <c r="S3336" t="inlineStr">
        <is>
          <t>1400412536943</t>
        </is>
      </c>
    </row>
    <row r="3337" ht="75" customHeight="1">
      <c r="A3337" s="2">
        <f>HYPERLINK("https://camerareadycosmetics.com/products/smashbox-always-on-liquid-eye-liner", "https://camerareadycosmetics.com/products/smashbox-always-on-liquid-eye-liner")</f>
        <v/>
      </c>
      <c r="B3337" s="2">
        <f>HYPERLINK("https://camerareadycosmetics.com/products/smashbox-always-on-liquid-eye-liner", "https://camerareadycosmetics.com/products/smashbox-always-on-liquid-eye-liner")</f>
        <v/>
      </c>
      <c r="C3337" t="inlineStr">
        <is>
          <t>Always On Liquid Eye Liner</t>
        </is>
      </c>
      <c r="D3337" t="inlineStr">
        <is>
          <t>Almay Intense Liquid Eyeliner, Waterproof and Longwearing, Hypoallergenic, Cruelty Free, -Fragrance Free, Ophthalmologist Tested, 223 Black Pearl, 0.08 oz</t>
        </is>
      </c>
      <c r="E3337" s="2">
        <f>HYPERLINK("https://www.amazon.com/Almay-Intense-Liquid-Eyeliner-Black/dp/B07H3X8SNK/ref=sr_1_10?keywords=Always+On+Liquid+Eye+Liner&amp;qid=1695565724&amp;sr=8-10", "https://www.amazon.com/Almay-Intense-Liquid-Eyeliner-Black/dp/B07H3X8SNK/ref=sr_1_10?keywords=Always+On+Liquid+Eye+Liner&amp;qid=1695565724&amp;sr=8-10")</f>
        <v/>
      </c>
      <c r="F3337" t="inlineStr">
        <is>
          <t>B07H3X8SNK</t>
        </is>
      </c>
      <c r="G3337">
        <f>_xlfn.IMAGE("https://camerareadycosmetics.com/cdn/shop/files/smashbox_always_on_liquid_eye_liner_50x.jpg?v=1687203222")</f>
        <v/>
      </c>
      <c r="H3337">
        <f>_xlfn.IMAGE("https://m.media-amazon.com/images/I/416-udywdGL._AC_UL320_.jpg")</f>
        <v/>
      </c>
      <c r="K3337" t="inlineStr">
        <is>
          <t>25.0</t>
        </is>
      </c>
      <c r="L3337" t="n">
        <v>6.95</v>
      </c>
      <c r="M3337" s="1" t="inlineStr">
        <is>
          <t>-72.20%</t>
        </is>
      </c>
      <c r="N3337" t="n">
        <v>4.2</v>
      </c>
      <c r="O3337" t="n">
        <v>6764</v>
      </c>
      <c r="Q3337" t="inlineStr">
        <is>
          <t>InStock</t>
        </is>
      </c>
      <c r="R3337" t="inlineStr">
        <is>
          <t>undefined</t>
        </is>
      </c>
      <c r="S3337" t="inlineStr">
        <is>
          <t>1400412536943</t>
        </is>
      </c>
    </row>
    <row r="3338" ht="75" customHeight="1">
      <c r="A3338" s="2">
        <f>HYPERLINK("https://camerareadycosmetics.com/products/smashbox-always-on-liquid-eye-liner", "https://camerareadycosmetics.com/products/smashbox-always-on-liquid-eye-liner")</f>
        <v/>
      </c>
      <c r="B3338" s="2">
        <f>HYPERLINK("https://camerareadycosmetics.com/products/smashbox-always-on-liquid-eye-liner", "https://camerareadycosmetics.com/products/smashbox-always-on-liquid-eye-liner")</f>
        <v/>
      </c>
      <c r="C3338" t="inlineStr">
        <is>
          <t>Always On Liquid Eye Liner</t>
        </is>
      </c>
      <c r="D3338" t="inlineStr">
        <is>
          <t>ONarisae liquid eyeliner waterproof eyeliner Pigmented smudge proof eye liner dual style liquid liner with glitter Dark Blue</t>
        </is>
      </c>
      <c r="E3338" s="2">
        <f>HYPERLINK("https://www.amazon.com/ONarisae-eyeliner-waterproof-Pigmented-glitter/dp/B0C5T5VGKQ/ref=sr_1_9?keywords=Always+On+Liquid+Eye+Liner&amp;qid=1695565724&amp;sr=8-9", "https://www.amazon.com/ONarisae-eyeliner-waterproof-Pigmented-glitter/dp/B0C5T5VGKQ/ref=sr_1_9?keywords=Always+On+Liquid+Eye+Liner&amp;qid=1695565724&amp;sr=8-9")</f>
        <v/>
      </c>
      <c r="F3338" t="inlineStr">
        <is>
          <t>B0C5T5VGKQ</t>
        </is>
      </c>
      <c r="G3338">
        <f>_xlfn.IMAGE("https://camerareadycosmetics.com/cdn/shop/files/smashbox_always_on_liquid_eye_liner_50x.jpg?v=1687203222")</f>
        <v/>
      </c>
      <c r="H3338">
        <f>_xlfn.IMAGE("https://m.media-amazon.com/images/I/61JZoRGJzCL._AC_UL320_.jpg")</f>
        <v/>
      </c>
      <c r="K3338" t="inlineStr">
        <is>
          <t>25.0</t>
        </is>
      </c>
      <c r="L3338" t="n">
        <v>4.79</v>
      </c>
      <c r="M3338" s="1" t="inlineStr">
        <is>
          <t>-80.84%</t>
        </is>
      </c>
      <c r="N3338" t="n">
        <v>4</v>
      </c>
      <c r="O3338" t="n">
        <v>10</v>
      </c>
      <c r="Q3338" t="inlineStr">
        <is>
          <t>InStock</t>
        </is>
      </c>
      <c r="R3338" t="inlineStr">
        <is>
          <t>undefined</t>
        </is>
      </c>
      <c r="S3338" t="inlineStr">
        <is>
          <t>1400412536943</t>
        </is>
      </c>
    </row>
    <row r="3339" ht="75" customHeight="1">
      <c r="A3339" s="2">
        <f>HYPERLINK("https://camerareadycosmetics.com/products/smashbox-always-on-liquid-lipstick", "https://camerareadycosmetics.com/products/smashbox-always-on-liquid-lipstick")</f>
        <v/>
      </c>
      <c r="B3339" s="2">
        <f>HYPERLINK("https://camerareadycosmetics.com/products/smashbox-always-on-liquid-lipstick", "https://camerareadycosmetics.com/products/smashbox-always-on-liquid-lipstick")</f>
        <v/>
      </c>
      <c r="C3339" t="inlineStr">
        <is>
          <t>Always On Liquid Lipstick</t>
        </is>
      </c>
      <c r="D3339" t="inlineStr">
        <is>
          <t>Smashbox Always On Liquid Lipstick - Miss Conduct Women Lipstick 0.13 oz</t>
        </is>
      </c>
      <c r="E3339" s="2">
        <f>HYPERLINK("https://www.amazon.com/Smashbox-Always-Liquid-Lipstick-Conduct/dp/B01IDUU8VO/ref=sr_1_2?keywords=Always+On+Liquid+Lipstick&amp;qid=1695565513&amp;sr=8-2", "https://www.amazon.com/Smashbox-Always-Liquid-Lipstick-Conduct/dp/B01IDUU8VO/ref=sr_1_2?keywords=Always+On+Liquid+Lipstick&amp;qid=1695565513&amp;sr=8-2")</f>
        <v/>
      </c>
      <c r="F3339" t="inlineStr">
        <is>
          <t>B01IDUU8VO</t>
        </is>
      </c>
      <c r="G3339">
        <f>_xlfn.IMAGE("https://camerareadycosmetics.com/cdn/shop/products/babe-alert_50x.jpg?v=1534446818")</f>
        <v/>
      </c>
      <c r="H3339">
        <f>_xlfn.IMAGE("https://m.media-amazon.com/images/I/71AGRwGTQmL._AC_UL320_.jpg")</f>
        <v/>
      </c>
      <c r="K3339" t="inlineStr">
        <is>
          <t>27.0</t>
        </is>
      </c>
      <c r="L3339" t="n">
        <v>23.05</v>
      </c>
      <c r="M3339" s="1" t="inlineStr">
        <is>
          <t>-14.63%</t>
        </is>
      </c>
      <c r="N3339" t="n">
        <v>4.3</v>
      </c>
      <c r="O3339" t="n">
        <v>132</v>
      </c>
      <c r="Q3339" t="inlineStr">
        <is>
          <t>InStock</t>
        </is>
      </c>
      <c r="R3339" t="inlineStr">
        <is>
          <t>undefined</t>
        </is>
      </c>
      <c r="S3339" t="inlineStr">
        <is>
          <t>1403694448751</t>
        </is>
      </c>
    </row>
    <row r="3340" ht="75" customHeight="1">
      <c r="A3340" s="2">
        <f>HYPERLINK("https://camerareadycosmetics.com/products/smashbox-always-on-liquid-lipstick", "https://camerareadycosmetics.com/products/smashbox-always-on-liquid-lipstick")</f>
        <v/>
      </c>
      <c r="B3340" s="2">
        <f>HYPERLINK("https://camerareadycosmetics.com/products/smashbox-always-on-liquid-lipstick", "https://camerareadycosmetics.com/products/smashbox-always-on-liquid-lipstick")</f>
        <v/>
      </c>
      <c r="C3340" t="inlineStr">
        <is>
          <t>Always On Liquid Lipstick</t>
        </is>
      </c>
      <c r="D3340" t="inlineStr">
        <is>
          <t>Smashbox Always On Liquid Lipstick, Bawse, 0.13 Fluid Ounce</t>
        </is>
      </c>
      <c r="E3340" s="2">
        <f>HYPERLINK("https://www.amazon.com/Smashbox-Always-Liquid-Lipstick-Bawse/dp/B01IDUOD10/ref=sr_1_1?keywords=Always+On+Liquid+Lipstick&amp;qid=1695565513&amp;sr=8-1", "https://www.amazon.com/Smashbox-Always-Liquid-Lipstick-Bawse/dp/B01IDUOD10/ref=sr_1_1?keywords=Always+On+Liquid+Lipstick&amp;qid=1695565513&amp;sr=8-1")</f>
        <v/>
      </c>
      <c r="F3340" t="inlineStr">
        <is>
          <t>B01IDUOD10</t>
        </is>
      </c>
      <c r="G3340">
        <f>_xlfn.IMAGE("https://camerareadycosmetics.com/cdn/shop/products/babe-alert_50x.jpg?v=1534446818")</f>
        <v/>
      </c>
      <c r="H3340">
        <f>_xlfn.IMAGE("https://m.media-amazon.com/images/I/61a9XHVEZNL._AC_UL320_.jpg")</f>
        <v/>
      </c>
      <c r="K3340" t="inlineStr">
        <is>
          <t>27.0</t>
        </is>
      </c>
      <c r="L3340" t="n">
        <v>21.1</v>
      </c>
      <c r="M3340" s="1" t="inlineStr">
        <is>
          <t>-21.85%</t>
        </is>
      </c>
      <c r="N3340" t="n">
        <v>4.2</v>
      </c>
      <c r="O3340" t="n">
        <v>1107</v>
      </c>
      <c r="Q3340" t="inlineStr">
        <is>
          <t>InStock</t>
        </is>
      </c>
      <c r="R3340" t="inlineStr">
        <is>
          <t>undefined</t>
        </is>
      </c>
      <c r="S3340" t="inlineStr">
        <is>
          <t>1403694448751</t>
        </is>
      </c>
    </row>
    <row r="3341" ht="75" customHeight="1">
      <c r="A3341" s="2">
        <f>HYPERLINK("https://camerareadycosmetics.com/products/smashbox-always-on-liquid-lipstick", "https://camerareadycosmetics.com/products/smashbox-always-on-liquid-lipstick")</f>
        <v/>
      </c>
      <c r="B3341" s="2">
        <f>HYPERLINK("https://camerareadycosmetics.com/products/smashbox-always-on-liquid-lipstick", "https://camerareadycosmetics.com/products/smashbox-always-on-liquid-lipstick")</f>
        <v/>
      </c>
      <c r="C3341" t="inlineStr">
        <is>
          <t>Always On Liquid Lipstick</t>
        </is>
      </c>
      <c r="D3341" t="inlineStr">
        <is>
          <t>Smashbox Always On Cream to Matte Lipstick, Not Today (Peachy Neutral)</t>
        </is>
      </c>
      <c r="E3341" s="2">
        <f>HYPERLINK("https://www.amazon.com/Smashbox-Always-Lipstick-Peachy-Neutral/dp/B087WFZWRS/ref=sr_1_4?keywords=Always+On+Liquid+Lipstick&amp;qid=1695565513&amp;sr=8-4", "https://www.amazon.com/Smashbox-Always-Lipstick-Peachy-Neutral/dp/B087WFZWRS/ref=sr_1_4?keywords=Always+On+Liquid+Lipstick&amp;qid=1695565513&amp;sr=8-4")</f>
        <v/>
      </c>
      <c r="F3341" t="inlineStr">
        <is>
          <t>B087WFZWRS</t>
        </is>
      </c>
      <c r="G3341">
        <f>_xlfn.IMAGE("https://camerareadycosmetics.com/cdn/shop/products/babe-alert_50x.jpg?v=1534446818")</f>
        <v/>
      </c>
      <c r="H3341">
        <f>_xlfn.IMAGE("https://m.media-amazon.com/images/I/6112fEKmHsL._AC_UL320_.jpg")</f>
        <v/>
      </c>
      <c r="K3341" t="inlineStr">
        <is>
          <t>27.0</t>
        </is>
      </c>
      <c r="L3341" t="n">
        <v>16</v>
      </c>
      <c r="M3341" s="1" t="inlineStr">
        <is>
          <t>-40.74%</t>
        </is>
      </c>
      <c r="N3341" t="n">
        <v>4.3</v>
      </c>
      <c r="O3341" t="n">
        <v>15</v>
      </c>
      <c r="Q3341" t="inlineStr">
        <is>
          <t>InStock</t>
        </is>
      </c>
      <c r="R3341" t="inlineStr">
        <is>
          <t>undefined</t>
        </is>
      </c>
      <c r="S3341" t="inlineStr">
        <is>
          <t>1403694448751</t>
        </is>
      </c>
    </row>
    <row r="3342" ht="75" customHeight="1">
      <c r="A3342" s="2">
        <f>HYPERLINK("https://camerareadycosmetics.com/products/smashbox-always-on-liquid-lipstick", "https://camerareadycosmetics.com/products/smashbox-always-on-liquid-lipstick")</f>
        <v/>
      </c>
      <c r="B3342" s="2">
        <f>HYPERLINK("https://camerareadycosmetics.com/products/smashbox-always-on-liquid-lipstick", "https://camerareadycosmetics.com/products/smashbox-always-on-liquid-lipstick")</f>
        <v/>
      </c>
      <c r="C3342" t="inlineStr">
        <is>
          <t>Always On Liquid Lipstick</t>
        </is>
      </c>
      <c r="D3342" t="inlineStr">
        <is>
          <t>Smashbox Always On Cream to Matte Lipstick Just Barely</t>
        </is>
      </c>
      <c r="E3342" s="2">
        <f>HYPERLINK("https://www.amazon.com/Smashbox-Always-Cream-Lipstick-Barely/dp/B087VY7595/ref=sr_1_7?keywords=Always+On+Liquid+Lipstick&amp;qid=1695565513&amp;sr=8-7", "https://www.amazon.com/Smashbox-Always-Cream-Lipstick-Barely/dp/B087VY7595/ref=sr_1_7?keywords=Always+On+Liquid+Lipstick&amp;qid=1695565513&amp;sr=8-7")</f>
        <v/>
      </c>
      <c r="F3342" t="inlineStr">
        <is>
          <t>B087VY7595</t>
        </is>
      </c>
      <c r="G3342">
        <f>_xlfn.IMAGE("https://camerareadycosmetics.com/cdn/shop/products/babe-alert_50x.jpg?v=1534446818")</f>
        <v/>
      </c>
      <c r="H3342">
        <f>_xlfn.IMAGE("https://m.media-amazon.com/images/I/610t9VW8Z9L._AC_UL320_.jpg")</f>
        <v/>
      </c>
      <c r="K3342" t="inlineStr">
        <is>
          <t>27.0</t>
        </is>
      </c>
      <c r="L3342" t="n">
        <v>14.67</v>
      </c>
      <c r="M3342" s="1" t="inlineStr">
        <is>
          <t>-45.67%</t>
        </is>
      </c>
      <c r="N3342" t="n">
        <v>4.3</v>
      </c>
      <c r="O3342" t="n">
        <v>91</v>
      </c>
      <c r="Q3342" t="inlineStr">
        <is>
          <t>InStock</t>
        </is>
      </c>
      <c r="R3342" t="inlineStr">
        <is>
          <t>undefined</t>
        </is>
      </c>
      <c r="S3342" t="inlineStr">
        <is>
          <t>1403694448751</t>
        </is>
      </c>
    </row>
    <row r="3343" ht="75" customHeight="1">
      <c r="A3343" s="2">
        <f>HYPERLINK("https://camerareadycosmetics.com/products/smashbox-always-on-liquid-lipstick", "https://camerareadycosmetics.com/products/smashbox-always-on-liquid-lipstick")</f>
        <v/>
      </c>
      <c r="B3343" s="2">
        <f>HYPERLINK("https://camerareadycosmetics.com/products/smashbox-always-on-liquid-lipstick", "https://camerareadycosmetics.com/products/smashbox-always-on-liquid-lipstick")</f>
        <v/>
      </c>
      <c r="C3343" t="inlineStr">
        <is>
          <t>Always On Liquid Lipstick</t>
        </is>
      </c>
      <c r="D3343" t="inlineStr">
        <is>
          <t>MAYBELLINE New York Super Stay Vinyl Ink Longwear No-Budge Liquid Lipcolor Makeup, Highly Pigmented Color and Instant Shine, Royal, Deep Wine Red Lipstick, 0.14 fl oz, 1 Count</t>
        </is>
      </c>
      <c r="E3343" s="2">
        <f>HYPERLINK("https://www.amazon.com/Maybelline-Longwear-No-Budge-Lipcolor-Pigmented/dp/B09T8DQ1SG/ref=sr_1_3?keywords=Always+On+Liquid+Lipstick&amp;qid=1695565513&amp;sr=8-3", "https://www.amazon.com/Maybelline-Longwear-No-Budge-Lipcolor-Pigmented/dp/B09T8DQ1SG/ref=sr_1_3?keywords=Always+On+Liquid+Lipstick&amp;qid=1695565513&amp;sr=8-3")</f>
        <v/>
      </c>
      <c r="F3343" t="inlineStr">
        <is>
          <t>B09T8DQ1SG</t>
        </is>
      </c>
      <c r="G3343">
        <f>_xlfn.IMAGE("https://camerareadycosmetics.com/cdn/shop/products/babe-alert_50x.jpg?v=1534446818")</f>
        <v/>
      </c>
      <c r="H3343">
        <f>_xlfn.IMAGE("https://m.media-amazon.com/images/I/71a31X0j81L._AC_UL320_.jpg")</f>
        <v/>
      </c>
      <c r="K3343" t="inlineStr">
        <is>
          <t>27.0</t>
        </is>
      </c>
      <c r="L3343" t="n">
        <v>9.98</v>
      </c>
      <c r="M3343" s="1" t="inlineStr">
        <is>
          <t>-63.04%</t>
        </is>
      </c>
      <c r="N3343" t="n">
        <v>4.3</v>
      </c>
      <c r="O3343" t="n">
        <v>31716</v>
      </c>
      <c r="Q3343" t="inlineStr">
        <is>
          <t>InStock</t>
        </is>
      </c>
      <c r="R3343" t="inlineStr">
        <is>
          <t>undefined</t>
        </is>
      </c>
      <c r="S3343" t="inlineStr">
        <is>
          <t>1403694448751</t>
        </is>
      </c>
    </row>
    <row r="3344" ht="75" customHeight="1">
      <c r="A3344" s="2">
        <f>HYPERLINK("https://camerareadycosmetics.com/products/smashbox-always-on-liquid-lipstick", "https://camerareadycosmetics.com/products/smashbox-always-on-liquid-lipstick")</f>
        <v/>
      </c>
      <c r="B3344" s="2">
        <f>HYPERLINK("https://camerareadycosmetics.com/products/smashbox-always-on-liquid-lipstick", "https://camerareadycosmetics.com/products/smashbox-always-on-liquid-lipstick")</f>
        <v/>
      </c>
      <c r="C3344" t="inlineStr">
        <is>
          <t>Always On Liquid Lipstick</t>
        </is>
      </c>
      <c r="D3344" t="inlineStr">
        <is>
          <t>Milani Stay Put Longwear Liquid Lipstick - Smudge-Proof, Kiss-Proof, and Fade-Resistant Formula for All-Day Wear - Go Off</t>
        </is>
      </c>
      <c r="E3344" s="2">
        <f>HYPERLINK("https://www.amazon.com/Milani-Stay-Longwear-Liquid-Lipstick/dp/B0BXBHYDPB/ref=sr_1_9?keywords=Always+On+Liquid+Lipstick&amp;qid=1695565513&amp;sr=8-9", "https://www.amazon.com/Milani-Stay-Longwear-Liquid-Lipstick/dp/B0BXBHYDPB/ref=sr_1_9?keywords=Always+On+Liquid+Lipstick&amp;qid=1695565513&amp;sr=8-9")</f>
        <v/>
      </c>
      <c r="F3344" t="inlineStr">
        <is>
          <t>B0BXBHYDPB</t>
        </is>
      </c>
      <c r="G3344">
        <f>_xlfn.IMAGE("https://camerareadycosmetics.com/cdn/shop/products/babe-alert_50x.jpg?v=1534446818")</f>
        <v/>
      </c>
      <c r="H3344">
        <f>_xlfn.IMAGE("https://m.media-amazon.com/images/I/51foDlPu+wL._AC_UL320_.jpg")</f>
        <v/>
      </c>
      <c r="K3344" t="inlineStr">
        <is>
          <t>27.0</t>
        </is>
      </c>
      <c r="L3344" t="n">
        <v>9.970000000000001</v>
      </c>
      <c r="M3344" s="1" t="inlineStr">
        <is>
          <t>-63.07%</t>
        </is>
      </c>
      <c r="N3344" t="n">
        <v>4.2</v>
      </c>
      <c r="O3344" t="n">
        <v>389</v>
      </c>
      <c r="Q3344" t="inlineStr">
        <is>
          <t>InStock</t>
        </is>
      </c>
      <c r="R3344" t="inlineStr">
        <is>
          <t>undefined</t>
        </is>
      </c>
      <c r="S3344" t="inlineStr">
        <is>
          <t>1403694448751</t>
        </is>
      </c>
    </row>
    <row r="3345" ht="75" customHeight="1">
      <c r="A3345" s="2">
        <f>HYPERLINK("https://camerareadycosmetics.com/products/smashbox-always-on-liquid-lipstick", "https://camerareadycosmetics.com/products/smashbox-always-on-liquid-lipstick")</f>
        <v/>
      </c>
      <c r="B3345" s="2">
        <f>HYPERLINK("https://camerareadycosmetics.com/products/smashbox-always-on-liquid-lipstick", "https://camerareadycosmetics.com/products/smashbox-always-on-liquid-lipstick")</f>
        <v/>
      </c>
      <c r="C3345" t="inlineStr">
        <is>
          <t>Always On Liquid Lipstick</t>
        </is>
      </c>
      <c r="D3345" t="inlineStr">
        <is>
          <t>Revlon Liquid Lipstick with Clear Lip Gloss, ColorStay Face Makeup, Overtime Lipcolor, Dual Ended with Vitamin E in Nude, Bare Maximum (350), 0.07 Oz</t>
        </is>
      </c>
      <c r="E3345" s="2">
        <f>HYPERLINK("https://www.amazon.com/Revlon-ColorStay-Overtime-Lipcolor-Maximum/dp/B001P2JZBC/ref=sr_1_6?keywords=Always+On+Liquid+Lipstick&amp;qid=1695565513&amp;sr=8-6", "https://www.amazon.com/Revlon-ColorStay-Overtime-Lipcolor-Maximum/dp/B001P2JZBC/ref=sr_1_6?keywords=Always+On+Liquid+Lipstick&amp;qid=1695565513&amp;sr=8-6")</f>
        <v/>
      </c>
      <c r="F3345" t="inlineStr">
        <is>
          <t>B001P2JZBC</t>
        </is>
      </c>
      <c r="G3345">
        <f>_xlfn.IMAGE("https://camerareadycosmetics.com/cdn/shop/products/babe-alert_50x.jpg?v=1534446818")</f>
        <v/>
      </c>
      <c r="H3345">
        <f>_xlfn.IMAGE("https://m.media-amazon.com/images/I/71KigFSpAIL._AC_UL320_.jpg")</f>
        <v/>
      </c>
      <c r="K3345" t="inlineStr">
        <is>
          <t>27.0</t>
        </is>
      </c>
      <c r="L3345" t="n">
        <v>9.470000000000001</v>
      </c>
      <c r="M3345" s="1" t="inlineStr">
        <is>
          <t>-64.93%</t>
        </is>
      </c>
      <c r="N3345" t="n">
        <v>4.5</v>
      </c>
      <c r="O3345" t="n">
        <v>20314</v>
      </c>
      <c r="Q3345" t="inlineStr">
        <is>
          <t>InStock</t>
        </is>
      </c>
      <c r="R3345" t="inlineStr">
        <is>
          <t>undefined</t>
        </is>
      </c>
      <c r="S3345" t="inlineStr">
        <is>
          <t>1403694448751</t>
        </is>
      </c>
    </row>
    <row r="3346" ht="75" customHeight="1">
      <c r="A3346" s="2">
        <f>HYPERLINK("https://camerareadycosmetics.com/products/smashbox-always-on-liquid-lipstick", "https://camerareadycosmetics.com/products/smashbox-always-on-liquid-lipstick")</f>
        <v/>
      </c>
      <c r="B3346" s="2">
        <f>HYPERLINK("https://camerareadycosmetics.com/products/smashbox-always-on-liquid-lipstick", "https://camerareadycosmetics.com/products/smashbox-always-on-liquid-lipstick")</f>
        <v/>
      </c>
      <c r="C3346" t="inlineStr">
        <is>
          <t>Always On Liquid Lipstick</t>
        </is>
      </c>
      <c r="D3346" t="inlineStr">
        <is>
          <t>Revlon Liquid Lipstick, Face Makeup, ColorStay Ultimate, Longwear Rich Lip Colors, Satin Finish, 075 #1 Nude, 0.07 Oz</t>
        </is>
      </c>
      <c r="E3346" s="2">
        <f>HYPERLINK("https://www.amazon.com/Revlon-ColorStay-Ultimate-Liquid-Lipstick/dp/B002H93752/ref=sr_1_8?keywords=Always+On+Liquid+Lipstick&amp;qid=1695565513&amp;sr=8-8", "https://www.amazon.com/Revlon-ColorStay-Ultimate-Liquid-Lipstick/dp/B002H93752/ref=sr_1_8?keywords=Always+On+Liquid+Lipstick&amp;qid=1695565513&amp;sr=8-8")</f>
        <v/>
      </c>
      <c r="F3346" t="inlineStr">
        <is>
          <t>B002H93752</t>
        </is>
      </c>
      <c r="G3346">
        <f>_xlfn.IMAGE("https://camerareadycosmetics.com/cdn/shop/products/babe-alert_50x.jpg?v=1534446818")</f>
        <v/>
      </c>
      <c r="H3346">
        <f>_xlfn.IMAGE("https://m.media-amazon.com/images/I/61AGOyhrlaL._AC_UL320_.jpg")</f>
        <v/>
      </c>
      <c r="K3346" t="inlineStr">
        <is>
          <t>27.0</t>
        </is>
      </c>
      <c r="L3346" t="n">
        <v>7.92</v>
      </c>
      <c r="M3346" s="1" t="inlineStr">
        <is>
          <t>-70.67%</t>
        </is>
      </c>
      <c r="N3346" t="n">
        <v>4.6</v>
      </c>
      <c r="O3346" t="n">
        <v>9285</v>
      </c>
      <c r="Q3346" t="inlineStr">
        <is>
          <t>InStock</t>
        </is>
      </c>
      <c r="R3346" t="inlineStr">
        <is>
          <t>undefined</t>
        </is>
      </c>
      <c r="S3346" t="inlineStr">
        <is>
          <t>1403694448751</t>
        </is>
      </c>
    </row>
    <row r="3347" ht="75" customHeight="1">
      <c r="A3347" s="2">
        <f>HYPERLINK("https://camerareadycosmetics.com/products/smashbox-always-on-liquid-lipstick", "https://camerareadycosmetics.com/products/smashbox-always-on-liquid-lipstick")</f>
        <v/>
      </c>
      <c r="B3347" s="2">
        <f>HYPERLINK("https://camerareadycosmetics.com/products/smashbox-always-on-liquid-lipstick", "https://camerareadycosmetics.com/products/smashbox-always-on-liquid-lipstick")</f>
        <v/>
      </c>
      <c r="C3347" t="inlineStr">
        <is>
          <t>Always On Liquid Lipstick</t>
        </is>
      </c>
      <c r="D3347" t="inlineStr">
        <is>
          <t>MAYBELLINE New York Super Stay Vinyl Ink Longwear No-Budge Liquid Lipcolor Makeup, Highly Pigmented Color and Instant Shine, Royal, Deep Wine Red Lipstick, 0.14 fl oz, 1 Count</t>
        </is>
      </c>
      <c r="E3347" s="2">
        <f>HYPERLINK("https://www.amazon.com/Maybelline-Longwear-No-Budge-Lipcolor-Pigmented/dp/B09T8DQ1SG/ref=sr_1_3?keywords=Always+On+Liquid+Lipstick&amp;qid=1695565513&amp;sr=8-3", "https://www.amazon.com/Maybelline-Longwear-No-Budge-Lipcolor-Pigmented/dp/B09T8DQ1SG/ref=sr_1_3?keywords=Always+On+Liquid+Lipstick&amp;qid=1695565513&amp;sr=8-3")</f>
        <v/>
      </c>
      <c r="F3347" t="inlineStr">
        <is>
          <t>B09T8DQ1SG</t>
        </is>
      </c>
      <c r="G3347">
        <f>_xlfn.IMAGE("https://camerareadycosmetics.com/cdn/shop/products/babe-alert_50x.jpg?v=1534446818")</f>
        <v/>
      </c>
      <c r="H3347">
        <f>_xlfn.IMAGE("https://m.media-amazon.com/images/I/71a31X0j81L._AC_UL320_.jpg")</f>
        <v/>
      </c>
      <c r="K3347" t="inlineStr">
        <is>
          <t>27.0</t>
        </is>
      </c>
      <c r="L3347" t="n">
        <v>9.98</v>
      </c>
      <c r="M3347" s="1" t="inlineStr">
        <is>
          <t>-63.04%</t>
        </is>
      </c>
      <c r="N3347" t="n">
        <v>4.3</v>
      </c>
      <c r="O3347" t="n">
        <v>31716</v>
      </c>
      <c r="Q3347" t="inlineStr">
        <is>
          <t>InStock</t>
        </is>
      </c>
      <c r="R3347" t="inlineStr">
        <is>
          <t>undefined</t>
        </is>
      </c>
      <c r="S3347" t="inlineStr">
        <is>
          <t>1403694448751</t>
        </is>
      </c>
    </row>
    <row r="3348" ht="75" customHeight="1">
      <c r="A3348" s="2">
        <f>HYPERLINK("https://camerareadycosmetics.com/products/smashbox-always-on-liquid-lipstick", "https://camerareadycosmetics.com/products/smashbox-always-on-liquid-lipstick")</f>
        <v/>
      </c>
      <c r="B3348" s="2">
        <f>HYPERLINK("https://camerareadycosmetics.com/products/smashbox-always-on-liquid-lipstick", "https://camerareadycosmetics.com/products/smashbox-always-on-liquid-lipstick")</f>
        <v/>
      </c>
      <c r="C3348" t="inlineStr">
        <is>
          <t>Always On Liquid Lipstick</t>
        </is>
      </c>
      <c r="D3348" t="inlineStr">
        <is>
          <t>Milani Stay Put Longwear Liquid Lipstick - Smudge-Proof, Kiss-Proof, and Fade-Resistant Formula for All-Day Wear - Go Off</t>
        </is>
      </c>
      <c r="E3348" s="2">
        <f>HYPERLINK("https://www.amazon.com/Milani-Stay-Longwear-Liquid-Lipstick/dp/B0BXBHYDPB/ref=sr_1_9?keywords=Always+On+Liquid+Lipstick&amp;qid=1695565513&amp;sr=8-9", "https://www.amazon.com/Milani-Stay-Longwear-Liquid-Lipstick/dp/B0BXBHYDPB/ref=sr_1_9?keywords=Always+On+Liquid+Lipstick&amp;qid=1695565513&amp;sr=8-9")</f>
        <v/>
      </c>
      <c r="F3348" t="inlineStr">
        <is>
          <t>B0BXBHYDPB</t>
        </is>
      </c>
      <c r="G3348">
        <f>_xlfn.IMAGE("https://camerareadycosmetics.com/cdn/shop/products/babe-alert_50x.jpg?v=1534446818")</f>
        <v/>
      </c>
      <c r="H3348">
        <f>_xlfn.IMAGE("https://m.media-amazon.com/images/I/51foDlPu+wL._AC_UL320_.jpg")</f>
        <v/>
      </c>
      <c r="K3348" t="inlineStr">
        <is>
          <t>27.0</t>
        </is>
      </c>
      <c r="L3348" t="n">
        <v>9.970000000000001</v>
      </c>
      <c r="M3348" s="1" t="inlineStr">
        <is>
          <t>-63.07%</t>
        </is>
      </c>
      <c r="N3348" t="n">
        <v>4.2</v>
      </c>
      <c r="O3348" t="n">
        <v>389</v>
      </c>
      <c r="Q3348" t="inlineStr">
        <is>
          <t>InStock</t>
        </is>
      </c>
      <c r="R3348" t="inlineStr">
        <is>
          <t>undefined</t>
        </is>
      </c>
      <c r="S3348" t="inlineStr">
        <is>
          <t>1403694448751</t>
        </is>
      </c>
    </row>
    <row r="3349" ht="75" customHeight="1">
      <c r="A3349" s="2">
        <f>HYPERLINK("https://camerareadycosmetics.com/products/smashbox-always-on-liquid-lipstick", "https://camerareadycosmetics.com/products/smashbox-always-on-liquid-lipstick")</f>
        <v/>
      </c>
      <c r="B3349" s="2">
        <f>HYPERLINK("https://camerareadycosmetics.com/products/smashbox-always-on-liquid-lipstick", "https://camerareadycosmetics.com/products/smashbox-always-on-liquid-lipstick")</f>
        <v/>
      </c>
      <c r="C3349" t="inlineStr">
        <is>
          <t>Always On Liquid Lipstick</t>
        </is>
      </c>
      <c r="D3349" t="inlineStr">
        <is>
          <t>Revlon Liquid Lipstick with Clear Lip Gloss, ColorStay Face Makeup, Overtime Lipcolor, Dual Ended with Vitamin E in Nude, Bare Maximum (350), 0.07 Oz</t>
        </is>
      </c>
      <c r="E3349" s="2">
        <f>HYPERLINK("https://www.amazon.com/Revlon-ColorStay-Overtime-Lipcolor-Maximum/dp/B001P2JZBC/ref=sr_1_6?keywords=Always+On+Liquid+Lipstick&amp;qid=1695565513&amp;sr=8-6", "https://www.amazon.com/Revlon-ColorStay-Overtime-Lipcolor-Maximum/dp/B001P2JZBC/ref=sr_1_6?keywords=Always+On+Liquid+Lipstick&amp;qid=1695565513&amp;sr=8-6")</f>
        <v/>
      </c>
      <c r="F3349" t="inlineStr">
        <is>
          <t>B001P2JZBC</t>
        </is>
      </c>
      <c r="G3349">
        <f>_xlfn.IMAGE("https://camerareadycosmetics.com/cdn/shop/products/babe-alert_50x.jpg?v=1534446818")</f>
        <v/>
      </c>
      <c r="H3349">
        <f>_xlfn.IMAGE("https://m.media-amazon.com/images/I/71KigFSpAIL._AC_UL320_.jpg")</f>
        <v/>
      </c>
      <c r="K3349" t="inlineStr">
        <is>
          <t>27.0</t>
        </is>
      </c>
      <c r="L3349" t="n">
        <v>9.470000000000001</v>
      </c>
      <c r="M3349" s="1" t="inlineStr">
        <is>
          <t>-64.93%</t>
        </is>
      </c>
      <c r="N3349" t="n">
        <v>4.5</v>
      </c>
      <c r="O3349" t="n">
        <v>20314</v>
      </c>
      <c r="Q3349" t="inlineStr">
        <is>
          <t>InStock</t>
        </is>
      </c>
      <c r="R3349" t="inlineStr">
        <is>
          <t>undefined</t>
        </is>
      </c>
      <c r="S3349" t="inlineStr">
        <is>
          <t>1403694448751</t>
        </is>
      </c>
    </row>
    <row r="3350" ht="75" customHeight="1">
      <c r="A3350" s="2">
        <f>HYPERLINK("https://camerareadycosmetics.com/products/smashbox-always-on-liquid-lipstick", "https://camerareadycosmetics.com/products/smashbox-always-on-liquid-lipstick")</f>
        <v/>
      </c>
      <c r="B3350" s="2">
        <f>HYPERLINK("https://camerareadycosmetics.com/products/smashbox-always-on-liquid-lipstick", "https://camerareadycosmetics.com/products/smashbox-always-on-liquid-lipstick")</f>
        <v/>
      </c>
      <c r="C3350" t="inlineStr">
        <is>
          <t>Always On Liquid Lipstick</t>
        </is>
      </c>
      <c r="D3350" t="inlineStr">
        <is>
          <t>Revlon Liquid Lipstick, Face Makeup, ColorStay Ultimate, Longwear Rich Lip Colors, Satin Finish, 075 #1 Nude, 0.07 Oz</t>
        </is>
      </c>
      <c r="E3350" s="2">
        <f>HYPERLINK("https://www.amazon.com/Revlon-ColorStay-Ultimate-Liquid-Lipstick/dp/B002H93752/ref=sr_1_8?keywords=Always+On+Liquid+Lipstick&amp;qid=1695565513&amp;sr=8-8", "https://www.amazon.com/Revlon-ColorStay-Ultimate-Liquid-Lipstick/dp/B002H93752/ref=sr_1_8?keywords=Always+On+Liquid+Lipstick&amp;qid=1695565513&amp;sr=8-8")</f>
        <v/>
      </c>
      <c r="F3350" t="inlineStr">
        <is>
          <t>B002H93752</t>
        </is>
      </c>
      <c r="G3350">
        <f>_xlfn.IMAGE("https://camerareadycosmetics.com/cdn/shop/products/babe-alert_50x.jpg?v=1534446818")</f>
        <v/>
      </c>
      <c r="H3350">
        <f>_xlfn.IMAGE("https://m.media-amazon.com/images/I/61AGOyhrlaL._AC_UL320_.jpg")</f>
        <v/>
      </c>
      <c r="K3350" t="inlineStr">
        <is>
          <t>27.0</t>
        </is>
      </c>
      <c r="L3350" t="n">
        <v>7.92</v>
      </c>
      <c r="M3350" s="1" t="inlineStr">
        <is>
          <t>-70.67%</t>
        </is>
      </c>
      <c r="N3350" t="n">
        <v>4.6</v>
      </c>
      <c r="O3350" t="n">
        <v>9285</v>
      </c>
      <c r="Q3350" t="inlineStr">
        <is>
          <t>InStock</t>
        </is>
      </c>
      <c r="R3350" t="inlineStr">
        <is>
          <t>undefined</t>
        </is>
      </c>
      <c r="S3350" t="inlineStr">
        <is>
          <t>1403694448751</t>
        </is>
      </c>
    </row>
    <row r="3351" ht="75" customHeight="1">
      <c r="A3351" s="2">
        <f>HYPERLINK("https://camerareadycosmetics.com/products/smashbox-always-sharp-waterproof-kohl-liner", "https://camerareadycosmetics.com/products/smashbox-always-sharp-waterproof-kohl-liner")</f>
        <v/>
      </c>
      <c r="B3351" s="2">
        <f>HYPERLINK("https://camerareadycosmetics.com/products/smashbox-always-sharp-waterproof-kohl-liner", "https://camerareadycosmetics.com/products/smashbox-always-sharp-waterproof-kohl-liner")</f>
        <v/>
      </c>
      <c r="C3351" t="inlineStr">
        <is>
          <t>Always Sharp Waterproof Kohl Liner</t>
        </is>
      </c>
      <c r="D3351" t="inlineStr">
        <is>
          <t>Smashbox Always Sharp Waterproof Eye Liner # Sumatra 0.28G/0.01Oz, 1 Count (SG_B00NFG989U_US)</t>
        </is>
      </c>
      <c r="E3351" s="2">
        <f>HYPERLINK("https://www.amazon.com/Smashbox-Always-Waterproof-Sumatra-0-01Oz/dp/B00NFG989U/ref=sr_1_2?keywords=Always+Sharp+Waterproof+Kohl+Liner&amp;qid=1695565571&amp;sr=8-2", "https://www.amazon.com/Smashbox-Always-Waterproof-Sumatra-0-01Oz/dp/B00NFG989U/ref=sr_1_2?keywords=Always+Sharp+Waterproof+Kohl+Liner&amp;qid=1695565571&amp;sr=8-2")</f>
        <v/>
      </c>
      <c r="F3351" t="inlineStr">
        <is>
          <t>B00NFG989U</t>
        </is>
      </c>
      <c r="G3351">
        <f>_xlfn.IMAGE("https://camerareadycosmetics.com/cdn/shop/products/cabana-smashbox-always-sharp-waterproof-kohl-liner_50x.jpg?v=1654619017")</f>
        <v/>
      </c>
      <c r="H3351">
        <f>_xlfn.IMAGE("https://m.media-amazon.com/images/I/518a7UGRLXL._AC_UL320_.jpg")</f>
        <v/>
      </c>
      <c r="K3351" t="inlineStr">
        <is>
          <t>27.0</t>
        </is>
      </c>
      <c r="L3351" t="n">
        <v>25.86</v>
      </c>
      <c r="M3351" s="1" t="inlineStr">
        <is>
          <t>-4.22%</t>
        </is>
      </c>
      <c r="N3351" t="n">
        <v>4.5</v>
      </c>
      <c r="O3351" t="n">
        <v>692</v>
      </c>
      <c r="Q3351" t="inlineStr">
        <is>
          <t>InStock</t>
        </is>
      </c>
      <c r="R3351" t="inlineStr">
        <is>
          <t>undefined</t>
        </is>
      </c>
      <c r="S3351" t="inlineStr">
        <is>
          <t>1398065397871</t>
        </is>
      </c>
    </row>
    <row r="3352" ht="75" customHeight="1">
      <c r="A3352" s="2">
        <f>HYPERLINK("https://camerareadycosmetics.com/products/smashbox-always-sharp-waterproof-kohl-liner", "https://camerareadycosmetics.com/products/smashbox-always-sharp-waterproof-kohl-liner")</f>
        <v/>
      </c>
      <c r="B3352" s="2">
        <f>HYPERLINK("https://camerareadycosmetics.com/products/smashbox-always-sharp-waterproof-kohl-liner", "https://camerareadycosmetics.com/products/smashbox-always-sharp-waterproof-kohl-liner")</f>
        <v/>
      </c>
      <c r="C3352" t="inlineStr">
        <is>
          <t>Always Sharp Waterproof Kohl Liner</t>
        </is>
      </c>
      <c r="D3352" t="inlineStr">
        <is>
          <t>Smashbox Always Sharp Waterproof Eye Liner # Violetta 0.28G/0.01Oz</t>
        </is>
      </c>
      <c r="E3352" s="2">
        <f>HYPERLINK("https://www.amazon.com/Smashbox-Always-Waterproof-Violetta-0-01Oz/dp/B00NFG74KA/ref=sr_1_5?keywords=Always+Sharp+Waterproof+Kohl+Liner&amp;qid=1695565571&amp;sr=8-5", "https://www.amazon.com/Smashbox-Always-Waterproof-Violetta-0-01Oz/dp/B00NFG74KA/ref=sr_1_5?keywords=Always+Sharp+Waterproof+Kohl+Liner&amp;qid=1695565571&amp;sr=8-5")</f>
        <v/>
      </c>
      <c r="F3352" t="inlineStr">
        <is>
          <t>B00NFG74KA</t>
        </is>
      </c>
      <c r="G3352">
        <f>_xlfn.IMAGE("https://camerareadycosmetics.com/cdn/shop/products/cabana-smashbox-always-sharp-waterproof-kohl-liner_50x.jpg?v=1654619017")</f>
        <v/>
      </c>
      <c r="H3352">
        <f>_xlfn.IMAGE("https://m.media-amazon.com/images/I/512Nz8hN-TL._AC_UL320_.jpg")</f>
        <v/>
      </c>
      <c r="K3352" t="inlineStr">
        <is>
          <t>27.0</t>
        </is>
      </c>
      <c r="L3352" t="n">
        <v>25</v>
      </c>
      <c r="M3352" s="1" t="inlineStr">
        <is>
          <t>-7.41%</t>
        </is>
      </c>
      <c r="N3352" t="n">
        <v>4.5</v>
      </c>
      <c r="O3352" t="n">
        <v>253</v>
      </c>
      <c r="Q3352" t="inlineStr">
        <is>
          <t>InStock</t>
        </is>
      </c>
      <c r="R3352" t="inlineStr">
        <is>
          <t>undefined</t>
        </is>
      </c>
      <c r="S3352" t="inlineStr">
        <is>
          <t>1398065397871</t>
        </is>
      </c>
    </row>
    <row r="3353" ht="75" customHeight="1">
      <c r="A3353" s="2">
        <f>HYPERLINK("https://camerareadycosmetics.com/products/smashbox-always-sharp-waterproof-kohl-liner", "https://camerareadycosmetics.com/products/smashbox-always-sharp-waterproof-kohl-liner")</f>
        <v/>
      </c>
      <c r="B3353" s="2">
        <f>HYPERLINK("https://camerareadycosmetics.com/products/smashbox-always-sharp-waterproof-kohl-liner", "https://camerareadycosmetics.com/products/smashbox-always-sharp-waterproof-kohl-liner")</f>
        <v/>
      </c>
      <c r="C3353" t="inlineStr">
        <is>
          <t>Always Sharp Waterproof Kohl Liner</t>
        </is>
      </c>
      <c r="D3353" t="inlineStr">
        <is>
          <t>Smashbox Always Sharp Waterproof Kohl Eye Liner # Penny Lane, 0.01 Ounce</t>
        </is>
      </c>
      <c r="E3353" s="2">
        <f>HYPERLINK("https://www.amazon.com/Smashbox-Always-Sharp-Waterproof-0-01Oz/dp/B00NFG7090/ref=sr_1_3?keywords=Always+Sharp+Waterproof+Kohl+Liner&amp;qid=1695565571&amp;sr=8-3", "https://www.amazon.com/Smashbox-Always-Sharp-Waterproof-0-01Oz/dp/B00NFG7090/ref=sr_1_3?keywords=Always+Sharp+Waterproof+Kohl+Liner&amp;qid=1695565571&amp;sr=8-3")</f>
        <v/>
      </c>
      <c r="F3353" t="inlineStr">
        <is>
          <t>B00NFG7090</t>
        </is>
      </c>
      <c r="G3353">
        <f>_xlfn.IMAGE("https://camerareadycosmetics.com/cdn/shop/products/cabana-smashbox-always-sharp-waterproof-kohl-liner_50x.jpg?v=1654619017")</f>
        <v/>
      </c>
      <c r="H3353">
        <f>_xlfn.IMAGE("https://m.media-amazon.com/images/I/61saIPQsVZL._AC_UL320_.jpg")</f>
        <v/>
      </c>
      <c r="K3353" t="inlineStr">
        <is>
          <t>27.0</t>
        </is>
      </c>
      <c r="L3353" t="n">
        <v>24</v>
      </c>
      <c r="M3353" s="1" t="inlineStr">
        <is>
          <t>-11.11%</t>
        </is>
      </c>
      <c r="N3353" t="n">
        <v>4.5</v>
      </c>
      <c r="O3353" t="n">
        <v>209</v>
      </c>
      <c r="Q3353" t="inlineStr">
        <is>
          <t>InStock</t>
        </is>
      </c>
      <c r="R3353" t="inlineStr">
        <is>
          <t>undefined</t>
        </is>
      </c>
      <c r="S3353" t="inlineStr">
        <is>
          <t>1398065397871</t>
        </is>
      </c>
    </row>
    <row r="3354" ht="75" customHeight="1">
      <c r="A3354" s="2">
        <f>HYPERLINK("https://camerareadycosmetics.com/products/smashbox-always-sharp-waterproof-kohl-liner", "https://camerareadycosmetics.com/products/smashbox-always-sharp-waterproof-kohl-liner")</f>
        <v/>
      </c>
      <c r="B3354" s="2">
        <f>HYPERLINK("https://camerareadycosmetics.com/products/smashbox-always-sharp-waterproof-kohl-liner", "https://camerareadycosmetics.com/products/smashbox-always-sharp-waterproof-kohl-liner")</f>
        <v/>
      </c>
      <c r="C3354" t="inlineStr">
        <is>
          <t>Always Sharp Waterproof Kohl Liner</t>
        </is>
      </c>
      <c r="D3354" t="inlineStr">
        <is>
          <t>Smashbox Always Sharp Waterproof Kohl Liner # Raven, Plain, 0.01 Oz</t>
        </is>
      </c>
      <c r="E3354" s="2">
        <f>HYPERLINK("https://www.amazon.com/Smashbox-Always-Sharp-Waterproof-0-01Oz/dp/B00NFG6WWQ/ref=sr_1_1?keywords=Always+Sharp+Waterproof+Kohl+Liner&amp;qid=1695565571&amp;sr=8-1", "https://www.amazon.com/Smashbox-Always-Sharp-Waterproof-0-01Oz/dp/B00NFG6WWQ/ref=sr_1_1?keywords=Always+Sharp+Waterproof+Kohl+Liner&amp;qid=1695565571&amp;sr=8-1")</f>
        <v/>
      </c>
      <c r="F3354" t="inlineStr">
        <is>
          <t>B00NFG6WWQ</t>
        </is>
      </c>
      <c r="G3354">
        <f>_xlfn.IMAGE("https://camerareadycosmetics.com/cdn/shop/products/cabana-smashbox-always-sharp-waterproof-kohl-liner_50x.jpg?v=1654619017")</f>
        <v/>
      </c>
      <c r="H3354">
        <f>_xlfn.IMAGE("https://m.media-amazon.com/images/I/61Q7RfE8iYL._AC_UL320_.jpg")</f>
        <v/>
      </c>
      <c r="K3354" t="inlineStr">
        <is>
          <t>27.0</t>
        </is>
      </c>
      <c r="L3354" t="n">
        <v>22.07</v>
      </c>
      <c r="M3354" s="1" t="inlineStr">
        <is>
          <t>-18.26%</t>
        </is>
      </c>
      <c r="N3354" t="n">
        <v>4.5</v>
      </c>
      <c r="O3354" t="n">
        <v>688</v>
      </c>
      <c r="Q3354" t="inlineStr">
        <is>
          <t>InStock</t>
        </is>
      </c>
      <c r="R3354" t="inlineStr">
        <is>
          <t>undefined</t>
        </is>
      </c>
      <c r="S3354" t="inlineStr">
        <is>
          <t>1398065397871</t>
        </is>
      </c>
    </row>
    <row r="3355" ht="75" customHeight="1">
      <c r="A3355" s="2">
        <f>HYPERLINK("https://camerareadycosmetics.com/products/smashbox-always-sharp-waterproof-kohl-liner", "https://camerareadycosmetics.com/products/smashbox-always-sharp-waterproof-kohl-liner")</f>
        <v/>
      </c>
      <c r="B3355" s="2">
        <f>HYPERLINK("https://camerareadycosmetics.com/products/smashbox-always-sharp-waterproof-kohl-liner", "https://camerareadycosmetics.com/products/smashbox-always-sharp-waterproof-kohl-liner")</f>
        <v/>
      </c>
      <c r="C3355" t="inlineStr">
        <is>
          <t>Always Sharp Waterproof Kohl Liner</t>
        </is>
      </c>
      <c r="D3355" t="inlineStr">
        <is>
          <t>Marcelle Forever Sharp Waterproof Kohl Eyeliner, Spruce Green, Hypoallergenic and Fragrance-Free, 0;008 oz</t>
        </is>
      </c>
      <c r="E3355" s="2">
        <f>HYPERLINK("https://www.amazon.com/Marcelle-Waterproof-Eyeliner-Hypoallergenic-Fragrance-Free/dp/B01B17E2I6/ref=sr_1_8?keywords=Always+Sharp+Waterproof+Kohl+Liner&amp;qid=1695565571&amp;sr=8-8", "https://www.amazon.com/Marcelle-Waterproof-Eyeliner-Hypoallergenic-Fragrance-Free/dp/B01B17E2I6/ref=sr_1_8?keywords=Always+Sharp+Waterproof+Kohl+Liner&amp;qid=1695565571&amp;sr=8-8")</f>
        <v/>
      </c>
      <c r="F3355" t="inlineStr">
        <is>
          <t>B01B17E2I6</t>
        </is>
      </c>
      <c r="G3355">
        <f>_xlfn.IMAGE("https://camerareadycosmetics.com/cdn/shop/products/cabana-smashbox-always-sharp-waterproof-kohl-liner_50x.jpg?v=1654619017")</f>
        <v/>
      </c>
      <c r="H3355">
        <f>_xlfn.IMAGE("https://m.media-amazon.com/images/I/51byUc+5SUL._AC_UL320_.jpg")</f>
        <v/>
      </c>
      <c r="K3355" t="inlineStr">
        <is>
          <t>27.0</t>
        </is>
      </c>
      <c r="L3355" t="n">
        <v>14.95</v>
      </c>
      <c r="M3355" s="1" t="inlineStr">
        <is>
          <t>-44.63%</t>
        </is>
      </c>
      <c r="N3355" t="n">
        <v>4</v>
      </c>
      <c r="O3355" t="n">
        <v>582</v>
      </c>
      <c r="Q3355" t="inlineStr">
        <is>
          <t>InStock</t>
        </is>
      </c>
      <c r="R3355" t="inlineStr">
        <is>
          <t>undefined</t>
        </is>
      </c>
      <c r="S3355" t="inlineStr">
        <is>
          <t>1398065397871</t>
        </is>
      </c>
    </row>
    <row r="3356" ht="75" customHeight="1">
      <c r="A3356" s="2">
        <f>HYPERLINK("https://camerareadycosmetics.com/products/smashbox-brow-tech-matte-pencil", "https://camerareadycosmetics.com/products/smashbox-brow-tech-matte-pencil")</f>
        <v/>
      </c>
      <c r="B3356" s="2">
        <f>HYPERLINK("https://camerareadycosmetics.com/products/smashbox-brow-tech-matte-pencil", "https://camerareadycosmetics.com/products/smashbox-brow-tech-matte-pencil")</f>
        <v/>
      </c>
      <c r="C3356" t="inlineStr">
        <is>
          <t>Brow Tech Matte Pencil</t>
        </is>
      </c>
      <c r="D3356" t="inlineStr">
        <is>
          <t>Smashbox Brow Tech Matte Pencil - Dark Brown by Smashbox</t>
        </is>
      </c>
      <c r="E3356" s="2">
        <f>HYPERLINK("https://www.amazon.com/Smashbox-Brow-Tech-Matte-Pencil/dp/B018IV4814/ref=sr_1_5?keywords=Brow+Tech+Matte+Pencil&amp;qid=1695565660&amp;sr=8-5", "https://www.amazon.com/Smashbox-Brow-Tech-Matte-Pencil/dp/B018IV4814/ref=sr_1_5?keywords=Brow+Tech+Matte+Pencil&amp;qid=1695565660&amp;sr=8-5")</f>
        <v/>
      </c>
      <c r="F3356" t="inlineStr">
        <is>
          <t>B018IV4814</t>
        </is>
      </c>
      <c r="G3356">
        <f>_xlfn.IMAGE("https://camerareadycosmetics.com/cdn/shop/products/dark-brown-smashbox-brow-tech-pencil_50x.jpg?v=1534273189")</f>
        <v/>
      </c>
      <c r="H3356">
        <f>_xlfn.IMAGE("https://m.media-amazon.com/images/I/51oE9VasMES._AC_UL320_.jpg")</f>
        <v/>
      </c>
      <c r="K3356" t="inlineStr">
        <is>
          <t>25.0</t>
        </is>
      </c>
      <c r="L3356" t="n">
        <v>28.63</v>
      </c>
      <c r="M3356" s="1" t="inlineStr">
        <is>
          <t>14.52%</t>
        </is>
      </c>
      <c r="N3356" t="n">
        <v>4.9</v>
      </c>
      <c r="O3356" t="n">
        <v>36</v>
      </c>
      <c r="Q3356" t="inlineStr">
        <is>
          <t>InStock</t>
        </is>
      </c>
      <c r="R3356" t="inlineStr">
        <is>
          <t>undefined</t>
        </is>
      </c>
      <c r="S3356" t="inlineStr">
        <is>
          <t>1400576737391</t>
        </is>
      </c>
    </row>
    <row r="3357" ht="75" customHeight="1">
      <c r="A3357" s="2">
        <f>HYPERLINK("https://camerareadycosmetics.com/products/smashbox-brow-tech-matte-pencil", "https://camerareadycosmetics.com/products/smashbox-brow-tech-matte-pencil")</f>
        <v/>
      </c>
      <c r="B3357" s="2">
        <f>HYPERLINK("https://camerareadycosmetics.com/products/smashbox-brow-tech-matte-pencil", "https://camerareadycosmetics.com/products/smashbox-brow-tech-matte-pencil")</f>
        <v/>
      </c>
      <c r="C3357" t="inlineStr">
        <is>
          <t>Brow Tech Matte Pencil</t>
        </is>
      </c>
      <c r="D3357" t="inlineStr">
        <is>
          <t>Smashbox Brow Tech Matte Pencil - Dark Brown</t>
        </is>
      </c>
      <c r="E3357" s="2">
        <f>HYPERLINK("https://www.amazon.com/Smashbox-Brow-Tech-Matte-Pencil/dp/B013SWAEIO/ref=sr_1_4?keywords=Brow+Tech+Matte+Pencil&amp;qid=1695565660&amp;sr=8-4", "https://www.amazon.com/Smashbox-Brow-Tech-Matte-Pencil/dp/B013SWAEIO/ref=sr_1_4?keywords=Brow+Tech+Matte+Pencil&amp;qid=1695565660&amp;sr=8-4")</f>
        <v/>
      </c>
      <c r="F3357" t="inlineStr">
        <is>
          <t>B013SWAEIO</t>
        </is>
      </c>
      <c r="G3357">
        <f>_xlfn.IMAGE("https://camerareadycosmetics.com/cdn/shop/products/dark-brown-smashbox-brow-tech-pencil_50x.jpg?v=1534273189")</f>
        <v/>
      </c>
      <c r="H3357">
        <f>_xlfn.IMAGE("https://m.media-amazon.com/images/I/51OWOGXKPQL._AC_UL320_.jpg")</f>
        <v/>
      </c>
      <c r="K3357" t="inlineStr">
        <is>
          <t>25.0</t>
        </is>
      </c>
      <c r="L3357" t="n">
        <v>23.1</v>
      </c>
      <c r="M3357" s="1" t="inlineStr">
        <is>
          <t>-7.60%</t>
        </is>
      </c>
      <c r="N3357" t="n">
        <v>4.2</v>
      </c>
      <c r="O3357" t="n">
        <v>32</v>
      </c>
      <c r="Q3357" t="inlineStr">
        <is>
          <t>InStock</t>
        </is>
      </c>
      <c r="R3357" t="inlineStr">
        <is>
          <t>undefined</t>
        </is>
      </c>
      <c r="S3357" t="inlineStr">
        <is>
          <t>1400576737391</t>
        </is>
      </c>
    </row>
    <row r="3358" ht="75" customHeight="1">
      <c r="A3358" s="2">
        <f>HYPERLINK("https://camerareadycosmetics.com/products/smashbox-brow-tech-matte-pencil", "https://camerareadycosmetics.com/products/smashbox-brow-tech-matte-pencil")</f>
        <v/>
      </c>
      <c r="B3358" s="2">
        <f>HYPERLINK("https://camerareadycosmetics.com/products/smashbox-brow-tech-matte-pencil", "https://camerareadycosmetics.com/products/smashbox-brow-tech-matte-pencil")</f>
        <v/>
      </c>
      <c r="C3358" t="inlineStr">
        <is>
          <t>Brow Tech Matte Pencil</t>
        </is>
      </c>
      <c r="D3358" t="inlineStr">
        <is>
          <t>Smashbox Brow Tech Matte Pencil, Taupe, 0.3 Fluid Ounce</t>
        </is>
      </c>
      <c r="E3358" s="2">
        <f>HYPERLINK("https://www.amazon.com/Smashbox-Brow-Tech-Matte-Pencil/dp/B013SWA2X6/ref=sr_1_1?keywords=Brow+Tech+Matte+Pencil&amp;qid=1695565660&amp;sr=8-1", "https://www.amazon.com/Smashbox-Brow-Tech-Matte-Pencil/dp/B013SWA2X6/ref=sr_1_1?keywords=Brow+Tech+Matte+Pencil&amp;qid=1695565660&amp;sr=8-1")</f>
        <v/>
      </c>
      <c r="F3358" t="inlineStr">
        <is>
          <t>B013SWA2X6</t>
        </is>
      </c>
      <c r="G3358">
        <f>_xlfn.IMAGE("https://camerareadycosmetics.com/cdn/shop/products/dark-brown-smashbox-brow-tech-pencil_50x.jpg?v=1534273189")</f>
        <v/>
      </c>
      <c r="H3358">
        <f>_xlfn.IMAGE("https://m.media-amazon.com/images/I/419DVbWnS3L._AC_UL320_.jpg")</f>
        <v/>
      </c>
      <c r="K3358" t="inlineStr">
        <is>
          <t>25.0</t>
        </is>
      </c>
      <c r="L3358" t="n">
        <v>23</v>
      </c>
      <c r="M3358" s="1" t="inlineStr">
        <is>
          <t>-8.00%</t>
        </is>
      </c>
      <c r="N3358" t="n">
        <v>4.5</v>
      </c>
      <c r="O3358" t="n">
        <v>88</v>
      </c>
      <c r="Q3358" t="inlineStr">
        <is>
          <t>InStock</t>
        </is>
      </c>
      <c r="R3358" t="inlineStr">
        <is>
          <t>undefined</t>
        </is>
      </c>
      <c r="S3358" t="inlineStr">
        <is>
          <t>1400576737391</t>
        </is>
      </c>
    </row>
    <row r="3359" ht="75" customHeight="1">
      <c r="A3359" s="2">
        <f>HYPERLINK("https://camerareadycosmetics.com/products/smashbox-brow-tech-matte-pencil", "https://camerareadycosmetics.com/products/smashbox-brow-tech-matte-pencil")</f>
        <v/>
      </c>
      <c r="B3359" s="2">
        <f>HYPERLINK("https://camerareadycosmetics.com/products/smashbox-brow-tech-matte-pencil", "https://camerareadycosmetics.com/products/smashbox-brow-tech-matte-pencil")</f>
        <v/>
      </c>
      <c r="C3359" t="inlineStr">
        <is>
          <t>Brow Tech Matte Pencil</t>
        </is>
      </c>
      <c r="D3359" t="inlineStr">
        <is>
          <t>Smashbox Brow Tech Matte Pencil &amp; Brush Brunette</t>
        </is>
      </c>
      <c r="E3359" s="2">
        <f>HYPERLINK("https://www.amazon.com/Smashbox-Brow-Tech-Matte-Pencil/dp/B0752XB2BW/ref=sr_1_2?keywords=Brow+Tech+Matte+Pencil&amp;qid=1695565660&amp;sr=8-2", "https://www.amazon.com/Smashbox-Brow-Tech-Matte-Pencil/dp/B0752XB2BW/ref=sr_1_2?keywords=Brow+Tech+Matte+Pencil&amp;qid=1695565660&amp;sr=8-2")</f>
        <v/>
      </c>
      <c r="F3359" t="inlineStr">
        <is>
          <t>B0752XB2BW</t>
        </is>
      </c>
      <c r="G3359">
        <f>_xlfn.IMAGE("https://camerareadycosmetics.com/cdn/shop/products/dark-brown-smashbox-brow-tech-pencil_50x.jpg?v=1534273189")</f>
        <v/>
      </c>
      <c r="H3359">
        <f>_xlfn.IMAGE("https://m.media-amazon.com/images/I/41eyGXMyWcS._AC_UL320_.jpg")</f>
        <v/>
      </c>
      <c r="K3359" t="inlineStr">
        <is>
          <t>25.0</t>
        </is>
      </c>
      <c r="L3359" t="n">
        <v>22.42</v>
      </c>
      <c r="M3359" s="1" t="inlineStr">
        <is>
          <t>-10.32%</t>
        </is>
      </c>
      <c r="N3359" t="n">
        <v>4.4</v>
      </c>
      <c r="O3359" t="n">
        <v>81</v>
      </c>
      <c r="Q3359" t="inlineStr">
        <is>
          <t>InStock</t>
        </is>
      </c>
      <c r="R3359" t="inlineStr">
        <is>
          <t>undefined</t>
        </is>
      </c>
      <c r="S3359" t="inlineStr">
        <is>
          <t>1400576737391</t>
        </is>
      </c>
    </row>
    <row r="3360" ht="75" customHeight="1">
      <c r="A3360" s="2">
        <f>HYPERLINK("https://camerareadycosmetics.com/products/smashbox-brow-tech-matte-pencil", "https://camerareadycosmetics.com/products/smashbox-brow-tech-matte-pencil")</f>
        <v/>
      </c>
      <c r="B3360" s="2">
        <f>HYPERLINK("https://camerareadycosmetics.com/products/smashbox-brow-tech-matte-pencil", "https://camerareadycosmetics.com/products/smashbox-brow-tech-matte-pencil")</f>
        <v/>
      </c>
      <c r="C3360" t="inlineStr">
        <is>
          <t>Brow Tech Matte Pencil</t>
        </is>
      </c>
      <c r="D3360" t="inlineStr">
        <is>
          <t>Smashbox Brow Tech Matte Pencil - Blonde by Smashbox</t>
        </is>
      </c>
      <c r="E3360" s="2">
        <f>HYPERLINK("https://www.amazon.com/Smashbox-Brow-Tech-Matte-Pencil/dp/B01MFH8PKK/ref=sr_1_3?keywords=Brow+Tech+Matte+Pencil&amp;qid=1695565660&amp;sr=8-3", "https://www.amazon.com/Smashbox-Brow-Tech-Matte-Pencil/dp/B01MFH8PKK/ref=sr_1_3?keywords=Brow+Tech+Matte+Pencil&amp;qid=1695565660&amp;sr=8-3")</f>
        <v/>
      </c>
      <c r="F3360" t="inlineStr">
        <is>
          <t>B01MFH8PKK</t>
        </is>
      </c>
      <c r="G3360">
        <f>_xlfn.IMAGE("https://camerareadycosmetics.com/cdn/shop/products/dark-brown-smashbox-brow-tech-pencil_50x.jpg?v=1534273189")</f>
        <v/>
      </c>
      <c r="H3360">
        <f>_xlfn.IMAGE("https://m.media-amazon.com/images/I/61A7WVmwILL._AC_UL320_.jpg")</f>
        <v/>
      </c>
      <c r="K3360" t="inlineStr">
        <is>
          <t>25.0</t>
        </is>
      </c>
      <c r="L3360" t="n">
        <v>12.9</v>
      </c>
      <c r="M3360" s="1" t="inlineStr">
        <is>
          <t>-48.40%</t>
        </is>
      </c>
      <c r="N3360" t="n">
        <v>4.6</v>
      </c>
      <c r="O3360" t="n">
        <v>16</v>
      </c>
      <c r="Q3360" t="inlineStr">
        <is>
          <t>InStock</t>
        </is>
      </c>
      <c r="R3360" t="inlineStr">
        <is>
          <t>undefined</t>
        </is>
      </c>
      <c r="S3360" t="inlineStr">
        <is>
          <t>1400576737391</t>
        </is>
      </c>
    </row>
    <row r="3361" ht="75" customHeight="1">
      <c r="A3361" s="2">
        <f>HYPERLINK("https://camerareadycosmetics.com/products/smashbox-brow-tech-matte-pencil", "https://camerareadycosmetics.com/products/smashbox-brow-tech-matte-pencil")</f>
        <v/>
      </c>
      <c r="B3361" s="2">
        <f>HYPERLINK("https://camerareadycosmetics.com/products/smashbox-brow-tech-matte-pencil", "https://camerareadycosmetics.com/products/smashbox-brow-tech-matte-pencil")</f>
        <v/>
      </c>
      <c r="C3361" t="inlineStr">
        <is>
          <t>Brow Tech Matte Pencil</t>
        </is>
      </c>
      <c r="D3361" t="inlineStr">
        <is>
          <t>Smashbox Brow Tech Matte Pencil - Blonde by Smashbox</t>
        </is>
      </c>
      <c r="E3361" s="2">
        <f>HYPERLINK("https://www.amazon.com/Smashbox-Brow-Tech-Matte-Pencil/dp/B01MFH8PKK/ref=sr_1_3?keywords=Brow+Tech+Matte+Pencil&amp;qid=1695565660&amp;sr=8-3", "https://www.amazon.com/Smashbox-Brow-Tech-Matte-Pencil/dp/B01MFH8PKK/ref=sr_1_3?keywords=Brow+Tech+Matte+Pencil&amp;qid=1695565660&amp;sr=8-3")</f>
        <v/>
      </c>
      <c r="F3361" t="inlineStr">
        <is>
          <t>B01MFH8PKK</t>
        </is>
      </c>
      <c r="G3361">
        <f>_xlfn.IMAGE("https://camerareadycosmetics.com/cdn/shop/products/dark-brown-smashbox-brow-tech-pencil_50x.jpg?v=1534273189")</f>
        <v/>
      </c>
      <c r="H3361">
        <f>_xlfn.IMAGE("https://m.media-amazon.com/images/I/61A7WVmwILL._AC_UL320_.jpg")</f>
        <v/>
      </c>
      <c r="K3361" t="inlineStr">
        <is>
          <t>25.0</t>
        </is>
      </c>
      <c r="L3361" t="n">
        <v>12.9</v>
      </c>
      <c r="M3361" s="1" t="inlineStr">
        <is>
          <t>-48.40%</t>
        </is>
      </c>
      <c r="N3361" t="n">
        <v>4.6</v>
      </c>
      <c r="O3361" t="n">
        <v>16</v>
      </c>
      <c r="Q3361" t="inlineStr">
        <is>
          <t>InStock</t>
        </is>
      </c>
      <c r="R3361" t="inlineStr">
        <is>
          <t>undefined</t>
        </is>
      </c>
      <c r="S3361" t="inlineStr">
        <is>
          <t>1400576737391</t>
        </is>
      </c>
    </row>
    <row r="3362" ht="75" customHeight="1">
      <c r="A3362" s="2">
        <f>HYPERLINK("https://camerareadycosmetics.com/products/smashbox-full-exposure-mascara", "https://camerareadycosmetics.com/products/smashbox-full-exposure-mascara")</f>
        <v/>
      </c>
      <c r="B3362" s="2">
        <f>HYPERLINK("https://camerareadycosmetics.com/products/smashbox-full-exposure-mascara", "https://camerareadycosmetics.com/products/smashbox-full-exposure-mascara")</f>
        <v/>
      </c>
      <c r="C3362" t="inlineStr">
        <is>
          <t>Full Exposure Mascara</t>
        </is>
      </c>
      <c r="D3362" t="inlineStr">
        <is>
          <t>Smashbox JET BLACK Full Exposure Mascara (Full Size)</t>
        </is>
      </c>
      <c r="E3362" s="2">
        <f>HYPERLINK("https://www.amazon.com/Smashbox-BLACK-Full-Exposure-Mascara/dp/B00C7GAASM/ref=sr_1_3?keywords=Full+Exposure+Mascara&amp;qid=1695565764&amp;sr=8-3", "https://www.amazon.com/Smashbox-BLACK-Full-Exposure-Mascara/dp/B00C7GAASM/ref=sr_1_3?keywords=Full+Exposure+Mascara&amp;qid=1695565764&amp;sr=8-3")</f>
        <v/>
      </c>
      <c r="F3362" t="inlineStr">
        <is>
          <t>B00C7GAASM</t>
        </is>
      </c>
      <c r="G3362">
        <f>_xlfn.IMAGE("https://camerareadycosmetics.com/cdn/shop/products/smashbox-full-exposure-macara_50x.jpg?v=1534273198")</f>
        <v/>
      </c>
      <c r="H3362">
        <f>_xlfn.IMAGE("https://m.media-amazon.com/images/I/61GepqnBlXL._AC_UL320_.jpg")</f>
        <v/>
      </c>
      <c r="K3362" t="inlineStr">
        <is>
          <t>28.0</t>
        </is>
      </c>
      <c r="L3362" t="n">
        <v>28</v>
      </c>
      <c r="M3362" s="1" t="inlineStr">
        <is>
          <t>0.00%</t>
        </is>
      </c>
      <c r="N3362" t="n">
        <v>4.5</v>
      </c>
      <c r="O3362" t="n">
        <v>36</v>
      </c>
      <c r="Q3362" t="inlineStr">
        <is>
          <t>InStock</t>
        </is>
      </c>
      <c r="R3362" t="inlineStr">
        <is>
          <t>undefined</t>
        </is>
      </c>
      <c r="S3362" t="inlineStr">
        <is>
          <t>1400430657647</t>
        </is>
      </c>
    </row>
    <row r="3363" ht="75" customHeight="1">
      <c r="A3363" s="2">
        <f>HYPERLINK("https://camerareadycosmetics.com/products/smashbox-full-exposure-mascara", "https://camerareadycosmetics.com/products/smashbox-full-exposure-mascara")</f>
        <v/>
      </c>
      <c r="B3363" s="2">
        <f>HYPERLINK("https://camerareadycosmetics.com/products/smashbox-full-exposure-mascara", "https://camerareadycosmetics.com/products/smashbox-full-exposure-mascara")</f>
        <v/>
      </c>
      <c r="C3363" t="inlineStr">
        <is>
          <t>Full Exposure Mascara</t>
        </is>
      </c>
      <c r="D3363" t="inlineStr">
        <is>
          <t>Smashbox Full Exposure Waterproof Mascara, 0.27 Fluid Ounce</t>
        </is>
      </c>
      <c r="E3363" s="2">
        <f>HYPERLINK("https://www.amazon.com/Smashbox-Exposure-Waterproof-Mascara-Fluid/dp/B00JQHLP2A/ref=sr_1_2?keywords=Full+Exposure+Mascara&amp;qid=1695565764&amp;sr=8-2", "https://www.amazon.com/Smashbox-Exposure-Waterproof-Mascara-Fluid/dp/B00JQHLP2A/ref=sr_1_2?keywords=Full+Exposure+Mascara&amp;qid=1695565764&amp;sr=8-2")</f>
        <v/>
      </c>
      <c r="F3363" t="inlineStr">
        <is>
          <t>B00JQHLP2A</t>
        </is>
      </c>
      <c r="G3363">
        <f>_xlfn.IMAGE("https://camerareadycosmetics.com/cdn/shop/products/smashbox-full-exposure-macara_50x.jpg?v=1534273198")</f>
        <v/>
      </c>
      <c r="H3363">
        <f>_xlfn.IMAGE("https://m.media-amazon.com/images/I/613U-iet6HL._AC_UL320_.jpg")</f>
        <v/>
      </c>
      <c r="K3363" t="inlineStr">
        <is>
          <t>28.0</t>
        </is>
      </c>
      <c r="L3363" t="n">
        <v>24.63</v>
      </c>
      <c r="M3363" s="1" t="inlineStr">
        <is>
          <t>-12.04%</t>
        </is>
      </c>
      <c r="N3363" t="n">
        <v>4.4</v>
      </c>
      <c r="O3363" t="n">
        <v>325</v>
      </c>
      <c r="Q3363" t="inlineStr">
        <is>
          <t>InStock</t>
        </is>
      </c>
      <c r="R3363" t="inlineStr">
        <is>
          <t>undefined</t>
        </is>
      </c>
      <c r="S3363" t="inlineStr">
        <is>
          <t>1400430657647</t>
        </is>
      </c>
    </row>
    <row r="3364" ht="75" customHeight="1">
      <c r="A3364" s="2">
        <f>HYPERLINK("https://camerareadycosmetics.com/products/smashbox-full-exposure-mascara", "https://camerareadycosmetics.com/products/smashbox-full-exposure-mascara")</f>
        <v/>
      </c>
      <c r="B3364" s="2">
        <f>HYPERLINK("https://camerareadycosmetics.com/products/smashbox-full-exposure-mascara", "https://camerareadycosmetics.com/products/smashbox-full-exposure-mascara")</f>
        <v/>
      </c>
      <c r="C3364" t="inlineStr">
        <is>
          <t>Full Exposure Mascara</t>
        </is>
      </c>
      <c r="D3364" t="inlineStr">
        <is>
          <t>Smashbox Full Exposure Mascara Jet Black Travel Size 0.14 Oz/4ml</t>
        </is>
      </c>
      <c r="E3364" s="2">
        <f>HYPERLINK("https://www.amazon.com/Smashbox-Exposure-Mascara-Black-Travel/dp/B00R9GY7CU/ref=sr_1_4?keywords=Full+Exposure+Mascara&amp;qid=1695565764&amp;sr=8-4", "https://www.amazon.com/Smashbox-Exposure-Mascara-Black-Travel/dp/B00R9GY7CU/ref=sr_1_4?keywords=Full+Exposure+Mascara&amp;qid=1695565764&amp;sr=8-4")</f>
        <v/>
      </c>
      <c r="F3364" t="inlineStr">
        <is>
          <t>B00R9GY7CU</t>
        </is>
      </c>
      <c r="G3364">
        <f>_xlfn.IMAGE("https://camerareadycosmetics.com/cdn/shop/products/smashbox-full-exposure-macara_50x.jpg?v=1534273198")</f>
        <v/>
      </c>
      <c r="H3364">
        <f>_xlfn.IMAGE("https://m.media-amazon.com/images/I/61DJqwQEOsL._AC_UL320_.jpg")</f>
        <v/>
      </c>
      <c r="K3364" t="inlineStr">
        <is>
          <t>28.0</t>
        </is>
      </c>
      <c r="L3364" t="n">
        <v>22.14</v>
      </c>
      <c r="M3364" s="1" t="inlineStr">
        <is>
          <t>-20.93%</t>
        </is>
      </c>
      <c r="N3364" t="n">
        <v>3.8</v>
      </c>
      <c r="O3364" t="n">
        <v>60</v>
      </c>
      <c r="Q3364" t="inlineStr">
        <is>
          <t>InStock</t>
        </is>
      </c>
      <c r="R3364" t="inlineStr">
        <is>
          <t>undefined</t>
        </is>
      </c>
      <c r="S3364" t="inlineStr">
        <is>
          <t>1400430657647</t>
        </is>
      </c>
    </row>
    <row r="3365" ht="75" customHeight="1">
      <c r="A3365" s="2">
        <f>HYPERLINK("https://camerareadycosmetics.com/products/smashbox-full-exposure-mascara", "https://camerareadycosmetics.com/products/smashbox-full-exposure-mascara")</f>
        <v/>
      </c>
      <c r="B3365" s="2">
        <f>HYPERLINK("https://camerareadycosmetics.com/products/smashbox-full-exposure-mascara", "https://camerareadycosmetics.com/products/smashbox-full-exposure-mascara")</f>
        <v/>
      </c>
      <c r="C3365" t="inlineStr">
        <is>
          <t>Full Exposure Mascara</t>
        </is>
      </c>
      <c r="D3365" t="inlineStr">
        <is>
          <t>Smashbox Full Exposure Mascara Jet Black 0.32 oz</t>
        </is>
      </c>
      <c r="E3365" s="2">
        <f>HYPERLINK("https://www.amazon.com/Smashbox-Full-Exposure-Mascara-Black/dp/B00CDCULU2/ref=sr_1_5?keywords=Full+Exposure+Mascara&amp;qid=1695565764&amp;sr=8-5", "https://www.amazon.com/Smashbox-Full-Exposure-Mascara-Black/dp/B00CDCULU2/ref=sr_1_5?keywords=Full+Exposure+Mascara&amp;qid=1695565764&amp;sr=8-5")</f>
        <v/>
      </c>
      <c r="F3365" t="inlineStr">
        <is>
          <t>B00CDCULU2</t>
        </is>
      </c>
      <c r="G3365">
        <f>_xlfn.IMAGE("https://camerareadycosmetics.com/cdn/shop/products/smashbox-full-exposure-macara_50x.jpg?v=1534273198")</f>
        <v/>
      </c>
      <c r="H3365">
        <f>_xlfn.IMAGE("https://m.media-amazon.com/images/I/712A3wUbNoL._AC_UL320_.jpg")</f>
        <v/>
      </c>
      <c r="K3365" t="inlineStr">
        <is>
          <t>28.0</t>
        </is>
      </c>
      <c r="L3365" t="n">
        <v>21.21</v>
      </c>
      <c r="M3365" s="1" t="inlineStr">
        <is>
          <t>-24.25%</t>
        </is>
      </c>
      <c r="N3365" t="n">
        <v>4.5</v>
      </c>
      <c r="O3365" t="n">
        <v>302</v>
      </c>
      <c r="Q3365" t="inlineStr">
        <is>
          <t>InStock</t>
        </is>
      </c>
      <c r="R3365" t="inlineStr">
        <is>
          <t>undefined</t>
        </is>
      </c>
      <c r="S3365" t="inlineStr">
        <is>
          <t>1400430657647</t>
        </is>
      </c>
    </row>
    <row r="3366" ht="75" customHeight="1">
      <c r="A3366" s="2">
        <f>HYPERLINK("https://camerareadycosmetics.com/products/smashbox-full-exposure-waterproof-mascara", "https://camerareadycosmetics.com/products/smashbox-full-exposure-waterproof-mascara")</f>
        <v/>
      </c>
      <c r="B3366" s="2">
        <f>HYPERLINK("https://camerareadycosmetics.com/products/smashbox-full-exposure-waterproof-mascara", "https://camerareadycosmetics.com/products/smashbox-full-exposure-waterproof-mascara")</f>
        <v/>
      </c>
      <c r="C3366" t="inlineStr">
        <is>
          <t>Full Exposure Waterproof Mascara</t>
        </is>
      </c>
      <c r="D3366" t="inlineStr">
        <is>
          <t>Smashbox Full Exposure Waterproof Mascara, 0.27 Fluid Ounce</t>
        </is>
      </c>
      <c r="E3366" s="2">
        <f>HYPERLINK("https://www.amazon.com/Smashbox-Exposure-Waterproof-Mascara-Fluid/dp/B00JQHLP2A/ref=sr_1_1?keywords=Full+Exposure+Waterproof+Mascara&amp;qid=1695565682&amp;sr=8-1", "https://www.amazon.com/Smashbox-Exposure-Waterproof-Mascara-Fluid/dp/B00JQHLP2A/ref=sr_1_1?keywords=Full+Exposure+Waterproof+Mascara&amp;qid=1695565682&amp;sr=8-1")</f>
        <v/>
      </c>
      <c r="F3366" t="inlineStr">
        <is>
          <t>B00JQHLP2A</t>
        </is>
      </c>
      <c r="G3366">
        <f>_xlfn.IMAGE("https://camerareadycosmetics.com/cdn/shop/products/smashbox-full-exposure-waterproof-macara_50x.jpg?v=1534273200")</f>
        <v/>
      </c>
      <c r="H3366">
        <f>_xlfn.IMAGE("https://m.media-amazon.com/images/I/613U-iet6HL._AC_UL320_.jpg")</f>
        <v/>
      </c>
      <c r="K3366" t="inlineStr">
        <is>
          <t>28.0</t>
        </is>
      </c>
      <c r="L3366" t="n">
        <v>28</v>
      </c>
      <c r="M3366" s="1" t="inlineStr">
        <is>
          <t>0.00%</t>
        </is>
      </c>
      <c r="N3366" t="n">
        <v>4.4</v>
      </c>
      <c r="O3366" t="n">
        <v>325</v>
      </c>
      <c r="Q3366" t="inlineStr">
        <is>
          <t>InStock</t>
        </is>
      </c>
      <c r="R3366" t="inlineStr">
        <is>
          <t>undefined</t>
        </is>
      </c>
      <c r="S3366" t="inlineStr">
        <is>
          <t>1400444551279</t>
        </is>
      </c>
    </row>
    <row r="3367" ht="75" customHeight="1">
      <c r="A3367" s="2">
        <f>HYPERLINK("https://camerareadycosmetics.com/products/smashbox-full-exposure-waterproof-mascara", "https://camerareadycosmetics.com/products/smashbox-full-exposure-waterproof-mascara")</f>
        <v/>
      </c>
      <c r="B3367" s="2">
        <f>HYPERLINK("https://camerareadycosmetics.com/products/smashbox-full-exposure-waterproof-mascara", "https://camerareadycosmetics.com/products/smashbox-full-exposure-waterproof-mascara")</f>
        <v/>
      </c>
      <c r="C3367" t="inlineStr">
        <is>
          <t>Full Exposure Waterproof Mascara</t>
        </is>
      </c>
      <c r="D3367" t="inlineStr">
        <is>
          <t>Smashbox Full Exposure Mascara, Jet Black, 0.32 Ounce</t>
        </is>
      </c>
      <c r="E3367" s="2">
        <f>HYPERLINK("https://www.amazon.com/Smashbox-Exposure-Mascara-Black-Ounce/dp/B004S9W2SC/ref=sr_1_6?keywords=Full+Exposure+Waterproof+Mascara&amp;qid=1695565682&amp;sr=8-6", "https://www.amazon.com/Smashbox-Exposure-Mascara-Black-Ounce/dp/B004S9W2SC/ref=sr_1_6?keywords=Full+Exposure+Waterproof+Mascara&amp;qid=1695565682&amp;sr=8-6")</f>
        <v/>
      </c>
      <c r="F3367" t="inlineStr">
        <is>
          <t>B004S9W2SC</t>
        </is>
      </c>
      <c r="G3367">
        <f>_xlfn.IMAGE("https://camerareadycosmetics.com/cdn/shop/products/smashbox-full-exposure-waterproof-macara_50x.jpg?v=1534273200")</f>
        <v/>
      </c>
      <c r="H3367">
        <f>_xlfn.IMAGE("https://m.media-amazon.com/images/I/61QP3ieGaIL._AC_UL320_.jpg")</f>
        <v/>
      </c>
      <c r="K3367" t="inlineStr">
        <is>
          <t>28.0</t>
        </is>
      </c>
      <c r="L3367" t="n">
        <v>22.25</v>
      </c>
      <c r="M3367" s="1" t="inlineStr">
        <is>
          <t>-20.54%</t>
        </is>
      </c>
      <c r="N3367" t="n">
        <v>4.6</v>
      </c>
      <c r="O3367" t="n">
        <v>411</v>
      </c>
      <c r="Q3367" t="inlineStr">
        <is>
          <t>InStock</t>
        </is>
      </c>
      <c r="R3367" t="inlineStr">
        <is>
          <t>undefined</t>
        </is>
      </c>
      <c r="S3367" t="inlineStr">
        <is>
          <t>1400444551279</t>
        </is>
      </c>
    </row>
    <row r="3368" ht="75" customHeight="1">
      <c r="A3368" s="2">
        <f>HYPERLINK("https://camerareadycosmetics.com/products/smashbox-full-exposure-waterproof-mascara", "https://camerareadycosmetics.com/products/smashbox-full-exposure-waterproof-mascara")</f>
        <v/>
      </c>
      <c r="B3368" s="2">
        <f>HYPERLINK("https://camerareadycosmetics.com/products/smashbox-full-exposure-waterproof-mascara", "https://camerareadycosmetics.com/products/smashbox-full-exposure-waterproof-mascara")</f>
        <v/>
      </c>
      <c r="C3368" t="inlineStr">
        <is>
          <t>Full Exposure Waterproof Mascara</t>
        </is>
      </c>
      <c r="D3368" t="inlineStr">
        <is>
          <t>High Impact Waterproof Mascara by clinique,Black, full size : 8ml</t>
        </is>
      </c>
      <c r="E3368" s="2">
        <f>HYPERLINK("https://www.amazon.com/Impact-Waterproof-Mascara-clinique-Black/dp/B0CBWT78F6/ref=sr_1_3?keywords=Full+Exposure+Waterproof+Mascara&amp;qid=1695565682&amp;sr=8-3", "https://www.amazon.com/Impact-Waterproof-Mascara-clinique-Black/dp/B0CBWT78F6/ref=sr_1_3?keywords=Full+Exposure+Waterproof+Mascara&amp;qid=1695565682&amp;sr=8-3")</f>
        <v/>
      </c>
      <c r="F3368" t="inlineStr">
        <is>
          <t>B0CBWT78F6</t>
        </is>
      </c>
      <c r="G3368">
        <f>_xlfn.IMAGE("https://camerareadycosmetics.com/cdn/shop/products/smashbox-full-exposure-waterproof-macara_50x.jpg?v=1534273200")</f>
        <v/>
      </c>
      <c r="H3368">
        <f>_xlfn.IMAGE("https://m.media-amazon.com/images/I/51199AknY4L._AC_UL320_.jpg")</f>
        <v/>
      </c>
      <c r="K3368" t="inlineStr">
        <is>
          <t>28.0</t>
        </is>
      </c>
      <c r="L3368" t="n">
        <v>19.97</v>
      </c>
      <c r="M3368" s="1" t="inlineStr">
        <is>
          <t>-28.68%</t>
        </is>
      </c>
      <c r="N3368" t="n">
        <v>5</v>
      </c>
      <c r="O3368" t="n">
        <v>1</v>
      </c>
      <c r="Q3368" t="inlineStr">
        <is>
          <t>InStock</t>
        </is>
      </c>
      <c r="R3368" t="inlineStr">
        <is>
          <t>undefined</t>
        </is>
      </c>
      <c r="S3368" t="inlineStr">
        <is>
          <t>1400444551279</t>
        </is>
      </c>
    </row>
    <row r="3369" ht="75" customHeight="1">
      <c r="A3369" s="2">
        <f>HYPERLINK("https://camerareadycosmetics.com/products/smashbox-full-exposure-waterproof-mascara", "https://camerareadycosmetics.com/products/smashbox-full-exposure-waterproof-mascara")</f>
        <v/>
      </c>
      <c r="B3369" s="2">
        <f>HYPERLINK("https://camerareadycosmetics.com/products/smashbox-full-exposure-waterproof-mascara", "https://camerareadycosmetics.com/products/smashbox-full-exposure-waterproof-mascara")</f>
        <v/>
      </c>
      <c r="C3369" t="inlineStr">
        <is>
          <t>Full Exposure Waterproof Mascara</t>
        </is>
      </c>
      <c r="D3369" t="inlineStr">
        <is>
          <t>4D Silk Fiber Lash Mascara, Lengthening and Thick, Long Lasting, Waterproof &amp; Smudge-Proof, All Day Exquisitely Full, Long, Thick, Smudge-Proof Eyelashes (2 Pack)</t>
        </is>
      </c>
      <c r="E3369" s="2">
        <f>HYPERLINK("https://www.amazon.com/Secret-Xpress-Control-Lengthening-Smudge-Proof/dp/B09W487KD9/ref=sr_1_9?keywords=Full+Exposure+Waterproof+Mascara&amp;qid=1695565682&amp;sr=8-9", "https://www.amazon.com/Secret-Xpress-Control-Lengthening-Smudge-Proof/dp/B09W487KD9/ref=sr_1_9?keywords=Full+Exposure+Waterproof+Mascara&amp;qid=1695565682&amp;sr=8-9")</f>
        <v/>
      </c>
      <c r="F3369" t="inlineStr">
        <is>
          <t>B09W487KD9</t>
        </is>
      </c>
      <c r="G3369">
        <f>_xlfn.IMAGE("https://camerareadycosmetics.com/cdn/shop/products/smashbox-full-exposure-waterproof-macara_50x.jpg?v=1534273200")</f>
        <v/>
      </c>
      <c r="H3369">
        <f>_xlfn.IMAGE("https://m.media-amazon.com/images/I/716w1S4CzSL._AC_UL320_.jpg")</f>
        <v/>
      </c>
      <c r="K3369" t="inlineStr">
        <is>
          <t>28.0</t>
        </is>
      </c>
      <c r="L3369" t="n">
        <v>12.98</v>
      </c>
      <c r="M3369" s="1" t="inlineStr">
        <is>
          <t>-53.64%</t>
        </is>
      </c>
      <c r="N3369" t="n">
        <v>4.3</v>
      </c>
      <c r="O3369" t="n">
        <v>264</v>
      </c>
      <c r="Q3369" t="inlineStr">
        <is>
          <t>InStock</t>
        </is>
      </c>
      <c r="R3369" t="inlineStr">
        <is>
          <t>undefined</t>
        </is>
      </c>
      <c r="S3369" t="inlineStr">
        <is>
          <t>1400444551279</t>
        </is>
      </c>
    </row>
    <row r="3370" ht="75" customHeight="1">
      <c r="A3370" s="2">
        <f>HYPERLINK("https://camerareadycosmetics.com/products/smashbox-full-exposure-waterproof-mascara", "https://camerareadycosmetics.com/products/smashbox-full-exposure-waterproof-mascara")</f>
        <v/>
      </c>
      <c r="B3370" s="2">
        <f>HYPERLINK("https://camerareadycosmetics.com/products/smashbox-full-exposure-waterproof-mascara", "https://camerareadycosmetics.com/products/smashbox-full-exposure-waterproof-mascara")</f>
        <v/>
      </c>
      <c r="C3370" t="inlineStr">
        <is>
          <t>Full Exposure Waterproof Mascara</t>
        </is>
      </c>
      <c r="D3370" t="inlineStr">
        <is>
          <t>3 Pack 4D Silk Fiber Lash Mascara, Waterproof Smudge-proof Thickening Mascara Black Thickening Lengthening Mascara, All Day Exquisitely Full, Long, Thick, Long-Lasting No Flaking Lash Extensions</t>
        </is>
      </c>
      <c r="E3370" s="2">
        <f>HYPERLINK("https://www.amazon.com/Waterproof-Smudge-proof-Lengthening-Exquisitely-Long-Lasting/dp/B09X7BBVF7/ref=sr_1_7?keywords=Full+Exposure+Waterproof+Mascara&amp;qid=1695565682&amp;sr=8-7", "https://www.amazon.com/Waterproof-Smudge-proof-Lengthening-Exquisitely-Long-Lasting/dp/B09X7BBVF7/ref=sr_1_7?keywords=Full+Exposure+Waterproof+Mascara&amp;qid=1695565682&amp;sr=8-7")</f>
        <v/>
      </c>
      <c r="F3370" t="inlineStr">
        <is>
          <t>B09X7BBVF7</t>
        </is>
      </c>
      <c r="G3370">
        <f>_xlfn.IMAGE("https://camerareadycosmetics.com/cdn/shop/products/smashbox-full-exposure-waterproof-macara_50x.jpg?v=1534273200")</f>
        <v/>
      </c>
      <c r="H3370">
        <f>_xlfn.IMAGE("https://m.media-amazon.com/images/I/81V8uKn2ElL._AC_UL320_.jpg")</f>
        <v/>
      </c>
      <c r="K3370" t="inlineStr">
        <is>
          <t>28.0</t>
        </is>
      </c>
      <c r="L3370" t="n">
        <v>9.98</v>
      </c>
      <c r="M3370" s="1" t="inlineStr">
        <is>
          <t>-64.36%</t>
        </is>
      </c>
      <c r="N3370" t="n">
        <v>4.1</v>
      </c>
      <c r="O3370" t="n">
        <v>253</v>
      </c>
      <c r="Q3370" t="inlineStr">
        <is>
          <t>InStock</t>
        </is>
      </c>
      <c r="R3370" t="inlineStr">
        <is>
          <t>undefined</t>
        </is>
      </c>
      <c r="S3370" t="inlineStr">
        <is>
          <t>1400444551279</t>
        </is>
      </c>
    </row>
    <row r="3371" ht="75" customHeight="1">
      <c r="A3371" s="2">
        <f>HYPERLINK("https://camerareadycosmetics.com/products/smashbox-full-exposure-waterproof-mascara", "https://camerareadycosmetics.com/products/smashbox-full-exposure-waterproof-mascara")</f>
        <v/>
      </c>
      <c r="B3371" s="2">
        <f>HYPERLINK("https://camerareadycosmetics.com/products/smashbox-full-exposure-waterproof-mascara", "https://camerareadycosmetics.com/products/smashbox-full-exposure-waterproof-mascara")</f>
        <v/>
      </c>
      <c r="C3371" t="inlineStr">
        <is>
          <t>Full Exposure Waterproof Mascara</t>
        </is>
      </c>
      <c r="D3371" t="inlineStr">
        <is>
          <t>Mascara Waterproof &amp; Smudge-Proof - 2-1 Long-Lasting Mascara Black Volumizing and Lengthening for Eye Makeup, Liquid Lash Extensions Mascara for a Full Fan Effect, No Clumping, Curling Eyelashes, Vegan &amp; Cruelty-Free, 02 Brown</t>
        </is>
      </c>
      <c r="E3371" s="2">
        <f>HYPERLINK("https://www.amazon.com/AKARY-Mascara-Waterproof-Smudge-Proof-Long-Lasting/dp/B0C7MX7V95/ref=sr_1_5?keywords=Full+Exposure+Waterproof+Mascara&amp;qid=1695565682&amp;sr=8-5", "https://www.amazon.com/AKARY-Mascara-Waterproof-Smudge-Proof-Long-Lasting/dp/B0C7MX7V95/ref=sr_1_5?keywords=Full+Exposure+Waterproof+Mascara&amp;qid=1695565682&amp;sr=8-5")</f>
        <v/>
      </c>
      <c r="F3371" t="inlineStr">
        <is>
          <t>B0C7MX7V95</t>
        </is>
      </c>
      <c r="G3371">
        <f>_xlfn.IMAGE("https://camerareadycosmetics.com/cdn/shop/products/smashbox-full-exposure-waterproof-macara_50x.jpg?v=1534273200")</f>
        <v/>
      </c>
      <c r="H3371">
        <f>_xlfn.IMAGE("https://m.media-amazon.com/images/I/51Aq6m8mx3L._AC_UL320_.jpg")</f>
        <v/>
      </c>
      <c r="K3371" t="inlineStr">
        <is>
          <t>28.0</t>
        </is>
      </c>
      <c r="L3371" t="n">
        <v>6.99</v>
      </c>
      <c r="M3371" s="1" t="inlineStr">
        <is>
          <t>-75.04%</t>
        </is>
      </c>
      <c r="N3371" t="n">
        <v>3.8</v>
      </c>
      <c r="O3371" t="n">
        <v>4</v>
      </c>
      <c r="Q3371" t="inlineStr">
        <is>
          <t>InStock</t>
        </is>
      </c>
      <c r="R3371" t="inlineStr">
        <is>
          <t>undefined</t>
        </is>
      </c>
      <c r="S3371" t="inlineStr">
        <is>
          <t>1400444551279</t>
        </is>
      </c>
    </row>
    <row r="3372" ht="75" customHeight="1">
      <c r="A3372" s="2">
        <f>HYPERLINK("https://camerareadycosmetics.com/products/smashbox-full-exposure-waterproof-mascara", "https://camerareadycosmetics.com/products/smashbox-full-exposure-waterproof-mascara")</f>
        <v/>
      </c>
      <c r="B3372" s="2">
        <f>HYPERLINK("https://camerareadycosmetics.com/products/smashbox-full-exposure-waterproof-mascara", "https://camerareadycosmetics.com/products/smashbox-full-exposure-waterproof-mascara")</f>
        <v/>
      </c>
      <c r="C3372" t="inlineStr">
        <is>
          <t>Full Exposure Waterproof Mascara</t>
        </is>
      </c>
      <c r="D3372" t="inlineStr">
        <is>
          <t>Maybelline New York Full 'N Soft Waterproof Mascara, Very Black, 1 Count</t>
        </is>
      </c>
      <c r="E3372" s="2">
        <f>HYPERLINK("https://www.amazon.com/Maybelline-Makeup-Waterproof-Mascara-Black/dp/B004OT29MA/ref=sr_1_2?keywords=Full+Exposure+Waterproof+Mascara&amp;qid=1695565682&amp;sr=8-2", "https://www.amazon.com/Maybelline-Makeup-Waterproof-Mascara-Black/dp/B004OT29MA/ref=sr_1_2?keywords=Full+Exposure+Waterproof+Mascara&amp;qid=1695565682&amp;sr=8-2")</f>
        <v/>
      </c>
      <c r="F3372" t="inlineStr">
        <is>
          <t>B004OT29MA</t>
        </is>
      </c>
      <c r="G3372">
        <f>_xlfn.IMAGE("https://camerareadycosmetics.com/cdn/shop/products/smashbox-full-exposure-waterproof-macara_50x.jpg?v=1534273200")</f>
        <v/>
      </c>
      <c r="H3372">
        <f>_xlfn.IMAGE("https://m.media-amazon.com/images/I/71GDyglsrFL._AC_UL320_.jpg")</f>
        <v/>
      </c>
      <c r="K3372" t="inlineStr">
        <is>
          <t>28.0</t>
        </is>
      </c>
      <c r="L3372" t="n">
        <v>6.59</v>
      </c>
      <c r="M3372" s="1" t="inlineStr">
        <is>
          <t>-76.46%</t>
        </is>
      </c>
      <c r="N3372" t="n">
        <v>4.4</v>
      </c>
      <c r="O3372" t="n">
        <v>4976</v>
      </c>
      <c r="Q3372" t="inlineStr">
        <is>
          <t>InStock</t>
        </is>
      </c>
      <c r="R3372" t="inlineStr">
        <is>
          <t>undefined</t>
        </is>
      </c>
      <c r="S3372" t="inlineStr">
        <is>
          <t>1400444551279</t>
        </is>
      </c>
    </row>
    <row r="3373" ht="75" customHeight="1">
      <c r="A3373" s="2">
        <f>HYPERLINK("https://camerareadycosmetics.com/products/smashbox-full-exposure-waterproof-mascara", "https://camerareadycosmetics.com/products/smashbox-full-exposure-waterproof-mascara")</f>
        <v/>
      </c>
      <c r="B3373" s="2">
        <f>HYPERLINK("https://camerareadycosmetics.com/products/smashbox-full-exposure-waterproof-mascara", "https://camerareadycosmetics.com/products/smashbox-full-exposure-waterproof-mascara")</f>
        <v/>
      </c>
      <c r="C3373" t="inlineStr">
        <is>
          <t>Full Exposure Waterproof Mascara</t>
        </is>
      </c>
      <c r="D3373" t="inlineStr">
        <is>
          <t>4D Silk Fiber Lash Mascara, Lengthening and Thick, Long Lasting, Waterproof &amp; Smudge-Proof, All Day Exquisitely Full, Long, Thick, Smudge-Proof Eyelashes (2 Pack)</t>
        </is>
      </c>
      <c r="E3373" s="2">
        <f>HYPERLINK("https://www.amazon.com/Secret-Xpress-Control-Lengthening-Smudge-Proof/dp/B09W487KD9/ref=sr_1_9?keywords=Full+Exposure+Waterproof+Mascara&amp;qid=1695565682&amp;sr=8-9", "https://www.amazon.com/Secret-Xpress-Control-Lengthening-Smudge-Proof/dp/B09W487KD9/ref=sr_1_9?keywords=Full+Exposure+Waterproof+Mascara&amp;qid=1695565682&amp;sr=8-9")</f>
        <v/>
      </c>
      <c r="F3373" t="inlineStr">
        <is>
          <t>B09W487KD9</t>
        </is>
      </c>
      <c r="G3373">
        <f>_xlfn.IMAGE("https://camerareadycosmetics.com/cdn/shop/products/smashbox-full-exposure-waterproof-macara_50x.jpg?v=1534273200")</f>
        <v/>
      </c>
      <c r="H3373">
        <f>_xlfn.IMAGE("https://m.media-amazon.com/images/I/716w1S4CzSL._AC_UL320_.jpg")</f>
        <v/>
      </c>
      <c r="K3373" t="inlineStr">
        <is>
          <t>28.0</t>
        </is>
      </c>
      <c r="L3373" t="n">
        <v>12.98</v>
      </c>
      <c r="M3373" s="1" t="inlineStr">
        <is>
          <t>-53.64%</t>
        </is>
      </c>
      <c r="N3373" t="n">
        <v>4.3</v>
      </c>
      <c r="O3373" t="n">
        <v>264</v>
      </c>
      <c r="Q3373" t="inlineStr">
        <is>
          <t>InStock</t>
        </is>
      </c>
      <c r="R3373" t="inlineStr">
        <is>
          <t>undefined</t>
        </is>
      </c>
      <c r="S3373" t="inlineStr">
        <is>
          <t>1400444551279</t>
        </is>
      </c>
    </row>
    <row r="3374" ht="75" customHeight="1">
      <c r="A3374" s="2">
        <f>HYPERLINK("https://camerareadycosmetics.com/products/smashbox-full-exposure-waterproof-mascara", "https://camerareadycosmetics.com/products/smashbox-full-exposure-waterproof-mascara")</f>
        <v/>
      </c>
      <c r="B3374" s="2">
        <f>HYPERLINK("https://camerareadycosmetics.com/products/smashbox-full-exposure-waterproof-mascara", "https://camerareadycosmetics.com/products/smashbox-full-exposure-waterproof-mascara")</f>
        <v/>
      </c>
      <c r="C3374" t="inlineStr">
        <is>
          <t>Full Exposure Waterproof Mascara</t>
        </is>
      </c>
      <c r="D3374" t="inlineStr">
        <is>
          <t>3 Pack 4D Silk Fiber Lash Mascara, Waterproof Smudge-proof Thickening Mascara Black Thickening Lengthening Mascara, All Day Exquisitely Full, Long, Thick, Long-Lasting No Flaking Lash Extensions</t>
        </is>
      </c>
      <c r="E3374" s="2">
        <f>HYPERLINK("https://www.amazon.com/Waterproof-Smudge-proof-Lengthening-Exquisitely-Long-Lasting/dp/B09X7BBVF7/ref=sr_1_7?keywords=Full+Exposure+Waterproof+Mascara&amp;qid=1695565682&amp;sr=8-7", "https://www.amazon.com/Waterproof-Smudge-proof-Lengthening-Exquisitely-Long-Lasting/dp/B09X7BBVF7/ref=sr_1_7?keywords=Full+Exposure+Waterproof+Mascara&amp;qid=1695565682&amp;sr=8-7")</f>
        <v/>
      </c>
      <c r="F3374" t="inlineStr">
        <is>
          <t>B09X7BBVF7</t>
        </is>
      </c>
      <c r="G3374">
        <f>_xlfn.IMAGE("https://camerareadycosmetics.com/cdn/shop/products/smashbox-full-exposure-waterproof-macara_50x.jpg?v=1534273200")</f>
        <v/>
      </c>
      <c r="H3374">
        <f>_xlfn.IMAGE("https://m.media-amazon.com/images/I/81V8uKn2ElL._AC_UL320_.jpg")</f>
        <v/>
      </c>
      <c r="K3374" t="inlineStr">
        <is>
          <t>28.0</t>
        </is>
      </c>
      <c r="L3374" t="n">
        <v>9.98</v>
      </c>
      <c r="M3374" s="1" t="inlineStr">
        <is>
          <t>-64.36%</t>
        </is>
      </c>
      <c r="N3374" t="n">
        <v>4.1</v>
      </c>
      <c r="O3374" t="n">
        <v>253</v>
      </c>
      <c r="Q3374" t="inlineStr">
        <is>
          <t>InStock</t>
        </is>
      </c>
      <c r="R3374" t="inlineStr">
        <is>
          <t>undefined</t>
        </is>
      </c>
      <c r="S3374" t="inlineStr">
        <is>
          <t>1400444551279</t>
        </is>
      </c>
    </row>
    <row r="3375" ht="75" customHeight="1">
      <c r="A3375" s="2">
        <f>HYPERLINK("https://camerareadycosmetics.com/products/smashbox-full-exposure-waterproof-mascara", "https://camerareadycosmetics.com/products/smashbox-full-exposure-waterproof-mascara")</f>
        <v/>
      </c>
      <c r="B3375" s="2">
        <f>HYPERLINK("https://camerareadycosmetics.com/products/smashbox-full-exposure-waterproof-mascara", "https://camerareadycosmetics.com/products/smashbox-full-exposure-waterproof-mascara")</f>
        <v/>
      </c>
      <c r="C3375" t="inlineStr">
        <is>
          <t>Full Exposure Waterproof Mascara</t>
        </is>
      </c>
      <c r="D3375" t="inlineStr">
        <is>
          <t>Mascara Waterproof &amp; Smudge-Proof - 2-1 Long-Lasting Mascara Black Volumizing and Lengthening for Eye Makeup, Liquid Lash Extensions Mascara for a Full Fan Effect, No Clumping, Curling Eyelashes, Vegan &amp; Cruelty-Free, 02 Brown</t>
        </is>
      </c>
      <c r="E3375" s="2">
        <f>HYPERLINK("https://www.amazon.com/AKARY-Mascara-Waterproof-Smudge-Proof-Long-Lasting/dp/B0C7MX7V95/ref=sr_1_5?keywords=Full+Exposure+Waterproof+Mascara&amp;qid=1695565682&amp;sr=8-5", "https://www.amazon.com/AKARY-Mascara-Waterproof-Smudge-Proof-Long-Lasting/dp/B0C7MX7V95/ref=sr_1_5?keywords=Full+Exposure+Waterproof+Mascara&amp;qid=1695565682&amp;sr=8-5")</f>
        <v/>
      </c>
      <c r="F3375" t="inlineStr">
        <is>
          <t>B0C7MX7V95</t>
        </is>
      </c>
      <c r="G3375">
        <f>_xlfn.IMAGE("https://camerareadycosmetics.com/cdn/shop/products/smashbox-full-exposure-waterproof-macara_50x.jpg?v=1534273200")</f>
        <v/>
      </c>
      <c r="H3375">
        <f>_xlfn.IMAGE("https://m.media-amazon.com/images/I/51Aq6m8mx3L._AC_UL320_.jpg")</f>
        <v/>
      </c>
      <c r="K3375" t="inlineStr">
        <is>
          <t>28.0</t>
        </is>
      </c>
      <c r="L3375" t="n">
        <v>6.99</v>
      </c>
      <c r="M3375" s="1" t="inlineStr">
        <is>
          <t>-75.04%</t>
        </is>
      </c>
      <c r="N3375" t="n">
        <v>3.8</v>
      </c>
      <c r="O3375" t="n">
        <v>4</v>
      </c>
      <c r="Q3375" t="inlineStr">
        <is>
          <t>InStock</t>
        </is>
      </c>
      <c r="R3375" t="inlineStr">
        <is>
          <t>undefined</t>
        </is>
      </c>
      <c r="S3375" t="inlineStr">
        <is>
          <t>1400444551279</t>
        </is>
      </c>
    </row>
    <row r="3376" ht="75" customHeight="1">
      <c r="A3376" s="2">
        <f>HYPERLINK("https://camerareadycosmetics.com/products/smashbox-full-exposure-waterproof-mascara", "https://camerareadycosmetics.com/products/smashbox-full-exposure-waterproof-mascara")</f>
        <v/>
      </c>
      <c r="B3376" s="2">
        <f>HYPERLINK("https://camerareadycosmetics.com/products/smashbox-full-exposure-waterproof-mascara", "https://camerareadycosmetics.com/products/smashbox-full-exposure-waterproof-mascara")</f>
        <v/>
      </c>
      <c r="C3376" t="inlineStr">
        <is>
          <t>Full Exposure Waterproof Mascara</t>
        </is>
      </c>
      <c r="D3376" t="inlineStr">
        <is>
          <t>Maybelline New York Full 'N Soft Waterproof Mascara, Very Black, 1 Count</t>
        </is>
      </c>
      <c r="E3376" s="2">
        <f>HYPERLINK("https://www.amazon.com/Maybelline-Makeup-Waterproof-Mascara-Black/dp/B004OT29MA/ref=sr_1_2?keywords=Full+Exposure+Waterproof+Mascara&amp;qid=1695565682&amp;sr=8-2", "https://www.amazon.com/Maybelline-Makeup-Waterproof-Mascara-Black/dp/B004OT29MA/ref=sr_1_2?keywords=Full+Exposure+Waterproof+Mascara&amp;qid=1695565682&amp;sr=8-2")</f>
        <v/>
      </c>
      <c r="F3376" t="inlineStr">
        <is>
          <t>B004OT29MA</t>
        </is>
      </c>
      <c r="G3376">
        <f>_xlfn.IMAGE("https://camerareadycosmetics.com/cdn/shop/products/smashbox-full-exposure-waterproof-macara_50x.jpg?v=1534273200")</f>
        <v/>
      </c>
      <c r="H3376">
        <f>_xlfn.IMAGE("https://m.media-amazon.com/images/I/71GDyglsrFL._AC_UL320_.jpg")</f>
        <v/>
      </c>
      <c r="K3376" t="inlineStr">
        <is>
          <t>28.0</t>
        </is>
      </c>
      <c r="L3376" t="n">
        <v>6.59</v>
      </c>
      <c r="M3376" s="1" t="inlineStr">
        <is>
          <t>-76.46%</t>
        </is>
      </c>
      <c r="N3376" t="n">
        <v>4.4</v>
      </c>
      <c r="O3376" t="n">
        <v>4976</v>
      </c>
      <c r="Q3376" t="inlineStr">
        <is>
          <t>InStock</t>
        </is>
      </c>
      <c r="R3376" t="inlineStr">
        <is>
          <t>undefined</t>
        </is>
      </c>
      <c r="S3376" t="inlineStr">
        <is>
          <t>1400444551279</t>
        </is>
      </c>
    </row>
    <row r="3377" ht="75" customHeight="1">
      <c r="A3377" s="2">
        <f>HYPERLINK("https://camerareadycosmetics.com/products/smashbox-gloss-angeles", "https://camerareadycosmetics.com/products/smashbox-gloss-angeles")</f>
        <v/>
      </c>
      <c r="B3377" s="2">
        <f>HYPERLINK("https://camerareadycosmetics.com/products/smashbox-gloss-angeles", "https://camerareadycosmetics.com/products/smashbox-gloss-angeles")</f>
        <v/>
      </c>
      <c r="C3377" t="inlineStr">
        <is>
          <t>Gloss Angeles</t>
        </is>
      </c>
      <c r="D3377" t="inlineStr">
        <is>
          <t>Smashbox Gloss Angeles Trio Set</t>
        </is>
      </c>
      <c r="E3377" s="2">
        <f>HYPERLINK("https://www.amazon.com/Smashbox-Gloss-Angeles-Trio-Set/dp/B08KRKYLP5/ref=sr_1_4?keywords=Gloss+Angeles&amp;qid=1695565716&amp;sr=8-4", "https://www.amazon.com/Smashbox-Gloss-Angeles-Trio-Set/dp/B08KRKYLP5/ref=sr_1_4?keywords=Gloss+Angeles&amp;qid=1695565716&amp;sr=8-4")</f>
        <v/>
      </c>
      <c r="F3377" t="inlineStr">
        <is>
          <t>B08KRKYLP5</t>
        </is>
      </c>
      <c r="G3377">
        <f>_xlfn.IMAGE("https://camerareadycosmetics.com/cdn/shop/products/obvi-mauve-smashbox-lip-gloss_50x.jpg?v=1550190451")</f>
        <v/>
      </c>
      <c r="H3377">
        <f>_xlfn.IMAGE("https://m.media-amazon.com/images/I/71oyERFe-sL._AC_UL320_.jpg")</f>
        <v/>
      </c>
      <c r="K3377" t="inlineStr">
        <is>
          <t>25.0</t>
        </is>
      </c>
      <c r="L3377" t="n">
        <v>23.5</v>
      </c>
      <c r="M3377" s="1" t="inlineStr">
        <is>
          <t>-6.00%</t>
        </is>
      </c>
      <c r="N3377" t="n">
        <v>4.6</v>
      </c>
      <c r="O3377" t="n">
        <v>17</v>
      </c>
      <c r="Q3377" t="inlineStr">
        <is>
          <t>OutOfStock</t>
        </is>
      </c>
      <c r="R3377" t="inlineStr">
        <is>
          <t>undefined</t>
        </is>
      </c>
      <c r="S3377" t="inlineStr">
        <is>
          <t>2136144904303</t>
        </is>
      </c>
    </row>
    <row r="3378" ht="75" customHeight="1">
      <c r="A3378" s="2">
        <f>HYPERLINK("https://camerareadycosmetics.com/products/smashbox-gloss-angeles", "https://camerareadycosmetics.com/products/smashbox-gloss-angeles")</f>
        <v/>
      </c>
      <c r="B3378" s="2">
        <f>HYPERLINK("https://camerareadycosmetics.com/products/smashbox-gloss-angeles", "https://camerareadycosmetics.com/products/smashbox-gloss-angeles")</f>
        <v/>
      </c>
      <c r="C3378" t="inlineStr">
        <is>
          <t>Gloss Angeles</t>
        </is>
      </c>
      <c r="D3378" t="inlineStr">
        <is>
          <t>Smashbox Gloss Angeles Lip Gloss Sorbet Watch</t>
        </is>
      </c>
      <c r="E3378" s="2">
        <f>HYPERLINK("https://www.amazon.com/Smashbox-Gloss-Angeles-Lip-Sorbet/dp/B07TLNTWWH/ref=sr_1_7?keywords=Gloss+Angeles&amp;qid=1695565716&amp;sr=8-7", "https://www.amazon.com/Smashbox-Gloss-Angeles-Lip-Sorbet/dp/B07TLNTWWH/ref=sr_1_7?keywords=Gloss+Angeles&amp;qid=1695565716&amp;sr=8-7")</f>
        <v/>
      </c>
      <c r="F3378" t="inlineStr">
        <is>
          <t>B07TLNTWWH</t>
        </is>
      </c>
      <c r="G3378">
        <f>_xlfn.IMAGE("https://camerareadycosmetics.com/cdn/shop/products/obvi-mauve-smashbox-lip-gloss_50x.jpg?v=1550190451")</f>
        <v/>
      </c>
      <c r="H3378">
        <f>_xlfn.IMAGE("https://m.media-amazon.com/images/I/61XAmw7vtSL._AC_UL320_.jpg")</f>
        <v/>
      </c>
      <c r="K3378" t="inlineStr">
        <is>
          <t>25.0</t>
        </is>
      </c>
      <c r="L3378" t="n">
        <v>22.65</v>
      </c>
      <c r="M3378" s="1" t="inlineStr">
        <is>
          <t>-9.40%</t>
        </is>
      </c>
      <c r="N3378" t="n">
        <v>4.2</v>
      </c>
      <c r="O3378" t="n">
        <v>12</v>
      </c>
      <c r="Q3378" t="inlineStr">
        <is>
          <t>OutOfStock</t>
        </is>
      </c>
      <c r="R3378" t="inlineStr">
        <is>
          <t>undefined</t>
        </is>
      </c>
      <c r="S3378" t="inlineStr">
        <is>
          <t>2136144904303</t>
        </is>
      </c>
    </row>
    <row r="3379" ht="75" customHeight="1">
      <c r="A3379" s="2">
        <f>HYPERLINK("https://camerareadycosmetics.com/products/smashbox-gloss-angeles", "https://camerareadycosmetics.com/products/smashbox-gloss-angeles")</f>
        <v/>
      </c>
      <c r="B3379" s="2">
        <f>HYPERLINK("https://camerareadycosmetics.com/products/smashbox-gloss-angeles", "https://camerareadycosmetics.com/products/smashbox-gloss-angeles")</f>
        <v/>
      </c>
      <c r="C3379" t="inlineStr">
        <is>
          <t>Gloss Angeles</t>
        </is>
      </c>
      <c r="D3379" t="inlineStr">
        <is>
          <t>Smashbox Gloss Angeles Lip Gloss - 72 and Honey Women Lip Gloss 0.13 oz</t>
        </is>
      </c>
      <c r="E3379" s="2">
        <f>HYPERLINK("https://www.amazon.com/Smashbox-Gloss-Angeles-Lip-0-13oz/dp/B07LGGYN7F/ref=sr_1_8?keywords=Gloss+Angeles&amp;qid=1695565716&amp;sr=8-8", "https://www.amazon.com/Smashbox-Gloss-Angeles-Lip-0-13oz/dp/B07LGGYN7F/ref=sr_1_8?keywords=Gloss+Angeles&amp;qid=1695565716&amp;sr=8-8")</f>
        <v/>
      </c>
      <c r="F3379" t="inlineStr">
        <is>
          <t>B07LGGYN7F</t>
        </is>
      </c>
      <c r="G3379">
        <f>_xlfn.IMAGE("https://camerareadycosmetics.com/cdn/shop/products/obvi-mauve-smashbox-lip-gloss_50x.jpg?v=1550190451")</f>
        <v/>
      </c>
      <c r="H3379">
        <f>_xlfn.IMAGE("https://m.media-amazon.com/images/I/61a+-vqu+ML._AC_UL320_.jpg")</f>
        <v/>
      </c>
      <c r="K3379" t="inlineStr">
        <is>
          <t>25.0</t>
        </is>
      </c>
      <c r="L3379" t="n">
        <v>21.81</v>
      </c>
      <c r="M3379" s="1" t="inlineStr">
        <is>
          <t>-12.76%</t>
        </is>
      </c>
      <c r="N3379" t="n">
        <v>4.1</v>
      </c>
      <c r="O3379" t="n">
        <v>20</v>
      </c>
      <c r="Q3379" t="inlineStr">
        <is>
          <t>OutOfStock</t>
        </is>
      </c>
      <c r="R3379" t="inlineStr">
        <is>
          <t>undefined</t>
        </is>
      </c>
      <c r="S3379" t="inlineStr">
        <is>
          <t>2136144904303</t>
        </is>
      </c>
    </row>
    <row r="3380" ht="75" customHeight="1">
      <c r="A3380" s="2">
        <f>HYPERLINK("https://camerareadycosmetics.com/products/smashbox-gloss-angeles", "https://camerareadycosmetics.com/products/smashbox-gloss-angeles")</f>
        <v/>
      </c>
      <c r="B3380" s="2">
        <f>HYPERLINK("https://camerareadycosmetics.com/products/smashbox-gloss-angeles", "https://camerareadycosmetics.com/products/smashbox-gloss-angeles")</f>
        <v/>
      </c>
      <c r="C3380" t="inlineStr">
        <is>
          <t>Gloss Angeles</t>
        </is>
      </c>
      <c r="D3380" t="inlineStr">
        <is>
          <t>Smashbox Gloss Angeles Lip Gloss - Hustle and Glow Women Lip Gloss 0.13 oz</t>
        </is>
      </c>
      <c r="E3380" s="2">
        <f>HYPERLINK("https://www.amazon.com/Smashbox-Gloss-Angeles-Lip-Hustle/dp/B07LGDKF56/ref=sr_1_1?keywords=Gloss+Angeles&amp;qid=1695565716&amp;sr=8-1", "https://www.amazon.com/Smashbox-Gloss-Angeles-Lip-Hustle/dp/B07LGDKF56/ref=sr_1_1?keywords=Gloss+Angeles&amp;qid=1695565716&amp;sr=8-1")</f>
        <v/>
      </c>
      <c r="F3380" t="inlineStr">
        <is>
          <t>B07LGDKF56</t>
        </is>
      </c>
      <c r="G3380">
        <f>_xlfn.IMAGE("https://camerareadycosmetics.com/cdn/shop/products/obvi-mauve-smashbox-lip-gloss_50x.jpg?v=1550190451")</f>
        <v/>
      </c>
      <c r="H3380">
        <f>_xlfn.IMAGE("https://m.media-amazon.com/images/I/714pW4xz7GL._AC_UL320_.jpg")</f>
        <v/>
      </c>
      <c r="K3380" t="inlineStr">
        <is>
          <t>25.0</t>
        </is>
      </c>
      <c r="L3380" t="n">
        <v>17.97</v>
      </c>
      <c r="M3380" s="1" t="inlineStr">
        <is>
          <t>-28.12%</t>
        </is>
      </c>
      <c r="N3380" t="n">
        <v>4.5</v>
      </c>
      <c r="O3380" t="n">
        <v>153</v>
      </c>
      <c r="Q3380" t="inlineStr">
        <is>
          <t>OutOfStock</t>
        </is>
      </c>
      <c r="R3380" t="inlineStr">
        <is>
          <t>undefined</t>
        </is>
      </c>
      <c r="S3380" t="inlineStr">
        <is>
          <t>2136144904303</t>
        </is>
      </c>
    </row>
    <row r="3381" ht="75" customHeight="1">
      <c r="A3381" s="2">
        <f>HYPERLINK("https://camerareadycosmetics.com/products/smashbox-gloss-angeles", "https://camerareadycosmetics.com/products/smashbox-gloss-angeles")</f>
        <v/>
      </c>
      <c r="B3381" s="2">
        <f>HYPERLINK("https://camerareadycosmetics.com/products/smashbox-gloss-angeles", "https://camerareadycosmetics.com/products/smashbox-gloss-angeles")</f>
        <v/>
      </c>
      <c r="C3381" t="inlineStr">
        <is>
          <t>Gloss Angeles</t>
        </is>
      </c>
      <c r="D3381" t="inlineStr">
        <is>
          <t>Smashbox Gloss Angeles Lip Gloss - Ay Poppy Women Lip Gloss 0.13 oz</t>
        </is>
      </c>
      <c r="E3381" s="2">
        <f>HYPERLINK("https://www.amazon.com/Smashbox-Gloss-Angeles-Lip-0-13oz/dp/B07LGFQWVG/ref=sr_1_5?keywords=Gloss+Angeles&amp;qid=1695565716&amp;sr=8-5", "https://www.amazon.com/Smashbox-Gloss-Angeles-Lip-0-13oz/dp/B07LGFQWVG/ref=sr_1_5?keywords=Gloss+Angeles&amp;qid=1695565716&amp;sr=8-5")</f>
        <v/>
      </c>
      <c r="F3381" t="inlineStr">
        <is>
          <t>B07LGFQWVG</t>
        </is>
      </c>
      <c r="G3381">
        <f>_xlfn.IMAGE("https://camerareadycosmetics.com/cdn/shop/products/obvi-mauve-smashbox-lip-gloss_50x.jpg?v=1550190451")</f>
        <v/>
      </c>
      <c r="H3381">
        <f>_xlfn.IMAGE("https://m.media-amazon.com/images/I/715LxcXDWZL._AC_UL320_.jpg")</f>
        <v/>
      </c>
      <c r="K3381" t="inlineStr">
        <is>
          <t>25.0</t>
        </is>
      </c>
      <c r="L3381" t="n">
        <v>16.96</v>
      </c>
      <c r="M3381" s="1" t="inlineStr">
        <is>
          <t>-32.16%</t>
        </is>
      </c>
      <c r="N3381" t="n">
        <v>4.7</v>
      </c>
      <c r="O3381" t="n">
        <v>6</v>
      </c>
      <c r="Q3381" t="inlineStr">
        <is>
          <t>OutOfStock</t>
        </is>
      </c>
      <c r="R3381" t="inlineStr">
        <is>
          <t>undefined</t>
        </is>
      </c>
      <c r="S3381" t="inlineStr">
        <is>
          <t>2136144904303</t>
        </is>
      </c>
    </row>
    <row r="3382" ht="75" customHeight="1">
      <c r="A3382" s="2">
        <f>HYPERLINK("https://camerareadycosmetics.com/products/smashbox-gloss-angeles", "https://camerareadycosmetics.com/products/smashbox-gloss-angeles")</f>
        <v/>
      </c>
      <c r="B3382" s="2">
        <f>HYPERLINK("https://camerareadycosmetics.com/products/smashbox-gloss-angeles", "https://camerareadycosmetics.com/products/smashbox-gloss-angeles")</f>
        <v/>
      </c>
      <c r="C3382" t="inlineStr">
        <is>
          <t>Gloss Angeles</t>
        </is>
      </c>
      <c r="D3382" t="inlineStr">
        <is>
          <t>Color Street Gloss Angeles</t>
        </is>
      </c>
      <c r="E3382" s="2">
        <f>HYPERLINK("https://www.amazon.com/Color-Street-Gloss-Angeles/dp/B08D7299N1/ref=sr_1_10?keywords=Gloss+Angeles&amp;qid=1695565716&amp;sr=8-10", "https://www.amazon.com/Color-Street-Gloss-Angeles/dp/B08D7299N1/ref=sr_1_10?keywords=Gloss+Angeles&amp;qid=1695565716&amp;sr=8-10")</f>
        <v/>
      </c>
      <c r="F3382" t="inlineStr">
        <is>
          <t>B08D7299N1</t>
        </is>
      </c>
      <c r="G3382">
        <f>_xlfn.IMAGE("https://camerareadycosmetics.com/cdn/shop/products/obvi-mauve-smashbox-lip-gloss_50x.jpg?v=1550190451")</f>
        <v/>
      </c>
      <c r="H3382">
        <f>_xlfn.IMAGE("https://m.media-amazon.com/images/I/41C0Hgy4wJL._AC_UL320_.jpg")</f>
        <v/>
      </c>
      <c r="K3382" t="inlineStr">
        <is>
          <t>25.0</t>
        </is>
      </c>
      <c r="L3382" t="n">
        <v>15.8</v>
      </c>
      <c r="M3382" s="1" t="inlineStr">
        <is>
          <t>-36.80%</t>
        </is>
      </c>
      <c r="N3382" t="n">
        <v>4.2</v>
      </c>
      <c r="O3382" t="n">
        <v>58</v>
      </c>
      <c r="Q3382" t="inlineStr">
        <is>
          <t>OutOfStock</t>
        </is>
      </c>
      <c r="R3382" t="inlineStr">
        <is>
          <t>undefined</t>
        </is>
      </c>
      <c r="S3382" t="inlineStr">
        <is>
          <t>2136144904303</t>
        </is>
      </c>
    </row>
    <row r="3383" ht="75" customHeight="1">
      <c r="A3383" s="2">
        <f>HYPERLINK("https://camerareadycosmetics.com/products/smashbox-gloss-angeles", "https://camerareadycosmetics.com/products/smashbox-gloss-angeles")</f>
        <v/>
      </c>
      <c r="B3383" s="2">
        <f>HYPERLINK("https://camerareadycosmetics.com/products/smashbox-gloss-angeles", "https://camerareadycosmetics.com/products/smashbox-gloss-angeles")</f>
        <v/>
      </c>
      <c r="C3383" t="inlineStr">
        <is>
          <t>Gloss Angeles</t>
        </is>
      </c>
      <c r="D3383" t="inlineStr">
        <is>
          <t>Smashbox Gloss Angeles Extra Shine Lip Gloss - Clear Women 0.34 oz</t>
        </is>
      </c>
      <c r="E3383" s="2">
        <f>HYPERLINK("https://www.amazon.com/SmashBox-Gloss-Angeles-Extra-Shine/dp/B07LGGV32M/ref=sr_1_2?keywords=Gloss+Angeles&amp;qid=1695565716&amp;sr=8-2", "https://www.amazon.com/SmashBox-Gloss-Angeles-Extra-Shine/dp/B07LGGV32M/ref=sr_1_2?keywords=Gloss+Angeles&amp;qid=1695565716&amp;sr=8-2")</f>
        <v/>
      </c>
      <c r="F3383" t="inlineStr">
        <is>
          <t>B07LGGV32M</t>
        </is>
      </c>
      <c r="G3383">
        <f>_xlfn.IMAGE("https://camerareadycosmetics.com/cdn/shop/products/obvi-mauve-smashbox-lip-gloss_50x.jpg?v=1550190451")</f>
        <v/>
      </c>
      <c r="H3383">
        <f>_xlfn.IMAGE("https://m.media-amazon.com/images/I/71w4DKt6juL._AC_UL320_.jpg")</f>
        <v/>
      </c>
      <c r="K3383" t="inlineStr">
        <is>
          <t>25.0</t>
        </is>
      </c>
      <c r="L3383" t="n">
        <v>15.49</v>
      </c>
      <c r="M3383" s="1" t="inlineStr">
        <is>
          <t>-38.04%</t>
        </is>
      </c>
      <c r="N3383" t="n">
        <v>4.6</v>
      </c>
      <c r="O3383" t="n">
        <v>41</v>
      </c>
      <c r="Q3383" t="inlineStr">
        <is>
          <t>OutOfStock</t>
        </is>
      </c>
      <c r="R3383" t="inlineStr">
        <is>
          <t>undefined</t>
        </is>
      </c>
      <c r="S3383" t="inlineStr">
        <is>
          <t>2136144904303</t>
        </is>
      </c>
    </row>
    <row r="3384" ht="75" customHeight="1">
      <c r="A3384" s="2">
        <f>HYPERLINK("https://camerareadycosmetics.com/products/smashbox-gloss-angeles", "https://camerareadycosmetics.com/products/smashbox-gloss-angeles")</f>
        <v/>
      </c>
      <c r="B3384" s="2">
        <f>HYPERLINK("https://camerareadycosmetics.com/products/smashbox-gloss-angeles", "https://camerareadycosmetics.com/products/smashbox-gloss-angeles")</f>
        <v/>
      </c>
      <c r="C3384" t="inlineStr">
        <is>
          <t>Gloss Angeles</t>
        </is>
      </c>
      <c r="D3384" t="inlineStr">
        <is>
          <t>Smashbox Gloss Angeles Lip Gloss - Surf Bunny 0.13oz (4ml)</t>
        </is>
      </c>
      <c r="E3384" s="2">
        <f>HYPERLINK("https://www.amazon.com/Smashbox-Gloss-Angeles-Lip-0-13oz/dp/B07LGGSM86/ref=sr_1_3?keywords=Gloss+Angeles&amp;qid=1695565716&amp;sr=8-3", "https://www.amazon.com/Smashbox-Gloss-Angeles-Lip-0-13oz/dp/B07LGGSM86/ref=sr_1_3?keywords=Gloss+Angeles&amp;qid=1695565716&amp;sr=8-3")</f>
        <v/>
      </c>
      <c r="F3384" t="inlineStr">
        <is>
          <t>B07LGGSM86</t>
        </is>
      </c>
      <c r="G3384">
        <f>_xlfn.IMAGE("https://camerareadycosmetics.com/cdn/shop/products/obvi-mauve-smashbox-lip-gloss_50x.jpg?v=1550190451")</f>
        <v/>
      </c>
      <c r="H3384">
        <f>_xlfn.IMAGE("https://m.media-amazon.com/images/I/51dpGwGSL2L._AC_UL320_.jpg")</f>
        <v/>
      </c>
      <c r="K3384" t="inlineStr">
        <is>
          <t>25.0</t>
        </is>
      </c>
      <c r="L3384" t="n">
        <v>15</v>
      </c>
      <c r="M3384" s="1" t="inlineStr">
        <is>
          <t>-40.00%</t>
        </is>
      </c>
      <c r="N3384" t="n">
        <v>4.2</v>
      </c>
      <c r="O3384" t="n">
        <v>12</v>
      </c>
      <c r="Q3384" t="inlineStr">
        <is>
          <t>OutOfStock</t>
        </is>
      </c>
      <c r="R3384" t="inlineStr">
        <is>
          <t>undefined</t>
        </is>
      </c>
      <c r="S3384" t="inlineStr">
        <is>
          <t>2136144904303</t>
        </is>
      </c>
    </row>
    <row r="3385" ht="75" customHeight="1">
      <c r="A3385" s="2">
        <f>HYPERLINK("https://camerareadycosmetics.com/products/smashbox-gloss-angeles", "https://camerareadycosmetics.com/products/smashbox-gloss-angeles")</f>
        <v/>
      </c>
      <c r="B3385" s="2">
        <f>HYPERLINK("https://camerareadycosmetics.com/products/smashbox-gloss-angeles", "https://camerareadycosmetics.com/products/smashbox-gloss-angeles")</f>
        <v/>
      </c>
      <c r="C3385" t="inlineStr">
        <is>
          <t>Gloss Angeles</t>
        </is>
      </c>
      <c r="D3385" t="inlineStr">
        <is>
          <t>Smashbox Gloss Angeles Lip Gloss - Sheen Writer 0.13oz (4ml)</t>
        </is>
      </c>
      <c r="E3385" s="2">
        <f>HYPERLINK("https://www.amazon.com/Smashbox-Gloss-Angeles-Lip-Writer/dp/B07LGDD75C/ref=sr_1_6?keywords=Gloss+Angeles&amp;qid=1695565716&amp;sr=8-6", "https://www.amazon.com/Smashbox-Gloss-Angeles-Lip-Writer/dp/B07LGDD75C/ref=sr_1_6?keywords=Gloss+Angeles&amp;qid=1695565716&amp;sr=8-6")</f>
        <v/>
      </c>
      <c r="F3385" t="inlineStr">
        <is>
          <t>B07LGDD75C</t>
        </is>
      </c>
      <c r="G3385">
        <f>_xlfn.IMAGE("https://camerareadycosmetics.com/cdn/shop/products/obvi-mauve-smashbox-lip-gloss_50x.jpg?v=1550190451")</f>
        <v/>
      </c>
      <c r="H3385">
        <f>_xlfn.IMAGE("https://m.media-amazon.com/images/I/61nr5IQokbL._AC_UL320_.jpg")</f>
        <v/>
      </c>
      <c r="K3385" t="inlineStr">
        <is>
          <t>25.0</t>
        </is>
      </c>
      <c r="L3385" t="n">
        <v>11.45</v>
      </c>
      <c r="M3385" s="1" t="inlineStr">
        <is>
          <t>-54.20%</t>
        </is>
      </c>
      <c r="N3385" t="n">
        <v>4</v>
      </c>
      <c r="O3385" t="n">
        <v>20</v>
      </c>
      <c r="Q3385" t="inlineStr">
        <is>
          <t>OutOfStock</t>
        </is>
      </c>
      <c r="R3385" t="inlineStr">
        <is>
          <t>undefined</t>
        </is>
      </c>
      <c r="S3385" t="inlineStr">
        <is>
          <t>2136144904303</t>
        </is>
      </c>
    </row>
    <row r="3386" ht="75" customHeight="1">
      <c r="A3386" s="2">
        <f>HYPERLINK("https://camerareadycosmetics.com/products/smashbox-gloss-angeles", "https://camerareadycosmetics.com/products/smashbox-gloss-angeles")</f>
        <v/>
      </c>
      <c r="B3386" s="2">
        <f>HYPERLINK("https://camerareadycosmetics.com/products/smashbox-gloss-angeles", "https://camerareadycosmetics.com/products/smashbox-gloss-angeles")</f>
        <v/>
      </c>
      <c r="C3386" t="inlineStr">
        <is>
          <t>Gloss Angeles</t>
        </is>
      </c>
      <c r="D3386" t="inlineStr">
        <is>
          <t>Smashbox Gloss Angeles Lip Gloss - Sheen Writer 0.13oz (4ml)</t>
        </is>
      </c>
      <c r="E3386" s="2">
        <f>HYPERLINK("https://www.amazon.com/Smashbox-Gloss-Angeles-Lip-Writer/dp/B07LGDD75C/ref=sr_1_6?keywords=Gloss+Angeles&amp;qid=1695565716&amp;sr=8-6", "https://www.amazon.com/Smashbox-Gloss-Angeles-Lip-Writer/dp/B07LGDD75C/ref=sr_1_6?keywords=Gloss+Angeles&amp;qid=1695565716&amp;sr=8-6")</f>
        <v/>
      </c>
      <c r="F3386" t="inlineStr">
        <is>
          <t>B07LGDD75C</t>
        </is>
      </c>
      <c r="G3386">
        <f>_xlfn.IMAGE("https://camerareadycosmetics.com/cdn/shop/products/obvi-mauve-smashbox-lip-gloss_50x.jpg?v=1550190451")</f>
        <v/>
      </c>
      <c r="H3386">
        <f>_xlfn.IMAGE("https://m.media-amazon.com/images/I/61nr5IQokbL._AC_UL320_.jpg")</f>
        <v/>
      </c>
      <c r="K3386" t="inlineStr">
        <is>
          <t>25.0</t>
        </is>
      </c>
      <c r="L3386" t="n">
        <v>11.45</v>
      </c>
      <c r="M3386" s="1" t="inlineStr">
        <is>
          <t>-54.20%</t>
        </is>
      </c>
      <c r="N3386" t="n">
        <v>4</v>
      </c>
      <c r="O3386" t="n">
        <v>20</v>
      </c>
      <c r="Q3386" t="inlineStr">
        <is>
          <t>OutOfStock</t>
        </is>
      </c>
      <c r="R3386" t="inlineStr">
        <is>
          <t>undefined</t>
        </is>
      </c>
      <c r="S3386" t="inlineStr">
        <is>
          <t>2136144904303</t>
        </is>
      </c>
    </row>
    <row r="3387" ht="75" customHeight="1">
      <c r="A3387" s="2">
        <f>HYPERLINK("https://camerareadycosmetics.com/products/smashbox-halo-healthy-glow-tinted-moisturizer-spf-25", "https://camerareadycosmetics.com/products/smashbox-halo-healthy-glow-tinted-moisturizer-spf-25")</f>
        <v/>
      </c>
      <c r="B3387" s="2">
        <f>HYPERLINK("https://camerareadycosmetics.com/products/smashbox-halo-healthy-glow-tinted-moisturizer-spf-25", "https://camerareadycosmetics.com/products/smashbox-halo-healthy-glow-tinted-moisturizer-spf-25")</f>
        <v/>
      </c>
      <c r="C3387" t="inlineStr">
        <is>
          <t>Halo Healthy Glow Tinted Moisturizer SPF 25</t>
        </is>
      </c>
      <c r="D3387" t="inlineStr">
        <is>
          <t>Smashbox Halo Healthy Glow All-In-One Tinted Moisturizer SPF 25 - Lig Women, Light, 1.4 Ounce (Pack of 1)</t>
        </is>
      </c>
      <c r="E3387" s="2">
        <f>HYPERLINK("https://www.amazon.com/Smashbox-Halo-Healthy-Tinted-Moisturizer/dp/B08MWRRPZ5/ref=sr_1_6?keywords=Halo+Healthy+Glow+Tinted+Moisturizer+SPF+25&amp;qid=1695565655&amp;sr=8-6", "https://www.amazon.com/Smashbox-Halo-Healthy-Tinted-Moisturizer/dp/B08MWRRPZ5/ref=sr_1_6?keywords=Halo+Healthy+Glow+Tinted+Moisturizer+SPF+25&amp;qid=1695565655&amp;sr=8-6")</f>
        <v/>
      </c>
      <c r="F3387" t="inlineStr">
        <is>
          <t>B08MWRRPZ5</t>
        </is>
      </c>
      <c r="G3387">
        <f>_xlfn.IMAGE("https://camerareadycosmetics.com/cdn/shop/products/fair-halo_50x.jpg?v=1625130618")</f>
        <v/>
      </c>
      <c r="H3387">
        <f>_xlfn.IMAGE("https://m.media-amazon.com/images/I/61sKU2a0E+L._AC_UL320_.jpg")</f>
        <v/>
      </c>
      <c r="K3387" t="inlineStr">
        <is>
          <t>41.0</t>
        </is>
      </c>
      <c r="L3387" t="n">
        <v>21.33</v>
      </c>
      <c r="M3387" s="1" t="inlineStr">
        <is>
          <t>-47.98%</t>
        </is>
      </c>
      <c r="N3387" t="n">
        <v>4.1</v>
      </c>
      <c r="O3387" t="n">
        <v>89</v>
      </c>
      <c r="Q3387" t="inlineStr">
        <is>
          <t>InStock</t>
        </is>
      </c>
      <c r="R3387" t="inlineStr">
        <is>
          <t>undefined</t>
        </is>
      </c>
      <c r="S3387" t="inlineStr">
        <is>
          <t>6806662774969</t>
        </is>
      </c>
    </row>
    <row r="3388" ht="75" customHeight="1">
      <c r="A3388" s="2">
        <f>HYPERLINK("https://camerareadycosmetics.com/products/smashbox-halo-healthy-glow-tinted-moisturizer-spf-25", "https://camerareadycosmetics.com/products/smashbox-halo-healthy-glow-tinted-moisturizer-spf-25")</f>
        <v/>
      </c>
      <c r="B3388" s="2">
        <f>HYPERLINK("https://camerareadycosmetics.com/products/smashbox-halo-healthy-glow-tinted-moisturizer-spf-25", "https://camerareadycosmetics.com/products/smashbox-halo-healthy-glow-tinted-moisturizer-spf-25")</f>
        <v/>
      </c>
      <c r="C3388" t="inlineStr">
        <is>
          <t>Halo Healthy Glow Tinted Moisturizer SPF 25</t>
        </is>
      </c>
      <c r="D3388" t="inlineStr">
        <is>
          <t>SmashBox Halo Healthy Glow All-In-One Tinted Moisturizer SPF 25 - Tan Women 1.4 oz</t>
        </is>
      </c>
      <c r="E3388" s="2">
        <f>HYPERLINK("https://www.amazon.com/Smashbox-Halo-Healthy-Tinted-Moisturizer/dp/B08P92T6CZ/ref=sr_1_9?keywords=Halo+Healthy+Glow+Tinted+Moisturizer+SPF+25&amp;qid=1695565655&amp;sr=8-9", "https://www.amazon.com/Smashbox-Halo-Healthy-Tinted-Moisturizer/dp/B08P92T6CZ/ref=sr_1_9?keywords=Halo+Healthy+Glow+Tinted+Moisturizer+SPF+25&amp;qid=1695565655&amp;sr=8-9")</f>
        <v/>
      </c>
      <c r="F3388" t="inlineStr">
        <is>
          <t>B08P92T6CZ</t>
        </is>
      </c>
      <c r="G3388">
        <f>_xlfn.IMAGE("https://camerareadycosmetics.com/cdn/shop/products/fair-halo_50x.jpg?v=1625130618")</f>
        <v/>
      </c>
      <c r="H3388">
        <f>_xlfn.IMAGE("https://m.media-amazon.com/images/I/61f5K+0Dc4L._AC_UL320_.jpg")</f>
        <v/>
      </c>
      <c r="K3388" t="inlineStr">
        <is>
          <t>41.0</t>
        </is>
      </c>
      <c r="L3388" t="n">
        <v>18.49</v>
      </c>
      <c r="M3388" s="1" t="inlineStr">
        <is>
          <t>-54.90%</t>
        </is>
      </c>
      <c r="N3388" t="n">
        <v>3.9</v>
      </c>
      <c r="O3388" t="n">
        <v>22</v>
      </c>
      <c r="Q3388" t="inlineStr">
        <is>
          <t>InStock</t>
        </is>
      </c>
      <c r="R3388" t="inlineStr">
        <is>
          <t>undefined</t>
        </is>
      </c>
      <c r="S3388" t="inlineStr">
        <is>
          <t>6806662774969</t>
        </is>
      </c>
    </row>
    <row r="3389" ht="75" customHeight="1">
      <c r="A3389" s="2">
        <f>HYPERLINK("https://camerareadycosmetics.com/products/smashbox-halo-healthy-glow-tinted-moisturizer-spf-25", "https://camerareadycosmetics.com/products/smashbox-halo-healthy-glow-tinted-moisturizer-spf-25")</f>
        <v/>
      </c>
      <c r="B3389" s="2">
        <f>HYPERLINK("https://camerareadycosmetics.com/products/smashbox-halo-healthy-glow-tinted-moisturizer-spf-25", "https://camerareadycosmetics.com/products/smashbox-halo-healthy-glow-tinted-moisturizer-spf-25")</f>
        <v/>
      </c>
      <c r="C3389" t="inlineStr">
        <is>
          <t>Halo Healthy Glow Tinted Moisturizer SPF 25</t>
        </is>
      </c>
      <c r="D3389" t="inlineStr">
        <is>
          <t>Smashbox Halo Healthy Glow Tinted Moisturizer Broad Spectrum SPF 25 with Hyaluronic Acid Dark</t>
        </is>
      </c>
      <c r="E3389" s="2">
        <f>HYPERLINK("https://www.amazon.com/Smashbox-Halo-Healthy-Tinted-Moisturizer/dp/B08MWSQF8P/ref=sr_1_10?keywords=Halo+Healthy+Glow+Tinted+Moisturizer+SPF+25&amp;qid=1695565655&amp;sr=8-10", "https://www.amazon.com/Smashbox-Halo-Healthy-Tinted-Moisturizer/dp/B08MWSQF8P/ref=sr_1_10?keywords=Halo+Healthy+Glow+Tinted+Moisturizer+SPF+25&amp;qid=1695565655&amp;sr=8-10")</f>
        <v/>
      </c>
      <c r="F3389" t="inlineStr">
        <is>
          <t>B08MWSQF8P</t>
        </is>
      </c>
      <c r="G3389">
        <f>_xlfn.IMAGE("https://camerareadycosmetics.com/cdn/shop/products/fair-halo_50x.jpg?v=1625130618")</f>
        <v/>
      </c>
      <c r="H3389">
        <f>_xlfn.IMAGE("https://m.media-amazon.com/images/I/31vncv4hhuL._AC_UL320_.jpg")</f>
        <v/>
      </c>
      <c r="K3389" t="inlineStr">
        <is>
          <t>41.0</t>
        </is>
      </c>
      <c r="L3389" t="n">
        <v>18.45</v>
      </c>
      <c r="M3389" s="1" t="inlineStr">
        <is>
          <t>-55.00%</t>
        </is>
      </c>
      <c r="N3389" t="n">
        <v>4.4</v>
      </c>
      <c r="O3389" t="n">
        <v>4</v>
      </c>
      <c r="Q3389" t="inlineStr">
        <is>
          <t>InStock</t>
        </is>
      </c>
      <c r="R3389" t="inlineStr">
        <is>
          <t>undefined</t>
        </is>
      </c>
      <c r="S3389" t="inlineStr">
        <is>
          <t>6806662774969</t>
        </is>
      </c>
    </row>
    <row r="3390" ht="75" customHeight="1">
      <c r="A3390" s="2">
        <f>HYPERLINK("https://camerareadycosmetics.com/products/smashbox-halo-healthy-glow-tinted-moisturizer-spf-25", "https://camerareadycosmetics.com/products/smashbox-halo-healthy-glow-tinted-moisturizer-spf-25")</f>
        <v/>
      </c>
      <c r="B3390" s="2">
        <f>HYPERLINK("https://camerareadycosmetics.com/products/smashbox-halo-healthy-glow-tinted-moisturizer-spf-25", "https://camerareadycosmetics.com/products/smashbox-halo-healthy-glow-tinted-moisturizer-spf-25")</f>
        <v/>
      </c>
      <c r="C3390" t="inlineStr">
        <is>
          <t>Halo Healthy Glow Tinted Moisturizer SPF 25</t>
        </is>
      </c>
      <c r="D3390" t="inlineStr">
        <is>
          <t>Smashbox Halo Healthy Glow All-In-One Tinted Moisturizer SPF 25, Fai Women, 1.4 Oz</t>
        </is>
      </c>
      <c r="E3390" s="2">
        <f>HYPERLINK("https://www.amazon.com/Smashbox-Halo-Healthy-Tinted-Moisturizer/dp/B08MWRJ3Y9/ref=sr_1_8?keywords=Halo+Healthy+Glow+Tinted+Moisturizer+SPF+25&amp;qid=1695565655&amp;sr=8-8", "https://www.amazon.com/Smashbox-Halo-Healthy-Tinted-Moisturizer/dp/B08MWRJ3Y9/ref=sr_1_8?keywords=Halo+Healthy+Glow+Tinted+Moisturizer+SPF+25&amp;qid=1695565655&amp;sr=8-8")</f>
        <v/>
      </c>
      <c r="F3390" t="inlineStr">
        <is>
          <t>B08MWRJ3Y9</t>
        </is>
      </c>
      <c r="G3390">
        <f>_xlfn.IMAGE("https://camerareadycosmetics.com/cdn/shop/products/fair-halo_50x.jpg?v=1625130618")</f>
        <v/>
      </c>
      <c r="H3390">
        <f>_xlfn.IMAGE("https://m.media-amazon.com/images/I/61ctZvsM1bL._AC_UL320_.jpg")</f>
        <v/>
      </c>
      <c r="K3390" t="inlineStr">
        <is>
          <t>41.0</t>
        </is>
      </c>
      <c r="L3390" t="n">
        <v>18.45</v>
      </c>
      <c r="M3390" s="1" t="inlineStr">
        <is>
          <t>-55.00%</t>
        </is>
      </c>
      <c r="N3390" t="n">
        <v>4.2</v>
      </c>
      <c r="O3390" t="n">
        <v>44</v>
      </c>
      <c r="Q3390" t="inlineStr">
        <is>
          <t>InStock</t>
        </is>
      </c>
      <c r="R3390" t="inlineStr">
        <is>
          <t>undefined</t>
        </is>
      </c>
      <c r="S3390" t="inlineStr">
        <is>
          <t>6806662774969</t>
        </is>
      </c>
    </row>
    <row r="3391" ht="75" customHeight="1">
      <c r="A3391" s="2">
        <f>HYPERLINK("https://camerareadycosmetics.com/products/smashbox-halo-healthy-glow-tinted-moisturizer-spf-25", "https://camerareadycosmetics.com/products/smashbox-halo-healthy-glow-tinted-moisturizer-spf-25")</f>
        <v/>
      </c>
      <c r="B3391" s="2">
        <f>HYPERLINK("https://camerareadycosmetics.com/products/smashbox-halo-healthy-glow-tinted-moisturizer-spf-25", "https://camerareadycosmetics.com/products/smashbox-halo-healthy-glow-tinted-moisturizer-spf-25")</f>
        <v/>
      </c>
      <c r="C3391" t="inlineStr">
        <is>
          <t>Halo Healthy Glow Tinted Moisturizer SPF 25</t>
        </is>
      </c>
      <c r="D3391" t="inlineStr">
        <is>
          <t>Smashbox Halo Healthy Glow All-In-One Tinted Moisturizer SPF 25 - Tan Dark 1.4oz</t>
        </is>
      </c>
      <c r="E3391" s="2">
        <f>HYPERLINK("https://www.amazon.com/Smashbox-Halo-Healthy-Tinted-Moisturizer/dp/B08P8ZQ6Y1/ref=sr_1_7?keywords=Halo+Healthy+Glow+Tinted+Moisturizer+SPF+25&amp;qid=1695565655&amp;sr=8-7", "https://www.amazon.com/Smashbox-Halo-Healthy-Tinted-Moisturizer/dp/B08P8ZQ6Y1/ref=sr_1_7?keywords=Halo+Healthy+Glow+Tinted+Moisturizer+SPF+25&amp;qid=1695565655&amp;sr=8-7")</f>
        <v/>
      </c>
      <c r="F3391" t="inlineStr">
        <is>
          <t>B08P8ZQ6Y1</t>
        </is>
      </c>
      <c r="G3391">
        <f>_xlfn.IMAGE("https://camerareadycosmetics.com/cdn/shop/products/fair-halo_50x.jpg?v=1625130618")</f>
        <v/>
      </c>
      <c r="H3391">
        <f>_xlfn.IMAGE("https://m.media-amazon.com/images/I/31vncv4hhuL._AC_UL320_.jpg")</f>
        <v/>
      </c>
      <c r="K3391" t="inlineStr">
        <is>
          <t>41.0</t>
        </is>
      </c>
      <c r="L3391" t="n">
        <v>16.63</v>
      </c>
      <c r="M3391" s="1" t="inlineStr">
        <is>
          <t>-59.44%</t>
        </is>
      </c>
      <c r="N3391" t="n">
        <v>4.2</v>
      </c>
      <c r="O3391" t="n">
        <v>15</v>
      </c>
      <c r="Q3391" t="inlineStr">
        <is>
          <t>InStock</t>
        </is>
      </c>
      <c r="R3391" t="inlineStr">
        <is>
          <t>undefined</t>
        </is>
      </c>
      <c r="S3391" t="inlineStr">
        <is>
          <t>6806662774969</t>
        </is>
      </c>
    </row>
    <row r="3392" ht="75" customHeight="1">
      <c r="A3392" s="2">
        <f>HYPERLINK("https://camerareadycosmetics.com/products/smashbox-halo-healthy-glow-tinted-moisturizer-spf-25", "https://camerareadycosmetics.com/products/smashbox-halo-healthy-glow-tinted-moisturizer-spf-25")</f>
        <v/>
      </c>
      <c r="B3392" s="2">
        <f>HYPERLINK("https://camerareadycosmetics.com/products/smashbox-halo-healthy-glow-tinted-moisturizer-spf-25", "https://camerareadycosmetics.com/products/smashbox-halo-healthy-glow-tinted-moisturizer-spf-25")</f>
        <v/>
      </c>
      <c r="C3392" t="inlineStr">
        <is>
          <t>Halo Healthy Glow Tinted Moisturizer SPF 25</t>
        </is>
      </c>
      <c r="D3392" t="inlineStr">
        <is>
          <t>Smashbox Halo Healthy Glow All-In-One Tinted Moisturizer SPF 25 - Lig Women, Light, 1.4 Ounce (Pack of 1)</t>
        </is>
      </c>
      <c r="E3392" s="2">
        <f>HYPERLINK("https://www.amazon.com/Smashbox-Halo-Healthy-Tinted-Moisturizer/dp/B08MWRRPZ5/ref=sr_1_6?keywords=Halo+Healthy+Glow+Tinted+Moisturizer+SPF+25&amp;qid=1695565655&amp;sr=8-6", "https://www.amazon.com/Smashbox-Halo-Healthy-Tinted-Moisturizer/dp/B08MWRRPZ5/ref=sr_1_6?keywords=Halo+Healthy+Glow+Tinted+Moisturizer+SPF+25&amp;qid=1695565655&amp;sr=8-6")</f>
        <v/>
      </c>
      <c r="F3392" t="inlineStr">
        <is>
          <t>B08MWRRPZ5</t>
        </is>
      </c>
      <c r="G3392">
        <f>_xlfn.IMAGE("https://camerareadycosmetics.com/cdn/shop/products/fair-halo_50x.jpg?v=1625130618")</f>
        <v/>
      </c>
      <c r="H3392">
        <f>_xlfn.IMAGE("https://m.media-amazon.com/images/I/61sKU2a0E+L._AC_UL320_.jpg")</f>
        <v/>
      </c>
      <c r="K3392" t="inlineStr">
        <is>
          <t>41.0</t>
        </is>
      </c>
      <c r="L3392" t="n">
        <v>21.33</v>
      </c>
      <c r="M3392" s="1" t="inlineStr">
        <is>
          <t>-47.98%</t>
        </is>
      </c>
      <c r="N3392" t="n">
        <v>4.1</v>
      </c>
      <c r="O3392" t="n">
        <v>89</v>
      </c>
      <c r="Q3392" t="inlineStr">
        <is>
          <t>InStock</t>
        </is>
      </c>
      <c r="R3392" t="inlineStr">
        <is>
          <t>undefined</t>
        </is>
      </c>
      <c r="S3392" t="inlineStr">
        <is>
          <t>6806662774969</t>
        </is>
      </c>
    </row>
    <row r="3393" ht="75" customHeight="1">
      <c r="A3393" s="2">
        <f>HYPERLINK("https://camerareadycosmetics.com/products/smashbox-halo-healthy-glow-tinted-moisturizer-spf-25", "https://camerareadycosmetics.com/products/smashbox-halo-healthy-glow-tinted-moisturizer-spf-25")</f>
        <v/>
      </c>
      <c r="B3393" s="2">
        <f>HYPERLINK("https://camerareadycosmetics.com/products/smashbox-halo-healthy-glow-tinted-moisturizer-spf-25", "https://camerareadycosmetics.com/products/smashbox-halo-healthy-glow-tinted-moisturizer-spf-25")</f>
        <v/>
      </c>
      <c r="C3393" t="inlineStr">
        <is>
          <t>Halo Healthy Glow Tinted Moisturizer SPF 25</t>
        </is>
      </c>
      <c r="D3393" t="inlineStr">
        <is>
          <t>SmashBox Halo Healthy Glow All-In-One Tinted Moisturizer SPF 25 - Tan Women 1.4 oz</t>
        </is>
      </c>
      <c r="E3393" s="2">
        <f>HYPERLINK("https://www.amazon.com/Smashbox-Halo-Healthy-Tinted-Moisturizer/dp/B08P92T6CZ/ref=sr_1_9?keywords=Halo+Healthy+Glow+Tinted+Moisturizer+SPF+25&amp;qid=1695565655&amp;sr=8-9", "https://www.amazon.com/Smashbox-Halo-Healthy-Tinted-Moisturizer/dp/B08P92T6CZ/ref=sr_1_9?keywords=Halo+Healthy+Glow+Tinted+Moisturizer+SPF+25&amp;qid=1695565655&amp;sr=8-9")</f>
        <v/>
      </c>
      <c r="F3393" t="inlineStr">
        <is>
          <t>B08P92T6CZ</t>
        </is>
      </c>
      <c r="G3393">
        <f>_xlfn.IMAGE("https://camerareadycosmetics.com/cdn/shop/products/fair-halo_50x.jpg?v=1625130618")</f>
        <v/>
      </c>
      <c r="H3393">
        <f>_xlfn.IMAGE("https://m.media-amazon.com/images/I/61f5K+0Dc4L._AC_UL320_.jpg")</f>
        <v/>
      </c>
      <c r="K3393" t="inlineStr">
        <is>
          <t>41.0</t>
        </is>
      </c>
      <c r="L3393" t="n">
        <v>18.49</v>
      </c>
      <c r="M3393" s="1" t="inlineStr">
        <is>
          <t>-54.90%</t>
        </is>
      </c>
      <c r="N3393" t="n">
        <v>3.9</v>
      </c>
      <c r="O3393" t="n">
        <v>22</v>
      </c>
      <c r="Q3393" t="inlineStr">
        <is>
          <t>InStock</t>
        </is>
      </c>
      <c r="R3393" t="inlineStr">
        <is>
          <t>undefined</t>
        </is>
      </c>
      <c r="S3393" t="inlineStr">
        <is>
          <t>6806662774969</t>
        </is>
      </c>
    </row>
    <row r="3394" ht="75" customHeight="1">
      <c r="A3394" s="2">
        <f>HYPERLINK("https://camerareadycosmetics.com/products/smashbox-halo-healthy-glow-tinted-moisturizer-spf-25", "https://camerareadycosmetics.com/products/smashbox-halo-healthy-glow-tinted-moisturizer-spf-25")</f>
        <v/>
      </c>
      <c r="B3394" s="2">
        <f>HYPERLINK("https://camerareadycosmetics.com/products/smashbox-halo-healthy-glow-tinted-moisturizer-spf-25", "https://camerareadycosmetics.com/products/smashbox-halo-healthy-glow-tinted-moisturizer-spf-25")</f>
        <v/>
      </c>
      <c r="C3394" t="inlineStr">
        <is>
          <t>Halo Healthy Glow Tinted Moisturizer SPF 25</t>
        </is>
      </c>
      <c r="D3394" t="inlineStr">
        <is>
          <t>Smashbox Halo Healthy Glow Tinted Moisturizer Broad Spectrum SPF 25 with Hyaluronic Acid Dark</t>
        </is>
      </c>
      <c r="E3394" s="2">
        <f>HYPERLINK("https://www.amazon.com/Smashbox-Halo-Healthy-Tinted-Moisturizer/dp/B08MWSQF8P/ref=sr_1_10?keywords=Halo+Healthy+Glow+Tinted+Moisturizer+SPF+25&amp;qid=1695565655&amp;sr=8-10", "https://www.amazon.com/Smashbox-Halo-Healthy-Tinted-Moisturizer/dp/B08MWSQF8P/ref=sr_1_10?keywords=Halo+Healthy+Glow+Tinted+Moisturizer+SPF+25&amp;qid=1695565655&amp;sr=8-10")</f>
        <v/>
      </c>
      <c r="F3394" t="inlineStr">
        <is>
          <t>B08MWSQF8P</t>
        </is>
      </c>
      <c r="G3394">
        <f>_xlfn.IMAGE("https://camerareadycosmetics.com/cdn/shop/products/fair-halo_50x.jpg?v=1625130618")</f>
        <v/>
      </c>
      <c r="H3394">
        <f>_xlfn.IMAGE("https://m.media-amazon.com/images/I/31vncv4hhuL._AC_UL320_.jpg")</f>
        <v/>
      </c>
      <c r="K3394" t="inlineStr">
        <is>
          <t>41.0</t>
        </is>
      </c>
      <c r="L3394" t="n">
        <v>18.45</v>
      </c>
      <c r="M3394" s="1" t="inlineStr">
        <is>
          <t>-55.00%</t>
        </is>
      </c>
      <c r="N3394" t="n">
        <v>4.4</v>
      </c>
      <c r="O3394" t="n">
        <v>4</v>
      </c>
      <c r="Q3394" t="inlineStr">
        <is>
          <t>InStock</t>
        </is>
      </c>
      <c r="R3394" t="inlineStr">
        <is>
          <t>undefined</t>
        </is>
      </c>
      <c r="S3394" t="inlineStr">
        <is>
          <t>6806662774969</t>
        </is>
      </c>
    </row>
    <row r="3395" ht="75" customHeight="1">
      <c r="A3395" s="2">
        <f>HYPERLINK("https://camerareadycosmetics.com/products/smashbox-halo-healthy-glow-tinted-moisturizer-spf-25", "https://camerareadycosmetics.com/products/smashbox-halo-healthy-glow-tinted-moisturizer-spf-25")</f>
        <v/>
      </c>
      <c r="B3395" s="2">
        <f>HYPERLINK("https://camerareadycosmetics.com/products/smashbox-halo-healthy-glow-tinted-moisturizer-spf-25", "https://camerareadycosmetics.com/products/smashbox-halo-healthy-glow-tinted-moisturizer-spf-25")</f>
        <v/>
      </c>
      <c r="C3395" t="inlineStr">
        <is>
          <t>Halo Healthy Glow Tinted Moisturizer SPF 25</t>
        </is>
      </c>
      <c r="D3395" t="inlineStr">
        <is>
          <t>Smashbox Halo Healthy Glow All-In-One Tinted Moisturizer SPF 25, Fai Women, 1.4 Oz</t>
        </is>
      </c>
      <c r="E3395" s="2">
        <f>HYPERLINK("https://www.amazon.com/Smashbox-Halo-Healthy-Tinted-Moisturizer/dp/B08MWRJ3Y9/ref=sr_1_8?keywords=Halo+Healthy+Glow+Tinted+Moisturizer+SPF+25&amp;qid=1695565655&amp;sr=8-8", "https://www.amazon.com/Smashbox-Halo-Healthy-Tinted-Moisturizer/dp/B08MWRJ3Y9/ref=sr_1_8?keywords=Halo+Healthy+Glow+Tinted+Moisturizer+SPF+25&amp;qid=1695565655&amp;sr=8-8")</f>
        <v/>
      </c>
      <c r="F3395" t="inlineStr">
        <is>
          <t>B08MWRJ3Y9</t>
        </is>
      </c>
      <c r="G3395">
        <f>_xlfn.IMAGE("https://camerareadycosmetics.com/cdn/shop/products/fair-halo_50x.jpg?v=1625130618")</f>
        <v/>
      </c>
      <c r="H3395">
        <f>_xlfn.IMAGE("https://m.media-amazon.com/images/I/61ctZvsM1bL._AC_UL320_.jpg")</f>
        <v/>
      </c>
      <c r="K3395" t="inlineStr">
        <is>
          <t>41.0</t>
        </is>
      </c>
      <c r="L3395" t="n">
        <v>18.45</v>
      </c>
      <c r="M3395" s="1" t="inlineStr">
        <is>
          <t>-55.00%</t>
        </is>
      </c>
      <c r="N3395" t="n">
        <v>4.2</v>
      </c>
      <c r="O3395" t="n">
        <v>44</v>
      </c>
      <c r="Q3395" t="inlineStr">
        <is>
          <t>InStock</t>
        </is>
      </c>
      <c r="R3395" t="inlineStr">
        <is>
          <t>undefined</t>
        </is>
      </c>
      <c r="S3395" t="inlineStr">
        <is>
          <t>6806662774969</t>
        </is>
      </c>
    </row>
    <row r="3396" ht="75" customHeight="1">
      <c r="A3396" s="2">
        <f>HYPERLINK("https://camerareadycosmetics.com/products/smashbox-halo-healthy-glow-tinted-moisturizer-spf-25", "https://camerareadycosmetics.com/products/smashbox-halo-healthy-glow-tinted-moisturizer-spf-25")</f>
        <v/>
      </c>
      <c r="B3396" s="2">
        <f>HYPERLINK("https://camerareadycosmetics.com/products/smashbox-halo-healthy-glow-tinted-moisturizer-spf-25", "https://camerareadycosmetics.com/products/smashbox-halo-healthy-glow-tinted-moisturizer-spf-25")</f>
        <v/>
      </c>
      <c r="C3396" t="inlineStr">
        <is>
          <t>Halo Healthy Glow Tinted Moisturizer SPF 25</t>
        </is>
      </c>
      <c r="D3396" t="inlineStr">
        <is>
          <t>Smashbox Halo Healthy Glow All-In-One Tinted Moisturizer SPF 25 - Tan Dark 1.4oz</t>
        </is>
      </c>
      <c r="E3396" s="2">
        <f>HYPERLINK("https://www.amazon.com/Smashbox-Halo-Healthy-Tinted-Moisturizer/dp/B08P8ZQ6Y1/ref=sr_1_7?keywords=Halo+Healthy+Glow+Tinted+Moisturizer+SPF+25&amp;qid=1695565655&amp;sr=8-7", "https://www.amazon.com/Smashbox-Halo-Healthy-Tinted-Moisturizer/dp/B08P8ZQ6Y1/ref=sr_1_7?keywords=Halo+Healthy+Glow+Tinted+Moisturizer+SPF+25&amp;qid=1695565655&amp;sr=8-7")</f>
        <v/>
      </c>
      <c r="F3396" t="inlineStr">
        <is>
          <t>B08P8ZQ6Y1</t>
        </is>
      </c>
      <c r="G3396">
        <f>_xlfn.IMAGE("https://camerareadycosmetics.com/cdn/shop/products/fair-halo_50x.jpg?v=1625130618")</f>
        <v/>
      </c>
      <c r="H3396">
        <f>_xlfn.IMAGE("https://m.media-amazon.com/images/I/31vncv4hhuL._AC_UL320_.jpg")</f>
        <v/>
      </c>
      <c r="K3396" t="inlineStr">
        <is>
          <t>41.0</t>
        </is>
      </c>
      <c r="L3396" t="n">
        <v>16.63</v>
      </c>
      <c r="M3396" s="1" t="inlineStr">
        <is>
          <t>-59.44%</t>
        </is>
      </c>
      <c r="N3396" t="n">
        <v>4.2</v>
      </c>
      <c r="O3396" t="n">
        <v>15</v>
      </c>
      <c r="Q3396" t="inlineStr">
        <is>
          <t>InStock</t>
        </is>
      </c>
      <c r="R3396" t="inlineStr">
        <is>
          <t>undefined</t>
        </is>
      </c>
      <c r="S3396" t="inlineStr">
        <is>
          <t>6806662774969</t>
        </is>
      </c>
    </row>
    <row r="3397" ht="75" customHeight="1">
      <c r="A3397" s="2">
        <f>HYPERLINK("https://camerareadycosmetics.com/products/smashbox-photo-edit-eye-shadow-trio", "https://camerareadycosmetics.com/products/smashbox-photo-edit-eye-shadow-trio")</f>
        <v/>
      </c>
      <c r="B3397" s="2">
        <f>HYPERLINK("https://camerareadycosmetics.com/products/smashbox-photo-edit-eye-shadow-trio", "https://camerareadycosmetics.com/products/smashbox-photo-edit-eye-shadow-trio")</f>
        <v/>
      </c>
      <c r="C3397" t="inlineStr">
        <is>
          <t>Photo Edit Eye Shadow Trio</t>
        </is>
      </c>
      <c r="D3397" t="inlineStr">
        <is>
          <t>Smashbox Photo Edit Eye Shadow Trio Night Shoot</t>
        </is>
      </c>
      <c r="E3397" s="2">
        <f>HYPERLINK("https://www.amazon.com/Smashbox-Photo-Edit-Eyeshadow-Trio/dp/B078HMS4B2/ref=sr_1_3?keywords=Photo+Edit+Eye+Shadow+Trio&amp;qid=1695565631&amp;sr=8-3", "https://www.amazon.com/Smashbox-Photo-Edit-Eyeshadow-Trio/dp/B078HMS4B2/ref=sr_1_3?keywords=Photo+Edit+Eye+Shadow+Trio&amp;qid=1695565631&amp;sr=8-3")</f>
        <v/>
      </c>
      <c r="F3397" t="inlineStr">
        <is>
          <t>B078HMS4B2</t>
        </is>
      </c>
      <c r="G3397">
        <f>_xlfn.IMAGE("https://camerareadycosmetics.com/cdn/shop/products/smashbox-photo-edit-eye-trio-cover_50x.jpg?v=1621442789")</f>
        <v/>
      </c>
      <c r="H3397">
        <f>_xlfn.IMAGE("https://m.media-amazon.com/images/I/71xo6HtJhsS._AC_UL320_.jpg")</f>
        <v/>
      </c>
      <c r="K3397" t="inlineStr">
        <is>
          <t>11.5</t>
        </is>
      </c>
      <c r="L3397" t="n">
        <v>34</v>
      </c>
      <c r="M3397" s="1" t="inlineStr">
        <is>
          <t>195.65%</t>
        </is>
      </c>
      <c r="N3397" t="n">
        <v>4.6</v>
      </c>
      <c r="O3397" t="n">
        <v>81</v>
      </c>
      <c r="Q3397" t="inlineStr">
        <is>
          <t>InStock</t>
        </is>
      </c>
      <c r="R3397" t="inlineStr">
        <is>
          <t>23.0</t>
        </is>
      </c>
      <c r="S3397" t="inlineStr">
        <is>
          <t>1397689385071</t>
        </is>
      </c>
    </row>
    <row r="3398" ht="75" customHeight="1">
      <c r="A3398" s="2">
        <f>HYPERLINK("https://camerareadycosmetics.com/products/smashbox-photo-edit-eye-shadow-trio", "https://camerareadycosmetics.com/products/smashbox-photo-edit-eye-shadow-trio")</f>
        <v/>
      </c>
      <c r="B3398" s="2">
        <f>HYPERLINK("https://camerareadycosmetics.com/products/smashbox-photo-edit-eye-shadow-trio", "https://camerareadycosmetics.com/products/smashbox-photo-edit-eye-shadow-trio")</f>
        <v/>
      </c>
      <c r="C3398" t="inlineStr">
        <is>
          <t>Photo Edit Eye Shadow Trio</t>
        </is>
      </c>
      <c r="D3398" t="inlineStr">
        <is>
          <t>Smashbox Photo Edit Eyeshadow Trio - Nude Pic Fair, 0.11 Ounce</t>
        </is>
      </c>
      <c r="E3398" s="2">
        <f>HYPERLINK("https://www.amazon.com/Smashbox-Photo-Edit-Eyeshadow-Trio/dp/B078HTQ4Q3/ref=sr_1_1?keywords=Photo+Edit+Eye+Shadow+Trio&amp;qid=1695565631&amp;sr=8-1", "https://www.amazon.com/Smashbox-Photo-Edit-Eyeshadow-Trio/dp/B078HTQ4Q3/ref=sr_1_1?keywords=Photo+Edit+Eye+Shadow+Trio&amp;qid=1695565631&amp;sr=8-1")</f>
        <v/>
      </c>
      <c r="F3398" t="inlineStr">
        <is>
          <t>B078HTQ4Q3</t>
        </is>
      </c>
      <c r="G3398">
        <f>_xlfn.IMAGE("https://camerareadycosmetics.com/cdn/shop/products/smashbox-photo-edit-eye-trio-cover_50x.jpg?v=1621442789")</f>
        <v/>
      </c>
      <c r="H3398">
        <f>_xlfn.IMAGE("https://m.media-amazon.com/images/I/710H2MmCGLL._AC_UL320_.jpg")</f>
        <v/>
      </c>
      <c r="K3398" t="inlineStr">
        <is>
          <t>11.5</t>
        </is>
      </c>
      <c r="L3398" t="n">
        <v>23</v>
      </c>
      <c r="M3398" s="1" t="inlineStr">
        <is>
          <t>100.00%</t>
        </is>
      </c>
      <c r="N3398" t="n">
        <v>4.5</v>
      </c>
      <c r="O3398" t="n">
        <v>362</v>
      </c>
      <c r="Q3398" t="inlineStr">
        <is>
          <t>InStock</t>
        </is>
      </c>
      <c r="R3398" t="inlineStr">
        <is>
          <t>23.0</t>
        </is>
      </c>
      <c r="S3398" t="inlineStr">
        <is>
          <t>1397689385071</t>
        </is>
      </c>
    </row>
    <row r="3399" ht="75" customHeight="1">
      <c r="A3399" s="2">
        <f>HYPERLINK("https://camerareadycosmetics.com/products/smashbox-photo-edit-eye-shadow-trio", "https://camerareadycosmetics.com/products/smashbox-photo-edit-eye-shadow-trio")</f>
        <v/>
      </c>
      <c r="B3399" s="2">
        <f>HYPERLINK("https://camerareadycosmetics.com/products/smashbox-photo-edit-eye-shadow-trio", "https://camerareadycosmetics.com/products/smashbox-photo-edit-eye-shadow-trio")</f>
        <v/>
      </c>
      <c r="C3399" t="inlineStr">
        <is>
          <t>Photo Edit Eye Shadow Trio</t>
        </is>
      </c>
      <c r="D3399" t="inlineStr">
        <is>
          <t>SmashBox Photo Edit Eye Shadow Trio - Light Eye Shadow Women 0.11 oz</t>
        </is>
      </c>
      <c r="E3399" s="2">
        <f>HYPERLINK("https://www.amazon.com/Smashbox-Photo-Edit-Eyeshadow-Trio/dp/B078HYL9RS/ref=sr_1_2?keywords=Photo+Edit+Eye+Shadow+Trio&amp;qid=1695565631&amp;sr=8-2", "https://www.amazon.com/Smashbox-Photo-Edit-Eyeshadow-Trio/dp/B078HYL9RS/ref=sr_1_2?keywords=Photo+Edit+Eye+Shadow+Trio&amp;qid=1695565631&amp;sr=8-2")</f>
        <v/>
      </c>
      <c r="F3399" t="inlineStr">
        <is>
          <t>B078HYL9RS</t>
        </is>
      </c>
      <c r="G3399">
        <f>_xlfn.IMAGE("https://camerareadycosmetics.com/cdn/shop/products/smashbox-photo-edit-eye-trio-cover_50x.jpg?v=1621442789")</f>
        <v/>
      </c>
      <c r="H3399">
        <f>_xlfn.IMAGE("https://m.media-amazon.com/images/I/71GTWdtAOUL._AC_UL320_.jpg")</f>
        <v/>
      </c>
      <c r="K3399" t="inlineStr">
        <is>
          <t>11.5</t>
        </is>
      </c>
      <c r="L3399" t="n">
        <v>23</v>
      </c>
      <c r="M3399" s="1" t="inlineStr">
        <is>
          <t>100.00%</t>
        </is>
      </c>
      <c r="N3399" t="n">
        <v>4.6</v>
      </c>
      <c r="O3399" t="n">
        <v>350</v>
      </c>
      <c r="Q3399" t="inlineStr">
        <is>
          <t>InStock</t>
        </is>
      </c>
      <c r="R3399" t="inlineStr">
        <is>
          <t>23.0</t>
        </is>
      </c>
      <c r="S3399" t="inlineStr">
        <is>
          <t>1397689385071</t>
        </is>
      </c>
    </row>
    <row r="3400" ht="75" customHeight="1">
      <c r="A3400" s="2">
        <f>HYPERLINK("https://camerareadycosmetics.com/products/smashbox-photo-edit-eye-shadow-trio", "https://camerareadycosmetics.com/products/smashbox-photo-edit-eye-shadow-trio")</f>
        <v/>
      </c>
      <c r="B3400" s="2">
        <f>HYPERLINK("https://camerareadycosmetics.com/products/smashbox-photo-edit-eye-shadow-trio", "https://camerareadycosmetics.com/products/smashbox-photo-edit-eye-shadow-trio")</f>
        <v/>
      </c>
      <c r="C3400" t="inlineStr">
        <is>
          <t>Photo Edit Eye Shadow Trio</t>
        </is>
      </c>
      <c r="D3400" t="inlineStr">
        <is>
          <t>Smashbox Photo Edit Eyeshadow Trio - Repost</t>
        </is>
      </c>
      <c r="E3400" s="2">
        <f>HYPERLINK("https://www.amazon.com/Smashbox-Photo-Edit-Eyeshadow-Trio/dp/B078HMZS4K/ref=sr_1_6?keywords=Photo+Edit+Eye+Shadow+Trio&amp;qid=1695565631&amp;sr=8-6", "https://www.amazon.com/Smashbox-Photo-Edit-Eyeshadow-Trio/dp/B078HMZS4K/ref=sr_1_6?keywords=Photo+Edit+Eye+Shadow+Trio&amp;qid=1695565631&amp;sr=8-6")</f>
        <v/>
      </c>
      <c r="F3400" t="inlineStr">
        <is>
          <t>B078HMZS4K</t>
        </is>
      </c>
      <c r="G3400">
        <f>_xlfn.IMAGE("https://camerareadycosmetics.com/cdn/shop/products/smashbox-photo-edit-eye-trio-cover_50x.jpg?v=1621442789")</f>
        <v/>
      </c>
      <c r="H3400">
        <f>_xlfn.IMAGE("https://m.media-amazon.com/images/I/71cxPOV+OLL._AC_UL320_.jpg")</f>
        <v/>
      </c>
      <c r="K3400" t="inlineStr">
        <is>
          <t>11.5</t>
        </is>
      </c>
      <c r="L3400" t="n">
        <v>22.99</v>
      </c>
      <c r="M3400" s="1" t="inlineStr">
        <is>
          <t>99.91%</t>
        </is>
      </c>
      <c r="N3400" t="n">
        <v>4.2</v>
      </c>
      <c r="O3400" t="n">
        <v>42</v>
      </c>
      <c r="Q3400" t="inlineStr">
        <is>
          <t>InStock</t>
        </is>
      </c>
      <c r="R3400" t="inlineStr">
        <is>
          <t>23.0</t>
        </is>
      </c>
      <c r="S3400" t="inlineStr">
        <is>
          <t>1397689385071</t>
        </is>
      </c>
    </row>
    <row r="3401" ht="75" customHeight="1">
      <c r="A3401" s="2">
        <f>HYPERLINK("https://camerareadycosmetics.com/products/smashbox-photo-edit-eye-shadow-trio", "https://camerareadycosmetics.com/products/smashbox-photo-edit-eye-shadow-trio")</f>
        <v/>
      </c>
      <c r="B3401" s="2">
        <f>HYPERLINK("https://camerareadycosmetics.com/products/smashbox-photo-edit-eye-shadow-trio", "https://camerareadycosmetics.com/products/smashbox-photo-edit-eye-shadow-trio")</f>
        <v/>
      </c>
      <c r="C3401" t="inlineStr">
        <is>
          <t>Photo Edit Eye Shadow Trio</t>
        </is>
      </c>
      <c r="D3401" t="inlineStr">
        <is>
          <t>Smashbox Photo Edit Eye Shadow Trio It's Fire, 11 Ounce</t>
        </is>
      </c>
      <c r="E3401" s="2">
        <f>HYPERLINK("https://www.amazon.com/Smashbox-Photo-Edit-Eyeshadow-Trio/dp/B078HPL487/ref=sr_1_5?keywords=Photo+Edit+Eye+Shadow+Trio&amp;qid=1695565631&amp;sr=8-5", "https://www.amazon.com/Smashbox-Photo-Edit-Eyeshadow-Trio/dp/B078HPL487/ref=sr_1_5?keywords=Photo+Edit+Eye+Shadow+Trio&amp;qid=1695565631&amp;sr=8-5")</f>
        <v/>
      </c>
      <c r="F3401" t="inlineStr">
        <is>
          <t>B078HPL487</t>
        </is>
      </c>
      <c r="G3401">
        <f>_xlfn.IMAGE("https://camerareadycosmetics.com/cdn/shop/products/smashbox-photo-edit-eye-trio-cover_50x.jpg?v=1621442789")</f>
        <v/>
      </c>
      <c r="H3401">
        <f>_xlfn.IMAGE("https://m.media-amazon.com/images/I/61Z1JBScqxL._AC_UL320_.jpg")</f>
        <v/>
      </c>
      <c r="K3401" t="inlineStr">
        <is>
          <t>11.5</t>
        </is>
      </c>
      <c r="L3401" t="n">
        <v>21.99</v>
      </c>
      <c r="M3401" s="1" t="inlineStr">
        <is>
          <t>91.22%</t>
        </is>
      </c>
      <c r="N3401" t="n">
        <v>4.1</v>
      </c>
      <c r="O3401" t="n">
        <v>17</v>
      </c>
      <c r="Q3401" t="inlineStr">
        <is>
          <t>InStock</t>
        </is>
      </c>
      <c r="R3401" t="inlineStr">
        <is>
          <t>23.0</t>
        </is>
      </c>
      <c r="S3401" t="inlineStr">
        <is>
          <t>1397689385071</t>
        </is>
      </c>
    </row>
    <row r="3402" ht="75" customHeight="1">
      <c r="A3402" s="2">
        <f>HYPERLINK("https://camerareadycosmetics.com/products/smashbox-photo-edit-eye-shadow-trio", "https://camerareadycosmetics.com/products/smashbox-photo-edit-eye-shadow-trio")</f>
        <v/>
      </c>
      <c r="B3402" s="2">
        <f>HYPERLINK("https://camerareadycosmetics.com/products/smashbox-photo-edit-eye-shadow-trio", "https://camerareadycosmetics.com/products/smashbox-photo-edit-eye-shadow-trio")</f>
        <v/>
      </c>
      <c r="C3402" t="inlineStr">
        <is>
          <t>Photo Edit Eye Shadow Trio</t>
        </is>
      </c>
      <c r="D3402" t="inlineStr">
        <is>
          <t>SmashBox Photo Edit Eye Shadow Trio - Deep Eye Shadow Women 0.11 oz</t>
        </is>
      </c>
      <c r="E3402" s="2">
        <f>HYPERLINK("https://www.amazon.com/Photo-Edit-Eye-Shadow-Smashbox/dp/B079G7XBRK/ref=sr_1_4?keywords=Photo+Edit+Eye+Shadow+Trio&amp;qid=1695565631&amp;sr=8-4", "https://www.amazon.com/Photo-Edit-Eye-Shadow-Smashbox/dp/B079G7XBRK/ref=sr_1_4?keywords=Photo+Edit+Eye+Shadow+Trio&amp;qid=1695565631&amp;sr=8-4")</f>
        <v/>
      </c>
      <c r="F3402" t="inlineStr">
        <is>
          <t>B079G7XBRK</t>
        </is>
      </c>
      <c r="G3402">
        <f>_xlfn.IMAGE("https://camerareadycosmetics.com/cdn/shop/products/smashbox-photo-edit-eye-trio-cover_50x.jpg?v=1621442789")</f>
        <v/>
      </c>
      <c r="H3402">
        <f>_xlfn.IMAGE("https://m.media-amazon.com/images/I/71ZIcx6FKeL._AC_UL320_.jpg")</f>
        <v/>
      </c>
      <c r="K3402" t="inlineStr">
        <is>
          <t>11.5</t>
        </is>
      </c>
      <c r="L3402" t="n">
        <v>21</v>
      </c>
      <c r="M3402" s="1" t="inlineStr">
        <is>
          <t>82.61%</t>
        </is>
      </c>
      <c r="N3402" t="n">
        <v>4.5</v>
      </c>
      <c r="O3402" t="n">
        <v>40</v>
      </c>
      <c r="Q3402" t="inlineStr">
        <is>
          <t>InStock</t>
        </is>
      </c>
      <c r="R3402" t="inlineStr">
        <is>
          <t>23.0</t>
        </is>
      </c>
      <c r="S3402" t="inlineStr">
        <is>
          <t>1397689385071</t>
        </is>
      </c>
    </row>
    <row r="3403" ht="75" customHeight="1">
      <c r="A3403" s="2">
        <f>HYPERLINK("https://camerareadycosmetics.com/products/smashbox-photo-finish-8-in-1-primer-essence", "https://camerareadycosmetics.com/products/smashbox-photo-finish-8-in-1-primer-essence")</f>
        <v/>
      </c>
      <c r="B3403" s="2">
        <f>HYPERLINK("https://camerareadycosmetics.com/products/smashbox-photo-finish-8-in-1-primer-essence", "https://camerareadycosmetics.com/products/smashbox-photo-finish-8-in-1-primer-essence")</f>
        <v/>
      </c>
      <c r="C3403" t="inlineStr">
        <is>
          <t>Photo Finish 8-In-1 Primer Essence</t>
        </is>
      </c>
      <c r="D3403" t="inlineStr">
        <is>
          <t>Smashbox Photo Finish Foundation Primer for Women, Transparent, , 1 Fl Oz (Pack of 1)</t>
        </is>
      </c>
      <c r="E3403" s="2">
        <f>HYPERLINK("https://www.amazon.com/Photo-Finish-Foundation-Primer-Smashbox/dp/B005O54SVS/ref=sr_1_8?keywords=Photo+Finish+8-In-1+Primer+Essence&amp;qid=1695565795&amp;sr=8-8", "https://www.amazon.com/Photo-Finish-Foundation-Primer-Smashbox/dp/B005O54SVS/ref=sr_1_8?keywords=Photo+Finish+8-In-1+Primer+Essence&amp;qid=1695565795&amp;sr=8-8")</f>
        <v/>
      </c>
      <c r="F3403" t="inlineStr">
        <is>
          <t>B005O54SVS</t>
        </is>
      </c>
      <c r="G3403">
        <f>_xlfn.IMAGE("https://camerareadycosmetics.com/cdn/shop/products/sb_prod_104034_840x840_3_50x.jpg?v=1649871423")</f>
        <v/>
      </c>
      <c r="H3403">
        <f>_xlfn.IMAGE("https://m.media-amazon.com/images/I/61Pf4nE1jSL._AC_UL320_.jpg")</f>
        <v/>
      </c>
      <c r="K3403" t="inlineStr">
        <is>
          <t>34.0</t>
        </is>
      </c>
      <c r="L3403" t="n">
        <v>35.63</v>
      </c>
      <c r="M3403" s="1" t="inlineStr">
        <is>
          <t>4.79%</t>
        </is>
      </c>
      <c r="N3403" t="n">
        <v>4.7</v>
      </c>
      <c r="O3403" t="n">
        <v>2300</v>
      </c>
      <c r="Q3403" t="inlineStr">
        <is>
          <t>InStock</t>
        </is>
      </c>
      <c r="R3403" t="inlineStr">
        <is>
          <t>undefined</t>
        </is>
      </c>
      <c r="S3403" t="inlineStr">
        <is>
          <t>7288750014649</t>
        </is>
      </c>
    </row>
    <row r="3404" ht="75" customHeight="1">
      <c r="A3404" s="2">
        <f>HYPERLINK("https://camerareadycosmetics.com/products/smashbox-photo-finish-8-in-1-primer-essence", "https://camerareadycosmetics.com/products/smashbox-photo-finish-8-in-1-primer-essence")</f>
        <v/>
      </c>
      <c r="B3404" s="2">
        <f>HYPERLINK("https://camerareadycosmetics.com/products/smashbox-photo-finish-8-in-1-primer-essence", "https://camerareadycosmetics.com/products/smashbox-photo-finish-8-in-1-primer-essence")</f>
        <v/>
      </c>
      <c r="C3404" t="inlineStr">
        <is>
          <t>Photo Finish 8-In-1 Primer Essence</t>
        </is>
      </c>
      <c r="D3404" t="inlineStr">
        <is>
          <t>Smashbox The Original Photo Finish Smooth &amp; Blur Primer, Plain, 1 Fl Oz (Pack of 1) (675981)</t>
        </is>
      </c>
      <c r="E3404" s="2">
        <f>HYPERLINK("https://www.amazon.com/smashbox-Finish-Primer-Original-Smooth/dp/B01CKJP13Y/ref=sr_1_7?keywords=Photo+Finish+8-In-1+Primer+Essence&amp;qid=1695565795&amp;sr=8-7", "https://www.amazon.com/smashbox-Finish-Primer-Original-Smooth/dp/B01CKJP13Y/ref=sr_1_7?keywords=Photo+Finish+8-In-1+Primer+Essence&amp;qid=1695565795&amp;sr=8-7")</f>
        <v/>
      </c>
      <c r="F3404" t="inlineStr">
        <is>
          <t>B01CKJP13Y</t>
        </is>
      </c>
      <c r="G3404">
        <f>_xlfn.IMAGE("https://camerareadycosmetics.com/cdn/shop/products/sb_prod_104034_840x840_3_50x.jpg?v=1649871423")</f>
        <v/>
      </c>
      <c r="H3404">
        <f>_xlfn.IMAGE("https://m.media-amazon.com/images/I/51wiPh-ihdL._AC_UL320_.jpg")</f>
        <v/>
      </c>
      <c r="K3404" t="inlineStr">
        <is>
          <t>34.0</t>
        </is>
      </c>
      <c r="L3404" t="n">
        <v>34.5</v>
      </c>
      <c r="M3404" s="1" t="inlineStr">
        <is>
          <t>1.47%</t>
        </is>
      </c>
      <c r="N3404" t="n">
        <v>4.7</v>
      </c>
      <c r="O3404" t="n">
        <v>2781</v>
      </c>
      <c r="Q3404" t="inlineStr">
        <is>
          <t>InStock</t>
        </is>
      </c>
      <c r="R3404" t="inlineStr">
        <is>
          <t>undefined</t>
        </is>
      </c>
      <c r="S3404" t="inlineStr">
        <is>
          <t>7288750014649</t>
        </is>
      </c>
    </row>
    <row r="3405" ht="75" customHeight="1">
      <c r="A3405" s="2">
        <f>HYPERLINK("https://camerareadycosmetics.com/products/smashbox-photo-finish-8-in-1-primer-essence", "https://camerareadycosmetics.com/products/smashbox-photo-finish-8-in-1-primer-essence")</f>
        <v/>
      </c>
      <c r="B3405" s="2">
        <f>HYPERLINK("https://camerareadycosmetics.com/products/smashbox-photo-finish-8-in-1-primer-essence", "https://camerareadycosmetics.com/products/smashbox-photo-finish-8-in-1-primer-essence")</f>
        <v/>
      </c>
      <c r="C3405" t="inlineStr">
        <is>
          <t>Photo Finish 8-In-1 Primer Essence</t>
        </is>
      </c>
      <c r="D3405" t="inlineStr">
        <is>
          <t>SmashBox Photo Finish Primerizer plus Hydrating Primer Women Primer 1 oz</t>
        </is>
      </c>
      <c r="E3405" s="2">
        <f>HYPERLINK("https://www.amazon.com/SmashBox-Finish-Primerizer-Hydrating-Primer/dp/B09TQ1VKWR/ref=sr_1_6?keywords=Photo+Finish+8-In-1+Primer+Essence&amp;qid=1695565795&amp;sr=8-6", "https://www.amazon.com/SmashBox-Finish-Primerizer-Hydrating-Primer/dp/B09TQ1VKWR/ref=sr_1_6?keywords=Photo+Finish+8-In-1+Primer+Essence&amp;qid=1695565795&amp;sr=8-6")</f>
        <v/>
      </c>
      <c r="F3405" t="inlineStr">
        <is>
          <t>B09TQ1VKWR</t>
        </is>
      </c>
      <c r="G3405">
        <f>_xlfn.IMAGE("https://camerareadycosmetics.com/cdn/shop/products/sb_prod_104034_840x840_3_50x.jpg?v=1649871423")</f>
        <v/>
      </c>
      <c r="H3405">
        <f>_xlfn.IMAGE("https://m.media-amazon.com/images/I/61ZLd1w+elL._AC_UL320_.jpg")</f>
        <v/>
      </c>
      <c r="K3405" t="inlineStr">
        <is>
          <t>34.0</t>
        </is>
      </c>
      <c r="L3405" t="n">
        <v>32.97</v>
      </c>
      <c r="M3405" s="1" t="inlineStr">
        <is>
          <t>-3.03%</t>
        </is>
      </c>
      <c r="N3405" t="n">
        <v>4.5</v>
      </c>
      <c r="O3405" t="n">
        <v>89</v>
      </c>
      <c r="Q3405" t="inlineStr">
        <is>
          <t>InStock</t>
        </is>
      </c>
      <c r="R3405" t="inlineStr">
        <is>
          <t>undefined</t>
        </is>
      </c>
      <c r="S3405" t="inlineStr">
        <is>
          <t>7288750014649</t>
        </is>
      </c>
    </row>
    <row r="3406" ht="75" customHeight="1">
      <c r="A3406" s="2">
        <f>HYPERLINK("https://camerareadycosmetics.com/products/smashbox-photo-finish-8-in-1-primer-essence", "https://camerareadycosmetics.com/products/smashbox-photo-finish-8-in-1-primer-essence")</f>
        <v/>
      </c>
      <c r="B3406" s="2">
        <f>HYPERLINK("https://camerareadycosmetics.com/products/smashbox-photo-finish-8-in-1-primer-essence", "https://camerareadycosmetics.com/products/smashbox-photo-finish-8-in-1-primer-essence")</f>
        <v/>
      </c>
      <c r="C3406" t="inlineStr">
        <is>
          <t>Photo Finish 8-In-1 Primer Essence</t>
        </is>
      </c>
      <c r="D3406" t="inlineStr">
        <is>
          <t>Smashbox Photo Finish Lid Primer, Medium 0.08 Fl Oz (Pack of 1)</t>
        </is>
      </c>
      <c r="E3406" s="2">
        <f>HYPERLINK("https://www.amazon.com/Smashbox-Photo-Finish-Primer-Medium/dp/B01MZ7GTWX/ref=sr_1_5?keywords=Photo+Finish+8-In-1+Primer+Essence&amp;qid=1695565795&amp;sr=8-5", "https://www.amazon.com/Smashbox-Photo-Finish-Primer-Medium/dp/B01MZ7GTWX/ref=sr_1_5?keywords=Photo+Finish+8-In-1+Primer+Essence&amp;qid=1695565795&amp;sr=8-5")</f>
        <v/>
      </c>
      <c r="F3406" t="inlineStr">
        <is>
          <t>B01MZ7GTWX</t>
        </is>
      </c>
      <c r="G3406">
        <f>_xlfn.IMAGE("https://camerareadycosmetics.com/cdn/shop/products/sb_prod_104034_840x840_3_50x.jpg?v=1649871423")</f>
        <v/>
      </c>
      <c r="H3406">
        <f>_xlfn.IMAGE("https://m.media-amazon.com/images/I/71vhTUFpXKL._AC_UL320_.jpg")</f>
        <v/>
      </c>
      <c r="K3406" t="inlineStr">
        <is>
          <t>34.0</t>
        </is>
      </c>
      <c r="L3406" t="n">
        <v>25.88</v>
      </c>
      <c r="M3406" s="1" t="inlineStr">
        <is>
          <t>-23.88%</t>
        </is>
      </c>
      <c r="N3406" t="n">
        <v>4.5</v>
      </c>
      <c r="O3406" t="n">
        <v>710</v>
      </c>
      <c r="Q3406" t="inlineStr">
        <is>
          <t>InStock</t>
        </is>
      </c>
      <c r="R3406" t="inlineStr">
        <is>
          <t>undefined</t>
        </is>
      </c>
      <c r="S3406" t="inlineStr">
        <is>
          <t>7288750014649</t>
        </is>
      </c>
    </row>
    <row r="3407" ht="75" customHeight="1">
      <c r="A3407" s="2">
        <f>HYPERLINK("https://camerareadycosmetics.com/products/smashbox-photo-finish-8-in-1-primer-essence", "https://camerareadycosmetics.com/products/smashbox-photo-finish-8-in-1-primer-essence")</f>
        <v/>
      </c>
      <c r="B3407" s="2">
        <f>HYPERLINK("https://camerareadycosmetics.com/products/smashbox-photo-finish-8-in-1-primer-essence", "https://camerareadycosmetics.com/products/smashbox-photo-finish-8-in-1-primer-essence")</f>
        <v/>
      </c>
      <c r="C3407" t="inlineStr">
        <is>
          <t>Photo Finish 8-In-1 Primer Essence</t>
        </is>
      </c>
      <c r="D3407" t="inlineStr">
        <is>
          <t>Smashbox Photo Finish Revitalize 8 in 1 Primer Primer Women 2.5 oz</t>
        </is>
      </c>
      <c r="E3407" s="2">
        <f>HYPERLINK("https://www.amazon.com/Smashbox-Photo-Finish-Revitalize-Primer/dp/B0B6J8H296/ref=sr_1_1?keywords=Photo+Finish+8-In-1+Primer+Essence&amp;qid=1695565795&amp;sr=8-1", "https://www.amazon.com/Smashbox-Photo-Finish-Revitalize-Primer/dp/B0B6J8H296/ref=sr_1_1?keywords=Photo+Finish+8-In-1+Primer+Essence&amp;qid=1695565795&amp;sr=8-1")</f>
        <v/>
      </c>
      <c r="F3407" t="inlineStr">
        <is>
          <t>B0B6J8H296</t>
        </is>
      </c>
      <c r="G3407">
        <f>_xlfn.IMAGE("https://camerareadycosmetics.com/cdn/shop/products/sb_prod_104034_840x840_3_50x.jpg?v=1649871423")</f>
        <v/>
      </c>
      <c r="H3407">
        <f>_xlfn.IMAGE("https://m.media-amazon.com/images/I/61waW9ZhN5L._AC_UL320_.jpg")</f>
        <v/>
      </c>
      <c r="K3407" t="inlineStr">
        <is>
          <t>34.0</t>
        </is>
      </c>
      <c r="L3407" t="n">
        <v>17.99</v>
      </c>
      <c r="M3407" s="1" t="inlineStr">
        <is>
          <t>-47.09%</t>
        </is>
      </c>
      <c r="N3407" t="n">
        <v>3.4</v>
      </c>
      <c r="O3407" t="n">
        <v>3</v>
      </c>
      <c r="Q3407" t="inlineStr">
        <is>
          <t>InStock</t>
        </is>
      </c>
      <c r="R3407" t="inlineStr">
        <is>
          <t>undefined</t>
        </is>
      </c>
      <c r="S3407" t="inlineStr">
        <is>
          <t>7288750014649</t>
        </is>
      </c>
    </row>
    <row r="3408" ht="75" customHeight="1">
      <c r="A3408" s="2">
        <f>HYPERLINK("https://camerareadycosmetics.com/products/smashbox-photo-finish-8-in-1-primer-essence", "https://camerareadycosmetics.com/products/smashbox-photo-finish-8-in-1-primer-essence")</f>
        <v/>
      </c>
      <c r="B3408" s="2">
        <f>HYPERLINK("https://camerareadycosmetics.com/products/smashbox-photo-finish-8-in-1-primer-essence", "https://camerareadycosmetics.com/products/smashbox-photo-finish-8-in-1-primer-essence")</f>
        <v/>
      </c>
      <c r="C3408" t="inlineStr">
        <is>
          <t>Photo Finish 8-In-1 Primer Essence</t>
        </is>
      </c>
      <c r="D3408" t="inlineStr">
        <is>
          <t>Smashbox Photo Finish Revitalize 8 in 1 Primer Essence Primer Women 1 oz</t>
        </is>
      </c>
      <c r="E3408" s="2">
        <f>HYPERLINK("https://www.amazon.com/Smashbox-Finish-Revitalize-Primer-Essence/dp/B0BM9R62S4/ref=sr_1_3?keywords=Photo+Finish+8-In-1+Primer+Essence&amp;qid=1695565795&amp;sr=8-3", "https://www.amazon.com/Smashbox-Finish-Revitalize-Primer-Essence/dp/B0BM9R62S4/ref=sr_1_3?keywords=Photo+Finish+8-In-1+Primer+Essence&amp;qid=1695565795&amp;sr=8-3")</f>
        <v/>
      </c>
      <c r="F3408" t="inlineStr">
        <is>
          <t>B0BM9R62S4</t>
        </is>
      </c>
      <c r="G3408">
        <f>_xlfn.IMAGE("https://camerareadycosmetics.com/cdn/shop/products/sb_prod_104034_840x840_3_50x.jpg?v=1649871423")</f>
        <v/>
      </c>
      <c r="H3408">
        <f>_xlfn.IMAGE("https://m.media-amazon.com/images/I/61RhF+iVLeL._AC_UL320_.jpg")</f>
        <v/>
      </c>
      <c r="K3408" t="inlineStr">
        <is>
          <t>34.0</t>
        </is>
      </c>
      <c r="L3408" t="n">
        <v>10.89</v>
      </c>
      <c r="M3408" s="1" t="inlineStr">
        <is>
          <t>-67.97%</t>
        </is>
      </c>
      <c r="N3408" t="n">
        <v>4.4</v>
      </c>
      <c r="O3408" t="n">
        <v>4</v>
      </c>
      <c r="Q3408" t="inlineStr">
        <is>
          <t>InStock</t>
        </is>
      </c>
      <c r="R3408" t="inlineStr">
        <is>
          <t>undefined</t>
        </is>
      </c>
      <c r="S3408" t="inlineStr">
        <is>
          <t>7288750014649</t>
        </is>
      </c>
    </row>
    <row r="3409" ht="75" customHeight="1">
      <c r="A3409" s="2">
        <f>HYPERLINK("https://camerareadycosmetics.com/products/smashbox-photo-finish-8-in-1-primer-essence", "https://camerareadycosmetics.com/products/smashbox-photo-finish-8-in-1-primer-essence")</f>
        <v/>
      </c>
      <c r="B3409" s="2">
        <f>HYPERLINK("https://camerareadycosmetics.com/products/smashbox-photo-finish-8-in-1-primer-essence", "https://camerareadycosmetics.com/products/smashbox-photo-finish-8-in-1-primer-essence")</f>
        <v/>
      </c>
      <c r="C3409" t="inlineStr">
        <is>
          <t>Photo Finish 8-In-1 Primer Essence</t>
        </is>
      </c>
      <c r="D3409" t="inlineStr">
        <is>
          <t>Smashbox Photo Finish Revitalize 8 in 1 Primer Essence Primer Women 1 oz</t>
        </is>
      </c>
      <c r="E3409" s="2">
        <f>HYPERLINK("https://www.amazon.com/Smashbox-Finish-Revitalize-Primer-Essence/dp/B0BM9R62S4/ref=sr_1_3?keywords=Photo+Finish+8-In-1+Primer+Essence&amp;qid=1695565795&amp;sr=8-3", "https://www.amazon.com/Smashbox-Finish-Revitalize-Primer-Essence/dp/B0BM9R62S4/ref=sr_1_3?keywords=Photo+Finish+8-In-1+Primer+Essence&amp;qid=1695565795&amp;sr=8-3")</f>
        <v/>
      </c>
      <c r="F3409" t="inlineStr">
        <is>
          <t>B0BM9R62S4</t>
        </is>
      </c>
      <c r="G3409">
        <f>_xlfn.IMAGE("https://camerareadycosmetics.com/cdn/shop/products/sb_prod_104034_840x840_3_50x.jpg?v=1649871423")</f>
        <v/>
      </c>
      <c r="H3409">
        <f>_xlfn.IMAGE("https://m.media-amazon.com/images/I/61RhF+iVLeL._AC_UL320_.jpg")</f>
        <v/>
      </c>
      <c r="K3409" t="inlineStr">
        <is>
          <t>34.0</t>
        </is>
      </c>
      <c r="L3409" t="n">
        <v>10.89</v>
      </c>
      <c r="M3409" s="1" t="inlineStr">
        <is>
          <t>-67.97%</t>
        </is>
      </c>
      <c r="N3409" t="n">
        <v>4.4</v>
      </c>
      <c r="O3409" t="n">
        <v>4</v>
      </c>
      <c r="Q3409" t="inlineStr">
        <is>
          <t>InStock</t>
        </is>
      </c>
      <c r="R3409" t="inlineStr">
        <is>
          <t>undefined</t>
        </is>
      </c>
      <c r="S3409" t="inlineStr">
        <is>
          <t>7288750014649</t>
        </is>
      </c>
    </row>
    <row r="3410" ht="75" customHeight="1">
      <c r="A3410" s="2">
        <f>HYPERLINK("https://camerareadycosmetics.com/products/smashbox-photo-finish-control-mattifying-primer", "https://camerareadycosmetics.com/products/smashbox-photo-finish-control-mattifying-primer")</f>
        <v/>
      </c>
      <c r="B3410" s="2">
        <f>HYPERLINK("https://camerareadycosmetics.com/products/smashbox-photo-finish-control-mattifying-primer", "https://camerareadycosmetics.com/products/smashbox-photo-finish-control-mattifying-primer")</f>
        <v/>
      </c>
      <c r="C3410" t="inlineStr">
        <is>
          <t>Photo Finish Control Mattifying Primer</t>
        </is>
      </c>
      <c r="D3410" t="inlineStr">
        <is>
          <t>Smashbox Mini Photo Finish Control Mattifying Face Primer with Salicylic Acid .34 oz / 10 mL</t>
        </is>
      </c>
      <c r="E3410" s="2">
        <f>HYPERLINK("https://www.amazon.com/Smashbox-Finish-Control-Mattifying-Salicylic/dp/B0BPMXK8K2/ref=sr_1_2?keywords=Photo+Finish+Control+Mattifying+Primer&amp;qid=1695565688&amp;sr=8-2", "https://www.amazon.com/Smashbox-Finish-Control-Mattifying-Salicylic/dp/B0BPMXK8K2/ref=sr_1_2?keywords=Photo+Finish+Control+Mattifying+Primer&amp;qid=1695565688&amp;sr=8-2")</f>
        <v/>
      </c>
      <c r="F3410" t="inlineStr">
        <is>
          <t>B0BPMXK8K2</t>
        </is>
      </c>
      <c r="G3410">
        <f>_xlfn.IMAGE("https://camerareadycosmetics.com/cdn/shop/products/Smashbox-Photo-Finish-Control-Mattifying-Primer-C6R901_01_50x.jpg?v=1688675991")</f>
        <v/>
      </c>
      <c r="H3410">
        <f>_xlfn.IMAGE("https://m.media-amazon.com/images/I/414Ge4QQY0L._AC_UL320_.jpg")</f>
        <v/>
      </c>
      <c r="K3410" t="inlineStr">
        <is>
          <t>42.0</t>
        </is>
      </c>
      <c r="L3410" t="n">
        <v>16</v>
      </c>
      <c r="M3410" s="1" t="inlineStr">
        <is>
          <t>-61.90%</t>
        </is>
      </c>
      <c r="N3410" t="n">
        <v>5</v>
      </c>
      <c r="O3410" t="n">
        <v>1</v>
      </c>
      <c r="Q3410" t="inlineStr">
        <is>
          <t>InStock</t>
        </is>
      </c>
      <c r="R3410" t="inlineStr">
        <is>
          <t>undefined</t>
        </is>
      </c>
      <c r="S3410" t="inlineStr">
        <is>
          <t>7133907583161</t>
        </is>
      </c>
    </row>
    <row r="3411" ht="75" customHeight="1">
      <c r="A3411" s="2">
        <f>HYPERLINK("https://camerareadycosmetics.com/products/smashbox-photo-finish-control-mattifying-primer", "https://camerareadycosmetics.com/products/smashbox-photo-finish-control-mattifying-primer")</f>
        <v/>
      </c>
      <c r="B3411" s="2">
        <f>HYPERLINK("https://camerareadycosmetics.com/products/smashbox-photo-finish-control-mattifying-primer", "https://camerareadycosmetics.com/products/smashbox-photo-finish-control-mattifying-primer")</f>
        <v/>
      </c>
      <c r="C3411" t="inlineStr">
        <is>
          <t>Photo Finish Control Mattifying Primer</t>
        </is>
      </c>
      <c r="D3411" t="inlineStr">
        <is>
          <t>Smashbox Mini Photo Finish Control Mattifying Face Primer with Salicylic Acid .34 oz / 10 mL</t>
        </is>
      </c>
      <c r="E3411" s="2">
        <f>HYPERLINK("https://www.amazon.com/Smashbox-Finish-Control-Mattifying-Salicylic/dp/B0BPMXK8K2/ref=sr_1_2?keywords=Photo+Finish+Control+Mattifying+Primer&amp;qid=1695565688&amp;sr=8-2", "https://www.amazon.com/Smashbox-Finish-Control-Mattifying-Salicylic/dp/B0BPMXK8K2/ref=sr_1_2?keywords=Photo+Finish+Control+Mattifying+Primer&amp;qid=1695565688&amp;sr=8-2")</f>
        <v/>
      </c>
      <c r="F3411" t="inlineStr">
        <is>
          <t>B0BPMXK8K2</t>
        </is>
      </c>
      <c r="G3411">
        <f>_xlfn.IMAGE("https://camerareadycosmetics.com/cdn/shop/products/Smashbox-Photo-Finish-Control-Mattifying-Primer-C6R901_01_50x.jpg?v=1688675991")</f>
        <v/>
      </c>
      <c r="H3411">
        <f>_xlfn.IMAGE("https://m.media-amazon.com/images/I/414Ge4QQY0L._AC_UL320_.jpg")</f>
        <v/>
      </c>
      <c r="K3411" t="inlineStr">
        <is>
          <t>42.0</t>
        </is>
      </c>
      <c r="L3411" t="n">
        <v>16</v>
      </c>
      <c r="M3411" s="1" t="inlineStr">
        <is>
          <t>-61.90%</t>
        </is>
      </c>
      <c r="N3411" t="n">
        <v>5</v>
      </c>
      <c r="O3411" t="n">
        <v>1</v>
      </c>
      <c r="Q3411" t="inlineStr">
        <is>
          <t>InStock</t>
        </is>
      </c>
      <c r="R3411" t="inlineStr">
        <is>
          <t>undefined</t>
        </is>
      </c>
      <c r="S3411" t="inlineStr">
        <is>
          <t>7133907583161</t>
        </is>
      </c>
    </row>
    <row r="3412" ht="75" customHeight="1">
      <c r="A3412" s="2">
        <f>HYPERLINK("https://camerareadycosmetics.com/products/smashbox-photo-finish-extension-lash-primer", "https://camerareadycosmetics.com/products/smashbox-photo-finish-extension-lash-primer")</f>
        <v/>
      </c>
      <c r="B3412" s="2">
        <f>HYPERLINK("https://camerareadycosmetics.com/products/smashbox-photo-finish-extension-lash-primer", "https://camerareadycosmetics.com/products/smashbox-photo-finish-extension-lash-primer")</f>
        <v/>
      </c>
      <c r="C3412" t="inlineStr">
        <is>
          <t>Photo Finish Extension Lash Primer</t>
        </is>
      </c>
      <c r="D3412" t="inlineStr">
        <is>
          <t>Smashbox Photo Finish Lash Primer Base # Pour 0.30 Ounce</t>
        </is>
      </c>
      <c r="E3412" s="2">
        <f>HYPERLINK("https://www.amazon.com/Smashbox-Photo-Finish-Primer-Fluid/dp/B01DH5H250/ref=sr_1_2?keywords=Photo+Finish+Extension+Lash+Primer&amp;qid=1695565894&amp;sr=8-2", "https://www.amazon.com/Smashbox-Photo-Finish-Primer-Fluid/dp/B01DH5H250/ref=sr_1_2?keywords=Photo+Finish+Extension+Lash+Primer&amp;qid=1695565894&amp;sr=8-2")</f>
        <v/>
      </c>
      <c r="F3412" t="inlineStr">
        <is>
          <t>B01DH5H250</t>
        </is>
      </c>
      <c r="G3412">
        <f>_xlfn.IMAGE("https://camerareadycosmetics.com/cdn/shop/products/607710006652_1_50x.jpg?v=1678940010")</f>
        <v/>
      </c>
      <c r="H3412">
        <f>_xlfn.IMAGE("https://m.media-amazon.com/images/I/61FwbUtZkxL._AC_UL320_.jpg")</f>
        <v/>
      </c>
      <c r="K3412" t="inlineStr">
        <is>
          <t>26.0</t>
        </is>
      </c>
      <c r="L3412" t="n">
        <v>39</v>
      </c>
      <c r="M3412" s="1" t="inlineStr">
        <is>
          <t>50.00%</t>
        </is>
      </c>
      <c r="N3412" t="n">
        <v>4.3</v>
      </c>
      <c r="O3412" t="n">
        <v>211</v>
      </c>
      <c r="Q3412" t="inlineStr">
        <is>
          <t>InStock</t>
        </is>
      </c>
      <c r="R3412" t="inlineStr">
        <is>
          <t>undefined</t>
        </is>
      </c>
      <c r="S3412" t="inlineStr">
        <is>
          <t>7576164434105</t>
        </is>
      </c>
    </row>
    <row r="3413" ht="75" customHeight="1">
      <c r="A3413" s="2">
        <f>HYPERLINK("https://camerareadycosmetics.com/products/smashbox-photo-finish-foundation-primer-smooth-blur", "https://camerareadycosmetics.com/products/smashbox-photo-finish-foundation-primer-smooth-blur")</f>
        <v/>
      </c>
      <c r="B3413" s="2">
        <f>HYPERLINK("https://camerareadycosmetics.com/products/smashbox-photo-finish-foundation-primer-smooth-blur", "https://camerareadycosmetics.com/products/smashbox-photo-finish-foundation-primer-smooth-blur")</f>
        <v/>
      </c>
      <c r="C3413" t="inlineStr">
        <is>
          <t>Photo Finish Foundation Primer</t>
        </is>
      </c>
      <c r="D3413" t="inlineStr">
        <is>
          <t>Smashbox Photo Finish Foundation Primer - Jumbo (Light) 1.7oz (50ml)</t>
        </is>
      </c>
      <c r="E3413" s="2">
        <f>HYPERLINK("https://www.amazon.com/Smashbox-Photo-Finish-Foundation-Primer/dp/B00BDH6NZK/ref=sr_1_5?keywords=Photo+Finish+Foundation+Primer&amp;qid=1695565470&amp;sr=8-5", "https://www.amazon.com/Smashbox-Photo-Finish-Foundation-Primer/dp/B00BDH6NZK/ref=sr_1_5?keywords=Photo+Finish+Foundation+Primer&amp;qid=1695565470&amp;sr=8-5")</f>
        <v/>
      </c>
      <c r="F3413" t="inlineStr">
        <is>
          <t>B00BDH6NZK</t>
        </is>
      </c>
      <c r="G3413">
        <f>_xlfn.IMAGE("https://camerareadycosmetics.com/cdn/shop/products/smashbox-photo-finish-smooth-blur-travel-800x800_50x.jpg?v=1614170944")</f>
        <v/>
      </c>
      <c r="H3413">
        <f>_xlfn.IMAGE("https://m.media-amazon.com/images/I/51aei8OyU9L._AC_UL320_.jpg")</f>
        <v/>
      </c>
      <c r="K3413" t="inlineStr">
        <is>
          <t>42.0</t>
        </is>
      </c>
      <c r="L3413" t="n">
        <v>59.59</v>
      </c>
      <c r="M3413" s="1" t="inlineStr">
        <is>
          <t>41.88%</t>
        </is>
      </c>
      <c r="N3413" t="n">
        <v>5</v>
      </c>
      <c r="O3413" t="n">
        <v>12</v>
      </c>
      <c r="Q3413" t="inlineStr">
        <is>
          <t>InStock</t>
        </is>
      </c>
      <c r="R3413" t="inlineStr">
        <is>
          <t>42.0</t>
        </is>
      </c>
      <c r="S3413" t="inlineStr">
        <is>
          <t>1369288343663</t>
        </is>
      </c>
    </row>
    <row r="3414" ht="75" customHeight="1">
      <c r="A3414" s="2">
        <f>HYPERLINK("https://camerareadycosmetics.com/products/smashbox-photo-finish-foundation-primer-smooth-blur", "https://camerareadycosmetics.com/products/smashbox-photo-finish-foundation-primer-smooth-blur")</f>
        <v/>
      </c>
      <c r="B3414" s="2">
        <f>HYPERLINK("https://camerareadycosmetics.com/products/smashbox-photo-finish-foundation-primer-smooth-blur", "https://camerareadycosmetics.com/products/smashbox-photo-finish-foundation-primer-smooth-blur")</f>
        <v/>
      </c>
      <c r="C3414" t="inlineStr">
        <is>
          <t>Photo Finish Foundation Primer</t>
        </is>
      </c>
      <c r="D3414" t="inlineStr">
        <is>
          <t>Finish Foundation Primer Light - Super Light Smooth &amp; Blur by Smashbox for Women - 1 oz Primer</t>
        </is>
      </c>
      <c r="E3414" s="2">
        <f>HYPERLINK("https://www.amazon.com/Finish-Foundation-Primer-Light-Smashbox/dp/B005DKJRRE/ref=sr_1_8?keywords=Photo+Finish+Foundation+Primer&amp;qid=1695565470&amp;sr=8-8", "https://www.amazon.com/Finish-Foundation-Primer-Light-Smashbox/dp/B005DKJRRE/ref=sr_1_8?keywords=Photo+Finish+Foundation+Primer&amp;qid=1695565470&amp;sr=8-8")</f>
        <v/>
      </c>
      <c r="F3414" t="inlineStr">
        <is>
          <t>B005DKJRRE</t>
        </is>
      </c>
      <c r="G3414">
        <f>_xlfn.IMAGE("https://camerareadycosmetics.com/cdn/shop/products/smashbox-photo-finish-smooth-blur-travel-800x800_50x.jpg?v=1614170944")</f>
        <v/>
      </c>
      <c r="H3414">
        <f>_xlfn.IMAGE("https://m.media-amazon.com/images/I/51pkm91CRaL._AC_UL320_.jpg")</f>
        <v/>
      </c>
      <c r="K3414" t="inlineStr">
        <is>
          <t>42.0</t>
        </is>
      </c>
      <c r="L3414" t="n">
        <v>41</v>
      </c>
      <c r="M3414" s="1" t="inlineStr">
        <is>
          <t>-2.38%</t>
        </is>
      </c>
      <c r="N3414" t="n">
        <v>4.4</v>
      </c>
      <c r="O3414" t="n">
        <v>586</v>
      </c>
      <c r="Q3414" t="inlineStr">
        <is>
          <t>InStock</t>
        </is>
      </c>
      <c r="R3414" t="inlineStr">
        <is>
          <t>42.0</t>
        </is>
      </c>
      <c r="S3414" t="inlineStr">
        <is>
          <t>1369288343663</t>
        </is>
      </c>
    </row>
    <row r="3415" ht="75" customHeight="1">
      <c r="A3415" s="2">
        <f>HYPERLINK("https://camerareadycosmetics.com/products/smashbox-photo-finish-foundation-primer-smooth-blur", "https://camerareadycosmetics.com/products/smashbox-photo-finish-foundation-primer-smooth-blur")</f>
        <v/>
      </c>
      <c r="B3415" s="2">
        <f>HYPERLINK("https://camerareadycosmetics.com/products/smashbox-photo-finish-foundation-primer-smooth-blur", "https://camerareadycosmetics.com/products/smashbox-photo-finish-foundation-primer-smooth-blur")</f>
        <v/>
      </c>
      <c r="C3415" t="inlineStr">
        <is>
          <t>Photo Finish Foundation Primer</t>
        </is>
      </c>
      <c r="D3415" t="inlineStr">
        <is>
          <t>Smashbox Photo Finish Foundation Primer for Women, Transparent, , 1 Fl Oz (Pack of 1)</t>
        </is>
      </c>
      <c r="E3415" s="2">
        <f>HYPERLINK("https://www.amazon.com/Photo-Finish-Foundation-Primer-Smashbox/dp/B005O54SVS/ref=sr_1_1?keywords=Photo+Finish+Foundation+Primer&amp;qid=1695565470&amp;sr=8-1", "https://www.amazon.com/Photo-Finish-Foundation-Primer-Smashbox/dp/B005O54SVS/ref=sr_1_1?keywords=Photo+Finish+Foundation+Primer&amp;qid=1695565470&amp;sr=8-1")</f>
        <v/>
      </c>
      <c r="F3415" t="inlineStr">
        <is>
          <t>B005O54SVS</t>
        </is>
      </c>
      <c r="G3415">
        <f>_xlfn.IMAGE("https://camerareadycosmetics.com/cdn/shop/products/smashbox-photo-finish-smooth-blur-travel-800x800_50x.jpg?v=1614170944")</f>
        <v/>
      </c>
      <c r="H3415">
        <f>_xlfn.IMAGE("https://m.media-amazon.com/images/I/61Pf4nE1jSL._AC_UL320_.jpg")</f>
        <v/>
      </c>
      <c r="K3415" t="inlineStr">
        <is>
          <t>42.0</t>
        </is>
      </c>
      <c r="L3415" t="n">
        <v>35.99</v>
      </c>
      <c r="M3415" s="1" t="inlineStr">
        <is>
          <t>-14.31%</t>
        </is>
      </c>
      <c r="N3415" t="n">
        <v>4.7</v>
      </c>
      <c r="O3415" t="n">
        <v>2300</v>
      </c>
      <c r="Q3415" t="inlineStr">
        <is>
          <t>InStock</t>
        </is>
      </c>
      <c r="R3415" t="inlineStr">
        <is>
          <t>42.0</t>
        </is>
      </c>
      <c r="S3415" t="inlineStr">
        <is>
          <t>1369288343663</t>
        </is>
      </c>
    </row>
    <row r="3416" ht="75" customHeight="1">
      <c r="A3416" s="2">
        <f>HYPERLINK("https://camerareadycosmetics.com/products/smashbox-photo-finish-foundation-primer-smooth-blur", "https://camerareadycosmetics.com/products/smashbox-photo-finish-foundation-primer-smooth-blur")</f>
        <v/>
      </c>
      <c r="B3416" s="2">
        <f>HYPERLINK("https://camerareadycosmetics.com/products/smashbox-photo-finish-foundation-primer-smooth-blur", "https://camerareadycosmetics.com/products/smashbox-photo-finish-foundation-primer-smooth-blur")</f>
        <v/>
      </c>
      <c r="C3416" t="inlineStr">
        <is>
          <t>Photo Finish Foundation Primer</t>
        </is>
      </c>
      <c r="D3416" t="inlineStr">
        <is>
          <t>Smashbox Photo Finish Minimize Pores Primer 1.0 Ounce</t>
        </is>
      </c>
      <c r="E3416" s="2">
        <f>HYPERLINK("https://www.amazon.com/smashbox-Photo-Finish-Primer-Minimize/dp/B00LW89Z9Q/ref=sr_1_7?keywords=Photo+Finish+Foundation+Primer&amp;qid=1695565470&amp;sr=8-7", "https://www.amazon.com/smashbox-Photo-Finish-Primer-Minimize/dp/B00LW89Z9Q/ref=sr_1_7?keywords=Photo+Finish+Foundation+Primer&amp;qid=1695565470&amp;sr=8-7")</f>
        <v/>
      </c>
      <c r="F3416" t="inlineStr">
        <is>
          <t>B00LW89Z9Q</t>
        </is>
      </c>
      <c r="G3416">
        <f>_xlfn.IMAGE("https://camerareadycosmetics.com/cdn/shop/products/smashbox-photo-finish-smooth-blur-travel-800x800_50x.jpg?v=1614170944")</f>
        <v/>
      </c>
      <c r="H3416">
        <f>_xlfn.IMAGE("https://m.media-amazon.com/images/I/616qRsHCiuL._AC_UL320_.jpg")</f>
        <v/>
      </c>
      <c r="K3416" t="inlineStr">
        <is>
          <t>42.0</t>
        </is>
      </c>
      <c r="L3416" t="n">
        <v>34.98</v>
      </c>
      <c r="M3416" s="1" t="inlineStr">
        <is>
          <t>-16.71%</t>
        </is>
      </c>
      <c r="N3416" t="n">
        <v>4.5</v>
      </c>
      <c r="O3416" t="n">
        <v>1540</v>
      </c>
      <c r="Q3416" t="inlineStr">
        <is>
          <t>InStock</t>
        </is>
      </c>
      <c r="R3416" t="inlineStr">
        <is>
          <t>42.0</t>
        </is>
      </c>
      <c r="S3416" t="inlineStr">
        <is>
          <t>1369288343663</t>
        </is>
      </c>
    </row>
    <row r="3417" ht="75" customHeight="1">
      <c r="A3417" s="2">
        <f>HYPERLINK("https://camerareadycosmetics.com/products/smashbox-photo-finish-foundation-primer-smooth-blur", "https://camerareadycosmetics.com/products/smashbox-photo-finish-foundation-primer-smooth-blur")</f>
        <v/>
      </c>
      <c r="B3417" s="2">
        <f>HYPERLINK("https://camerareadycosmetics.com/products/smashbox-photo-finish-foundation-primer-smooth-blur", "https://camerareadycosmetics.com/products/smashbox-photo-finish-foundation-primer-smooth-blur")</f>
        <v/>
      </c>
      <c r="C3417" t="inlineStr">
        <is>
          <t>Photo Finish Foundation Primer</t>
        </is>
      </c>
      <c r="D3417" t="inlineStr">
        <is>
          <t>Smashbox The Original Photo Finish Smooth &amp; Blur Primer, Plain, 1 Fl Oz (Pack of 1) (675981)</t>
        </is>
      </c>
      <c r="E3417" s="2">
        <f>HYPERLINK("https://www.amazon.com/smashbox-Finish-Primer-Original-Smooth/dp/B01CKJP13Y/ref=sr_1_2?keywords=Photo+Finish+Foundation+Primer&amp;qid=1695565470&amp;sr=8-2", "https://www.amazon.com/smashbox-Finish-Primer-Original-Smooth/dp/B01CKJP13Y/ref=sr_1_2?keywords=Photo+Finish+Foundation+Primer&amp;qid=1695565470&amp;sr=8-2")</f>
        <v/>
      </c>
      <c r="F3417" t="inlineStr">
        <is>
          <t>B01CKJP13Y</t>
        </is>
      </c>
      <c r="G3417">
        <f>_xlfn.IMAGE("https://camerareadycosmetics.com/cdn/shop/products/smashbox-photo-finish-smooth-blur-travel-800x800_50x.jpg?v=1614170944")</f>
        <v/>
      </c>
      <c r="H3417">
        <f>_xlfn.IMAGE("https://m.media-amazon.com/images/I/51wiPh-ihdL._AC_UL320_.jpg")</f>
        <v/>
      </c>
      <c r="K3417" t="inlineStr">
        <is>
          <t>42.0</t>
        </is>
      </c>
      <c r="L3417" t="n">
        <v>34.95</v>
      </c>
      <c r="M3417" s="1" t="inlineStr">
        <is>
          <t>-16.79%</t>
        </is>
      </c>
      <c r="N3417" t="n">
        <v>4.7</v>
      </c>
      <c r="O3417" t="n">
        <v>2781</v>
      </c>
      <c r="Q3417" t="inlineStr">
        <is>
          <t>InStock</t>
        </is>
      </c>
      <c r="R3417" t="inlineStr">
        <is>
          <t>42.0</t>
        </is>
      </c>
      <c r="S3417" t="inlineStr">
        <is>
          <t>1369288343663</t>
        </is>
      </c>
    </row>
    <row r="3418" ht="75" customHeight="1">
      <c r="A3418" s="2">
        <f>HYPERLINK("https://camerareadycosmetics.com/products/smashbox-photo-finish-foundation-primer-smooth-blur", "https://camerareadycosmetics.com/products/smashbox-photo-finish-foundation-primer-smooth-blur")</f>
        <v/>
      </c>
      <c r="B3418" s="2">
        <f>HYPERLINK("https://camerareadycosmetics.com/products/smashbox-photo-finish-foundation-primer-smooth-blur", "https://camerareadycosmetics.com/products/smashbox-photo-finish-foundation-primer-smooth-blur")</f>
        <v/>
      </c>
      <c r="C3418" t="inlineStr">
        <is>
          <t>Photo Finish Foundation Primer</t>
        </is>
      </c>
      <c r="D3418" t="inlineStr">
        <is>
          <t>Smashbox Photo Finish Foundation Primer, 0.5 Ounce</t>
        </is>
      </c>
      <c r="E3418" s="2">
        <f>HYPERLINK("https://www.amazon.com/Smashbox-Photo-Finish-Foundation-Primer/dp/B00161HES8/ref=sr_1_4?keywords=Photo+Finish+Foundation+Primer&amp;qid=1695565470&amp;sr=8-4", "https://www.amazon.com/Smashbox-Photo-Finish-Foundation-Primer/dp/B00161HES8/ref=sr_1_4?keywords=Photo+Finish+Foundation+Primer&amp;qid=1695565470&amp;sr=8-4")</f>
        <v/>
      </c>
      <c r="F3418" t="inlineStr">
        <is>
          <t>B00161HES8</t>
        </is>
      </c>
      <c r="G3418">
        <f>_xlfn.IMAGE("https://camerareadycosmetics.com/cdn/shop/products/smashbox-photo-finish-smooth-blur-travel-800x800_50x.jpg?v=1614170944")</f>
        <v/>
      </c>
      <c r="H3418">
        <f>_xlfn.IMAGE("https://m.media-amazon.com/images/I/51QWchmbLgL._AC_UL320_.jpg")</f>
        <v/>
      </c>
      <c r="K3418" t="inlineStr">
        <is>
          <t>42.0</t>
        </is>
      </c>
      <c r="L3418" t="n">
        <v>33.94</v>
      </c>
      <c r="M3418" s="1" t="inlineStr">
        <is>
          <t>-19.19%</t>
        </is>
      </c>
      <c r="N3418" t="n">
        <v>4.2</v>
      </c>
      <c r="O3418" t="n">
        <v>20</v>
      </c>
      <c r="Q3418" t="inlineStr">
        <is>
          <t>InStock</t>
        </is>
      </c>
      <c r="R3418" t="inlineStr">
        <is>
          <t>42.0</t>
        </is>
      </c>
      <c r="S3418" t="inlineStr">
        <is>
          <t>1369288343663</t>
        </is>
      </c>
    </row>
    <row r="3419" ht="75" customHeight="1">
      <c r="A3419" s="2">
        <f>HYPERLINK("https://camerareadycosmetics.com/products/smashbox-photo-finish-foundation-primer-smooth-blur", "https://camerareadycosmetics.com/products/smashbox-photo-finish-foundation-primer-smooth-blur")</f>
        <v/>
      </c>
      <c r="B3419" s="2">
        <f>HYPERLINK("https://camerareadycosmetics.com/products/smashbox-photo-finish-foundation-primer-smooth-blur", "https://camerareadycosmetics.com/products/smashbox-photo-finish-foundation-primer-smooth-blur")</f>
        <v/>
      </c>
      <c r="C3419" t="inlineStr">
        <is>
          <t>Photo Finish Foundation Primer</t>
        </is>
      </c>
      <c r="D3419" t="inlineStr">
        <is>
          <t>Smashbox Photo Finish Foundation Primer ~ Mini Travel Size Sample ~ 0.25 fl oz</t>
        </is>
      </c>
      <c r="E3419" s="2">
        <f>HYPERLINK("https://www.amazon.com/Smashbox-Finish-Foundation-Primer-Travel/dp/B003I0PW4I/ref=sr_1_10?keywords=Photo+Finish+Foundation+Primer&amp;qid=1695565470&amp;sr=8-10", "https://www.amazon.com/Smashbox-Finish-Foundation-Primer-Travel/dp/B003I0PW4I/ref=sr_1_10?keywords=Photo+Finish+Foundation+Primer&amp;qid=1695565470&amp;sr=8-10")</f>
        <v/>
      </c>
      <c r="F3419" t="inlineStr">
        <is>
          <t>B003I0PW4I</t>
        </is>
      </c>
      <c r="G3419">
        <f>_xlfn.IMAGE("https://camerareadycosmetics.com/cdn/shop/products/smashbox-photo-finish-smooth-blur-travel-800x800_50x.jpg?v=1614170944")</f>
        <v/>
      </c>
      <c r="H3419">
        <f>_xlfn.IMAGE("https://m.media-amazon.com/images/I/41HyEo0WVUL._AC_UL320_.jpg")</f>
        <v/>
      </c>
      <c r="K3419" t="inlineStr">
        <is>
          <t>42.0</t>
        </is>
      </c>
      <c r="L3419" t="n">
        <v>18.95</v>
      </c>
      <c r="M3419" s="1" t="inlineStr">
        <is>
          <t>-54.88%</t>
        </is>
      </c>
      <c r="N3419" t="n">
        <v>4.2</v>
      </c>
      <c r="O3419" t="n">
        <v>202</v>
      </c>
      <c r="Q3419" t="inlineStr">
        <is>
          <t>InStock</t>
        </is>
      </c>
      <c r="R3419" t="inlineStr">
        <is>
          <t>42.0</t>
        </is>
      </c>
      <c r="S3419" t="inlineStr">
        <is>
          <t>1369288343663</t>
        </is>
      </c>
    </row>
    <row r="3420" ht="75" customHeight="1">
      <c r="A3420" s="2">
        <f>HYPERLINK("https://camerareadycosmetics.com/products/smashbox-photo-finish-foundation-primer-smooth-blur", "https://camerareadycosmetics.com/products/smashbox-photo-finish-foundation-primer-smooth-blur")</f>
        <v/>
      </c>
      <c r="B3420" s="2">
        <f>HYPERLINK("https://camerareadycosmetics.com/products/smashbox-photo-finish-foundation-primer-smooth-blur", "https://camerareadycosmetics.com/products/smashbox-photo-finish-foundation-primer-smooth-blur")</f>
        <v/>
      </c>
      <c r="C3420" t="inlineStr">
        <is>
          <t>Photo Finish Foundation Primer</t>
        </is>
      </c>
      <c r="D3420" t="inlineStr">
        <is>
          <t>Smashbox Photo Finish The Original Smooth &amp; Blur Primer 0.27 oz</t>
        </is>
      </c>
      <c r="E3420" s="2">
        <f>HYPERLINK("https://www.amazon.com/Original-Finish-Smooth-Primer-Travel/dp/B07FM1NN1N/ref=sr_1_6?keywords=Photo+Finish+Foundation+Primer&amp;qid=1695565470&amp;sr=8-6", "https://www.amazon.com/Original-Finish-Smooth-Primer-Travel/dp/B07FM1NN1N/ref=sr_1_6?keywords=Photo+Finish+Foundation+Primer&amp;qid=1695565470&amp;sr=8-6")</f>
        <v/>
      </c>
      <c r="F3420" t="inlineStr">
        <is>
          <t>B07FM1NN1N</t>
        </is>
      </c>
      <c r="G3420">
        <f>_xlfn.IMAGE("https://camerareadycosmetics.com/cdn/shop/products/smashbox-photo-finish-smooth-blur-travel-800x800_50x.jpg?v=1614170944")</f>
        <v/>
      </c>
      <c r="H3420">
        <f>_xlfn.IMAGE("https://m.media-amazon.com/images/I/612QgUshiQL._AC_UL320_.jpg")</f>
        <v/>
      </c>
      <c r="K3420" t="inlineStr">
        <is>
          <t>42.0</t>
        </is>
      </c>
      <c r="L3420" t="n">
        <v>17.89</v>
      </c>
      <c r="M3420" s="1" t="inlineStr">
        <is>
          <t>-57.40%</t>
        </is>
      </c>
      <c r="N3420" t="n">
        <v>4.4</v>
      </c>
      <c r="O3420" t="n">
        <v>442</v>
      </c>
      <c r="Q3420" t="inlineStr">
        <is>
          <t>InStock</t>
        </is>
      </c>
      <c r="R3420" t="inlineStr">
        <is>
          <t>42.0</t>
        </is>
      </c>
      <c r="S3420" t="inlineStr">
        <is>
          <t>1369288343663</t>
        </is>
      </c>
    </row>
    <row r="3421" ht="75" customHeight="1">
      <c r="A3421" s="2">
        <f>HYPERLINK("https://camerareadycosmetics.com/products/smashbox-photo-finish-foundation-primer-smooth-blur", "https://camerareadycosmetics.com/products/smashbox-photo-finish-foundation-primer-smooth-blur")</f>
        <v/>
      </c>
      <c r="B3421" s="2">
        <f>HYPERLINK("https://camerareadycosmetics.com/products/smashbox-photo-finish-foundation-primer-smooth-blur", "https://camerareadycosmetics.com/products/smashbox-photo-finish-foundation-primer-smooth-blur")</f>
        <v/>
      </c>
      <c r="C3421" t="inlineStr">
        <is>
          <t>Photo Finish Foundation Primer</t>
        </is>
      </c>
      <c r="D3421" t="inlineStr">
        <is>
          <t>Smashbox Photo Finish Foundation Primer ~ Mini Travel Size Sample ~ 0.25 fl oz</t>
        </is>
      </c>
      <c r="E3421" s="2">
        <f>HYPERLINK("https://www.amazon.com/Smashbox-Finish-Foundation-Primer-Travel/dp/B003I0PW4I/ref=sr_1_10?keywords=Photo+Finish+Foundation+Primer&amp;qid=1695565470&amp;sr=8-10", "https://www.amazon.com/Smashbox-Finish-Foundation-Primer-Travel/dp/B003I0PW4I/ref=sr_1_10?keywords=Photo+Finish+Foundation+Primer&amp;qid=1695565470&amp;sr=8-10")</f>
        <v/>
      </c>
      <c r="F3421" t="inlineStr">
        <is>
          <t>B003I0PW4I</t>
        </is>
      </c>
      <c r="G3421">
        <f>_xlfn.IMAGE("https://camerareadycosmetics.com/cdn/shop/products/smashbox-photo-finish-smooth-blur-travel-800x800_50x.jpg?v=1614170944")</f>
        <v/>
      </c>
      <c r="H3421">
        <f>_xlfn.IMAGE("https://m.media-amazon.com/images/I/41HyEo0WVUL._AC_UL320_.jpg")</f>
        <v/>
      </c>
      <c r="K3421" t="inlineStr">
        <is>
          <t>42.0</t>
        </is>
      </c>
      <c r="L3421" t="n">
        <v>18.95</v>
      </c>
      <c r="M3421" s="1" t="inlineStr">
        <is>
          <t>-54.88%</t>
        </is>
      </c>
      <c r="N3421" t="n">
        <v>4.2</v>
      </c>
      <c r="O3421" t="n">
        <v>202</v>
      </c>
      <c r="Q3421" t="inlineStr">
        <is>
          <t>InStock</t>
        </is>
      </c>
      <c r="R3421" t="inlineStr">
        <is>
          <t>42.0</t>
        </is>
      </c>
      <c r="S3421" t="inlineStr">
        <is>
          <t>1369288343663</t>
        </is>
      </c>
    </row>
    <row r="3422" ht="75" customHeight="1">
      <c r="A3422" s="2">
        <f>HYPERLINK("https://camerareadycosmetics.com/products/smashbox-photo-finish-foundation-primer-smooth-blur", "https://camerareadycosmetics.com/products/smashbox-photo-finish-foundation-primer-smooth-blur")</f>
        <v/>
      </c>
      <c r="B3422" s="2">
        <f>HYPERLINK("https://camerareadycosmetics.com/products/smashbox-photo-finish-foundation-primer-smooth-blur", "https://camerareadycosmetics.com/products/smashbox-photo-finish-foundation-primer-smooth-blur")</f>
        <v/>
      </c>
      <c r="C3422" t="inlineStr">
        <is>
          <t>Photo Finish Foundation Primer</t>
        </is>
      </c>
      <c r="D3422" t="inlineStr">
        <is>
          <t>Smashbox Photo Finish The Original Smooth &amp; Blur Primer 0.27 oz</t>
        </is>
      </c>
      <c r="E3422" s="2">
        <f>HYPERLINK("https://www.amazon.com/Original-Finish-Smooth-Primer-Travel/dp/B07FM1NN1N/ref=sr_1_6?keywords=Photo+Finish+Foundation+Primer&amp;qid=1695565470&amp;sr=8-6", "https://www.amazon.com/Original-Finish-Smooth-Primer-Travel/dp/B07FM1NN1N/ref=sr_1_6?keywords=Photo+Finish+Foundation+Primer&amp;qid=1695565470&amp;sr=8-6")</f>
        <v/>
      </c>
      <c r="F3422" t="inlineStr">
        <is>
          <t>B07FM1NN1N</t>
        </is>
      </c>
      <c r="G3422">
        <f>_xlfn.IMAGE("https://camerareadycosmetics.com/cdn/shop/products/smashbox-photo-finish-smooth-blur-travel-800x800_50x.jpg?v=1614170944")</f>
        <v/>
      </c>
      <c r="H3422">
        <f>_xlfn.IMAGE("https://m.media-amazon.com/images/I/612QgUshiQL._AC_UL320_.jpg")</f>
        <v/>
      </c>
      <c r="K3422" t="inlineStr">
        <is>
          <t>42.0</t>
        </is>
      </c>
      <c r="L3422" t="n">
        <v>17.89</v>
      </c>
      <c r="M3422" s="1" t="inlineStr">
        <is>
          <t>-57.40%</t>
        </is>
      </c>
      <c r="N3422" t="n">
        <v>4.4</v>
      </c>
      <c r="O3422" t="n">
        <v>442</v>
      </c>
      <c r="Q3422" t="inlineStr">
        <is>
          <t>InStock</t>
        </is>
      </c>
      <c r="R3422" t="inlineStr">
        <is>
          <t>42.0</t>
        </is>
      </c>
      <c r="S3422" t="inlineStr">
        <is>
          <t>1369288343663</t>
        </is>
      </c>
    </row>
    <row r="3423" ht="75" customHeight="1">
      <c r="A3423" s="2">
        <f>HYPERLINK("https://camerareadycosmetics.com/products/smashbox-photo-finish-illuminate-glow-primer", "https://camerareadycosmetics.com/products/smashbox-photo-finish-illuminate-glow-primer")</f>
        <v/>
      </c>
      <c r="B3423" s="2">
        <f>HYPERLINK("https://camerareadycosmetics.com/products/smashbox-photo-finish-illuminate-glow-primer", "https://camerareadycosmetics.com/products/smashbox-photo-finish-illuminate-glow-primer")</f>
        <v/>
      </c>
      <c r="C3423" t="inlineStr">
        <is>
          <t>Photo Finish Illuminate Glow Primer</t>
        </is>
      </c>
      <c r="D3423" t="inlineStr">
        <is>
          <t>Smashbox PHOTO FINISH VITAMIN GLOW PRIMER 1 OZ</t>
        </is>
      </c>
      <c r="E3423" s="2">
        <f>HYPERLINK("https://www.amazon.com/smashbox-PHOTO-FINISH-VITAMIN-PRIMER/dp/B0869P1S4F/ref=sr_1_8?keywords=Photo+Finish+Illuminate+Glow+Primer&amp;qid=1695565783&amp;sr=8-8", "https://www.amazon.com/smashbox-PHOTO-FINISH-VITAMIN-PRIMER/dp/B0869P1S4F/ref=sr_1_8?keywords=Photo+Finish+Illuminate+Glow+Primer&amp;qid=1695565783&amp;sr=8-8")</f>
        <v/>
      </c>
      <c r="F3423" t="inlineStr">
        <is>
          <t>B0869P1S4F</t>
        </is>
      </c>
      <c r="G3423">
        <f>_xlfn.IMAGE("https://camerareadycosmetics.com/cdn/shop/products/SmashboxPhotoFinishIlluminateGlowPrimer-C6PC01_50x.jpg?v=1640111934")</f>
        <v/>
      </c>
      <c r="H3423">
        <f>_xlfn.IMAGE("https://m.media-amazon.com/images/I/516UUo0gU4L._AC_UL320_.jpg")</f>
        <v/>
      </c>
      <c r="K3423" t="inlineStr">
        <is>
          <t>42.0</t>
        </is>
      </c>
      <c r="L3423" t="n">
        <v>34.28</v>
      </c>
      <c r="M3423" s="1" t="inlineStr">
        <is>
          <t>-18.38%</t>
        </is>
      </c>
      <c r="N3423" t="n">
        <v>4.7</v>
      </c>
      <c r="O3423" t="n">
        <v>202</v>
      </c>
      <c r="Q3423" t="inlineStr">
        <is>
          <t>InStock</t>
        </is>
      </c>
      <c r="R3423" t="inlineStr">
        <is>
          <t>42.0</t>
        </is>
      </c>
      <c r="S3423" t="inlineStr">
        <is>
          <t>7133781426361</t>
        </is>
      </c>
    </row>
    <row r="3424" ht="75" customHeight="1">
      <c r="A3424" s="2">
        <f>HYPERLINK("https://camerareadycosmetics.com/products/smashbox-photo-finish-illuminate-glow-primer", "https://camerareadycosmetics.com/products/smashbox-photo-finish-illuminate-glow-primer")</f>
        <v/>
      </c>
      <c r="B3424" s="2">
        <f>HYPERLINK("https://camerareadycosmetics.com/products/smashbox-photo-finish-illuminate-glow-primer", "https://camerareadycosmetics.com/products/smashbox-photo-finish-illuminate-glow-primer")</f>
        <v/>
      </c>
      <c r="C3424" t="inlineStr">
        <is>
          <t>Photo Finish Illuminate Glow Primer</t>
        </is>
      </c>
      <c r="D3424" t="inlineStr">
        <is>
          <t>SmashBox Photo Finish Illuminate Glow Primer Women Primer 1 oz</t>
        </is>
      </c>
      <c r="E3424" s="2">
        <f>HYPERLINK("https://www.amazon.com/SmashBox-Photo-Finish-Illuminate-Primer/dp/B09TQ1QJXP/ref=sr_1_1?keywords=Photo+Finish+Illuminate+Glow+Primer&amp;qid=1695565783&amp;sr=8-1", "https://www.amazon.com/SmashBox-Photo-Finish-Illuminate-Primer/dp/B09TQ1QJXP/ref=sr_1_1?keywords=Photo+Finish+Illuminate+Glow+Primer&amp;qid=1695565783&amp;sr=8-1")</f>
        <v/>
      </c>
      <c r="F3424" t="inlineStr">
        <is>
          <t>B09TQ1QJXP</t>
        </is>
      </c>
      <c r="G3424">
        <f>_xlfn.IMAGE("https://camerareadycosmetics.com/cdn/shop/products/SmashboxPhotoFinishIlluminateGlowPrimer-C6PC01_50x.jpg?v=1640111934")</f>
        <v/>
      </c>
      <c r="H3424">
        <f>_xlfn.IMAGE("https://m.media-amazon.com/images/I/61BTsUoxYAL._AC_UL320_.jpg")</f>
        <v/>
      </c>
      <c r="K3424" t="inlineStr">
        <is>
          <t>42.0</t>
        </is>
      </c>
      <c r="L3424" t="n">
        <v>25.79</v>
      </c>
      <c r="M3424" s="1" t="inlineStr">
        <is>
          <t>-38.60%</t>
        </is>
      </c>
      <c r="N3424" t="n">
        <v>4.5</v>
      </c>
      <c r="O3424" t="n">
        <v>118</v>
      </c>
      <c r="Q3424" t="inlineStr">
        <is>
          <t>InStock</t>
        </is>
      </c>
      <c r="R3424" t="inlineStr">
        <is>
          <t>42.0</t>
        </is>
      </c>
      <c r="S3424" t="inlineStr">
        <is>
          <t>7133781426361</t>
        </is>
      </c>
    </row>
    <row r="3425" ht="75" customHeight="1">
      <c r="A3425" s="2">
        <f>HYPERLINK("https://camerareadycosmetics.com/products/smashbox-photo-finish-illuminate-glow-primer", "https://camerareadycosmetics.com/products/smashbox-photo-finish-illuminate-glow-primer")</f>
        <v/>
      </c>
      <c r="B3425" s="2">
        <f>HYPERLINK("https://camerareadycosmetics.com/products/smashbox-photo-finish-illuminate-glow-primer", "https://camerareadycosmetics.com/products/smashbox-photo-finish-illuminate-glow-primer")</f>
        <v/>
      </c>
      <c r="C3425" t="inlineStr">
        <is>
          <t>Photo Finish Illuminate Glow Primer</t>
        </is>
      </c>
      <c r="D3425" t="inlineStr">
        <is>
          <t>Revlon Face Primer, PhotoReady Rose Glow Face Makeup for All Skin Types, Hydrates, Illuminates &amp; Moisturizes, Infused with Quartz and Hydrating Oil Beads, Rose Quartz, 1 Fl Oz</t>
        </is>
      </c>
      <c r="E3425" s="2">
        <f>HYPERLINK("https://www.amazon.com/PhotoReady-Hydrates-Illuminates-Moisturizes-Hydrating/dp/B07GDS948W/ref=sr_1_4?keywords=Photo+Finish+Illuminate+Glow+Primer&amp;qid=1695565783&amp;sr=8-4", "https://www.amazon.com/PhotoReady-Hydrates-Illuminates-Moisturizes-Hydrating/dp/B07GDS948W/ref=sr_1_4?keywords=Photo+Finish+Illuminate+Glow+Primer&amp;qid=1695565783&amp;sr=8-4")</f>
        <v/>
      </c>
      <c r="F3425" t="inlineStr">
        <is>
          <t>B07GDS948W</t>
        </is>
      </c>
      <c r="G3425">
        <f>_xlfn.IMAGE("https://camerareadycosmetics.com/cdn/shop/products/SmashboxPhotoFinishIlluminateGlowPrimer-C6PC01_50x.jpg?v=1640111934")</f>
        <v/>
      </c>
      <c r="H3425">
        <f>_xlfn.IMAGE("https://m.media-amazon.com/images/I/614ft69DuFL._AC_UL320_.jpg")</f>
        <v/>
      </c>
      <c r="K3425" t="inlineStr">
        <is>
          <t>42.0</t>
        </is>
      </c>
      <c r="L3425" t="n">
        <v>12.41</v>
      </c>
      <c r="M3425" s="1" t="inlineStr">
        <is>
          <t>-70.45%</t>
        </is>
      </c>
      <c r="N3425" t="n">
        <v>3.9</v>
      </c>
      <c r="O3425" t="n">
        <v>3084</v>
      </c>
      <c r="Q3425" t="inlineStr">
        <is>
          <t>InStock</t>
        </is>
      </c>
      <c r="R3425" t="inlineStr">
        <is>
          <t>42.0</t>
        </is>
      </c>
      <c r="S3425" t="inlineStr">
        <is>
          <t>7133781426361</t>
        </is>
      </c>
    </row>
    <row r="3426" ht="75" customHeight="1">
      <c r="A3426" s="2">
        <f>HYPERLINK("https://camerareadycosmetics.com/products/smashbox-photo-finish-illuminate-glow-primer", "https://camerareadycosmetics.com/products/smashbox-photo-finish-illuminate-glow-primer")</f>
        <v/>
      </c>
      <c r="B3426" s="2">
        <f>HYPERLINK("https://camerareadycosmetics.com/products/smashbox-photo-finish-illuminate-glow-primer", "https://camerareadycosmetics.com/products/smashbox-photo-finish-illuminate-glow-primer")</f>
        <v/>
      </c>
      <c r="C3426" t="inlineStr">
        <is>
          <t>Photo Finish Illuminate Glow Primer</t>
        </is>
      </c>
      <c r="D3426" t="inlineStr">
        <is>
          <t>Revlon Face Primer, PhotoReady Face Gloss Rose Glow, Face Makeup for All Skin Types, Hydrates, Illuminates &amp; Moisturizes, Infused with Glycerin &amp; Olive Oil Extract, 80% Water, 1 Fl Oz</t>
        </is>
      </c>
      <c r="E3426" s="2">
        <f>HYPERLINK("https://www.amazon.com/PhotoReady-Hydrates-Illuminates-Moisturizes-Glycerin/dp/B08MRYWTST/ref=sr_1_6?keywords=Photo+Finish+Illuminate+Glow+Primer&amp;qid=1695565783&amp;sr=8-6", "https://www.amazon.com/PhotoReady-Hydrates-Illuminates-Moisturizes-Glycerin/dp/B08MRYWTST/ref=sr_1_6?keywords=Photo+Finish+Illuminate+Glow+Primer&amp;qid=1695565783&amp;sr=8-6")</f>
        <v/>
      </c>
      <c r="F3426" t="inlineStr">
        <is>
          <t>B08MRYWTST</t>
        </is>
      </c>
      <c r="G3426">
        <f>_xlfn.IMAGE("https://camerareadycosmetics.com/cdn/shop/products/SmashboxPhotoFinishIlluminateGlowPrimer-C6PC01_50x.jpg?v=1640111934")</f>
        <v/>
      </c>
      <c r="H3426">
        <f>_xlfn.IMAGE("https://m.media-amazon.com/images/I/71AlP0Pge3L._AC_UL320_.jpg")</f>
        <v/>
      </c>
      <c r="K3426" t="inlineStr">
        <is>
          <t>42.0</t>
        </is>
      </c>
      <c r="L3426" t="n">
        <v>12.28</v>
      </c>
      <c r="M3426" s="1" t="inlineStr">
        <is>
          <t>-70.76%</t>
        </is>
      </c>
      <c r="N3426" t="n">
        <v>4.2</v>
      </c>
      <c r="O3426" t="n">
        <v>875</v>
      </c>
      <c r="Q3426" t="inlineStr">
        <is>
          <t>InStock</t>
        </is>
      </c>
      <c r="R3426" t="inlineStr">
        <is>
          <t>42.0</t>
        </is>
      </c>
      <c r="S3426" t="inlineStr">
        <is>
          <t>7133781426361</t>
        </is>
      </c>
    </row>
    <row r="3427" ht="75" customHeight="1">
      <c r="A3427" s="2">
        <f>HYPERLINK("https://camerareadycosmetics.com/products/smashbox-photo-finish-illuminate-glow-primer", "https://camerareadycosmetics.com/products/smashbox-photo-finish-illuminate-glow-primer")</f>
        <v/>
      </c>
      <c r="B3427" s="2">
        <f>HYPERLINK("https://camerareadycosmetics.com/products/smashbox-photo-finish-illuminate-glow-primer", "https://camerareadycosmetics.com/products/smashbox-photo-finish-illuminate-glow-primer")</f>
        <v/>
      </c>
      <c r="C3427" t="inlineStr">
        <is>
          <t>Photo Finish Illuminate Glow Primer</t>
        </is>
      </c>
      <c r="D3427" t="inlineStr">
        <is>
          <t>Revlon Face Primer, PhotoReady Rose Glow Face Makeup for All Skin Types, Hydrates, Illuminates &amp; Moisturizes, Infused with Quartz and Hydrating Oil Beads, Rose Quartz, 1 Fl Oz</t>
        </is>
      </c>
      <c r="E3427" s="2">
        <f>HYPERLINK("https://www.amazon.com/PhotoReady-Hydrates-Illuminates-Moisturizes-Hydrating/dp/B07GDS948W/ref=sr_1_4?keywords=Photo+Finish+Illuminate+Glow+Primer&amp;qid=1695565783&amp;sr=8-4", "https://www.amazon.com/PhotoReady-Hydrates-Illuminates-Moisturizes-Hydrating/dp/B07GDS948W/ref=sr_1_4?keywords=Photo+Finish+Illuminate+Glow+Primer&amp;qid=1695565783&amp;sr=8-4")</f>
        <v/>
      </c>
      <c r="F3427" t="inlineStr">
        <is>
          <t>B07GDS948W</t>
        </is>
      </c>
      <c r="G3427">
        <f>_xlfn.IMAGE("https://camerareadycosmetics.com/cdn/shop/products/SmashboxPhotoFinishIlluminateGlowPrimer-C6PC01_50x.jpg?v=1640111934")</f>
        <v/>
      </c>
      <c r="H3427">
        <f>_xlfn.IMAGE("https://m.media-amazon.com/images/I/614ft69DuFL._AC_UL320_.jpg")</f>
        <v/>
      </c>
      <c r="K3427" t="inlineStr">
        <is>
          <t>42.0</t>
        </is>
      </c>
      <c r="L3427" t="n">
        <v>12.41</v>
      </c>
      <c r="M3427" s="1" t="inlineStr">
        <is>
          <t>-70.45%</t>
        </is>
      </c>
      <c r="N3427" t="n">
        <v>3.9</v>
      </c>
      <c r="O3427" t="n">
        <v>3084</v>
      </c>
      <c r="Q3427" t="inlineStr">
        <is>
          <t>InStock</t>
        </is>
      </c>
      <c r="R3427" t="inlineStr">
        <is>
          <t>42.0</t>
        </is>
      </c>
      <c r="S3427" t="inlineStr">
        <is>
          <t>7133781426361</t>
        </is>
      </c>
    </row>
    <row r="3428" ht="75" customHeight="1">
      <c r="A3428" s="2">
        <f>HYPERLINK("https://camerareadycosmetics.com/products/smashbox-photo-finish-illuminate-glow-primer", "https://camerareadycosmetics.com/products/smashbox-photo-finish-illuminate-glow-primer")</f>
        <v/>
      </c>
      <c r="B3428" s="2">
        <f>HYPERLINK("https://camerareadycosmetics.com/products/smashbox-photo-finish-illuminate-glow-primer", "https://camerareadycosmetics.com/products/smashbox-photo-finish-illuminate-glow-primer")</f>
        <v/>
      </c>
      <c r="C3428" t="inlineStr">
        <is>
          <t>Photo Finish Illuminate Glow Primer</t>
        </is>
      </c>
      <c r="D3428" t="inlineStr">
        <is>
          <t>Revlon Face Primer, PhotoReady Face Gloss Rose Glow, Face Makeup for All Skin Types, Hydrates, Illuminates &amp; Moisturizes, Infused with Glycerin &amp; Olive Oil Extract, 80% Water, 1 Fl Oz</t>
        </is>
      </c>
      <c r="E3428" s="2">
        <f>HYPERLINK("https://www.amazon.com/PhotoReady-Hydrates-Illuminates-Moisturizes-Glycerin/dp/B08MRYWTST/ref=sr_1_6?keywords=Photo+Finish+Illuminate+Glow+Primer&amp;qid=1695565783&amp;sr=8-6", "https://www.amazon.com/PhotoReady-Hydrates-Illuminates-Moisturizes-Glycerin/dp/B08MRYWTST/ref=sr_1_6?keywords=Photo+Finish+Illuminate+Glow+Primer&amp;qid=1695565783&amp;sr=8-6")</f>
        <v/>
      </c>
      <c r="F3428" t="inlineStr">
        <is>
          <t>B08MRYWTST</t>
        </is>
      </c>
      <c r="G3428">
        <f>_xlfn.IMAGE("https://camerareadycosmetics.com/cdn/shop/products/SmashboxPhotoFinishIlluminateGlowPrimer-C6PC01_50x.jpg?v=1640111934")</f>
        <v/>
      </c>
      <c r="H3428">
        <f>_xlfn.IMAGE("https://m.media-amazon.com/images/I/71AlP0Pge3L._AC_UL320_.jpg")</f>
        <v/>
      </c>
      <c r="K3428" t="inlineStr">
        <is>
          <t>42.0</t>
        </is>
      </c>
      <c r="L3428" t="n">
        <v>12.28</v>
      </c>
      <c r="M3428" s="1" t="inlineStr">
        <is>
          <t>-70.76%</t>
        </is>
      </c>
      <c r="N3428" t="n">
        <v>4.2</v>
      </c>
      <c r="O3428" t="n">
        <v>875</v>
      </c>
      <c r="Q3428" t="inlineStr">
        <is>
          <t>InStock</t>
        </is>
      </c>
      <c r="R3428" t="inlineStr">
        <is>
          <t>42.0</t>
        </is>
      </c>
      <c r="S3428" t="inlineStr">
        <is>
          <t>7133781426361</t>
        </is>
      </c>
    </row>
    <row r="3429" ht="75" customHeight="1">
      <c r="A3429" s="2">
        <f>HYPERLINK("https://camerareadycosmetics.com/products/smashbox-photo-finish-primerizer-hydrating-primer", "https://camerareadycosmetics.com/products/smashbox-photo-finish-primerizer-hydrating-primer")</f>
        <v/>
      </c>
      <c r="B3429" s="2">
        <f>HYPERLINK("https://camerareadycosmetics.com/products/smashbox-photo-finish-primerizer-hydrating-primer", "https://camerareadycosmetics.com/products/smashbox-photo-finish-primerizer-hydrating-primer")</f>
        <v/>
      </c>
      <c r="C3429" t="inlineStr">
        <is>
          <t>Photo Finish Primerizer+ Hydrating Primer</t>
        </is>
      </c>
      <c r="D3429" t="inlineStr">
        <is>
          <t>SmashBox Photo Finish Primerizer plus Hydrating Primer Women Primer 1 oz</t>
        </is>
      </c>
      <c r="E3429" s="2">
        <f>HYPERLINK("https://www.amazon.com/SmashBox-Finish-Primerizer-Hydrating-Primer/dp/B09TQ1VKWR/ref=sr_1_1?keywords=Photo+Finish+Primerizer+Hydrating+Primer&amp;qid=1695565670&amp;sr=8-1", "https://www.amazon.com/SmashBox-Finish-Primerizer-Hydrating-Primer/dp/B09TQ1VKWR/ref=sr_1_1?keywords=Photo+Finish+Primerizer+Hydrating+Primer&amp;qid=1695565670&amp;sr=8-1")</f>
        <v/>
      </c>
      <c r="F3429" t="inlineStr">
        <is>
          <t>B09TQ1VKWR</t>
        </is>
      </c>
      <c r="G3429">
        <f>_xlfn.IMAGE("https://camerareadycosmetics.com/cdn/shop/products/Smashbox-Photo-Finish-Primerizer-Hydrating-Primer-C6P901_01_50x.jpg?v=1688675968")</f>
        <v/>
      </c>
      <c r="H3429">
        <f>_xlfn.IMAGE("https://m.media-amazon.com/images/I/61ZLd1w+elL._AC_UL320_.jpg")</f>
        <v/>
      </c>
      <c r="K3429" t="inlineStr">
        <is>
          <t>42.0</t>
        </is>
      </c>
      <c r="L3429" t="n">
        <v>32.97</v>
      </c>
      <c r="M3429" s="1" t="inlineStr">
        <is>
          <t>-21.50%</t>
        </is>
      </c>
      <c r="N3429" t="n">
        <v>4.5</v>
      </c>
      <c r="O3429" t="n">
        <v>89</v>
      </c>
      <c r="Q3429" t="inlineStr">
        <is>
          <t>InStock</t>
        </is>
      </c>
      <c r="R3429" t="inlineStr">
        <is>
          <t>undefined</t>
        </is>
      </c>
      <c r="S3429" t="inlineStr">
        <is>
          <t>7133882384569</t>
        </is>
      </c>
    </row>
    <row r="3430" ht="75" customHeight="1">
      <c r="A3430" s="2">
        <f>HYPERLINK("https://camerareadycosmetics.com/products/smashbox-photo-finish-primerizer-hydrating-primer", "https://camerareadycosmetics.com/products/smashbox-photo-finish-primerizer-hydrating-primer")</f>
        <v/>
      </c>
      <c r="B3430" s="2">
        <f>HYPERLINK("https://camerareadycosmetics.com/products/smashbox-photo-finish-primerizer-hydrating-primer", "https://camerareadycosmetics.com/products/smashbox-photo-finish-primerizer-hydrating-primer")</f>
        <v/>
      </c>
      <c r="C3430" t="inlineStr">
        <is>
          <t>Photo Finish Primerizer+ Hydrating Primer</t>
        </is>
      </c>
      <c r="D3430" t="inlineStr">
        <is>
          <t>Smashbox Photo Finish Primerizer Travel Size (.5 fl oz/15 ml)</t>
        </is>
      </c>
      <c r="E3430" s="2">
        <f>HYPERLINK("https://www.amazon.com/Smashbox-Photo-Finish-Primerizer-Travel/dp/B07931XVJH/ref=sr_1_2?keywords=Photo+Finish+Primerizer+Hydrating+Primer&amp;qid=1695565670&amp;sr=8-2", "https://www.amazon.com/Smashbox-Photo-Finish-Primerizer-Travel/dp/B07931XVJH/ref=sr_1_2?keywords=Photo+Finish+Primerizer+Hydrating+Primer&amp;qid=1695565670&amp;sr=8-2")</f>
        <v/>
      </c>
      <c r="F3430" t="inlineStr">
        <is>
          <t>B07931XVJH</t>
        </is>
      </c>
      <c r="G3430">
        <f>_xlfn.IMAGE("https://camerareadycosmetics.com/cdn/shop/products/Smashbox-Photo-Finish-Primerizer-Hydrating-Primer-C6P901_01_50x.jpg?v=1688675968")</f>
        <v/>
      </c>
      <c r="H3430">
        <f>_xlfn.IMAGE("https://m.media-amazon.com/images/I/51BNP6IOK9L._AC_UL320_.jpg")</f>
        <v/>
      </c>
      <c r="K3430" t="inlineStr">
        <is>
          <t>42.0</t>
        </is>
      </c>
      <c r="L3430" t="n">
        <v>17.44</v>
      </c>
      <c r="M3430" s="1" t="inlineStr">
        <is>
          <t>-58.48%</t>
        </is>
      </c>
      <c r="N3430" t="n">
        <v>4</v>
      </c>
      <c r="O3430" t="n">
        <v>210</v>
      </c>
      <c r="Q3430" t="inlineStr">
        <is>
          <t>InStock</t>
        </is>
      </c>
      <c r="R3430" t="inlineStr">
        <is>
          <t>undefined</t>
        </is>
      </c>
      <c r="S3430" t="inlineStr">
        <is>
          <t>7133882384569</t>
        </is>
      </c>
    </row>
    <row r="3431" ht="75" customHeight="1">
      <c r="A3431" s="2">
        <f>HYPERLINK("https://camerareadycosmetics.com/products/smashbox-photo-finish-primerizer-hydrating-primer", "https://camerareadycosmetics.com/products/smashbox-photo-finish-primerizer-hydrating-primer")</f>
        <v/>
      </c>
      <c r="B3431" s="2">
        <f>HYPERLINK("https://camerareadycosmetics.com/products/smashbox-photo-finish-primerizer-hydrating-primer", "https://camerareadycosmetics.com/products/smashbox-photo-finish-primerizer-hydrating-primer")</f>
        <v/>
      </c>
      <c r="C3431" t="inlineStr">
        <is>
          <t>Photo Finish Primerizer+ Hydrating Primer</t>
        </is>
      </c>
      <c r="D3431" t="inlineStr">
        <is>
          <t>SMASHBOX Photo Finish Primerizer 0.13oz / 4ml Travel Size Primer + Moisturizer</t>
        </is>
      </c>
      <c r="E3431" s="2">
        <f>HYPERLINK("https://www.amazon.com/SMASHBOX-Finish-Primerizer-0-13oz-Moisturizer/dp/B078JF8FHR/ref=sr_1_4?keywords=Photo+Finish+Primerizer+Hydrating+Primer&amp;qid=1695565670&amp;sr=8-4", "https://www.amazon.com/SMASHBOX-Finish-Primerizer-0-13oz-Moisturizer/dp/B078JF8FHR/ref=sr_1_4?keywords=Photo+Finish+Primerizer+Hydrating+Primer&amp;qid=1695565670&amp;sr=8-4")</f>
        <v/>
      </c>
      <c r="F3431" t="inlineStr">
        <is>
          <t>B078JF8FHR</t>
        </is>
      </c>
      <c r="G3431">
        <f>_xlfn.IMAGE("https://camerareadycosmetics.com/cdn/shop/products/Smashbox-Photo-Finish-Primerizer-Hydrating-Primer-C6P901_01_50x.jpg?v=1688675968")</f>
        <v/>
      </c>
      <c r="H3431">
        <f>_xlfn.IMAGE("https://m.media-amazon.com/images/I/51y-VH1u39L._AC_UL320_.jpg")</f>
        <v/>
      </c>
      <c r="K3431" t="inlineStr">
        <is>
          <t>42.0</t>
        </is>
      </c>
      <c r="L3431" t="n">
        <v>2.99</v>
      </c>
      <c r="M3431" s="1" t="inlineStr">
        <is>
          <t>-92.88%</t>
        </is>
      </c>
      <c r="N3431" t="n">
        <v>4.3</v>
      </c>
      <c r="O3431" t="n">
        <v>7</v>
      </c>
      <c r="Q3431" t="inlineStr">
        <is>
          <t>InStock</t>
        </is>
      </c>
      <c r="R3431" t="inlineStr">
        <is>
          <t>undefined</t>
        </is>
      </c>
      <c r="S3431" t="inlineStr">
        <is>
          <t>7133882384569</t>
        </is>
      </c>
    </row>
    <row r="3432" ht="75" customHeight="1">
      <c r="A3432" s="2">
        <f>HYPERLINK("https://camerareadycosmetics.com/products/smashbox-photo-finish-primerizer-hydrating-primer", "https://camerareadycosmetics.com/products/smashbox-photo-finish-primerizer-hydrating-primer")</f>
        <v/>
      </c>
      <c r="B3432" s="2">
        <f>HYPERLINK("https://camerareadycosmetics.com/products/smashbox-photo-finish-primerizer-hydrating-primer", "https://camerareadycosmetics.com/products/smashbox-photo-finish-primerizer-hydrating-primer")</f>
        <v/>
      </c>
      <c r="C3432" t="inlineStr">
        <is>
          <t>Photo Finish Primerizer+ Hydrating Primer</t>
        </is>
      </c>
      <c r="D3432" t="inlineStr">
        <is>
          <t>Smashbox Photo Finish Primerizer Travel Size (.5 fl oz/15 ml)</t>
        </is>
      </c>
      <c r="E3432" s="2">
        <f>HYPERLINK("https://www.amazon.com/Smashbox-Photo-Finish-Primerizer-Travel/dp/B07931XVJH/ref=sr_1_2?keywords=Photo+Finish+Primerizer+Hydrating+Primer&amp;qid=1695565670&amp;sr=8-2", "https://www.amazon.com/Smashbox-Photo-Finish-Primerizer-Travel/dp/B07931XVJH/ref=sr_1_2?keywords=Photo+Finish+Primerizer+Hydrating+Primer&amp;qid=1695565670&amp;sr=8-2")</f>
        <v/>
      </c>
      <c r="F3432" t="inlineStr">
        <is>
          <t>B07931XVJH</t>
        </is>
      </c>
      <c r="G3432">
        <f>_xlfn.IMAGE("https://camerareadycosmetics.com/cdn/shop/products/Smashbox-Photo-Finish-Primerizer-Hydrating-Primer-C6P901_01_50x.jpg?v=1688675968")</f>
        <v/>
      </c>
      <c r="H3432">
        <f>_xlfn.IMAGE("https://m.media-amazon.com/images/I/51BNP6IOK9L._AC_UL320_.jpg")</f>
        <v/>
      </c>
      <c r="K3432" t="inlineStr">
        <is>
          <t>42.0</t>
        </is>
      </c>
      <c r="L3432" t="n">
        <v>17.44</v>
      </c>
      <c r="M3432" s="1" t="inlineStr">
        <is>
          <t>-58.48%</t>
        </is>
      </c>
      <c r="N3432" t="n">
        <v>4</v>
      </c>
      <c r="O3432" t="n">
        <v>210</v>
      </c>
      <c r="Q3432" t="inlineStr">
        <is>
          <t>InStock</t>
        </is>
      </c>
      <c r="R3432" t="inlineStr">
        <is>
          <t>undefined</t>
        </is>
      </c>
      <c r="S3432" t="inlineStr">
        <is>
          <t>7133882384569</t>
        </is>
      </c>
    </row>
    <row r="3433" ht="75" customHeight="1">
      <c r="A3433" s="2">
        <f>HYPERLINK("https://camerareadycosmetics.com/products/smashbox-photo-finish-primerizer-hydrating-primer", "https://camerareadycosmetics.com/products/smashbox-photo-finish-primerizer-hydrating-primer")</f>
        <v/>
      </c>
      <c r="B3433" s="2">
        <f>HYPERLINK("https://camerareadycosmetics.com/products/smashbox-photo-finish-primerizer-hydrating-primer", "https://camerareadycosmetics.com/products/smashbox-photo-finish-primerizer-hydrating-primer")</f>
        <v/>
      </c>
      <c r="C3433" t="inlineStr">
        <is>
          <t>Photo Finish Primerizer+ Hydrating Primer</t>
        </is>
      </c>
      <c r="D3433" t="inlineStr">
        <is>
          <t>SMASHBOX Photo Finish Primerizer 0.13oz / 4ml Travel Size Primer + Moisturizer</t>
        </is>
      </c>
      <c r="E3433" s="2">
        <f>HYPERLINK("https://www.amazon.com/SMASHBOX-Finish-Primerizer-0-13oz-Moisturizer/dp/B078JF8FHR/ref=sr_1_4?keywords=Photo+Finish+Primerizer+Hydrating+Primer&amp;qid=1695565670&amp;sr=8-4", "https://www.amazon.com/SMASHBOX-Finish-Primerizer-0-13oz-Moisturizer/dp/B078JF8FHR/ref=sr_1_4?keywords=Photo+Finish+Primerizer+Hydrating+Primer&amp;qid=1695565670&amp;sr=8-4")</f>
        <v/>
      </c>
      <c r="F3433" t="inlineStr">
        <is>
          <t>B078JF8FHR</t>
        </is>
      </c>
      <c r="G3433">
        <f>_xlfn.IMAGE("https://camerareadycosmetics.com/cdn/shop/products/Smashbox-Photo-Finish-Primerizer-Hydrating-Primer-C6P901_01_50x.jpg?v=1688675968")</f>
        <v/>
      </c>
      <c r="H3433">
        <f>_xlfn.IMAGE("https://m.media-amazon.com/images/I/51y-VH1u39L._AC_UL320_.jpg")</f>
        <v/>
      </c>
      <c r="K3433" t="inlineStr">
        <is>
          <t>42.0</t>
        </is>
      </c>
      <c r="L3433" t="n">
        <v>2.99</v>
      </c>
      <c r="M3433" s="1" t="inlineStr">
        <is>
          <t>-92.88%</t>
        </is>
      </c>
      <c r="N3433" t="n">
        <v>4.3</v>
      </c>
      <c r="O3433" t="n">
        <v>7</v>
      </c>
      <c r="Q3433" t="inlineStr">
        <is>
          <t>InStock</t>
        </is>
      </c>
      <c r="R3433" t="inlineStr">
        <is>
          <t>undefined</t>
        </is>
      </c>
      <c r="S3433" t="inlineStr">
        <is>
          <t>7133882384569</t>
        </is>
      </c>
    </row>
    <row r="3434" ht="75" customHeight="1">
      <c r="A3434" s="2">
        <f>HYPERLINK("https://camerareadycosmetics.com/products/smashbox-pre-game-primer-partners", "https://camerareadycosmetics.com/products/smashbox-pre-game-primer-partners")</f>
        <v/>
      </c>
      <c r="B3434" s="2">
        <f>HYPERLINK("https://camerareadycosmetics.com/products/smashbox-pre-game-primer-partners", "https://camerareadycosmetics.com/products/smashbox-pre-game-primer-partners")</f>
        <v/>
      </c>
      <c r="C3434" t="inlineStr">
        <is>
          <t>Pre-Game Primer Partners</t>
        </is>
      </c>
      <c r="D3434" t="inlineStr">
        <is>
          <t>Smashbox Limited Edition Pre-Game Primer Partners Mini Set</t>
        </is>
      </c>
      <c r="E3434" s="2">
        <f>HYPERLINK("https://www.amazon.com/Smashbox-Limited-Pre-Game-Primer-Partners/dp/B0BRL7TSDX/ref=sr_1_1?keywords=Pre-Game+Primer+Partners&amp;qid=1695565835&amp;sr=8-1", "https://www.amazon.com/Smashbox-Limited-Pre-Game-Primer-Partners/dp/B0BRL7TSDX/ref=sr_1_1?keywords=Pre-Game+Primer+Partners&amp;qid=1695565835&amp;sr=8-1")</f>
        <v/>
      </c>
      <c r="F3434" t="inlineStr">
        <is>
          <t>B0BRL7TSDX</t>
        </is>
      </c>
      <c r="G3434">
        <f>_xlfn.IMAGE("https://camerareadycosmetics.com/cdn/shop/products/2600661_alt06_50x.jpg?v=1666111251")</f>
        <v/>
      </c>
      <c r="H3434">
        <f>_xlfn.IMAGE("https://m.media-amazon.com/images/I/61z4p0e5-GL._AC_UY218_.jpg")</f>
        <v/>
      </c>
      <c r="K3434" t="inlineStr">
        <is>
          <t>28.0</t>
        </is>
      </c>
      <c r="L3434" t="n">
        <v>13.94</v>
      </c>
      <c r="M3434" s="1" t="inlineStr">
        <is>
          <t>-50.21%</t>
        </is>
      </c>
      <c r="N3434" t="n">
        <v>5</v>
      </c>
      <c r="O3434" t="n">
        <v>1</v>
      </c>
      <c r="Q3434" t="inlineStr">
        <is>
          <t>InStock</t>
        </is>
      </c>
      <c r="R3434" t="inlineStr">
        <is>
          <t>undefined</t>
        </is>
      </c>
      <c r="S3434" t="inlineStr">
        <is>
          <t>7524240064697</t>
        </is>
      </c>
    </row>
    <row r="3435" ht="75" customHeight="1">
      <c r="A3435" s="2">
        <f>HYPERLINK("https://camerareadycosmetics.com/products/smashbox-pre-game-primer-partners", "https://camerareadycosmetics.com/products/smashbox-pre-game-primer-partners")</f>
        <v/>
      </c>
      <c r="B3435" s="2">
        <f>HYPERLINK("https://camerareadycosmetics.com/products/smashbox-pre-game-primer-partners", "https://camerareadycosmetics.com/products/smashbox-pre-game-primer-partners")</f>
        <v/>
      </c>
      <c r="C3435" t="inlineStr">
        <is>
          <t>Pre-Game Primer Partners</t>
        </is>
      </c>
      <c r="D3435" t="inlineStr">
        <is>
          <t>Smashbox Limited Edition Pre-Game Primer Partners Mini Set</t>
        </is>
      </c>
      <c r="E3435" s="2">
        <f>HYPERLINK("https://www.amazon.com/Smashbox-Limited-Pre-Game-Primer-Partners/dp/B0BRL7TSDX/ref=sr_1_1?keywords=Pre-Game+Primer+Partners&amp;qid=1695565835&amp;sr=8-1", "https://www.amazon.com/Smashbox-Limited-Pre-Game-Primer-Partners/dp/B0BRL7TSDX/ref=sr_1_1?keywords=Pre-Game+Primer+Partners&amp;qid=1695565835&amp;sr=8-1")</f>
        <v/>
      </c>
      <c r="F3435" t="inlineStr">
        <is>
          <t>B0BRL7TSDX</t>
        </is>
      </c>
      <c r="G3435">
        <f>_xlfn.IMAGE("https://camerareadycosmetics.com/cdn/shop/products/2600661_alt06_50x.jpg?v=1666111251")</f>
        <v/>
      </c>
      <c r="H3435">
        <f>_xlfn.IMAGE("https://m.media-amazon.com/images/I/61z4p0e5-GL._AC_UY218_.jpg")</f>
        <v/>
      </c>
      <c r="K3435" t="inlineStr">
        <is>
          <t>28.0</t>
        </is>
      </c>
      <c r="L3435" t="n">
        <v>13.94</v>
      </c>
      <c r="M3435" s="1" t="inlineStr">
        <is>
          <t>-50.21%</t>
        </is>
      </c>
      <c r="N3435" t="n">
        <v>5</v>
      </c>
      <c r="O3435" t="n">
        <v>1</v>
      </c>
      <c r="Q3435" t="inlineStr">
        <is>
          <t>InStock</t>
        </is>
      </c>
      <c r="R3435" t="inlineStr">
        <is>
          <t>undefined</t>
        </is>
      </c>
      <c r="S3435" t="inlineStr">
        <is>
          <t>7524240064697</t>
        </is>
      </c>
    </row>
    <row r="3436" ht="75" customHeight="1">
      <c r="A3436" s="2">
        <f>HYPERLINK("https://camerareadycosmetics.com/products/smashbox-step-by-step-contour-kit", "https://camerareadycosmetics.com/products/smashbox-step-by-step-contour-kit")</f>
        <v/>
      </c>
      <c r="B3436" s="2">
        <f>HYPERLINK("https://camerareadycosmetics.com/products/smashbox-step-by-step-contour-kit", "https://camerareadycosmetics.com/products/smashbox-step-by-step-contour-kit")</f>
        <v/>
      </c>
      <c r="C3436" t="inlineStr">
        <is>
          <t>Step-By-Step Contour Kit Light/Medium</t>
        </is>
      </c>
      <c r="D3436" t="inlineStr">
        <is>
          <t>SmashBox Step By Step Contour Kit With Light Medium Brush, Brown, 4 Ounce</t>
        </is>
      </c>
      <c r="E3436" s="2">
        <f>HYPERLINK("https://www.amazon.com/Smashbox-Contour-Light-Medium-Brush/dp/B0045J2GKY/ref=sr_1_1?keywords=Step-By-Step+Contour+Kit+Light%2FMedium&amp;qid=1695565645&amp;sr=8-1", "https://www.amazon.com/Smashbox-Contour-Light-Medium-Brush/dp/B0045J2GKY/ref=sr_1_1?keywords=Step-By-Step+Contour+Kit+Light%2FMedium&amp;qid=1695565645&amp;sr=8-1")</f>
        <v/>
      </c>
      <c r="F3436" t="inlineStr">
        <is>
          <t>B0045J2GKY</t>
        </is>
      </c>
      <c r="G3436">
        <f>_xlfn.IMAGE("https://camerareadycosmetics.com/cdn/shop/products/medium-dark-step-by-step-contour-kit_50x.jpg?v=1534446832")</f>
        <v/>
      </c>
      <c r="H3436">
        <f>_xlfn.IMAGE("https://m.media-amazon.com/images/I/71iWvbe3TAL._AC_UL320_.jpg")</f>
        <v/>
      </c>
      <c r="K3436" t="inlineStr">
        <is>
          <t>40.0</t>
        </is>
      </c>
      <c r="L3436" t="n">
        <v>33.59</v>
      </c>
      <c r="M3436" s="1" t="inlineStr">
        <is>
          <t>-16.02%</t>
        </is>
      </c>
      <c r="N3436" t="n">
        <v>4.6</v>
      </c>
      <c r="O3436" t="n">
        <v>1019</v>
      </c>
      <c r="Q3436" t="inlineStr">
        <is>
          <t>OutOfStock</t>
        </is>
      </c>
      <c r="R3436" t="inlineStr">
        <is>
          <t>undefined</t>
        </is>
      </c>
      <c r="S3436" t="inlineStr">
        <is>
          <t>1390112211055</t>
        </is>
      </c>
    </row>
    <row r="3437" ht="75" customHeight="1">
      <c r="A3437" s="2">
        <f>HYPERLINK("https://camerareadycosmetics.com/products/smashbox-step-by-step-contour-kit", "https://camerareadycosmetics.com/products/smashbox-step-by-step-contour-kit")</f>
        <v/>
      </c>
      <c r="B3437" s="2">
        <f>HYPERLINK("https://camerareadycosmetics.com/products/smashbox-step-by-step-contour-kit", "https://camerareadycosmetics.com/products/smashbox-step-by-step-contour-kit")</f>
        <v/>
      </c>
      <c r="C3437" t="inlineStr">
        <is>
          <t>Step-By-Step Contour Kit Light/Medium</t>
        </is>
      </c>
      <c r="D3437" t="inlineStr">
        <is>
          <t>SmashBox Step by Step Contour Kit - Medium-Dark Women Foundation 0.4 oz</t>
        </is>
      </c>
      <c r="E3437" s="2">
        <f>HYPERLINK("https://www.amazon.com/Smashbox-Step-Step-Contour-Medium/dp/B011VLEQVK/ref=sr_1_5?keywords=Step-By-Step+Contour+Kit+Light%2FMedium&amp;qid=1695565645&amp;sr=8-5", "https://www.amazon.com/Smashbox-Step-Step-Contour-Medium/dp/B011VLEQVK/ref=sr_1_5?keywords=Step-By-Step+Contour+Kit+Light%2FMedium&amp;qid=1695565645&amp;sr=8-5")</f>
        <v/>
      </c>
      <c r="F3437" t="inlineStr">
        <is>
          <t>B011VLEQVK</t>
        </is>
      </c>
      <c r="G3437">
        <f>_xlfn.IMAGE("https://camerareadycosmetics.com/cdn/shop/products/medium-dark-step-by-step-contour-kit_50x.jpg?v=1534446832")</f>
        <v/>
      </c>
      <c r="H3437">
        <f>_xlfn.IMAGE("https://m.media-amazon.com/images/I/718FLU8C8TL._AC_UL320_.jpg")</f>
        <v/>
      </c>
      <c r="K3437" t="inlineStr">
        <is>
          <t>40.0</t>
        </is>
      </c>
      <c r="L3437" t="n">
        <v>32.99</v>
      </c>
      <c r="M3437" s="1" t="inlineStr">
        <is>
          <t>-17.52%</t>
        </is>
      </c>
      <c r="N3437" t="n">
        <v>4.3</v>
      </c>
      <c r="O3437" t="n">
        <v>62</v>
      </c>
      <c r="Q3437" t="inlineStr">
        <is>
          <t>OutOfStock</t>
        </is>
      </c>
      <c r="R3437" t="inlineStr">
        <is>
          <t>undefined</t>
        </is>
      </c>
      <c r="S3437" t="inlineStr">
        <is>
          <t>1390112211055</t>
        </is>
      </c>
    </row>
    <row r="3438" ht="75" customHeight="1">
      <c r="A3438" s="2">
        <f>HYPERLINK("https://camerareadycosmetics.com/products/smashbox-step-by-step-contour-kit", "https://camerareadycosmetics.com/products/smashbox-step-by-step-contour-kit")</f>
        <v/>
      </c>
      <c r="B3438" s="2">
        <f>HYPERLINK("https://camerareadycosmetics.com/products/smashbox-step-by-step-contour-kit", "https://camerareadycosmetics.com/products/smashbox-step-by-step-contour-kit")</f>
        <v/>
      </c>
      <c r="C3438" t="inlineStr">
        <is>
          <t>Step-By-Step Contour Kit Light/Medium</t>
        </is>
      </c>
      <c r="D3438" t="inlineStr">
        <is>
          <t>Aesthetica Cosmetics Contour and Highlighting Powder Foundation Palette/Contouring Makeup Kit; Easy-to-Follow, Step-by-Step Instructions Included</t>
        </is>
      </c>
      <c r="E3438" s="2">
        <f>HYPERLINK("https://www.amazon.com/Aesthetica-Cosmetics-Contour-Kit-Highlighter/dp/B00L4FNIA4/ref=sr_1_3?keywords=Step-By-Step+Contour+Kit+Light%2FMedium&amp;qid=1695565645&amp;sr=8-3", "https://www.amazon.com/Aesthetica-Cosmetics-Contour-Kit-Highlighter/dp/B00L4FNIA4/ref=sr_1_3?keywords=Step-By-Step+Contour+Kit+Light%2FMedium&amp;qid=1695565645&amp;sr=8-3")</f>
        <v/>
      </c>
      <c r="F3438" t="inlineStr">
        <is>
          <t>B00L4FNIA4</t>
        </is>
      </c>
      <c r="G3438">
        <f>_xlfn.IMAGE("https://camerareadycosmetics.com/cdn/shop/products/medium-dark-step-by-step-contour-kit_50x.jpg?v=1534446832")</f>
        <v/>
      </c>
      <c r="H3438">
        <f>_xlfn.IMAGE("https://m.media-amazon.com/images/I/61i79tfdXaL._AC_UL320_.jpg")</f>
        <v/>
      </c>
      <c r="K3438" t="inlineStr">
        <is>
          <t>40.0</t>
        </is>
      </c>
      <c r="L3438" t="n">
        <v>24.99</v>
      </c>
      <c r="M3438" s="1" t="inlineStr">
        <is>
          <t>-37.53%</t>
        </is>
      </c>
      <c r="N3438" t="n">
        <v>4.2</v>
      </c>
      <c r="O3438" t="n">
        <v>3431</v>
      </c>
      <c r="Q3438" t="inlineStr">
        <is>
          <t>OutOfStock</t>
        </is>
      </c>
      <c r="R3438" t="inlineStr">
        <is>
          <t>undefined</t>
        </is>
      </c>
      <c r="S3438" t="inlineStr">
        <is>
          <t>1390112211055</t>
        </is>
      </c>
    </row>
    <row r="3439" ht="75" customHeight="1">
      <c r="A3439" s="2">
        <f>HYPERLINK("https://camerareadycosmetics.com/products/smashbox-step-by-step-contour-kit", "https://camerareadycosmetics.com/products/smashbox-step-by-step-contour-kit")</f>
        <v/>
      </c>
      <c r="B3439" s="2">
        <f>HYPERLINK("https://camerareadycosmetics.com/products/smashbox-step-by-step-contour-kit", "https://camerareadycosmetics.com/products/smashbox-step-by-step-contour-kit")</f>
        <v/>
      </c>
      <c r="C3439" t="inlineStr">
        <is>
          <t>Step-By-Step Contour Kit Light/Medium</t>
        </is>
      </c>
      <c r="D3439" t="inlineStr">
        <is>
          <t>W7 Lift &amp; Sculpt Cream Contour Kit - Concealing, Highlighting &amp; Contouring Makeup Palette - Step-by-Step Instructions Included</t>
        </is>
      </c>
      <c r="E3439" s="2">
        <f>HYPERLINK("https://www.amazon.com/W7-Sculpt-Cream-Contour-Step/dp/B074G44PVR/ref=sr_1_6?keywords=Step-By-Step+Contour+Kit+Light%2FMedium&amp;qid=1695565645&amp;sr=8-6", "https://www.amazon.com/W7-Sculpt-Cream-Contour-Step/dp/B074G44PVR/ref=sr_1_6?keywords=Step-By-Step+Contour+Kit+Light%2FMedium&amp;qid=1695565645&amp;sr=8-6")</f>
        <v/>
      </c>
      <c r="F3439" t="inlineStr">
        <is>
          <t>B074G44PVR</t>
        </is>
      </c>
      <c r="G3439">
        <f>_xlfn.IMAGE("https://camerareadycosmetics.com/cdn/shop/products/medium-dark-step-by-step-contour-kit_50x.jpg?v=1534446832")</f>
        <v/>
      </c>
      <c r="H3439">
        <f>_xlfn.IMAGE("https://m.media-amazon.com/images/I/71A15XgwKEL._AC_UL320_.jpg")</f>
        <v/>
      </c>
      <c r="K3439" t="inlineStr">
        <is>
          <t>40.0</t>
        </is>
      </c>
      <c r="L3439" t="n">
        <v>6.95</v>
      </c>
      <c r="M3439" s="1" t="inlineStr">
        <is>
          <t>-82.62%</t>
        </is>
      </c>
      <c r="N3439" t="n">
        <v>4.1</v>
      </c>
      <c r="O3439" t="n">
        <v>4488</v>
      </c>
      <c r="Q3439" t="inlineStr">
        <is>
          <t>OutOfStock</t>
        </is>
      </c>
      <c r="R3439" t="inlineStr">
        <is>
          <t>undefined</t>
        </is>
      </c>
      <c r="S3439" t="inlineStr">
        <is>
          <t>1390112211055</t>
        </is>
      </c>
    </row>
    <row r="3440" ht="75" customHeight="1">
      <c r="A3440" s="2">
        <f>HYPERLINK("https://camerareadycosmetics.com/products/smashbox-step-by-step-contour-kit", "https://camerareadycosmetics.com/products/smashbox-step-by-step-contour-kit")</f>
        <v/>
      </c>
      <c r="B3440" s="2">
        <f>HYPERLINK("https://camerareadycosmetics.com/products/smashbox-step-by-step-contour-kit", "https://camerareadycosmetics.com/products/smashbox-step-by-step-contour-kit")</f>
        <v/>
      </c>
      <c r="C3440" t="inlineStr">
        <is>
          <t>Step-By-Step Contour Kit Light/Medium</t>
        </is>
      </c>
      <c r="D3440" t="inlineStr">
        <is>
          <t>Cameo Cosmetics 6 Shades Contour Kit, Medium Colors, Sleek Makeup Palette for Highlighting and Contouring, Step By Step Instructions Included</t>
        </is>
      </c>
      <c r="E3440" s="2">
        <f>HYPERLINK("https://www.amazon.com/Cameo-Cosmetics-Highlighting-Contouring-Instructions/dp/B01MQQO3XT/ref=sr_1_4?keywords=Step-By-Step+Contour+Kit+Light%2FMedium&amp;qid=1695565645&amp;sr=8-4", "https://www.amazon.com/Cameo-Cosmetics-Highlighting-Contouring-Instructions/dp/B01MQQO3XT/ref=sr_1_4?keywords=Step-By-Step+Contour+Kit+Light%2FMedium&amp;qid=1695565645&amp;sr=8-4")</f>
        <v/>
      </c>
      <c r="F3440" t="inlineStr">
        <is>
          <t>B01MQQO3XT</t>
        </is>
      </c>
      <c r="G3440">
        <f>_xlfn.IMAGE("https://camerareadycosmetics.com/cdn/shop/products/medium-dark-step-by-step-contour-kit_50x.jpg?v=1534446832")</f>
        <v/>
      </c>
      <c r="H3440">
        <f>_xlfn.IMAGE("https://m.media-amazon.com/images/I/713C25eAkRL._AC_UL320_.jpg")</f>
        <v/>
      </c>
      <c r="K3440" t="inlineStr">
        <is>
          <t>40.0</t>
        </is>
      </c>
      <c r="L3440" t="n">
        <v>6</v>
      </c>
      <c r="M3440" s="1" t="inlineStr">
        <is>
          <t>-85.00%</t>
        </is>
      </c>
      <c r="N3440" t="n">
        <v>4.9</v>
      </c>
      <c r="O3440" t="n">
        <v>6</v>
      </c>
      <c r="Q3440" t="inlineStr">
        <is>
          <t>OutOfStock</t>
        </is>
      </c>
      <c r="R3440" t="inlineStr">
        <is>
          <t>undefined</t>
        </is>
      </c>
      <c r="S3440" t="inlineStr">
        <is>
          <t>1390112211055</t>
        </is>
      </c>
    </row>
    <row r="3441" ht="75" customHeight="1">
      <c r="A3441" s="2">
        <f>HYPERLINK("https://camerareadycosmetics.com/products/smashbox-step-by-step-contour-kit", "https://camerareadycosmetics.com/products/smashbox-step-by-step-contour-kit")</f>
        <v/>
      </c>
      <c r="B3441" s="2">
        <f>HYPERLINK("https://camerareadycosmetics.com/products/smashbox-step-by-step-contour-kit", "https://camerareadycosmetics.com/products/smashbox-step-by-step-contour-kit")</f>
        <v/>
      </c>
      <c r="C3441" t="inlineStr">
        <is>
          <t>Step-By-Step Contour Kit Light/Medium</t>
        </is>
      </c>
      <c r="D3441" t="inlineStr">
        <is>
          <t>W7 Lift &amp; Sculpt Cream Contour Kit - Concealing, Highlighting &amp; Contouring Makeup Palette - Step-by-Step Instructions Included</t>
        </is>
      </c>
      <c r="E3441" s="2">
        <f>HYPERLINK("https://www.amazon.com/W7-Sculpt-Cream-Contour-Step/dp/B074G44PVR/ref=sr_1_6?keywords=Step-By-Step+Contour+Kit+Light%2FMedium&amp;qid=1695565645&amp;sr=8-6", "https://www.amazon.com/W7-Sculpt-Cream-Contour-Step/dp/B074G44PVR/ref=sr_1_6?keywords=Step-By-Step+Contour+Kit+Light%2FMedium&amp;qid=1695565645&amp;sr=8-6")</f>
        <v/>
      </c>
      <c r="F3441" t="inlineStr">
        <is>
          <t>B074G44PVR</t>
        </is>
      </c>
      <c r="G3441">
        <f>_xlfn.IMAGE("https://camerareadycosmetics.com/cdn/shop/products/medium-dark-step-by-step-contour-kit_50x.jpg?v=1534446832")</f>
        <v/>
      </c>
      <c r="H3441">
        <f>_xlfn.IMAGE("https://m.media-amazon.com/images/I/71A15XgwKEL._AC_UL320_.jpg")</f>
        <v/>
      </c>
      <c r="K3441" t="inlineStr">
        <is>
          <t>40.0</t>
        </is>
      </c>
      <c r="L3441" t="n">
        <v>6.95</v>
      </c>
      <c r="M3441" s="1" t="inlineStr">
        <is>
          <t>-82.62%</t>
        </is>
      </c>
      <c r="N3441" t="n">
        <v>4.1</v>
      </c>
      <c r="O3441" t="n">
        <v>4488</v>
      </c>
      <c r="Q3441" t="inlineStr">
        <is>
          <t>OutOfStock</t>
        </is>
      </c>
      <c r="R3441" t="inlineStr">
        <is>
          <t>undefined</t>
        </is>
      </c>
      <c r="S3441" t="inlineStr">
        <is>
          <t>1390112211055</t>
        </is>
      </c>
    </row>
    <row r="3442" ht="75" customHeight="1">
      <c r="A3442" s="2">
        <f>HYPERLINK("https://camerareadycosmetics.com/products/smashbox-step-by-step-contour-kit", "https://camerareadycosmetics.com/products/smashbox-step-by-step-contour-kit")</f>
        <v/>
      </c>
      <c r="B3442" s="2">
        <f>HYPERLINK("https://camerareadycosmetics.com/products/smashbox-step-by-step-contour-kit", "https://camerareadycosmetics.com/products/smashbox-step-by-step-contour-kit")</f>
        <v/>
      </c>
      <c r="C3442" t="inlineStr">
        <is>
          <t>Step-By-Step Contour Kit Light/Medium</t>
        </is>
      </c>
      <c r="D3442" t="inlineStr">
        <is>
          <t>Cameo Cosmetics 6 Shades Contour Kit, Medium Colors, Sleek Makeup Palette for Highlighting and Contouring, Step By Step Instructions Included</t>
        </is>
      </c>
      <c r="E3442" s="2">
        <f>HYPERLINK("https://www.amazon.com/Cameo-Cosmetics-Highlighting-Contouring-Instructions/dp/B01MQQO3XT/ref=sr_1_4?keywords=Step-By-Step+Contour+Kit+Light%2FMedium&amp;qid=1695565645&amp;sr=8-4", "https://www.amazon.com/Cameo-Cosmetics-Highlighting-Contouring-Instructions/dp/B01MQQO3XT/ref=sr_1_4?keywords=Step-By-Step+Contour+Kit+Light%2FMedium&amp;qid=1695565645&amp;sr=8-4")</f>
        <v/>
      </c>
      <c r="F3442" t="inlineStr">
        <is>
          <t>B01MQQO3XT</t>
        </is>
      </c>
      <c r="G3442">
        <f>_xlfn.IMAGE("https://camerareadycosmetics.com/cdn/shop/products/medium-dark-step-by-step-contour-kit_50x.jpg?v=1534446832")</f>
        <v/>
      </c>
      <c r="H3442">
        <f>_xlfn.IMAGE("https://m.media-amazon.com/images/I/713C25eAkRL._AC_UL320_.jpg")</f>
        <v/>
      </c>
      <c r="K3442" t="inlineStr">
        <is>
          <t>40.0</t>
        </is>
      </c>
      <c r="L3442" t="n">
        <v>6</v>
      </c>
      <c r="M3442" s="1" t="inlineStr">
        <is>
          <t>-85.00%</t>
        </is>
      </c>
      <c r="N3442" t="n">
        <v>4.9</v>
      </c>
      <c r="O3442" t="n">
        <v>6</v>
      </c>
      <c r="Q3442" t="inlineStr">
        <is>
          <t>OutOfStock</t>
        </is>
      </c>
      <c r="R3442" t="inlineStr">
        <is>
          <t>undefined</t>
        </is>
      </c>
      <c r="S3442" t="inlineStr">
        <is>
          <t>1390112211055</t>
        </is>
      </c>
    </row>
    <row r="3443" ht="75" customHeight="1">
      <c r="A3443" s="2">
        <f>HYPERLINK("https://camerareadycosmetics.com/products/smashbox-studio-skin-24-hour-wear-hydrating-foundation", "https://camerareadycosmetics.com/products/smashbox-studio-skin-24-hour-wear-hydrating-foundation")</f>
        <v/>
      </c>
      <c r="B3443" s="2">
        <f>HYPERLINK("https://camerareadycosmetics.com/products/smashbox-studio-skin-24-hour-wear-hydrating-foundation", "https://camerareadycosmetics.com/products/smashbox-studio-skin-24-hour-wear-hydrating-foundation")</f>
        <v/>
      </c>
      <c r="C3443" t="inlineStr">
        <is>
          <t>Studio Skin 24 Hour Wear Hydrating Foundation</t>
        </is>
      </c>
      <c r="D3443" t="inlineStr">
        <is>
          <t>Smashbox Studio Skin 24 Hour Wear Hydrating Foundation - 2.18 Light-M Women Foundation 1 oz</t>
        </is>
      </c>
      <c r="E3443" s="2">
        <f>HYPERLINK("https://www.amazon.com/Smashbox-Hydrating-Foundation-Light-Medium-undertone/dp/B07FLDXZHY/ref=sr_1_2?keywords=Studio+Skin+24+Hour+Wear+Hydrating+Foundation&amp;qid=1695565513&amp;sr=8-2", "https://www.amazon.com/Smashbox-Hydrating-Foundation-Light-Medium-undertone/dp/B07FLDXZHY/ref=sr_1_2?keywords=Studio+Skin+24+Hour+Wear+Hydrating+Foundation&amp;qid=1695565513&amp;sr=8-2")</f>
        <v/>
      </c>
      <c r="F3443" t="inlineStr">
        <is>
          <t>B07FLDXZHY</t>
        </is>
      </c>
      <c r="G3443">
        <f>_xlfn.IMAGE("https://camerareadycosmetics.com/cdn/shop/products/2-4-Smashbox-Studio-Skin-24-Hour-Wear-Hydrating-Foundation_50x.jpg?v=1624120631")</f>
        <v/>
      </c>
      <c r="H3443">
        <f>_xlfn.IMAGE("https://m.media-amazon.com/images/I/81DhWoAcygL._AC_UL320_.jpg")</f>
        <v/>
      </c>
      <c r="K3443" t="inlineStr">
        <is>
          <t>30.0</t>
        </is>
      </c>
      <c r="L3443" t="n">
        <v>29.88</v>
      </c>
      <c r="M3443" s="1" t="inlineStr">
        <is>
          <t>-0.40%</t>
        </is>
      </c>
      <c r="N3443" t="n">
        <v>4.6</v>
      </c>
      <c r="O3443" t="n">
        <v>609</v>
      </c>
      <c r="Q3443" t="inlineStr">
        <is>
          <t>InStock</t>
        </is>
      </c>
      <c r="R3443" t="inlineStr">
        <is>
          <t>43.0</t>
        </is>
      </c>
      <c r="S3443" t="inlineStr">
        <is>
          <t>1373657137263</t>
        </is>
      </c>
    </row>
    <row r="3444" ht="75" customHeight="1">
      <c r="A3444" s="2">
        <f>HYPERLINK("https://camerareadycosmetics.com/products/smashbox-studio-skin-24-hour-wear-hydrating-foundation", "https://camerareadycosmetics.com/products/smashbox-studio-skin-24-hour-wear-hydrating-foundation")</f>
        <v/>
      </c>
      <c r="B3444" s="2">
        <f>HYPERLINK("https://camerareadycosmetics.com/products/smashbox-studio-skin-24-hour-wear-hydrating-foundation", "https://camerareadycosmetics.com/products/smashbox-studio-skin-24-hour-wear-hydrating-foundation")</f>
        <v/>
      </c>
      <c r="C3444" t="inlineStr">
        <is>
          <t>Studio Skin 24 Hour Wear Hydrating Foundation</t>
        </is>
      </c>
      <c r="D3444" t="inlineStr">
        <is>
          <t>Smashbox Studio Skin 24 Hour Wear Hydrating Foundation - 3 Medium Wit Foundation Women 1 oz</t>
        </is>
      </c>
      <c r="E3444" s="2">
        <f>HYPERLINK("https://www.amazon.com/Smashbox-Studio-Hydrating-Foundation-Fluid/dp/B01IDVF322/ref=sr_1_6?keywords=Studio+Skin+24+Hour+Wear+Hydrating+Foundation&amp;qid=1695565513&amp;sr=8-6", "https://www.amazon.com/Smashbox-Studio-Hydrating-Foundation-Fluid/dp/B01IDVF322/ref=sr_1_6?keywords=Studio+Skin+24+Hour+Wear+Hydrating+Foundation&amp;qid=1695565513&amp;sr=8-6")</f>
        <v/>
      </c>
      <c r="F3444" t="inlineStr">
        <is>
          <t>B01IDVF322</t>
        </is>
      </c>
      <c r="G3444">
        <f>_xlfn.IMAGE("https://camerareadycosmetics.com/cdn/shop/products/2-4-Smashbox-Studio-Skin-24-Hour-Wear-Hydrating-Foundation_50x.jpg?v=1624120631")</f>
        <v/>
      </c>
      <c r="H3444">
        <f>_xlfn.IMAGE("https://m.media-amazon.com/images/I/71dXczNt8oL._AC_UL320_.jpg")</f>
        <v/>
      </c>
      <c r="K3444" t="inlineStr">
        <is>
          <t>30.0</t>
        </is>
      </c>
      <c r="L3444" t="n">
        <v>25</v>
      </c>
      <c r="M3444" s="1" t="inlineStr">
        <is>
          <t>-16.67%</t>
        </is>
      </c>
      <c r="N3444" t="n">
        <v>4</v>
      </c>
      <c r="O3444" t="n">
        <v>45</v>
      </c>
      <c r="Q3444" t="inlineStr">
        <is>
          <t>InStock</t>
        </is>
      </c>
      <c r="R3444" t="inlineStr">
        <is>
          <t>43.0</t>
        </is>
      </c>
      <c r="S3444" t="inlineStr">
        <is>
          <t>1373657137263</t>
        </is>
      </c>
    </row>
    <row r="3445" ht="75" customHeight="1">
      <c r="A3445" s="2">
        <f>HYPERLINK("https://camerareadycosmetics.com/products/smashbox-studio-skin-24-hour-wear-hydrating-foundation", "https://camerareadycosmetics.com/products/smashbox-studio-skin-24-hour-wear-hydrating-foundation")</f>
        <v/>
      </c>
      <c r="B3445" s="2">
        <f>HYPERLINK("https://camerareadycosmetics.com/products/smashbox-studio-skin-24-hour-wear-hydrating-foundation", "https://camerareadycosmetics.com/products/smashbox-studio-skin-24-hour-wear-hydrating-foundation")</f>
        <v/>
      </c>
      <c r="C3445" t="inlineStr">
        <is>
          <t>Studio Skin 24 Hour Wear Hydrating Foundation</t>
        </is>
      </c>
      <c r="D3445" t="inlineStr">
        <is>
          <t>Smashbox Studio Skin 24 Hour Wear Hydrating Foundation - 3.15 Medium Foundation Women 1 oz</t>
        </is>
      </c>
      <c r="E3445" s="2">
        <f>HYPERLINK("https://www.amazon.com/Smashbox-Studio-Hydrating-Foundation-Fluid/dp/B01IDVBAB0/ref=sr_1_7?keywords=Studio+Skin+24+Hour+Wear+Hydrating+Foundation&amp;qid=1695565513&amp;sr=8-7", "https://www.amazon.com/Smashbox-Studio-Hydrating-Foundation-Fluid/dp/B01IDVBAB0/ref=sr_1_7?keywords=Studio+Skin+24+Hour+Wear+Hydrating+Foundation&amp;qid=1695565513&amp;sr=8-7")</f>
        <v/>
      </c>
      <c r="F3445" t="inlineStr">
        <is>
          <t>B01IDVBAB0</t>
        </is>
      </c>
      <c r="G3445">
        <f>_xlfn.IMAGE("https://camerareadycosmetics.com/cdn/shop/products/2-4-Smashbox-Studio-Skin-24-Hour-Wear-Hydrating-Foundation_50x.jpg?v=1624120631")</f>
        <v/>
      </c>
      <c r="H3445">
        <f>_xlfn.IMAGE("https://m.media-amazon.com/images/I/71INw3cQMLL._AC_UL320_.jpg")</f>
        <v/>
      </c>
      <c r="K3445" t="inlineStr">
        <is>
          <t>30.0</t>
        </is>
      </c>
      <c r="L3445" t="n">
        <v>23.75</v>
      </c>
      <c r="M3445" s="1" t="inlineStr">
        <is>
          <t>-20.83%</t>
        </is>
      </c>
      <c r="N3445" t="n">
        <v>4.3</v>
      </c>
      <c r="O3445" t="n">
        <v>43</v>
      </c>
      <c r="Q3445" t="inlineStr">
        <is>
          <t>InStock</t>
        </is>
      </c>
      <c r="R3445" t="inlineStr">
        <is>
          <t>43.0</t>
        </is>
      </c>
      <c r="S3445" t="inlineStr">
        <is>
          <t>1373657137263</t>
        </is>
      </c>
    </row>
    <row r="3446" ht="75" customHeight="1">
      <c r="A3446" s="2">
        <f>HYPERLINK("https://camerareadycosmetics.com/products/smashbox-studio-skin-24-hour-wear-hydrating-foundation", "https://camerareadycosmetics.com/products/smashbox-studio-skin-24-hour-wear-hydrating-foundation")</f>
        <v/>
      </c>
      <c r="B3446" s="2">
        <f>HYPERLINK("https://camerareadycosmetics.com/products/smashbox-studio-skin-24-hour-wear-hydrating-foundation", "https://camerareadycosmetics.com/products/smashbox-studio-skin-24-hour-wear-hydrating-foundation")</f>
        <v/>
      </c>
      <c r="C3446" t="inlineStr">
        <is>
          <t>Studio Skin 24 Hour Wear Hydrating Foundation</t>
        </is>
      </c>
      <c r="D3446" t="inlineStr">
        <is>
          <t>Smashbox Studio Skin 24 Hour Wear Hydrating Foundation - 2.1 Light Wi Women Foundation 1 Fl Oz (Pack of 1)</t>
        </is>
      </c>
      <c r="E3446" s="2">
        <f>HYPERLINK("https://www.amazon.com/Smashbox-Studio-Hydrating-Foundation-Fluid/dp/B007SZ0BJU/ref=sr_1_3?keywords=Studio+Skin+24+Hour+Wear+Hydrating+Foundation&amp;qid=1695565513&amp;sr=8-3", "https://www.amazon.com/Smashbox-Studio-Hydrating-Foundation-Fluid/dp/B007SZ0BJU/ref=sr_1_3?keywords=Studio+Skin+24+Hour+Wear+Hydrating+Foundation&amp;qid=1695565513&amp;sr=8-3")</f>
        <v/>
      </c>
      <c r="F3446" t="inlineStr">
        <is>
          <t>B007SZ0BJU</t>
        </is>
      </c>
      <c r="G3446">
        <f>_xlfn.IMAGE("https://camerareadycosmetics.com/cdn/shop/products/2-4-Smashbox-Studio-Skin-24-Hour-Wear-Hydrating-Foundation_50x.jpg?v=1624120631")</f>
        <v/>
      </c>
      <c r="H3446">
        <f>_xlfn.IMAGE("https://m.media-amazon.com/images/I/71UqCOPRAnL._AC_UL320_.jpg")</f>
        <v/>
      </c>
      <c r="K3446" t="inlineStr">
        <is>
          <t>30.0</t>
        </is>
      </c>
      <c r="L3446" t="n">
        <v>23</v>
      </c>
      <c r="M3446" s="1" t="inlineStr">
        <is>
          <t>-23.33%</t>
        </is>
      </c>
      <c r="N3446" t="n">
        <v>4.6</v>
      </c>
      <c r="O3446" t="n">
        <v>825</v>
      </c>
      <c r="Q3446" t="inlineStr">
        <is>
          <t>InStock</t>
        </is>
      </c>
      <c r="R3446" t="inlineStr">
        <is>
          <t>43.0</t>
        </is>
      </c>
      <c r="S3446" t="inlineStr">
        <is>
          <t>1373657137263</t>
        </is>
      </c>
    </row>
    <row r="3447" ht="75" customHeight="1">
      <c r="A3447" s="2">
        <f>HYPERLINK("https://camerareadycosmetics.com/products/smashbox-studio-skin-24-hour-wear-hydrating-foundation", "https://camerareadycosmetics.com/products/smashbox-studio-skin-24-hour-wear-hydrating-foundation")</f>
        <v/>
      </c>
      <c r="B3447" s="2">
        <f>HYPERLINK("https://camerareadycosmetics.com/products/smashbox-studio-skin-24-hour-wear-hydrating-foundation", "https://camerareadycosmetics.com/products/smashbox-studio-skin-24-hour-wear-hydrating-foundation")</f>
        <v/>
      </c>
      <c r="C3447" t="inlineStr">
        <is>
          <t>Studio Skin 24 Hour Wear Hydrating Foundation</t>
        </is>
      </c>
      <c r="D3447" t="inlineStr">
        <is>
          <t>Smashbox Studio Skin 24 Hour Wear Hydrating Foundation - 2.35 Light-M Foundation Women 1 oz</t>
        </is>
      </c>
      <c r="E3447" s="2">
        <f>HYPERLINK("https://www.amazon.com/Studio-Hydrating-Foundation-Light-Medium-Undertone/dp/B07FLKXWPH/ref=sr_1_4?keywords=Studio+Skin+24+Hour+Wear+Hydrating+Foundation&amp;qid=1695565513&amp;sr=8-4", "https://www.amazon.com/Studio-Hydrating-Foundation-Light-Medium-Undertone/dp/B07FLKXWPH/ref=sr_1_4?keywords=Studio+Skin+24+Hour+Wear+Hydrating+Foundation&amp;qid=1695565513&amp;sr=8-4")</f>
        <v/>
      </c>
      <c r="F3447" t="inlineStr">
        <is>
          <t>B07FLKXWPH</t>
        </is>
      </c>
      <c r="G3447">
        <f>_xlfn.IMAGE("https://camerareadycosmetics.com/cdn/shop/products/2-4-Smashbox-Studio-Skin-24-Hour-Wear-Hydrating-Foundation_50x.jpg?v=1624120631")</f>
        <v/>
      </c>
      <c r="H3447">
        <f>_xlfn.IMAGE("https://m.media-amazon.com/images/I/71qxCPcuNSL._AC_UL320_.jpg")</f>
        <v/>
      </c>
      <c r="K3447" t="inlineStr">
        <is>
          <t>30.0</t>
        </is>
      </c>
      <c r="L3447" t="n">
        <v>21.75</v>
      </c>
      <c r="M3447" s="1" t="inlineStr">
        <is>
          <t>-27.50%</t>
        </is>
      </c>
      <c r="N3447" t="n">
        <v>4.4</v>
      </c>
      <c r="O3447" t="n">
        <v>218</v>
      </c>
      <c r="Q3447" t="inlineStr">
        <is>
          <t>InStock</t>
        </is>
      </c>
      <c r="R3447" t="inlineStr">
        <is>
          <t>43.0</t>
        </is>
      </c>
      <c r="S3447" t="inlineStr">
        <is>
          <t>1373657137263</t>
        </is>
      </c>
    </row>
    <row r="3448" ht="75" customHeight="1">
      <c r="A3448" s="2">
        <f>HYPERLINK("https://camerareadycosmetics.com/products/smashbox-studio-skin-24-hour-wear-hydrating-foundation", "https://camerareadycosmetics.com/products/smashbox-studio-skin-24-hour-wear-hydrating-foundation")</f>
        <v/>
      </c>
      <c r="B3448" s="2">
        <f>HYPERLINK("https://camerareadycosmetics.com/products/smashbox-studio-skin-24-hour-wear-hydrating-foundation", "https://camerareadycosmetics.com/products/smashbox-studio-skin-24-hour-wear-hydrating-foundation")</f>
        <v/>
      </c>
      <c r="C3448" t="inlineStr">
        <is>
          <t>Studio Skin 24 Hour Wear Hydrating Foundation</t>
        </is>
      </c>
      <c r="D3448" t="inlineStr">
        <is>
          <t>Smashbox Studio Skin 15 Hour Wear Hydrating Foundation, 3.35, 1 Fluid Ounce</t>
        </is>
      </c>
      <c r="E3448" s="2">
        <f>HYPERLINK("https://www.amazon.com/Smashbox-Studio-Hydrating-Foundation-Fluid/dp/B01IDWEMKA/ref=sr_1_9?keywords=Studio+Skin+24+Hour+Wear+Hydrating+Foundation&amp;qid=1695565513&amp;sr=8-9", "https://www.amazon.com/Smashbox-Studio-Hydrating-Foundation-Fluid/dp/B01IDWEMKA/ref=sr_1_9?keywords=Studio+Skin+24+Hour+Wear+Hydrating+Foundation&amp;qid=1695565513&amp;sr=8-9")</f>
        <v/>
      </c>
      <c r="F3448" t="inlineStr">
        <is>
          <t>B01IDWEMKA</t>
        </is>
      </c>
      <c r="G3448">
        <f>_xlfn.IMAGE("https://camerareadycosmetics.com/cdn/shop/products/2-4-Smashbox-Studio-Skin-24-Hour-Wear-Hydrating-Foundation_50x.jpg?v=1624120631")</f>
        <v/>
      </c>
      <c r="H3448">
        <f>_xlfn.IMAGE("https://m.media-amazon.com/images/I/51hkjueNtCL._AC_UL320_.jpg")</f>
        <v/>
      </c>
      <c r="K3448" t="inlineStr">
        <is>
          <t>30.0</t>
        </is>
      </c>
      <c r="L3448" t="n">
        <v>20.49</v>
      </c>
      <c r="M3448" s="1" t="inlineStr">
        <is>
          <t>-31.70%</t>
        </is>
      </c>
      <c r="N3448" t="n">
        <v>4.5</v>
      </c>
      <c r="O3448" t="n">
        <v>35</v>
      </c>
      <c r="Q3448" t="inlineStr">
        <is>
          <t>InStock</t>
        </is>
      </c>
      <c r="R3448" t="inlineStr">
        <is>
          <t>43.0</t>
        </is>
      </c>
      <c r="S3448" t="inlineStr">
        <is>
          <t>1373657137263</t>
        </is>
      </c>
    </row>
    <row r="3449" ht="75" customHeight="1">
      <c r="A3449" s="2">
        <f>HYPERLINK("https://camerareadycosmetics.com/products/smashbox-studio-skin-24-hour-wear-hydrating-foundation", "https://camerareadycosmetics.com/products/smashbox-studio-skin-24-hour-wear-hydrating-foundation")</f>
        <v/>
      </c>
      <c r="B3449" s="2">
        <f>HYPERLINK("https://camerareadycosmetics.com/products/smashbox-studio-skin-24-hour-wear-hydrating-foundation", "https://camerareadycosmetics.com/products/smashbox-studio-skin-24-hour-wear-hydrating-foundation")</f>
        <v/>
      </c>
      <c r="C3449" t="inlineStr">
        <is>
          <t>Studio Skin 24 Hour Wear Hydrating Foundation</t>
        </is>
      </c>
      <c r="D3449" t="inlineStr">
        <is>
          <t>SmashBox Studio Skin 15 Hour Wear Hydrating Foundation, 0.20 1 oz</t>
        </is>
      </c>
      <c r="E3449" s="2">
        <f>HYPERLINK("https://www.amazon.com/Studio-Hydrating-Foundation-Peachy-Undertone/dp/B07FLNJTGV/ref=sr_1_10?keywords=Studio+Skin+24+Hour+Wear+Hydrating+Foundation&amp;qid=1695565513&amp;sr=8-10", "https://www.amazon.com/Studio-Hydrating-Foundation-Peachy-Undertone/dp/B07FLNJTGV/ref=sr_1_10?keywords=Studio+Skin+24+Hour+Wear+Hydrating+Foundation&amp;qid=1695565513&amp;sr=8-10")</f>
        <v/>
      </c>
      <c r="F3449" t="inlineStr">
        <is>
          <t>B07FLNJTGV</t>
        </is>
      </c>
      <c r="G3449">
        <f>_xlfn.IMAGE("https://camerareadycosmetics.com/cdn/shop/products/2-4-Smashbox-Studio-Skin-24-Hour-Wear-Hydrating-Foundation_50x.jpg?v=1624120631")</f>
        <v/>
      </c>
      <c r="H3449">
        <f>_xlfn.IMAGE("https://m.media-amazon.com/images/I/711cuPTUvbL._AC_UL320_.jpg")</f>
        <v/>
      </c>
      <c r="K3449" t="inlineStr">
        <is>
          <t>30.0</t>
        </is>
      </c>
      <c r="L3449" t="n">
        <v>20.4</v>
      </c>
      <c r="M3449" s="1" t="inlineStr">
        <is>
          <t>-32.00%</t>
        </is>
      </c>
      <c r="N3449" t="n">
        <v>4.2</v>
      </c>
      <c r="O3449" t="n">
        <v>37</v>
      </c>
      <c r="Q3449" t="inlineStr">
        <is>
          <t>InStock</t>
        </is>
      </c>
      <c r="R3449" t="inlineStr">
        <is>
          <t>43.0</t>
        </is>
      </c>
      <c r="S3449" t="inlineStr">
        <is>
          <t>1373657137263</t>
        </is>
      </c>
    </row>
    <row r="3450" ht="75" customHeight="1">
      <c r="A3450" s="2">
        <f>HYPERLINK("https://camerareadycosmetics.com/products/smashbox-studio-skin-24-hour-wear-hydrating-foundation", "https://camerareadycosmetics.com/products/smashbox-studio-skin-24-hour-wear-hydrating-foundation")</f>
        <v/>
      </c>
      <c r="B3450" s="2">
        <f>HYPERLINK("https://camerareadycosmetics.com/products/smashbox-studio-skin-24-hour-wear-hydrating-foundation", "https://camerareadycosmetics.com/products/smashbox-studio-skin-24-hour-wear-hydrating-foundation")</f>
        <v/>
      </c>
      <c r="C3450" t="inlineStr">
        <is>
          <t>Studio Skin 24 Hour Wear Hydrating Foundation</t>
        </is>
      </c>
      <c r="D3450" t="inlineStr">
        <is>
          <t>Smashbox Studio Skin 15 Hour Wear Hydrating Foundation - 0.3 Fair Wit Women Foundation I0112644 1 Fl Oz (Pack of 1)</t>
        </is>
      </c>
      <c r="E3450" s="2">
        <f>HYPERLINK("https://www.amazon.com/Studio-Hydrating-Foundation-Neutral-Undertone/dp/B07FLNBZ2Z/ref=sr_1_5?keywords=Studio+Skin+24+Hour+Wear+Hydrating+Foundation&amp;qid=1695565513&amp;sr=8-5", "https://www.amazon.com/Studio-Hydrating-Foundation-Neutral-Undertone/dp/B07FLNBZ2Z/ref=sr_1_5?keywords=Studio+Skin+24+Hour+Wear+Hydrating+Foundation&amp;qid=1695565513&amp;sr=8-5")</f>
        <v/>
      </c>
      <c r="F3450" t="inlineStr">
        <is>
          <t>B07FLNBZ2Z</t>
        </is>
      </c>
      <c r="G3450">
        <f>_xlfn.IMAGE("https://camerareadycosmetics.com/cdn/shop/products/2-4-Smashbox-Studio-Skin-24-Hour-Wear-Hydrating-Foundation_50x.jpg?v=1624120631")</f>
        <v/>
      </c>
      <c r="H3450">
        <f>_xlfn.IMAGE("https://m.media-amazon.com/images/I/51q7nUR5LGL._AC_UL320_.jpg")</f>
        <v/>
      </c>
      <c r="K3450" t="inlineStr">
        <is>
          <t>30.0</t>
        </is>
      </c>
      <c r="L3450" t="n">
        <v>20.28</v>
      </c>
      <c r="M3450" s="1" t="inlineStr">
        <is>
          <t>-32.40%</t>
        </is>
      </c>
      <c r="N3450" t="n">
        <v>4.2</v>
      </c>
      <c r="O3450" t="n">
        <v>132</v>
      </c>
      <c r="Q3450" t="inlineStr">
        <is>
          <t>InStock</t>
        </is>
      </c>
      <c r="R3450" t="inlineStr">
        <is>
          <t>43.0</t>
        </is>
      </c>
      <c r="S3450" t="inlineStr">
        <is>
          <t>1373657137263</t>
        </is>
      </c>
    </row>
    <row r="3451" ht="75" customHeight="1">
      <c r="A3451" s="2">
        <f>HYPERLINK("https://camerareadycosmetics.com/products/smashbox-studio-skin-flawless-24-hour-concealer", "https://camerareadycosmetics.com/products/smashbox-studio-skin-flawless-24-hour-concealer")</f>
        <v/>
      </c>
      <c r="B3451" s="2">
        <f>HYPERLINK("https://camerareadycosmetics.com/products/smashbox-studio-skin-flawless-24-hour-concealer", "https://camerareadycosmetics.com/products/smashbox-studio-skin-flawless-24-hour-concealer")</f>
        <v/>
      </c>
      <c r="C3451" t="inlineStr">
        <is>
          <t>Studio Skin Flawless 24 Hour Concealer</t>
        </is>
      </c>
      <c r="D3451" t="inlineStr">
        <is>
          <t>Smashbox Studio Skin Flawless 24 Hr Concealer Light Neutral 0.27 Ounce, clear</t>
        </is>
      </c>
      <c r="E3451" s="2">
        <f>HYPERLINK("https://www.amazon.com/smashbox-Studio-Flawless-Concealer-NEUTRAL/dp/B07NCC48VD/ref=sr_1_2?keywords=Studio+Skin+Flawless+24+Hour+Concealer&amp;qid=1695565543&amp;sr=8-2", "https://www.amazon.com/smashbox-Studio-Flawless-Concealer-NEUTRAL/dp/B07NCC48VD/ref=sr_1_2?keywords=Studio+Skin+Flawless+24+Hour+Concealer&amp;qid=1695565543&amp;sr=8-2")</f>
        <v/>
      </c>
      <c r="F3451" t="inlineStr">
        <is>
          <t>B07NCC48VD</t>
        </is>
      </c>
      <c r="G3451">
        <f>_xlfn.IMAGE("https://camerareadycosmetics.com/cdn/shop/products/Studio-Skin-Concealer_Dark-Warm-Golden---27_50x.jpg?v=1550190466")</f>
        <v/>
      </c>
      <c r="H3451">
        <f>_xlfn.IMAGE("https://m.media-amazon.com/images/I/51X0Eq8ClsL._AC_UL320_.jpg")</f>
        <v/>
      </c>
      <c r="K3451" t="inlineStr">
        <is>
          <t>29.0</t>
        </is>
      </c>
      <c r="L3451" t="n">
        <v>31.88</v>
      </c>
      <c r="M3451" s="1" t="inlineStr">
        <is>
          <t>9.93%</t>
        </is>
      </c>
      <c r="N3451" t="n">
        <v>4.5</v>
      </c>
      <c r="O3451" t="n">
        <v>144</v>
      </c>
      <c r="Q3451" t="inlineStr">
        <is>
          <t>undefined</t>
        </is>
      </c>
      <c r="R3451" t="inlineStr">
        <is>
          <t>29.0</t>
        </is>
      </c>
      <c r="S3451" t="inlineStr">
        <is>
          <t>2136400625775</t>
        </is>
      </c>
    </row>
    <row r="3452" ht="75" customHeight="1">
      <c r="A3452" s="2">
        <f>HYPERLINK("https://camerareadycosmetics.com/products/smashbox-studio-skin-flawless-24-hour-concealer", "https://camerareadycosmetics.com/products/smashbox-studio-skin-flawless-24-hour-concealer")</f>
        <v/>
      </c>
      <c r="B3452" s="2">
        <f>HYPERLINK("https://camerareadycosmetics.com/products/smashbox-studio-skin-flawless-24-hour-concealer", "https://camerareadycosmetics.com/products/smashbox-studio-skin-flawless-24-hour-concealer")</f>
        <v/>
      </c>
      <c r="C3452" t="inlineStr">
        <is>
          <t>Studio Skin Flawless 24 Hour Concealer</t>
        </is>
      </c>
      <c r="D3452" t="inlineStr">
        <is>
          <t>smashbox Studio Skin Flawless 24 Hour Concealer FAIR LIGHT NEUTRAL</t>
        </is>
      </c>
      <c r="E3452" s="2">
        <f>HYPERLINK("https://www.amazon.com/smashbox-Studio-Flawless-Concealer-NEUTRAL/dp/B07NCBZ5MB/ref=sr_1_1?keywords=Studio+Skin+Flawless+24+Hour+Concealer&amp;qid=1695565543&amp;sr=8-1", "https://www.amazon.com/smashbox-Studio-Flawless-Concealer-NEUTRAL/dp/B07NCBZ5MB/ref=sr_1_1?keywords=Studio+Skin+Flawless+24+Hour+Concealer&amp;qid=1695565543&amp;sr=8-1")</f>
        <v/>
      </c>
      <c r="F3452" t="inlineStr">
        <is>
          <t>B07NCBZ5MB</t>
        </is>
      </c>
      <c r="G3452">
        <f>_xlfn.IMAGE("https://camerareadycosmetics.com/cdn/shop/products/Studio-Skin-Concealer_Dark-Warm-Golden---27_50x.jpg?v=1550190466")</f>
        <v/>
      </c>
      <c r="H3452">
        <f>_xlfn.IMAGE("https://m.media-amazon.com/images/I/51AkCLnwuiL._AC_UL320_.jpg")</f>
        <v/>
      </c>
      <c r="K3452" t="inlineStr">
        <is>
          <t>29.0</t>
        </is>
      </c>
      <c r="L3452" t="n">
        <v>29.9</v>
      </c>
      <c r="M3452" s="1" t="inlineStr">
        <is>
          <t>3.10%</t>
        </is>
      </c>
      <c r="N3452" t="n">
        <v>4.5</v>
      </c>
      <c r="O3452" t="n">
        <v>347</v>
      </c>
      <c r="Q3452" t="inlineStr">
        <is>
          <t>undefined</t>
        </is>
      </c>
      <c r="R3452" t="inlineStr">
        <is>
          <t>29.0</t>
        </is>
      </c>
      <c r="S3452" t="inlineStr">
        <is>
          <t>2136400625775</t>
        </is>
      </c>
    </row>
    <row r="3453" ht="75" customHeight="1">
      <c r="A3453" s="2">
        <f>HYPERLINK("https://camerareadycosmetics.com/products/smashbox-studio-skin-flawless-24-hour-concealer", "https://camerareadycosmetics.com/products/smashbox-studio-skin-flawless-24-hour-concealer")</f>
        <v/>
      </c>
      <c r="B3453" s="2">
        <f>HYPERLINK("https://camerareadycosmetics.com/products/smashbox-studio-skin-flawless-24-hour-concealer", "https://camerareadycosmetics.com/products/smashbox-studio-skin-flawless-24-hour-concealer")</f>
        <v/>
      </c>
      <c r="C3453" t="inlineStr">
        <is>
          <t>Studio Skin Flawless 24 Hour Concealer</t>
        </is>
      </c>
      <c r="D3453" t="inlineStr">
        <is>
          <t>Smashbox Studio Skin Flawless Oil-Free 24 Hour Concealer Medium Cool Peach</t>
        </is>
      </c>
      <c r="E3453" s="2">
        <f>HYPERLINK("https://www.amazon.com/Smashbox-Studio-Flawless-Concealer-Medium/dp/B07P24PFM4/ref=sr_1_7?keywords=Studio+Skin+Flawless+24+Hour+Concealer&amp;qid=1695565543&amp;sr=8-7", "https://www.amazon.com/Smashbox-Studio-Flawless-Concealer-Medium/dp/B07P24PFM4/ref=sr_1_7?keywords=Studio+Skin+Flawless+24+Hour+Concealer&amp;qid=1695565543&amp;sr=8-7")</f>
        <v/>
      </c>
      <c r="F3453" t="inlineStr">
        <is>
          <t>B07P24PFM4</t>
        </is>
      </c>
      <c r="G3453">
        <f>_xlfn.IMAGE("https://camerareadycosmetics.com/cdn/shop/products/Studio-Skin-Concealer_Dark-Warm-Golden---27_50x.jpg?v=1550190466")</f>
        <v/>
      </c>
      <c r="H3453">
        <f>_xlfn.IMAGE("https://m.media-amazon.com/images/I/51dc4eGczJL._AC_UL320_.jpg")</f>
        <v/>
      </c>
      <c r="K3453" t="inlineStr">
        <is>
          <t>29.0</t>
        </is>
      </c>
      <c r="L3453" t="n">
        <v>28.98</v>
      </c>
      <c r="M3453" s="1" t="inlineStr">
        <is>
          <t>-0.07%</t>
        </is>
      </c>
      <c r="N3453" t="n">
        <v>4</v>
      </c>
      <c r="O3453" t="n">
        <v>13</v>
      </c>
      <c r="Q3453" t="inlineStr">
        <is>
          <t>undefined</t>
        </is>
      </c>
      <c r="R3453" t="inlineStr">
        <is>
          <t>29.0</t>
        </is>
      </c>
      <c r="S3453" t="inlineStr">
        <is>
          <t>2136400625775</t>
        </is>
      </c>
    </row>
    <row r="3454" ht="75" customHeight="1">
      <c r="A3454" s="2">
        <f>HYPERLINK("https://camerareadycosmetics.com/products/smashbox-studio-skin-flawless-24-hour-concealer", "https://camerareadycosmetics.com/products/smashbox-studio-skin-flawless-24-hour-concealer")</f>
        <v/>
      </c>
      <c r="B3454" s="2">
        <f>HYPERLINK("https://camerareadycosmetics.com/products/smashbox-studio-skin-flawless-24-hour-concealer", "https://camerareadycosmetics.com/products/smashbox-studio-skin-flawless-24-hour-concealer")</f>
        <v/>
      </c>
      <c r="C3454" t="inlineStr">
        <is>
          <t>Studio Skin Flawless 24 Hour Concealer</t>
        </is>
      </c>
      <c r="D3454" t="inlineStr">
        <is>
          <t>Smashbox Studio Skin Flawless Oil-Free 24 Hour Concealer Deep Neutral</t>
        </is>
      </c>
      <c r="E3454" s="2">
        <f>HYPERLINK("https://www.amazon.com/Smashbox-Studio-Skin-Hour-Concealer/dp/B07YBHW8SR/ref=sr_1_8?keywords=Studio+Skin+Flawless+24+Hour+Concealer&amp;qid=1695565543&amp;sr=8-8", "https://www.amazon.com/Smashbox-Studio-Skin-Hour-Concealer/dp/B07YBHW8SR/ref=sr_1_8?keywords=Studio+Skin+Flawless+24+Hour+Concealer&amp;qid=1695565543&amp;sr=8-8")</f>
        <v/>
      </c>
      <c r="F3454" t="inlineStr">
        <is>
          <t>B07YBHW8SR</t>
        </is>
      </c>
      <c r="G3454">
        <f>_xlfn.IMAGE("https://camerareadycosmetics.com/cdn/shop/products/Studio-Skin-Concealer_Dark-Warm-Golden---27_50x.jpg?v=1550190466")</f>
        <v/>
      </c>
      <c r="H3454">
        <f>_xlfn.IMAGE("https://m.media-amazon.com/images/I/4122fYdEWaL._AC_UL320_.jpg")</f>
        <v/>
      </c>
      <c r="K3454" t="inlineStr">
        <is>
          <t>29.0</t>
        </is>
      </c>
      <c r="L3454" t="n">
        <v>28.6</v>
      </c>
      <c r="M3454" s="1" t="inlineStr">
        <is>
          <t>-1.38%</t>
        </is>
      </c>
      <c r="N3454" t="n">
        <v>2.3</v>
      </c>
      <c r="O3454" t="n">
        <v>2</v>
      </c>
      <c r="Q3454" t="inlineStr">
        <is>
          <t>undefined</t>
        </is>
      </c>
      <c r="R3454" t="inlineStr">
        <is>
          <t>29.0</t>
        </is>
      </c>
      <c r="S3454" t="inlineStr">
        <is>
          <t>2136400625775</t>
        </is>
      </c>
    </row>
    <row r="3455" ht="75" customHeight="1">
      <c r="A3455" s="2">
        <f>HYPERLINK("https://camerareadycosmetics.com/products/smashbox-studio-skin-flawless-24-hour-concealer", "https://camerareadycosmetics.com/products/smashbox-studio-skin-flawless-24-hour-concealer")</f>
        <v/>
      </c>
      <c r="B3455" s="2">
        <f>HYPERLINK("https://camerareadycosmetics.com/products/smashbox-studio-skin-flawless-24-hour-concealer", "https://camerareadycosmetics.com/products/smashbox-studio-skin-flawless-24-hour-concealer")</f>
        <v/>
      </c>
      <c r="C3455" t="inlineStr">
        <is>
          <t>Studio Skin Flawless 24 Hour Concealer</t>
        </is>
      </c>
      <c r="D3455" t="inlineStr">
        <is>
          <t>Smashbox Studio Skin Flawless 24 Hour Concealer - Light Medium Warm Olive</t>
        </is>
      </c>
      <c r="E3455" s="2">
        <f>HYPERLINK("https://www.amazon.com/Smashbox-Studio-Skin-Flawless-Concealer/dp/B0BYB9XTDN/ref=sr_1_3?keywords=Studio+Skin+Flawless+24+Hour+Concealer&amp;qid=1695565543&amp;sr=8-3", "https://www.amazon.com/Smashbox-Studio-Skin-Flawless-Concealer/dp/B0BYB9XTDN/ref=sr_1_3?keywords=Studio+Skin+Flawless+24+Hour+Concealer&amp;qid=1695565543&amp;sr=8-3")</f>
        <v/>
      </c>
      <c r="F3455" t="inlineStr">
        <is>
          <t>B0BYB9XTDN</t>
        </is>
      </c>
      <c r="G3455">
        <f>_xlfn.IMAGE("https://camerareadycosmetics.com/cdn/shop/products/Studio-Skin-Concealer_Dark-Warm-Golden---27_50x.jpg?v=1550190466")</f>
        <v/>
      </c>
      <c r="H3455">
        <f>_xlfn.IMAGE("https://m.media-amazon.com/images/I/51A4hs9uBbL._AC_UL320_.jpg")</f>
        <v/>
      </c>
      <c r="K3455" t="inlineStr">
        <is>
          <t>29.0</t>
        </is>
      </c>
      <c r="L3455" t="n">
        <v>27.26</v>
      </c>
      <c r="M3455" s="1" t="inlineStr">
        <is>
          <t>-6.00%</t>
        </is>
      </c>
      <c r="N3455" t="n">
        <v>4.8</v>
      </c>
      <c r="O3455" t="n">
        <v>20</v>
      </c>
      <c r="Q3455" t="inlineStr">
        <is>
          <t>undefined</t>
        </is>
      </c>
      <c r="R3455" t="inlineStr">
        <is>
          <t>29.0</t>
        </is>
      </c>
      <c r="S3455" t="inlineStr">
        <is>
          <t>2136400625775</t>
        </is>
      </c>
    </row>
    <row r="3456" ht="75" customHeight="1">
      <c r="A3456" s="2">
        <f>HYPERLINK("https://camerareadycosmetics.com/products/smashbox-studio-skin-flawless-24-hour-concealer", "https://camerareadycosmetics.com/products/smashbox-studio-skin-flawless-24-hour-concealer")</f>
        <v/>
      </c>
      <c r="B3456" s="2">
        <f>HYPERLINK("https://camerareadycosmetics.com/products/smashbox-studio-skin-flawless-24-hour-concealer", "https://camerareadycosmetics.com/products/smashbox-studio-skin-flawless-24-hour-concealer")</f>
        <v/>
      </c>
      <c r="C3456" t="inlineStr">
        <is>
          <t>Studio Skin Flawless 24 Hour Concealer</t>
        </is>
      </c>
      <c r="D3456" t="inlineStr">
        <is>
          <t>Smashbox Studio Skin Flawless 24 Hour Concealer - Medium Warm</t>
        </is>
      </c>
      <c r="E3456" s="2">
        <f>HYPERLINK("https://www.amazon.com/Smashbox-Studio-Skin-Flawless-Concealer/dp/B07P12WCQW/ref=sr_1_5?keywords=Studio+Skin+Flawless+24+Hour+Concealer&amp;qid=1695565543&amp;sr=8-5", "https://www.amazon.com/Smashbox-Studio-Skin-Flawless-Concealer/dp/B07P12WCQW/ref=sr_1_5?keywords=Studio+Skin+Flawless+24+Hour+Concealer&amp;qid=1695565543&amp;sr=8-5")</f>
        <v/>
      </c>
      <c r="F3456" t="inlineStr">
        <is>
          <t>B07P12WCQW</t>
        </is>
      </c>
      <c r="G3456">
        <f>_xlfn.IMAGE("https://camerareadycosmetics.com/cdn/shop/products/Studio-Skin-Concealer_Dark-Warm-Golden---27_50x.jpg?v=1550190466")</f>
        <v/>
      </c>
      <c r="H3456">
        <f>_xlfn.IMAGE("https://m.media-amazon.com/images/I/51c36ZBZkxL._AC_UL320_.jpg")</f>
        <v/>
      </c>
      <c r="K3456" t="inlineStr">
        <is>
          <t>29.0</t>
        </is>
      </c>
      <c r="L3456" t="n">
        <v>25</v>
      </c>
      <c r="M3456" s="1" t="inlineStr">
        <is>
          <t>-13.79%</t>
        </is>
      </c>
      <c r="N3456" t="n">
        <v>4</v>
      </c>
      <c r="O3456" t="n">
        <v>24</v>
      </c>
      <c r="Q3456" t="inlineStr">
        <is>
          <t>undefined</t>
        </is>
      </c>
      <c r="R3456" t="inlineStr">
        <is>
          <t>29.0</t>
        </is>
      </c>
      <c r="S3456" t="inlineStr">
        <is>
          <t>2136400625775</t>
        </is>
      </c>
    </row>
    <row r="3457" ht="75" customHeight="1">
      <c r="A3457" s="2">
        <f>HYPERLINK("https://camerareadycosmetics.com/products/smashbox-studio-skin-flawless-24-hour-concealer", "https://camerareadycosmetics.com/products/smashbox-studio-skin-flawless-24-hour-concealer")</f>
        <v/>
      </c>
      <c r="B3457" s="2">
        <f>HYPERLINK("https://camerareadycosmetics.com/products/smashbox-studio-skin-flawless-24-hour-concealer", "https://camerareadycosmetics.com/products/smashbox-studio-skin-flawless-24-hour-concealer")</f>
        <v/>
      </c>
      <c r="C3457" t="inlineStr">
        <is>
          <t>Studio Skin Flawless 24 Hour Concealer</t>
        </is>
      </c>
      <c r="D3457" t="inlineStr">
        <is>
          <t>smashbox Studio Skin Flawless 24 Hour Concealer LIGHT MEDIUM WARM GOLDEN .27 fl oz</t>
        </is>
      </c>
      <c r="E3457" s="2">
        <f>HYPERLINK("https://www.amazon.com/smashbox-Studio-Flawless-Concealer-MEDIUM/dp/B07NCCF76P/ref=sr_1_4?keywords=Studio+Skin+Flawless+24+Hour+Concealer&amp;qid=1695565543&amp;sr=8-4", "https://www.amazon.com/smashbox-Studio-Flawless-Concealer-MEDIUM/dp/B07NCCF76P/ref=sr_1_4?keywords=Studio+Skin+Flawless+24+Hour+Concealer&amp;qid=1695565543&amp;sr=8-4")</f>
        <v/>
      </c>
      <c r="F3457" t="inlineStr">
        <is>
          <t>B07NCCF76P</t>
        </is>
      </c>
      <c r="G3457">
        <f>_xlfn.IMAGE("https://camerareadycosmetics.com/cdn/shop/products/Studio-Skin-Concealer_Dark-Warm-Golden---27_50x.jpg?v=1550190466")</f>
        <v/>
      </c>
      <c r="H3457">
        <f>_xlfn.IMAGE("https://m.media-amazon.com/images/I/51SjjjSjnYL._AC_UL320_.jpg")</f>
        <v/>
      </c>
      <c r="K3457" t="inlineStr">
        <is>
          <t>29.0</t>
        </is>
      </c>
      <c r="L3457" t="n">
        <v>24.99</v>
      </c>
      <c r="M3457" s="1" t="inlineStr">
        <is>
          <t>-13.83%</t>
        </is>
      </c>
      <c r="N3457" t="n">
        <v>4.5</v>
      </c>
      <c r="O3457" t="n">
        <v>14</v>
      </c>
      <c r="Q3457" t="inlineStr">
        <is>
          <t>undefined</t>
        </is>
      </c>
      <c r="R3457" t="inlineStr">
        <is>
          <t>29.0</t>
        </is>
      </c>
      <c r="S3457" t="inlineStr">
        <is>
          <t>2136400625775</t>
        </is>
      </c>
    </row>
    <row r="3458" ht="75" customHeight="1">
      <c r="A3458" s="2">
        <f>HYPERLINK("https://camerareadycosmetics.com/products/smashbox-studio-skin-flawless-24-hour-concealer", "https://camerareadycosmetics.com/products/smashbox-studio-skin-flawless-24-hour-concealer")</f>
        <v/>
      </c>
      <c r="B3458" s="2">
        <f>HYPERLINK("https://camerareadycosmetics.com/products/smashbox-studio-skin-flawless-24-hour-concealer", "https://camerareadycosmetics.com/products/smashbox-studio-skin-flawless-24-hour-concealer")</f>
        <v/>
      </c>
      <c r="C3458" t="inlineStr">
        <is>
          <t>Studio Skin Flawless 24 Hour Concealer</t>
        </is>
      </c>
      <c r="D3458" t="inlineStr">
        <is>
          <t>Smashbox Studio Skin Flawless Oil-Free 24 Hour Concealer Dark Warm Golden</t>
        </is>
      </c>
      <c r="E3458" s="2">
        <f>HYPERLINK("https://www.amazon.com/Smashbox-Studio-Skin-Hour-Concealer/dp/B07YBCZYNZ/ref=sr_1_9?keywords=Studio+Skin+Flawless+24+Hour+Concealer&amp;qid=1695565543&amp;sr=8-9", "https://www.amazon.com/Smashbox-Studio-Skin-Hour-Concealer/dp/B07YBCZYNZ/ref=sr_1_9?keywords=Studio+Skin+Flawless+24+Hour+Concealer&amp;qid=1695565543&amp;sr=8-9")</f>
        <v/>
      </c>
      <c r="F3458" t="inlineStr">
        <is>
          <t>B07YBCZYNZ</t>
        </is>
      </c>
      <c r="G3458">
        <f>_xlfn.IMAGE("https://camerareadycosmetics.com/cdn/shop/products/Studio-Skin-Concealer_Dark-Warm-Golden---27_50x.jpg?v=1550190466")</f>
        <v/>
      </c>
      <c r="H3458">
        <f>_xlfn.IMAGE("https://m.media-amazon.com/images/I/31WuB6E-9pL._AC_UL320_.jpg")</f>
        <v/>
      </c>
      <c r="K3458" t="inlineStr">
        <is>
          <t>29.0</t>
        </is>
      </c>
      <c r="L3458" t="n">
        <v>24.83</v>
      </c>
      <c r="M3458" s="1" t="inlineStr">
        <is>
          <t>-14.38%</t>
        </is>
      </c>
      <c r="N3458" t="n">
        <v>5</v>
      </c>
      <c r="O3458" t="n">
        <v>2</v>
      </c>
      <c r="Q3458" t="inlineStr">
        <is>
          <t>undefined</t>
        </is>
      </c>
      <c r="R3458" t="inlineStr">
        <is>
          <t>29.0</t>
        </is>
      </c>
      <c r="S3458" t="inlineStr">
        <is>
          <t>2136400625775</t>
        </is>
      </c>
    </row>
    <row r="3459" ht="75" customHeight="1">
      <c r="A3459" s="2">
        <f>HYPERLINK("https://camerareadycosmetics.com/products/smashbox-studio-skin-flawless-24-hour-concealer", "https://camerareadycosmetics.com/products/smashbox-studio-skin-flawless-24-hour-concealer")</f>
        <v/>
      </c>
      <c r="B3459" s="2">
        <f>HYPERLINK("https://camerareadycosmetics.com/products/smashbox-studio-skin-flawless-24-hour-concealer", "https://camerareadycosmetics.com/products/smashbox-studio-skin-flawless-24-hour-concealer")</f>
        <v/>
      </c>
      <c r="C3459" t="inlineStr">
        <is>
          <t>Studio Skin Flawless 24 Hour Concealer</t>
        </is>
      </c>
      <c r="D3459" t="inlineStr">
        <is>
          <t>Smashbox Studio Skin Flawless Oil-Free 24 Hour Concealer Deep Cool</t>
        </is>
      </c>
      <c r="E3459" s="2">
        <f>HYPERLINK("https://www.amazon.com/Smashbox-Studio-Skin-Hour-Concealer/dp/B07YBFT5H4/ref=sr_1_10?keywords=Studio+Skin+Flawless+24+Hour+Concealer&amp;qid=1695565543&amp;sr=8-10", "https://www.amazon.com/Smashbox-Studio-Skin-Hour-Concealer/dp/B07YBFT5H4/ref=sr_1_10?keywords=Studio+Skin+Flawless+24+Hour+Concealer&amp;qid=1695565543&amp;sr=8-10")</f>
        <v/>
      </c>
      <c r="F3459" t="inlineStr">
        <is>
          <t>B07YBFT5H4</t>
        </is>
      </c>
      <c r="G3459">
        <f>_xlfn.IMAGE("https://camerareadycosmetics.com/cdn/shop/products/Studio-Skin-Concealer_Dark-Warm-Golden---27_50x.jpg?v=1550190466")</f>
        <v/>
      </c>
      <c r="H3459">
        <f>_xlfn.IMAGE("https://m.media-amazon.com/images/I/31kwf1nQW8L._AC_UL320_.jpg")</f>
        <v/>
      </c>
      <c r="K3459" t="inlineStr">
        <is>
          <t>29.0</t>
        </is>
      </c>
      <c r="L3459" t="n">
        <v>24.65</v>
      </c>
      <c r="M3459" s="1" t="inlineStr">
        <is>
          <t>-15.00%</t>
        </is>
      </c>
      <c r="N3459" t="n">
        <v>5</v>
      </c>
      <c r="O3459" t="n">
        <v>1</v>
      </c>
      <c r="Q3459" t="inlineStr">
        <is>
          <t>undefined</t>
        </is>
      </c>
      <c r="R3459" t="inlineStr">
        <is>
          <t>29.0</t>
        </is>
      </c>
      <c r="S3459" t="inlineStr">
        <is>
          <t>2136400625775</t>
        </is>
      </c>
    </row>
    <row r="3460" ht="75" customHeight="1">
      <c r="A3460" s="2">
        <f>HYPERLINK("https://camerareadycosmetics.com/products/smashbox-studio-skin-flawless-24-hour-concealer", "https://camerareadycosmetics.com/products/smashbox-studio-skin-flawless-24-hour-concealer")</f>
        <v/>
      </c>
      <c r="B3460" s="2">
        <f>HYPERLINK("https://camerareadycosmetics.com/products/smashbox-studio-skin-flawless-24-hour-concealer", "https://camerareadycosmetics.com/products/smashbox-studio-skin-flawless-24-hour-concealer")</f>
        <v/>
      </c>
      <c r="C3460" t="inlineStr">
        <is>
          <t>Studio Skin Flawless 24 Hour Concealer</t>
        </is>
      </c>
      <c r="D3460" t="inlineStr">
        <is>
          <t>Smashbox Studio Skin Flawless 24 Hour Concealer - Light Warm Golden</t>
        </is>
      </c>
      <c r="E3460" s="2">
        <f>HYPERLINK("https://www.amazon.com/Smashbox-Studio-Skin-Flawless-Concealer/dp/B07NZZM9QK/ref=sr_1_6?keywords=Studio+Skin+Flawless+24+Hour+Concealer&amp;qid=1695565543&amp;sr=8-6", "https://www.amazon.com/Smashbox-Studio-Skin-Flawless-Concealer/dp/B07NZZM9QK/ref=sr_1_6?keywords=Studio+Skin+Flawless+24+Hour+Concealer&amp;qid=1695565543&amp;sr=8-6")</f>
        <v/>
      </c>
      <c r="F3460" t="inlineStr">
        <is>
          <t>B07NZZM9QK</t>
        </is>
      </c>
      <c r="G3460">
        <f>_xlfn.IMAGE("https://camerareadycosmetics.com/cdn/shop/products/Studio-Skin-Concealer_Dark-Warm-Golden---27_50x.jpg?v=1550190466")</f>
        <v/>
      </c>
      <c r="H3460">
        <f>_xlfn.IMAGE("https://m.media-amazon.com/images/I/51+XN9cnnQL._AC_UL320_.jpg")</f>
        <v/>
      </c>
      <c r="K3460" t="inlineStr">
        <is>
          <t>29.0</t>
        </is>
      </c>
      <c r="L3460" t="n">
        <v>20.63</v>
      </c>
      <c r="M3460" s="1" t="inlineStr">
        <is>
          <t>-28.86%</t>
        </is>
      </c>
      <c r="N3460" t="n">
        <v>3.7</v>
      </c>
      <c r="O3460" t="n">
        <v>9</v>
      </c>
      <c r="Q3460" t="inlineStr">
        <is>
          <t>undefined</t>
        </is>
      </c>
      <c r="R3460" t="inlineStr">
        <is>
          <t>29.0</t>
        </is>
      </c>
      <c r="S3460" t="inlineStr">
        <is>
          <t>2136400625775</t>
        </is>
      </c>
    </row>
    <row r="3461" ht="75" customHeight="1">
      <c r="A3461" s="2">
        <f>HYPERLINK("https://camerareadycosmetics.com/products/smashbox-super-fan-mascara", "https://camerareadycosmetics.com/products/smashbox-super-fan-mascara")</f>
        <v/>
      </c>
      <c r="B3461" s="2">
        <f>HYPERLINK("https://camerareadycosmetics.com/products/smashbox-super-fan-mascara", "https://camerareadycosmetics.com/products/smashbox-super-fan-mascara")</f>
        <v/>
      </c>
      <c r="C3461" t="inlineStr">
        <is>
          <t>Super Fan Mascara</t>
        </is>
      </c>
      <c r="D3461" t="inlineStr">
        <is>
          <t>Smashbox Super Fan Mascara Travel Size</t>
        </is>
      </c>
      <c r="E3461" s="2">
        <f>HYPERLINK("https://www.amazon.com/Super-Fan-Mascara-Travel-Size/dp/B07FM1QJ4H/ref=sr_1_2?keywords=Super+Fan+Mascara&amp;qid=1695565655&amp;sr=8-2", "https://www.amazon.com/Super-Fan-Mascara-Travel-Size/dp/B07FM1QJ4H/ref=sr_1_2?keywords=Super+Fan+Mascara&amp;qid=1695565655&amp;sr=8-2")</f>
        <v/>
      </c>
      <c r="F3461" t="inlineStr">
        <is>
          <t>B07FM1QJ4H</t>
        </is>
      </c>
      <c r="G3461">
        <f>_xlfn.IMAGE("https://camerareadycosmetics.com/cdn/shop/products/Smashbox-superfan-mascara_50x.jpg?v=1534273214")</f>
        <v/>
      </c>
      <c r="H3461">
        <f>_xlfn.IMAGE("https://m.media-amazon.com/images/I/61AyYGZZQiL._AC_UL320_.jpg")</f>
        <v/>
      </c>
      <c r="K3461" t="inlineStr">
        <is>
          <t>28.0</t>
        </is>
      </c>
      <c r="L3461" t="n">
        <v>18.88</v>
      </c>
      <c r="M3461" s="1" t="inlineStr">
        <is>
          <t>-32.57%</t>
        </is>
      </c>
      <c r="N3461" t="n">
        <v>4</v>
      </c>
      <c r="O3461" t="n">
        <v>25</v>
      </c>
      <c r="Q3461" t="inlineStr">
        <is>
          <t>InStock</t>
        </is>
      </c>
      <c r="R3461" t="inlineStr">
        <is>
          <t>undefined</t>
        </is>
      </c>
      <c r="S3461" t="inlineStr">
        <is>
          <t>1400467751023</t>
        </is>
      </c>
    </row>
    <row r="3462" ht="75" customHeight="1">
      <c r="A3462" s="2">
        <f>HYPERLINK("https://camerareadycosmetics.com/products/smashbox-x-becca-shimmering-skin-perfector-highlighter", "https://camerareadycosmetics.com/products/smashbox-x-becca-shimmering-skin-perfector-highlighter")</f>
        <v/>
      </c>
      <c r="B3462" s="2">
        <f>HYPERLINK("https://camerareadycosmetics.com/products/smashbox-x-becca-shimmering-skin-perfector-highlighter", "https://camerareadycosmetics.com/products/smashbox-x-becca-shimmering-skin-perfector-highlighter")</f>
        <v/>
      </c>
      <c r="C3462" t="inlineStr">
        <is>
          <t>X Becca Shimmering Skin Perfector Pressed Highlighter</t>
        </is>
      </c>
      <c r="D3462" t="inlineStr">
        <is>
          <t>Becca Shimmering Skin Perfector - Pressed Highlighter in Gradient Glow - Full Size</t>
        </is>
      </c>
      <c r="E3462" s="2">
        <f>HYPERLINK("https://www.amazon.com/Becca-Shimmering-Skin-Perfector-Highlighter/dp/B07B2QPKWN/ref=sr_1_8?keywords=X+Becca+Shimmering+Skin+Perfector+Pressed+Highlighter&amp;qid=1695565801&amp;sr=8-8", "https://www.amazon.com/Becca-Shimmering-Skin-Perfector-Highlighter/dp/B07B2QPKWN/ref=sr_1_8?keywords=X+Becca+Shimmering+Skin+Perfector+Pressed+Highlighter&amp;qid=1695565801&amp;sr=8-8")</f>
        <v/>
      </c>
      <c r="F3462" t="inlineStr">
        <is>
          <t>B07B2QPKWN</t>
        </is>
      </c>
      <c r="G3462">
        <f>_xlfn.IMAGE("https://camerareadycosmetics.com/cdn/shop/products/smashbox-becca-shimmering-skin-perfector-highlighter_50x.jpg?v=1642031044")</f>
        <v/>
      </c>
      <c r="H3462">
        <f>_xlfn.IMAGE("https://m.media-amazon.com/images/I/71emS5ThFnL._AC_UL320_.jpg")</f>
        <v/>
      </c>
      <c r="K3462" t="inlineStr">
        <is>
          <t>42.0</t>
        </is>
      </c>
      <c r="L3462" t="n">
        <v>53</v>
      </c>
      <c r="M3462" s="1" t="inlineStr">
        <is>
          <t>26.19%</t>
        </is>
      </c>
      <c r="N3462" t="n">
        <v>4.4</v>
      </c>
      <c r="O3462" t="n">
        <v>29</v>
      </c>
      <c r="Q3462" t="inlineStr">
        <is>
          <t>InStock</t>
        </is>
      </c>
      <c r="R3462" t="inlineStr">
        <is>
          <t>undefined</t>
        </is>
      </c>
      <c r="S3462" t="inlineStr">
        <is>
          <t>7153845076153</t>
        </is>
      </c>
    </row>
    <row r="3463" ht="75" customHeight="1">
      <c r="A3463" s="2">
        <f>HYPERLINK("https://camerareadycosmetics.com/products/smashbox-x-becca-shimmering-skin-perfector-highlighter", "https://camerareadycosmetics.com/products/smashbox-x-becca-shimmering-skin-perfector-highlighter")</f>
        <v/>
      </c>
      <c r="B3463" s="2">
        <f>HYPERLINK("https://camerareadycosmetics.com/products/smashbox-x-becca-shimmering-skin-perfector-highlighter", "https://camerareadycosmetics.com/products/smashbox-x-becca-shimmering-skin-perfector-highlighter")</f>
        <v/>
      </c>
      <c r="C3463" t="inlineStr">
        <is>
          <t>X Becca Shimmering Skin Perfector Pressed Highlighter</t>
        </is>
      </c>
      <c r="D3463" t="inlineStr">
        <is>
          <t>Becca Collector's Edition - Celebration of Glow Shimmering Skin Perfector Pressed (Champagne Pop)</t>
        </is>
      </c>
      <c r="E3463" s="2">
        <f>HYPERLINK("https://www.amazon.com/Becca-Collectors-Celebration-Shimmering-Perfector/dp/B07TN2DJ3J/ref=sr_1_7?keywords=X+Becca+Shimmering+Skin+Perfector+Pressed+Highlighter&amp;qid=1695565801&amp;sr=8-7", "https://www.amazon.com/Becca-Collectors-Celebration-Shimmering-Perfector/dp/B07TN2DJ3J/ref=sr_1_7?keywords=X+Becca+Shimmering+Skin+Perfector+Pressed+Highlighter&amp;qid=1695565801&amp;sr=8-7")</f>
        <v/>
      </c>
      <c r="F3463" t="inlineStr">
        <is>
          <t>B07TN2DJ3J</t>
        </is>
      </c>
      <c r="G3463">
        <f>_xlfn.IMAGE("https://camerareadycosmetics.com/cdn/shop/products/smashbox-becca-shimmering-skin-perfector-highlighter_50x.jpg?v=1642031044")</f>
        <v/>
      </c>
      <c r="H3463">
        <f>_xlfn.IMAGE("https://m.media-amazon.com/images/I/91lxl3ufe2L._AC_UL320_.jpg")</f>
        <v/>
      </c>
      <c r="K3463" t="inlineStr">
        <is>
          <t>42.0</t>
        </is>
      </c>
      <c r="L3463" t="n">
        <v>44</v>
      </c>
      <c r="M3463" s="1" t="inlineStr">
        <is>
          <t>4.76%</t>
        </is>
      </c>
      <c r="N3463" t="n">
        <v>4.1</v>
      </c>
      <c r="O3463" t="n">
        <v>76</v>
      </c>
      <c r="Q3463" t="inlineStr">
        <is>
          <t>InStock</t>
        </is>
      </c>
      <c r="R3463" t="inlineStr">
        <is>
          <t>undefined</t>
        </is>
      </c>
      <c r="S3463" t="inlineStr">
        <is>
          <t>7153845076153</t>
        </is>
      </c>
    </row>
    <row r="3464" ht="75" customHeight="1">
      <c r="A3464" s="2">
        <f>HYPERLINK("https://camerareadycosmetics.com/products/smashbox-x-becca-shimmering-skin-perfector-highlighter", "https://camerareadycosmetics.com/products/smashbox-x-becca-shimmering-skin-perfector-highlighter")</f>
        <v/>
      </c>
      <c r="B3464" s="2">
        <f>HYPERLINK("https://camerareadycosmetics.com/products/smashbox-x-becca-shimmering-skin-perfector-highlighter", "https://camerareadycosmetics.com/products/smashbox-x-becca-shimmering-skin-perfector-highlighter")</f>
        <v/>
      </c>
      <c r="C3464" t="inlineStr">
        <is>
          <t>X Becca Shimmering Skin Perfector Pressed Highlighter</t>
        </is>
      </c>
      <c r="D3464" t="inlineStr">
        <is>
          <t>BECCA Shimmering Skin Perfector Pressed Highlighter, Champagne Pop for Women, Soft Gold with Peachy-Pink Pearl, 0.28 Oz</t>
        </is>
      </c>
      <c r="E3464" s="2">
        <f>HYPERLINK("https://www.amazon.com/Shimmering-Perfector-Pressed-Highlighter-CHAMPAGNE/dp/B075GFNJG7/ref=sr_1_6?keywords=X+Becca+Shimmering+Skin+Perfector+Pressed+Highlighter&amp;qid=1695565801&amp;sr=8-6", "https://www.amazon.com/Shimmering-Perfector-Pressed-Highlighter-CHAMPAGNE/dp/B075GFNJG7/ref=sr_1_6?keywords=X+Becca+Shimmering+Skin+Perfector+Pressed+Highlighter&amp;qid=1695565801&amp;sr=8-6")</f>
        <v/>
      </c>
      <c r="F3464" t="inlineStr">
        <is>
          <t>B075GFNJG7</t>
        </is>
      </c>
      <c r="G3464">
        <f>_xlfn.IMAGE("https://camerareadycosmetics.com/cdn/shop/products/smashbox-becca-shimmering-skin-perfector-highlighter_50x.jpg?v=1642031044")</f>
        <v/>
      </c>
      <c r="H3464">
        <f>_xlfn.IMAGE("https://m.media-amazon.com/images/I/719x6zf4n8L._AC_UL320_.jpg")</f>
        <v/>
      </c>
      <c r="K3464" t="inlineStr">
        <is>
          <t>42.0</t>
        </is>
      </c>
      <c r="L3464" t="n">
        <v>39.15</v>
      </c>
      <c r="M3464" s="1" t="inlineStr">
        <is>
          <t>-6.79%</t>
        </is>
      </c>
      <c r="N3464" t="n">
        <v>4.2</v>
      </c>
      <c r="O3464" t="n">
        <v>459</v>
      </c>
      <c r="Q3464" t="inlineStr">
        <is>
          <t>InStock</t>
        </is>
      </c>
      <c r="R3464" t="inlineStr">
        <is>
          <t>undefined</t>
        </is>
      </c>
      <c r="S3464" t="inlineStr">
        <is>
          <t>7153845076153</t>
        </is>
      </c>
    </row>
    <row r="3465" ht="75" customHeight="1">
      <c r="A3465" s="2">
        <f>HYPERLINK("https://camerareadycosmetics.com/products/smashbox-x-becca-shimmering-skin-perfector-highlighter", "https://camerareadycosmetics.com/products/smashbox-x-becca-shimmering-skin-perfector-highlighter")</f>
        <v/>
      </c>
      <c r="B3465" s="2">
        <f>HYPERLINK("https://camerareadycosmetics.com/products/smashbox-x-becca-shimmering-skin-perfector-highlighter", "https://camerareadycosmetics.com/products/smashbox-x-becca-shimmering-skin-perfector-highlighter")</f>
        <v/>
      </c>
      <c r="C3465" t="inlineStr">
        <is>
          <t>X Becca Shimmering Skin Perfector Pressed Highlighter</t>
        </is>
      </c>
      <c r="D3465" t="inlineStr">
        <is>
          <t>Becca Shimmering Skin Perfector Pressed Compact .28 oz - C Pop</t>
        </is>
      </c>
      <c r="E3465" s="2">
        <f>HYPERLINK("https://www.amazon.com/Becca-Shimmering-Perfector-Pressed-Compact/dp/B079SWLRQR/ref=sr_1_9?keywords=X+Becca+Shimmering+Skin+Perfector+Pressed+Highlighter&amp;qid=1695565801&amp;sr=8-9", "https://www.amazon.com/Becca-Shimmering-Perfector-Pressed-Compact/dp/B079SWLRQR/ref=sr_1_9?keywords=X+Becca+Shimmering+Skin+Perfector+Pressed+Highlighter&amp;qid=1695565801&amp;sr=8-9")</f>
        <v/>
      </c>
      <c r="F3465" t="inlineStr">
        <is>
          <t>B079SWLRQR</t>
        </is>
      </c>
      <c r="G3465">
        <f>_xlfn.IMAGE("https://camerareadycosmetics.com/cdn/shop/products/smashbox-becca-shimmering-skin-perfector-highlighter_50x.jpg?v=1642031044")</f>
        <v/>
      </c>
      <c r="H3465">
        <f>_xlfn.IMAGE("https://m.media-amazon.com/images/I/71gkvC9R1uL._AC_UL320_.jpg")</f>
        <v/>
      </c>
      <c r="K3465" t="inlineStr">
        <is>
          <t>42.0</t>
        </is>
      </c>
      <c r="L3465" t="n">
        <v>35</v>
      </c>
      <c r="M3465" s="1" t="inlineStr">
        <is>
          <t>-16.67%</t>
        </is>
      </c>
      <c r="N3465" t="n">
        <v>4.6</v>
      </c>
      <c r="O3465" t="n">
        <v>14</v>
      </c>
      <c r="Q3465" t="inlineStr">
        <is>
          <t>InStock</t>
        </is>
      </c>
      <c r="R3465" t="inlineStr">
        <is>
          <t>undefined</t>
        </is>
      </c>
      <c r="S3465" t="inlineStr">
        <is>
          <t>7153845076153</t>
        </is>
      </c>
    </row>
    <row r="3466" ht="75" customHeight="1">
      <c r="A3466" s="2">
        <f>HYPERLINK("https://camerareadycosmetics.com/products/smashbox-x-becca-shimmering-skin-perfector-highlighter", "https://camerareadycosmetics.com/products/smashbox-x-becca-shimmering-skin-perfector-highlighter")</f>
        <v/>
      </c>
      <c r="B3466" s="2">
        <f>HYPERLINK("https://camerareadycosmetics.com/products/smashbox-x-becca-shimmering-skin-perfector-highlighter", "https://camerareadycosmetics.com/products/smashbox-x-becca-shimmering-skin-perfector-highlighter")</f>
        <v/>
      </c>
      <c r="C3466" t="inlineStr">
        <is>
          <t>X Becca Shimmering Skin Perfector Pressed Highlighter</t>
        </is>
      </c>
      <c r="D3466" t="inlineStr">
        <is>
          <t>Becca Shimmering Skin Perfector Pressed Highlighter, Rose Quartz, 0.28 Ounce</t>
        </is>
      </c>
      <c r="E3466" s="2">
        <f>HYPERLINK("https://www.amazon.com/BECCA-Shimmering-Skin-Perfector-Pressed/dp/B07BYWJS3B/ref=sr_1_3?keywords=X+Becca+Shimmering+Skin+Perfector+Pressed+Highlighter&amp;qid=1695565801&amp;sr=8-3", "https://www.amazon.com/BECCA-Shimmering-Skin-Perfector-Pressed/dp/B07BYWJS3B/ref=sr_1_3?keywords=X+Becca+Shimmering+Skin+Perfector+Pressed+Highlighter&amp;qid=1695565801&amp;sr=8-3")</f>
        <v/>
      </c>
      <c r="F3466" t="inlineStr">
        <is>
          <t>B07BYWJS3B</t>
        </is>
      </c>
      <c r="G3466">
        <f>_xlfn.IMAGE("https://camerareadycosmetics.com/cdn/shop/products/smashbox-becca-shimmering-skin-perfector-highlighter_50x.jpg?v=1642031044")</f>
        <v/>
      </c>
      <c r="H3466">
        <f>_xlfn.IMAGE("https://m.media-amazon.com/images/I/71bDqTAtK5L._AC_UL320_.jpg")</f>
        <v/>
      </c>
      <c r="K3466" t="inlineStr">
        <is>
          <t>42.0</t>
        </is>
      </c>
      <c r="L3466" t="n">
        <v>26.44</v>
      </c>
      <c r="M3466" s="1" t="inlineStr">
        <is>
          <t>-37.05%</t>
        </is>
      </c>
      <c r="N3466" t="n">
        <v>4.6</v>
      </c>
      <c r="O3466" t="n">
        <v>547</v>
      </c>
      <c r="Q3466" t="inlineStr">
        <is>
          <t>InStock</t>
        </is>
      </c>
      <c r="R3466" t="inlineStr">
        <is>
          <t>undefined</t>
        </is>
      </c>
      <c r="S3466" t="inlineStr">
        <is>
          <t>7153845076153</t>
        </is>
      </c>
    </row>
    <row r="3467" ht="75" customHeight="1">
      <c r="A3467" s="2">
        <f>HYPERLINK("https://camerareadycosmetics.com/products/smashbox-x-becca-shimmering-skin-perfector-highlighter", "https://camerareadycosmetics.com/products/smashbox-x-becca-shimmering-skin-perfector-highlighter")</f>
        <v/>
      </c>
      <c r="B3467" s="2">
        <f>HYPERLINK("https://camerareadycosmetics.com/products/smashbox-x-becca-shimmering-skin-perfector-highlighter", "https://camerareadycosmetics.com/products/smashbox-x-becca-shimmering-skin-perfector-highlighter")</f>
        <v/>
      </c>
      <c r="C3467" t="inlineStr">
        <is>
          <t>X Becca Shimmering Skin Perfector Pressed Highlighter</t>
        </is>
      </c>
      <c r="D3467" t="inlineStr">
        <is>
          <t>Becca Cosmetics Shimmering Skin Perfector Pressed Mini - Champagne Pop</t>
        </is>
      </c>
      <c r="E3467" s="2">
        <f>HYPERLINK("https://www.amazon.com/Becca-Cosmetics-Shimmering-Perfector-Pressed/dp/B07CWPM1HX/ref=sr_1_4?keywords=X+Becca+Shimmering+Skin+Perfector+Pressed+Highlighter&amp;qid=1695565801&amp;sr=8-4", "https://www.amazon.com/Becca-Cosmetics-Shimmering-Perfector-Pressed/dp/B07CWPM1HX/ref=sr_1_4?keywords=X+Becca+Shimmering+Skin+Perfector+Pressed+Highlighter&amp;qid=1695565801&amp;sr=8-4")</f>
        <v/>
      </c>
      <c r="F3467" t="inlineStr">
        <is>
          <t>B07CWPM1HX</t>
        </is>
      </c>
      <c r="G3467">
        <f>_xlfn.IMAGE("https://camerareadycosmetics.com/cdn/shop/products/smashbox-becca-shimmering-skin-perfector-highlighter_50x.jpg?v=1642031044")</f>
        <v/>
      </c>
      <c r="H3467">
        <f>_xlfn.IMAGE("https://m.media-amazon.com/images/I/71a2mwDcK7L._AC_UL320_.jpg")</f>
        <v/>
      </c>
      <c r="K3467" t="inlineStr">
        <is>
          <t>42.0</t>
        </is>
      </c>
      <c r="L3467" t="n">
        <v>20.01</v>
      </c>
      <c r="M3467" s="1" t="inlineStr">
        <is>
          <t>-52.36%</t>
        </is>
      </c>
      <c r="N3467" t="n">
        <v>4.4</v>
      </c>
      <c r="O3467" t="n">
        <v>109</v>
      </c>
      <c r="Q3467" t="inlineStr">
        <is>
          <t>InStock</t>
        </is>
      </c>
      <c r="R3467" t="inlineStr">
        <is>
          <t>undefined</t>
        </is>
      </c>
      <c r="S3467" t="inlineStr">
        <is>
          <t>7153845076153</t>
        </is>
      </c>
    </row>
    <row r="3468" ht="75" customHeight="1">
      <c r="A3468" s="2">
        <f>HYPERLINK("https://camerareadycosmetics.com/products/smashbox-x-becca-shimmering-skin-perfector-highlighter", "https://camerareadycosmetics.com/products/smashbox-x-becca-shimmering-skin-perfector-highlighter")</f>
        <v/>
      </c>
      <c r="B3468" s="2">
        <f>HYPERLINK("https://camerareadycosmetics.com/products/smashbox-x-becca-shimmering-skin-perfector-highlighter", "https://camerareadycosmetics.com/products/smashbox-x-becca-shimmering-skin-perfector-highlighter")</f>
        <v/>
      </c>
      <c r="C3468" t="inlineStr">
        <is>
          <t>X Becca Shimmering Skin Perfector Pressed Highlighter</t>
        </is>
      </c>
      <c r="D3468" t="inlineStr">
        <is>
          <t>SmashBox Becca Shimmering Skin Perfector Pressed Highlighter - Champa Highlighter Women 0.24 oz</t>
        </is>
      </c>
      <c r="E3468" s="2">
        <f>HYPERLINK("https://www.amazon.com/SmashBox-Shimmering-Perfector-Pressed-Highlighter/dp/B0B6JFQRSJ/ref=sr_1_1?keywords=X+Becca+Shimmering+Skin+Perfector+Pressed+Highlighter&amp;qid=1695565801&amp;sr=8-1", "https://www.amazon.com/SmashBox-Shimmering-Perfector-Pressed-Highlighter/dp/B0B6JFQRSJ/ref=sr_1_1?keywords=X+Becca+Shimmering+Skin+Perfector+Pressed+Highlighter&amp;qid=1695565801&amp;sr=8-1")</f>
        <v/>
      </c>
      <c r="F3468" t="inlineStr">
        <is>
          <t>B0B6JFQRSJ</t>
        </is>
      </c>
      <c r="G3468">
        <f>_xlfn.IMAGE("https://camerareadycosmetics.com/cdn/shop/products/smashbox-becca-shimmering-skin-perfector-highlighter_50x.jpg?v=1642031044")</f>
        <v/>
      </c>
      <c r="H3468">
        <f>_xlfn.IMAGE("https://m.media-amazon.com/images/I/71VUivHW3gL._AC_UL320_.jpg")</f>
        <v/>
      </c>
      <c r="K3468" t="inlineStr">
        <is>
          <t>42.0</t>
        </is>
      </c>
      <c r="L3468" t="n">
        <v>14.4</v>
      </c>
      <c r="M3468" s="1" t="inlineStr">
        <is>
          <t>-65.71%</t>
        </is>
      </c>
      <c r="N3468" t="n">
        <v>4.2</v>
      </c>
      <c r="O3468" t="n">
        <v>49</v>
      </c>
      <c r="Q3468" t="inlineStr">
        <is>
          <t>InStock</t>
        </is>
      </c>
      <c r="R3468" t="inlineStr">
        <is>
          <t>undefined</t>
        </is>
      </c>
      <c r="S3468" t="inlineStr">
        <is>
          <t>7153845076153</t>
        </is>
      </c>
    </row>
    <row r="3469" ht="75" customHeight="1">
      <c r="A3469" s="2">
        <f>HYPERLINK("https://camerareadycosmetics.com/products/smashbox-x-becca-shimmering-skin-perfector-highlighter", "https://camerareadycosmetics.com/products/smashbox-x-becca-shimmering-skin-perfector-highlighter")</f>
        <v/>
      </c>
      <c r="B3469" s="2">
        <f>HYPERLINK("https://camerareadycosmetics.com/products/smashbox-x-becca-shimmering-skin-perfector-highlighter", "https://camerareadycosmetics.com/products/smashbox-x-becca-shimmering-skin-perfector-highlighter")</f>
        <v/>
      </c>
      <c r="C3469" t="inlineStr">
        <is>
          <t>X Becca Shimmering Skin Perfector Pressed Highlighter</t>
        </is>
      </c>
      <c r="D3469" t="inlineStr">
        <is>
          <t>BECCA - Shimmering Skin Perfector Pressed High Lighter, Opal: Neutral, white gold with soft pink pearl, 0.28 oz.</t>
        </is>
      </c>
      <c r="E3469" s="2">
        <f>HYPERLINK("https://www.amazon.com/BECCA-Shimmering-Perfector-Pressed-Lighter/dp/B00DXKKLQM/ref=sr_1_2?keywords=X+Becca+Shimmering+Skin+Perfector+Pressed+Highlighter&amp;qid=1695565801&amp;sr=8-2", "https://www.amazon.com/BECCA-Shimmering-Perfector-Pressed-Lighter/dp/B00DXKKLQM/ref=sr_1_2?keywords=X+Becca+Shimmering+Skin+Perfector+Pressed+Highlighter&amp;qid=1695565801&amp;sr=8-2")</f>
        <v/>
      </c>
      <c r="F3469" t="inlineStr">
        <is>
          <t>B00DXKKLQM</t>
        </is>
      </c>
      <c r="G3469">
        <f>_xlfn.IMAGE("https://camerareadycosmetics.com/cdn/shop/products/smashbox-becca-shimmering-skin-perfector-highlighter_50x.jpg?v=1642031044")</f>
        <v/>
      </c>
      <c r="H3469">
        <f>_xlfn.IMAGE("https://m.media-amazon.com/images/I/81zNNght4EL._AC_UL320_.jpg")</f>
        <v/>
      </c>
      <c r="K3469" t="inlineStr">
        <is>
          <t>42.0</t>
        </is>
      </c>
      <c r="L3469" t="n">
        <v>12.39</v>
      </c>
      <c r="M3469" s="1" t="inlineStr">
        <is>
          <t>-70.50%</t>
        </is>
      </c>
      <c r="N3469" t="n">
        <v>4.5</v>
      </c>
      <c r="O3469" t="n">
        <v>616</v>
      </c>
      <c r="Q3469" t="inlineStr">
        <is>
          <t>InStock</t>
        </is>
      </c>
      <c r="R3469" t="inlineStr">
        <is>
          <t>undefined</t>
        </is>
      </c>
      <c r="S3469" t="inlineStr">
        <is>
          <t>7153845076153</t>
        </is>
      </c>
    </row>
    <row r="3470" ht="75" customHeight="1">
      <c r="A3470" s="2">
        <f>HYPERLINK("https://camerareadycosmetics.com/products/smashbox-x-becca-shimmering-skin-perfector-highlighter", "https://camerareadycosmetics.com/products/smashbox-x-becca-shimmering-skin-perfector-highlighter")</f>
        <v/>
      </c>
      <c r="B3470" s="2">
        <f>HYPERLINK("https://camerareadycosmetics.com/products/smashbox-x-becca-shimmering-skin-perfector-highlighter", "https://camerareadycosmetics.com/products/smashbox-x-becca-shimmering-skin-perfector-highlighter")</f>
        <v/>
      </c>
      <c r="C3470" t="inlineStr">
        <is>
          <t>X Becca Shimmering Skin Perfector Pressed Highlighter</t>
        </is>
      </c>
      <c r="D3470" t="inlineStr">
        <is>
          <t>Becca Cosmetics Shimmering Skin Perfector Pressed Mini - Champagne Pop</t>
        </is>
      </c>
      <c r="E3470" s="2">
        <f>HYPERLINK("https://www.amazon.com/Becca-Cosmetics-Shimmering-Perfector-Pressed/dp/B07CWPM1HX/ref=sr_1_4?keywords=X+Becca+Shimmering+Skin+Perfector+Pressed+Highlighter&amp;qid=1695565801&amp;sr=8-4", "https://www.amazon.com/Becca-Cosmetics-Shimmering-Perfector-Pressed/dp/B07CWPM1HX/ref=sr_1_4?keywords=X+Becca+Shimmering+Skin+Perfector+Pressed+Highlighter&amp;qid=1695565801&amp;sr=8-4")</f>
        <v/>
      </c>
      <c r="F3470" t="inlineStr">
        <is>
          <t>B07CWPM1HX</t>
        </is>
      </c>
      <c r="G3470">
        <f>_xlfn.IMAGE("https://camerareadycosmetics.com/cdn/shop/products/smashbox-becca-shimmering-skin-perfector-highlighter_50x.jpg?v=1642031044")</f>
        <v/>
      </c>
      <c r="H3470">
        <f>_xlfn.IMAGE("https://m.media-amazon.com/images/I/71a2mwDcK7L._AC_UL320_.jpg")</f>
        <v/>
      </c>
      <c r="K3470" t="inlineStr">
        <is>
          <t>42.0</t>
        </is>
      </c>
      <c r="L3470" t="n">
        <v>20.01</v>
      </c>
      <c r="M3470" s="1" t="inlineStr">
        <is>
          <t>-52.36%</t>
        </is>
      </c>
      <c r="N3470" t="n">
        <v>4.4</v>
      </c>
      <c r="O3470" t="n">
        <v>109</v>
      </c>
      <c r="Q3470" t="inlineStr">
        <is>
          <t>InStock</t>
        </is>
      </c>
      <c r="R3470" t="inlineStr">
        <is>
          <t>undefined</t>
        </is>
      </c>
      <c r="S3470" t="inlineStr">
        <is>
          <t>7153845076153</t>
        </is>
      </c>
    </row>
    <row r="3471" ht="75" customHeight="1">
      <c r="A3471" s="2">
        <f>HYPERLINK("https://camerareadycosmetics.com/products/smashbox-x-becca-shimmering-skin-perfector-highlighter", "https://camerareadycosmetics.com/products/smashbox-x-becca-shimmering-skin-perfector-highlighter")</f>
        <v/>
      </c>
      <c r="B3471" s="2">
        <f>HYPERLINK("https://camerareadycosmetics.com/products/smashbox-x-becca-shimmering-skin-perfector-highlighter", "https://camerareadycosmetics.com/products/smashbox-x-becca-shimmering-skin-perfector-highlighter")</f>
        <v/>
      </c>
      <c r="C3471" t="inlineStr">
        <is>
          <t>X Becca Shimmering Skin Perfector Pressed Highlighter</t>
        </is>
      </c>
      <c r="D3471" t="inlineStr">
        <is>
          <t>SmashBox Becca Shimmering Skin Perfector Pressed Highlighter - Champa Highlighter Women 0.24 oz</t>
        </is>
      </c>
      <c r="E3471" s="2">
        <f>HYPERLINK("https://www.amazon.com/SmashBox-Shimmering-Perfector-Pressed-Highlighter/dp/B0B6JFQRSJ/ref=sr_1_1?keywords=X+Becca+Shimmering+Skin+Perfector+Pressed+Highlighter&amp;qid=1695565801&amp;sr=8-1", "https://www.amazon.com/SmashBox-Shimmering-Perfector-Pressed-Highlighter/dp/B0B6JFQRSJ/ref=sr_1_1?keywords=X+Becca+Shimmering+Skin+Perfector+Pressed+Highlighter&amp;qid=1695565801&amp;sr=8-1")</f>
        <v/>
      </c>
      <c r="F3471" t="inlineStr">
        <is>
          <t>B0B6JFQRSJ</t>
        </is>
      </c>
      <c r="G3471">
        <f>_xlfn.IMAGE("https://camerareadycosmetics.com/cdn/shop/products/smashbox-becca-shimmering-skin-perfector-highlighter_50x.jpg?v=1642031044")</f>
        <v/>
      </c>
      <c r="H3471">
        <f>_xlfn.IMAGE("https://m.media-amazon.com/images/I/71VUivHW3gL._AC_UL320_.jpg")</f>
        <v/>
      </c>
      <c r="K3471" t="inlineStr">
        <is>
          <t>42.0</t>
        </is>
      </c>
      <c r="L3471" t="n">
        <v>14.4</v>
      </c>
      <c r="M3471" s="1" t="inlineStr">
        <is>
          <t>-65.71%</t>
        </is>
      </c>
      <c r="N3471" t="n">
        <v>4.2</v>
      </c>
      <c r="O3471" t="n">
        <v>49</v>
      </c>
      <c r="Q3471" t="inlineStr">
        <is>
          <t>InStock</t>
        </is>
      </c>
      <c r="R3471" t="inlineStr">
        <is>
          <t>undefined</t>
        </is>
      </c>
      <c r="S3471" t="inlineStr">
        <is>
          <t>7153845076153</t>
        </is>
      </c>
    </row>
    <row r="3472" ht="75" customHeight="1">
      <c r="A3472" s="2">
        <f>HYPERLINK("https://camerareadycosmetics.com/products/smashbox-x-becca-shimmering-skin-perfector-highlighter", "https://camerareadycosmetics.com/products/smashbox-x-becca-shimmering-skin-perfector-highlighter")</f>
        <v/>
      </c>
      <c r="B3472" s="2">
        <f>HYPERLINK("https://camerareadycosmetics.com/products/smashbox-x-becca-shimmering-skin-perfector-highlighter", "https://camerareadycosmetics.com/products/smashbox-x-becca-shimmering-skin-perfector-highlighter")</f>
        <v/>
      </c>
      <c r="C3472" t="inlineStr">
        <is>
          <t>X Becca Shimmering Skin Perfector Pressed Highlighter</t>
        </is>
      </c>
      <c r="D3472" t="inlineStr">
        <is>
          <t>BECCA - Shimmering Skin Perfector Pressed High Lighter, Opal: Neutral, white gold with soft pink pearl, 0.28 oz.</t>
        </is>
      </c>
      <c r="E3472" s="2">
        <f>HYPERLINK("https://www.amazon.com/BECCA-Shimmering-Perfector-Pressed-Lighter/dp/B00DXKKLQM/ref=sr_1_2?keywords=X+Becca+Shimmering+Skin+Perfector+Pressed+Highlighter&amp;qid=1695565801&amp;sr=8-2", "https://www.amazon.com/BECCA-Shimmering-Perfector-Pressed-Lighter/dp/B00DXKKLQM/ref=sr_1_2?keywords=X+Becca+Shimmering+Skin+Perfector+Pressed+Highlighter&amp;qid=1695565801&amp;sr=8-2")</f>
        <v/>
      </c>
      <c r="F3472" t="inlineStr">
        <is>
          <t>B00DXKKLQM</t>
        </is>
      </c>
      <c r="G3472">
        <f>_xlfn.IMAGE("https://camerareadycosmetics.com/cdn/shop/products/smashbox-becca-shimmering-skin-perfector-highlighter_50x.jpg?v=1642031044")</f>
        <v/>
      </c>
      <c r="H3472">
        <f>_xlfn.IMAGE("https://m.media-amazon.com/images/I/81zNNght4EL._AC_UL320_.jpg")</f>
        <v/>
      </c>
      <c r="K3472" t="inlineStr">
        <is>
          <t>42.0</t>
        </is>
      </c>
      <c r="L3472" t="n">
        <v>12.39</v>
      </c>
      <c r="M3472" s="1" t="inlineStr">
        <is>
          <t>-70.50%</t>
        </is>
      </c>
      <c r="N3472" t="n">
        <v>4.5</v>
      </c>
      <c r="O3472" t="n">
        <v>616</v>
      </c>
      <c r="Q3472" t="inlineStr">
        <is>
          <t>InStock</t>
        </is>
      </c>
      <c r="R3472" t="inlineStr">
        <is>
          <t>undefined</t>
        </is>
      </c>
      <c r="S3472" t="inlineStr">
        <is>
          <t>7153845076153</t>
        </is>
      </c>
    </row>
    <row r="3473" ht="75" customHeight="1">
      <c r="A3473" s="2">
        <f>HYPERLINK("https://camerareadycosmetics.com/products/smashbox-x-becca-under-eye-brightening-corrector", "https://camerareadycosmetics.com/products/smashbox-x-becca-under-eye-brightening-corrector")</f>
        <v/>
      </c>
      <c r="B3473" s="2">
        <f>HYPERLINK("https://camerareadycosmetics.com/products/smashbox-x-becca-under-eye-brightening-corrector", "https://camerareadycosmetics.com/products/smashbox-x-becca-under-eye-brightening-corrector")</f>
        <v/>
      </c>
      <c r="C3473" t="inlineStr">
        <is>
          <t>X Becca Under Eye Brightening Corrector</t>
        </is>
      </c>
      <c r="D3473" t="inlineStr">
        <is>
          <t>BECCA - Under Eye Brightening Corrector, Light to Medium: Pearlized, peachy-pink, 0.16 oz.</t>
        </is>
      </c>
      <c r="E3473" s="2">
        <f>HYPERLINK("https://www.amazon.com/BECCA-Brightening-Corrector-Pearlized-peachy-pink/dp/B00USIPGR6/ref=sr_1_4?keywords=X+Becca+Under+Eye+Brightening+Corrector&amp;qid=1695565601&amp;sr=8-4", "https://www.amazon.com/BECCA-Brightening-Corrector-Pearlized-peachy-pink/dp/B00USIPGR6/ref=sr_1_4?keywords=X+Becca+Under+Eye+Brightening+Corrector&amp;qid=1695565601&amp;sr=8-4")</f>
        <v/>
      </c>
      <c r="F3473" t="inlineStr">
        <is>
          <t>B00USIPGR6</t>
        </is>
      </c>
      <c r="G3473">
        <f>_xlfn.IMAGE("https://camerareadycosmetics.com/cdn/shop/products/fair-light-smashbox-becca_50x.jpg?v=1642033215")</f>
        <v/>
      </c>
      <c r="H3473">
        <f>_xlfn.IMAGE("https://m.media-amazon.com/images/I/71SEFtO1QaL._AC_UL320_.jpg")</f>
        <v/>
      </c>
      <c r="K3473" t="inlineStr">
        <is>
          <t>33.0</t>
        </is>
      </c>
      <c r="L3473" t="n">
        <v>49.41</v>
      </c>
      <c r="M3473" s="1" t="inlineStr">
        <is>
          <t>49.73%</t>
        </is>
      </c>
      <c r="N3473" t="n">
        <v>4.2</v>
      </c>
      <c r="O3473" t="n">
        <v>2267</v>
      </c>
      <c r="Q3473" t="inlineStr">
        <is>
          <t>InStock</t>
        </is>
      </c>
      <c r="R3473" t="inlineStr">
        <is>
          <t>undefined</t>
        </is>
      </c>
      <c r="S3473" t="inlineStr">
        <is>
          <t>7153878663353</t>
        </is>
      </c>
    </row>
    <row r="3474" ht="75" customHeight="1">
      <c r="A3474" s="2">
        <f>HYPERLINK("https://camerareadycosmetics.com/products/smashbox-x-becca-under-eye-brightening-corrector", "https://camerareadycosmetics.com/products/smashbox-x-becca-under-eye-brightening-corrector")</f>
        <v/>
      </c>
      <c r="B3474" s="2">
        <f>HYPERLINK("https://camerareadycosmetics.com/products/smashbox-x-becca-under-eye-brightening-corrector", "https://camerareadycosmetics.com/products/smashbox-x-becca-under-eye-brightening-corrector")</f>
        <v/>
      </c>
      <c r="C3474" t="inlineStr">
        <is>
          <t>X Becca Under Eye Brightening Corrector</t>
        </is>
      </c>
      <c r="D3474" t="inlineStr">
        <is>
          <t>Becca Under Eye Brightening Corrector for Women, Light To Medium, 0.16 Oz</t>
        </is>
      </c>
      <c r="E3474" s="2">
        <f>HYPERLINK("https://www.amazon.com/9331137018493-Under-Eye-Brightening-Corrector/dp/B0773KNMZF/ref=sr_1_3?keywords=X+Becca+Under+Eye+Brightening+Corrector&amp;qid=1695565601&amp;sr=8-3", "https://www.amazon.com/9331137018493-Under-Eye-Brightening-Corrector/dp/B0773KNMZF/ref=sr_1_3?keywords=X+Becca+Under+Eye+Brightening+Corrector&amp;qid=1695565601&amp;sr=8-3")</f>
        <v/>
      </c>
      <c r="F3474" t="inlineStr">
        <is>
          <t>B0773KNMZF</t>
        </is>
      </c>
      <c r="G3474">
        <f>_xlfn.IMAGE("https://camerareadycosmetics.com/cdn/shop/products/fair-light-smashbox-becca_50x.jpg?v=1642033215")</f>
        <v/>
      </c>
      <c r="H3474">
        <f>_xlfn.IMAGE("https://m.media-amazon.com/images/I/71KwpxBU7xL._AC_UL320_.jpg")</f>
        <v/>
      </c>
      <c r="K3474" t="inlineStr">
        <is>
          <t>33.0</t>
        </is>
      </c>
      <c r="L3474" t="n">
        <v>45.08</v>
      </c>
      <c r="M3474" s="1" t="inlineStr">
        <is>
          <t>36.61%</t>
        </is>
      </c>
      <c r="N3474" t="n">
        <v>4.4</v>
      </c>
      <c r="O3474" t="n">
        <v>2067</v>
      </c>
      <c r="Q3474" t="inlineStr">
        <is>
          <t>InStock</t>
        </is>
      </c>
      <c r="R3474" t="inlineStr">
        <is>
          <t>undefined</t>
        </is>
      </c>
      <c r="S3474" t="inlineStr">
        <is>
          <t>7153878663353</t>
        </is>
      </c>
    </row>
    <row r="3475" ht="75" customHeight="1">
      <c r="A3475" s="2">
        <f>HYPERLINK("https://camerareadycosmetics.com/products/smashbox-x-becca-under-eye-brightening-corrector", "https://camerareadycosmetics.com/products/smashbox-x-becca-under-eye-brightening-corrector")</f>
        <v/>
      </c>
      <c r="B3475" s="2">
        <f>HYPERLINK("https://camerareadycosmetics.com/products/smashbox-x-becca-under-eye-brightening-corrector", "https://camerareadycosmetics.com/products/smashbox-x-becca-under-eye-brightening-corrector")</f>
        <v/>
      </c>
      <c r="C3475" t="inlineStr">
        <is>
          <t>X Becca Under Eye Brightening Corrector</t>
        </is>
      </c>
      <c r="D3475" t="inlineStr">
        <is>
          <t>Lune+Aster HydraGlow Undereye Brightening Corrector - Skin-nourishing undereye brightening corrector with hyaluronic acid, vitamins C and E, licorice extract &amp; vegan squalene.</t>
        </is>
      </c>
      <c r="E3475" s="2">
        <f>HYPERLINK("https://www.amazon.com/Lune-Aster-HydraGlow-Brightening-Corrector/dp/B09ZZJXNK3/ref=sr_1_8?keywords=X+Becca+Under+Eye+Brightening+Corrector&amp;qid=1695565601&amp;sr=8-8", "https://www.amazon.com/Lune-Aster-HydraGlow-Brightening-Corrector/dp/B09ZZJXNK3/ref=sr_1_8?keywords=X+Becca+Under+Eye+Brightening+Corrector&amp;qid=1695565601&amp;sr=8-8")</f>
        <v/>
      </c>
      <c r="F3475" t="inlineStr">
        <is>
          <t>B09ZZJXNK3</t>
        </is>
      </c>
      <c r="G3475">
        <f>_xlfn.IMAGE("https://camerareadycosmetics.com/cdn/shop/products/fair-light-smashbox-becca_50x.jpg?v=1642033215")</f>
        <v/>
      </c>
      <c r="H3475">
        <f>_xlfn.IMAGE("https://m.media-amazon.com/images/I/71ZbZv4PNVL._AC_UL320_.jpg")</f>
        <v/>
      </c>
      <c r="K3475" t="inlineStr">
        <is>
          <t>33.0</t>
        </is>
      </c>
      <c r="L3475" t="n">
        <v>28</v>
      </c>
      <c r="M3475" s="1" t="inlineStr">
        <is>
          <t>-15.15%</t>
        </is>
      </c>
      <c r="N3475" t="n">
        <v>4.3</v>
      </c>
      <c r="O3475" t="n">
        <v>48</v>
      </c>
      <c r="Q3475" t="inlineStr">
        <is>
          <t>InStock</t>
        </is>
      </c>
      <c r="R3475" t="inlineStr">
        <is>
          <t>undefined</t>
        </is>
      </c>
      <c r="S3475" t="inlineStr">
        <is>
          <t>7153878663353</t>
        </is>
      </c>
    </row>
    <row r="3476" ht="75" customHeight="1">
      <c r="A3476" s="2">
        <f>HYPERLINK("https://camerareadycosmetics.com/products/smashbox-x-becca-under-eye-brightening-corrector", "https://camerareadycosmetics.com/products/smashbox-x-becca-under-eye-brightening-corrector")</f>
        <v/>
      </c>
      <c r="B3476" s="2">
        <f>HYPERLINK("https://camerareadycosmetics.com/products/smashbox-x-becca-under-eye-brightening-corrector", "https://camerareadycosmetics.com/products/smashbox-x-becca-under-eye-brightening-corrector")</f>
        <v/>
      </c>
      <c r="C3476" t="inlineStr">
        <is>
          <t>X Becca Under Eye Brightening Corrector</t>
        </is>
      </c>
      <c r="D3476" t="inlineStr">
        <is>
          <t>Smashbox Becca Under Eye Brightening Corrector - Medium Corrector Women 0.15 oz</t>
        </is>
      </c>
      <c r="E3476" s="2">
        <f>HYPERLINK("https://www.amazon.com/Smashbox-Becca-Under-Brightening-Corrector/dp/B0BGHZ6BK4/ref=sr_1_2?keywords=X+Becca+Under+Eye+Brightening+Corrector&amp;qid=1695565601&amp;sr=8-2", "https://www.amazon.com/Smashbox-Becca-Under-Brightening-Corrector/dp/B0BGHZ6BK4/ref=sr_1_2?keywords=X+Becca+Under+Eye+Brightening+Corrector&amp;qid=1695565601&amp;sr=8-2")</f>
        <v/>
      </c>
      <c r="F3476" t="inlineStr">
        <is>
          <t>B0BGHZ6BK4</t>
        </is>
      </c>
      <c r="G3476">
        <f>_xlfn.IMAGE("https://camerareadycosmetics.com/cdn/shop/products/fair-light-smashbox-becca_50x.jpg?v=1642033215")</f>
        <v/>
      </c>
      <c r="H3476">
        <f>_xlfn.IMAGE("https://m.media-amazon.com/images/I/61C1eAM6r2L._AC_UL320_.jpg")</f>
        <v/>
      </c>
      <c r="K3476" t="inlineStr">
        <is>
          <t>33.0</t>
        </is>
      </c>
      <c r="L3476" t="n">
        <v>23</v>
      </c>
      <c r="M3476" s="1" t="inlineStr">
        <is>
          <t>-30.30%</t>
        </is>
      </c>
      <c r="N3476" t="n">
        <v>4.4</v>
      </c>
      <c r="O3476" t="n">
        <v>51</v>
      </c>
      <c r="Q3476" t="inlineStr">
        <is>
          <t>InStock</t>
        </is>
      </c>
      <c r="R3476" t="inlineStr">
        <is>
          <t>undefined</t>
        </is>
      </c>
      <c r="S3476" t="inlineStr">
        <is>
          <t>7153878663353</t>
        </is>
      </c>
    </row>
    <row r="3477" ht="75" customHeight="1">
      <c r="A3477" s="2">
        <f>HYPERLINK("https://camerareadycosmetics.com/products/smashbox-x-becca-under-eye-brightening-corrector", "https://camerareadycosmetics.com/products/smashbox-x-becca-under-eye-brightening-corrector")</f>
        <v/>
      </c>
      <c r="B3477" s="2">
        <f>HYPERLINK("https://camerareadycosmetics.com/products/smashbox-x-becca-under-eye-brightening-corrector", "https://camerareadycosmetics.com/products/smashbox-x-becca-under-eye-brightening-corrector")</f>
        <v/>
      </c>
      <c r="C3477" t="inlineStr">
        <is>
          <t>X Becca Under Eye Brightening Corrector</t>
        </is>
      </c>
      <c r="D3477" t="inlineStr">
        <is>
          <t>BECCA - Under Eye Brightening Corrector, Medium to Deep: Rich, pearlized apricot, 0.16 oz.</t>
        </is>
      </c>
      <c r="E3477" s="2">
        <f>HYPERLINK("https://www.amazon.com/BECCA-Brightening-Corrector-pearlized-apricot/dp/B078P1C25N/ref=sr_1_5?keywords=X+Becca+Under+Eye+Brightening+Corrector&amp;qid=1695565601&amp;sr=8-5", "https://www.amazon.com/BECCA-Brightening-Corrector-pearlized-apricot/dp/B078P1C25N/ref=sr_1_5?keywords=X+Becca+Under+Eye+Brightening+Corrector&amp;qid=1695565601&amp;sr=8-5")</f>
        <v/>
      </c>
      <c r="F3477" t="inlineStr">
        <is>
          <t>B078P1C25N</t>
        </is>
      </c>
      <c r="G3477">
        <f>_xlfn.IMAGE("https://camerareadycosmetics.com/cdn/shop/products/fair-light-smashbox-becca_50x.jpg?v=1642033215")</f>
        <v/>
      </c>
      <c r="H3477">
        <f>_xlfn.IMAGE("https://m.media-amazon.com/images/I/71rW8NEE8lL._AC_UL320_.jpg")</f>
        <v/>
      </c>
      <c r="K3477" t="inlineStr">
        <is>
          <t>33.0</t>
        </is>
      </c>
      <c r="L3477" t="n">
        <v>15.98</v>
      </c>
      <c r="M3477" s="1" t="inlineStr">
        <is>
          <t>-51.58%</t>
        </is>
      </c>
      <c r="N3477" t="n">
        <v>4.2</v>
      </c>
      <c r="O3477" t="n">
        <v>281</v>
      </c>
      <c r="Q3477" t="inlineStr">
        <is>
          <t>InStock</t>
        </is>
      </c>
      <c r="R3477" t="inlineStr">
        <is>
          <t>undefined</t>
        </is>
      </c>
      <c r="S3477" t="inlineStr">
        <is>
          <t>7153878663353</t>
        </is>
      </c>
    </row>
    <row r="3478" ht="75" customHeight="1">
      <c r="A3478" s="2">
        <f>HYPERLINK("https://camerareadycosmetics.com/products/smashbox-x-becca-under-eye-brightening-corrector", "https://camerareadycosmetics.com/products/smashbox-x-becca-under-eye-brightening-corrector")</f>
        <v/>
      </c>
      <c r="B3478" s="2">
        <f>HYPERLINK("https://camerareadycosmetics.com/products/smashbox-x-becca-under-eye-brightening-corrector", "https://camerareadycosmetics.com/products/smashbox-x-becca-under-eye-brightening-corrector")</f>
        <v/>
      </c>
      <c r="C3478" t="inlineStr">
        <is>
          <t>X Becca Under Eye Brightening Corrector</t>
        </is>
      </c>
      <c r="D3478" t="inlineStr">
        <is>
          <t>BECCA - Under Eye Brightening Corrector, Medium to Deep: Rich, pearlized apricot, 0.16 oz.</t>
        </is>
      </c>
      <c r="E3478" s="2">
        <f>HYPERLINK("https://www.amazon.com/BECCA-Brightening-Corrector-pearlized-apricot/dp/B078P1C25N/ref=sr_1_5?keywords=X+Becca+Under+Eye+Brightening+Corrector&amp;qid=1695565601&amp;sr=8-5", "https://www.amazon.com/BECCA-Brightening-Corrector-pearlized-apricot/dp/B078P1C25N/ref=sr_1_5?keywords=X+Becca+Under+Eye+Brightening+Corrector&amp;qid=1695565601&amp;sr=8-5")</f>
        <v/>
      </c>
      <c r="F3478" t="inlineStr">
        <is>
          <t>B078P1C25N</t>
        </is>
      </c>
      <c r="G3478">
        <f>_xlfn.IMAGE("https://camerareadycosmetics.com/cdn/shop/products/fair-light-smashbox-becca_50x.jpg?v=1642033215")</f>
        <v/>
      </c>
      <c r="H3478">
        <f>_xlfn.IMAGE("https://m.media-amazon.com/images/I/71rW8NEE8lL._AC_UL320_.jpg")</f>
        <v/>
      </c>
      <c r="K3478" t="inlineStr">
        <is>
          <t>33.0</t>
        </is>
      </c>
      <c r="L3478" t="n">
        <v>15.98</v>
      </c>
      <c r="M3478" s="1" t="inlineStr">
        <is>
          <t>-51.58%</t>
        </is>
      </c>
      <c r="N3478" t="n">
        <v>4.2</v>
      </c>
      <c r="O3478" t="n">
        <v>281</v>
      </c>
      <c r="Q3478" t="inlineStr">
        <is>
          <t>InStock</t>
        </is>
      </c>
      <c r="R3478" t="inlineStr">
        <is>
          <t>undefined</t>
        </is>
      </c>
      <c r="S3478" t="inlineStr">
        <is>
          <t>7153878663353</t>
        </is>
      </c>
    </row>
    <row r="3479" ht="75" customHeight="1">
      <c r="A3479" s="2">
        <f>HYPERLINK("https://camerareadycosmetics.com/products/sonia-roselli-drop-individual-false-lashes", "https://camerareadycosmetics.com/products/sonia-roselli-drop-individual-false-lashes")</f>
        <v/>
      </c>
      <c r="B3479" s="2">
        <f>HYPERLINK("https://camerareadycosmetics.com/products/sonia-roselli-drop-individual-false-lashes", "https://camerareadycosmetics.com/products/sonia-roselli-drop-individual-false-lashes")</f>
        <v/>
      </c>
      <c r="C3479" t="inlineStr">
        <is>
          <t>Drop Lashes</t>
        </is>
      </c>
      <c r="D3479" t="inlineStr">
        <is>
          <t>Eyelash Super Bonder, Lash Retention with Dropper Design, Lash Extension Supplies for Professional Eyelashes Artists, Mink, Cluster, Lashes, Retention Super Bonder Sealant (15ml)</t>
        </is>
      </c>
      <c r="E3479" s="2">
        <f>HYPERLINK("https://www.amazon.com/All-Retention-Extension-Professional-Eyelashes/dp/B091BPR7TL/ref=sr_1_8?keywords=Drop+Lashes&amp;qid=1695565662&amp;sr=8-8", "https://www.amazon.com/All-Retention-Extension-Professional-Eyelashes/dp/B091BPR7TL/ref=sr_1_8?keywords=Drop+Lashes&amp;qid=1695565662&amp;sr=8-8")</f>
        <v/>
      </c>
      <c r="F3479" t="inlineStr">
        <is>
          <t>B091BPR7TL</t>
        </is>
      </c>
      <c r="G3479">
        <f>_xlfn.IMAGE("https://camerareadycosmetics.com/cdn/shop/products/DropLashes2_1800x1800_5b088188-c88c-4b58-97bd-c7a00afc49f8_50x.jpg?v=1688677994")</f>
        <v/>
      </c>
      <c r="H3479">
        <f>_xlfn.IMAGE("https://m.media-amazon.com/images/I/515zjFxa1sL._AC_UL320_.jpg")</f>
        <v/>
      </c>
      <c r="K3479" t="inlineStr">
        <is>
          <t>25.0</t>
        </is>
      </c>
      <c r="L3479" t="n">
        <v>16.5</v>
      </c>
      <c r="M3479" s="1" t="inlineStr">
        <is>
          <t>-34.00%</t>
        </is>
      </c>
      <c r="N3479" t="n">
        <v>4.2</v>
      </c>
      <c r="O3479" t="n">
        <v>150</v>
      </c>
      <c r="Q3479" t="inlineStr">
        <is>
          <t>InStock</t>
        </is>
      </c>
      <c r="R3479" t="inlineStr">
        <is>
          <t>25.0</t>
        </is>
      </c>
      <c r="S3479" t="inlineStr">
        <is>
          <t>7572746043577</t>
        </is>
      </c>
    </row>
    <row r="3480" ht="75" customHeight="1">
      <c r="A3480" s="2">
        <f>HYPERLINK("https://camerareadycosmetics.com/products/sonia-roselli-drop-individual-false-lashes", "https://camerareadycosmetics.com/products/sonia-roselli-drop-individual-false-lashes")</f>
        <v/>
      </c>
      <c r="B3480" s="2">
        <f>HYPERLINK("https://camerareadycosmetics.com/products/sonia-roselli-drop-individual-false-lashes", "https://camerareadycosmetics.com/products/sonia-roselli-drop-individual-false-lashes")</f>
        <v/>
      </c>
      <c r="C3480" t="inlineStr">
        <is>
          <t>Drop Lashes</t>
        </is>
      </c>
      <c r="D3480" t="inlineStr">
        <is>
          <t>BL Lashes Blink Black Diamond Coating/Crystal Drop Eyelash Sealer for lash Extensions | Overnighter Lash Sealer for Long-Lasting &amp; healthy Lash Extension | Longer Retention- 7 ml/ 0.24 fl Oz (Clear)</t>
        </is>
      </c>
      <c r="E3480" s="2">
        <f>HYPERLINK("https://www.amazon.com/BL-Extensions-Overnighter-Long-Lasting-Retention/dp/B00LO2ACQU/ref=sr_1_3?keywords=Drop+Lashes&amp;qid=1695565662&amp;sr=8-3", "https://www.amazon.com/BL-Extensions-Overnighter-Long-Lasting-Retention/dp/B00LO2ACQU/ref=sr_1_3?keywords=Drop+Lashes&amp;qid=1695565662&amp;sr=8-3")</f>
        <v/>
      </c>
      <c r="F3480" t="inlineStr">
        <is>
          <t>B00LO2ACQU</t>
        </is>
      </c>
      <c r="G3480">
        <f>_xlfn.IMAGE("https://camerareadycosmetics.com/cdn/shop/products/DropLashes2_1800x1800_5b088188-c88c-4b58-97bd-c7a00afc49f8_50x.jpg?v=1688677994")</f>
        <v/>
      </c>
      <c r="H3480">
        <f>_xlfn.IMAGE("https://m.media-amazon.com/images/I/71ZmUPpr8QL._AC_UL320_.jpg")</f>
        <v/>
      </c>
      <c r="K3480" t="inlineStr">
        <is>
          <t>25.0</t>
        </is>
      </c>
      <c r="L3480" t="n">
        <v>15.99</v>
      </c>
      <c r="M3480" s="1" t="inlineStr">
        <is>
          <t>-36.04%</t>
        </is>
      </c>
      <c r="N3480" t="n">
        <v>4.3</v>
      </c>
      <c r="O3480" t="n">
        <v>1735</v>
      </c>
      <c r="Q3480" t="inlineStr">
        <is>
          <t>InStock</t>
        </is>
      </c>
      <c r="R3480" t="inlineStr">
        <is>
          <t>25.0</t>
        </is>
      </c>
      <c r="S3480" t="inlineStr">
        <is>
          <t>7572746043577</t>
        </is>
      </c>
    </row>
    <row r="3481" ht="75" customHeight="1">
      <c r="A3481" s="2">
        <f>HYPERLINK("https://camerareadycosmetics.com/products/sonia-roselli-drop-individual-false-lashes", "https://camerareadycosmetics.com/products/sonia-roselli-drop-individual-false-lashes")</f>
        <v/>
      </c>
      <c r="B3481" s="2">
        <f>HYPERLINK("https://camerareadycosmetics.com/products/sonia-roselli-drop-individual-false-lashes", "https://camerareadycosmetics.com/products/sonia-roselli-drop-individual-false-lashes")</f>
        <v/>
      </c>
      <c r="C3481" t="inlineStr">
        <is>
          <t>Drop Lashes</t>
        </is>
      </c>
      <c r="D3481" t="inlineStr">
        <is>
          <t>Eyelash Extension Glue, Lash Glue for Eyelash Extensions 10 ml, Smart Drop Technology Flash Glue for Classic and Volume Lashes, 0.03 ml per Drop, 1 S Dry Time, 6-7 Weeks Retention by BEYELIAN</t>
        </is>
      </c>
      <c r="E3481" s="2">
        <f>HYPERLINK("https://www.amazon.com/BEYELIAN-Extension-Adhesive-Technology-Retention/dp/B094933X5D/ref=sr_1_4?keywords=Drop+Lashes&amp;qid=1695565662&amp;sr=8-4", "https://www.amazon.com/BEYELIAN-Extension-Adhesive-Technology-Retention/dp/B094933X5D/ref=sr_1_4?keywords=Drop+Lashes&amp;qid=1695565662&amp;sr=8-4")</f>
        <v/>
      </c>
      <c r="F3481" t="inlineStr">
        <is>
          <t>B094933X5D</t>
        </is>
      </c>
      <c r="G3481">
        <f>_xlfn.IMAGE("https://camerareadycosmetics.com/cdn/shop/products/DropLashes2_1800x1800_5b088188-c88c-4b58-97bd-c7a00afc49f8_50x.jpg?v=1688677994")</f>
        <v/>
      </c>
      <c r="H3481">
        <f>_xlfn.IMAGE("https://m.media-amazon.com/images/I/61ekS2zptSS._AC_UL320_.jpg")</f>
        <v/>
      </c>
      <c r="K3481" t="inlineStr">
        <is>
          <t>25.0</t>
        </is>
      </c>
      <c r="L3481" t="n">
        <v>11.99</v>
      </c>
      <c r="M3481" s="1" t="inlineStr">
        <is>
          <t>-52.04%</t>
        </is>
      </c>
      <c r="N3481" t="n">
        <v>3.9</v>
      </c>
      <c r="O3481" t="n">
        <v>198</v>
      </c>
      <c r="Q3481" t="inlineStr">
        <is>
          <t>InStock</t>
        </is>
      </c>
      <c r="R3481" t="inlineStr">
        <is>
          <t>25.0</t>
        </is>
      </c>
      <c r="S3481" t="inlineStr">
        <is>
          <t>7572746043577</t>
        </is>
      </c>
    </row>
    <row r="3482" ht="75" customHeight="1">
      <c r="A3482" s="2">
        <f>HYPERLINK("https://camerareadycosmetics.com/products/sonia-roselli-drop-individual-false-lashes", "https://camerareadycosmetics.com/products/sonia-roselli-drop-individual-false-lashes")</f>
        <v/>
      </c>
      <c r="B3482" s="2">
        <f>HYPERLINK("https://camerareadycosmetics.com/products/sonia-roselli-drop-individual-false-lashes", "https://camerareadycosmetics.com/products/sonia-roselli-drop-individual-false-lashes")</f>
        <v/>
      </c>
      <c r="C3482" t="inlineStr">
        <is>
          <t>Drop Lashes</t>
        </is>
      </c>
      <c r="D3482" t="inlineStr">
        <is>
          <t>Eyelash Extension Glue, Lash Glue for Eyelash Extensions 10 ml, Smart Drop Technology Flash Glue for Classic and Volume Lashes, 0.03 ml per Drop, 1 S Dry Time, 6-7 Weeks Retention by BEYELIAN</t>
        </is>
      </c>
      <c r="E3482" s="2">
        <f>HYPERLINK("https://www.amazon.com/BEYELIAN-Extension-Adhesive-Technology-Retention/dp/B094933X5D/ref=sr_1_4?keywords=Drop+Lashes&amp;qid=1695565662&amp;sr=8-4", "https://www.amazon.com/BEYELIAN-Extension-Adhesive-Technology-Retention/dp/B094933X5D/ref=sr_1_4?keywords=Drop+Lashes&amp;qid=1695565662&amp;sr=8-4")</f>
        <v/>
      </c>
      <c r="F3482" t="inlineStr">
        <is>
          <t>B094933X5D</t>
        </is>
      </c>
      <c r="G3482">
        <f>_xlfn.IMAGE("https://camerareadycosmetics.com/cdn/shop/products/DropLashes2_1800x1800_5b088188-c88c-4b58-97bd-c7a00afc49f8_50x.jpg?v=1688677994")</f>
        <v/>
      </c>
      <c r="H3482">
        <f>_xlfn.IMAGE("https://m.media-amazon.com/images/I/61ekS2zptSS._AC_UL320_.jpg")</f>
        <v/>
      </c>
      <c r="K3482" t="inlineStr">
        <is>
          <t>25.0</t>
        </is>
      </c>
      <c r="L3482" t="n">
        <v>11.99</v>
      </c>
      <c r="M3482" s="1" t="inlineStr">
        <is>
          <t>-52.04%</t>
        </is>
      </c>
      <c r="N3482" t="n">
        <v>3.9</v>
      </c>
      <c r="O3482" t="n">
        <v>198</v>
      </c>
      <c r="Q3482" t="inlineStr">
        <is>
          <t>InStock</t>
        </is>
      </c>
      <c r="R3482" t="inlineStr">
        <is>
          <t>25.0</t>
        </is>
      </c>
      <c r="S3482" t="inlineStr">
        <is>
          <t>7572746043577</t>
        </is>
      </c>
    </row>
    <row r="3483" ht="75" customHeight="1">
      <c r="A3483" s="2">
        <f>HYPERLINK("https://camerareadycosmetics.com/products/stila-all-about-the-blur-blurring-smoothing-primer", "https://camerareadycosmetics.com/products/stila-all-about-the-blur-blurring-smoothing-primer")</f>
        <v/>
      </c>
      <c r="B3483" s="2">
        <f>HYPERLINK("https://camerareadycosmetics.com/products/stila-all-about-the-blur-blurring-smoothing-primer", "https://camerareadycosmetics.com/products/stila-all-about-the-blur-blurring-smoothing-primer")</f>
        <v/>
      </c>
      <c r="C3483" t="inlineStr">
        <is>
          <t>All About The Blur Blurring &amp; Smoothing Primer</t>
        </is>
      </c>
      <c r="D3483" t="inlineStr">
        <is>
          <t>stila All About The Blur Blurring &amp; Smoothing Primer</t>
        </is>
      </c>
      <c r="E3483" s="2">
        <f>HYPERLINK("https://www.amazon.com/About-Blur-Blurring-Smoothing-Primer/dp/B0BQNYB5B2/ref=sr_1_1?keywords=All+About+The+Blur+Blurring+%26+Smoothing+Primer&amp;qid=1695565852&amp;sr=8-1", "https://www.amazon.com/About-Blur-Blurring-Smoothing-Primer/dp/B0BQNYB5B2/ref=sr_1_1?keywords=All+About+The+Blur+Blurring+%26+Smoothing+Primer&amp;qid=1695565852&amp;sr=8-1")</f>
        <v/>
      </c>
      <c r="F3483" t="inlineStr">
        <is>
          <t>B0BQNYB5B2</t>
        </is>
      </c>
      <c r="G3483">
        <f>_xlfn.IMAGE("https://camerareadycosmetics.com/cdn/shop/products/STILA_SPRING23_AllAboutTheBlur_BlurringandSmoothingPrimer_2000x2000_SE03010001_094800361980_01_50x.jpg?v=1674244064")</f>
        <v/>
      </c>
      <c r="H3483">
        <f>_xlfn.IMAGE("https://m.media-amazon.com/images/I/51RoFyhnruL._AC_UL320_.jpg")</f>
        <v/>
      </c>
      <c r="K3483" t="inlineStr">
        <is>
          <t>36.0</t>
        </is>
      </c>
      <c r="L3483" t="n">
        <v>30.6</v>
      </c>
      <c r="M3483" s="1" t="inlineStr">
        <is>
          <t>-15.00%</t>
        </is>
      </c>
      <c r="N3483" t="n">
        <v>3.3</v>
      </c>
      <c r="O3483" t="n">
        <v>5</v>
      </c>
      <c r="Q3483" t="inlineStr">
        <is>
          <t>InStock</t>
        </is>
      </c>
      <c r="R3483" t="inlineStr">
        <is>
          <t>undefined</t>
        </is>
      </c>
      <c r="S3483" t="inlineStr">
        <is>
          <t>7563716886713</t>
        </is>
      </c>
    </row>
    <row r="3484" ht="75" customHeight="1">
      <c r="A3484" s="2">
        <f>HYPERLINK("https://camerareadycosmetics.com/products/stila-all-about-the-blur-instant-blurring-stick", "https://camerareadycosmetics.com/products/stila-all-about-the-blur-instant-blurring-stick")</f>
        <v/>
      </c>
      <c r="B3484" s="2">
        <f>HYPERLINK("https://camerareadycosmetics.com/products/stila-all-about-the-blur-instant-blurring-stick", "https://camerareadycosmetics.com/products/stila-all-about-the-blur-instant-blurring-stick")</f>
        <v/>
      </c>
      <c r="C3484" t="inlineStr">
        <is>
          <t>All About The Blur Instant Blurring Stick</t>
        </is>
      </c>
      <c r="D3484" t="inlineStr">
        <is>
          <t>stila All About The Blur Blurring &amp; Smoothing Primer</t>
        </is>
      </c>
      <c r="E3484" s="2">
        <f>HYPERLINK("https://www.amazon.com/About-Blur-Blurring-Smoothing-Primer/dp/B0BQNYB5B2/ref=sr_1_4?keywords=All+About+The+Blur+Instant+Blurring+Stick&amp;qid=1695565825&amp;sr=8-4", "https://www.amazon.com/About-Blur-Blurring-Smoothing-Primer/dp/B0BQNYB5B2/ref=sr_1_4?keywords=All+About+The+Blur+Instant+Blurring+Stick&amp;qid=1695565825&amp;sr=8-4")</f>
        <v/>
      </c>
      <c r="F3484" t="inlineStr">
        <is>
          <t>B0BQNYB5B2</t>
        </is>
      </c>
      <c r="G3484">
        <f>_xlfn.IMAGE("https://camerareadycosmetics.com/cdn/shop/products/STILA_SPRING23_AllAboutTheBlur_InstantBlurStick_2000x2000_SE04010001_094800361997_01_50x.jpg?v=1674249217")</f>
        <v/>
      </c>
      <c r="H3484">
        <f>_xlfn.IMAGE("https://m.media-amazon.com/images/I/51RoFyhnruL._AC_UL320_.jpg")</f>
        <v/>
      </c>
      <c r="K3484" t="inlineStr">
        <is>
          <t>30.0</t>
        </is>
      </c>
      <c r="L3484" t="n">
        <v>30.6</v>
      </c>
      <c r="M3484" s="1" t="inlineStr">
        <is>
          <t>2.00%</t>
        </is>
      </c>
      <c r="N3484" t="n">
        <v>3.3</v>
      </c>
      <c r="O3484" t="n">
        <v>5</v>
      </c>
      <c r="Q3484" t="inlineStr">
        <is>
          <t>InStock</t>
        </is>
      </c>
      <c r="R3484" t="inlineStr">
        <is>
          <t>undefined</t>
        </is>
      </c>
      <c r="S3484" t="inlineStr">
        <is>
          <t>7563722784953</t>
        </is>
      </c>
    </row>
    <row r="3485" ht="75" customHeight="1">
      <c r="A3485" s="2">
        <f>HYPERLINK("https://camerareadycosmetics.com/products/stila-all-about-the-blur-instant-blurring-stick", "https://camerareadycosmetics.com/products/stila-all-about-the-blur-instant-blurring-stick")</f>
        <v/>
      </c>
      <c r="B3485" s="2">
        <f>HYPERLINK("https://camerareadycosmetics.com/products/stila-all-about-the-blur-instant-blurring-stick", "https://camerareadycosmetics.com/products/stila-all-about-the-blur-instant-blurring-stick")</f>
        <v/>
      </c>
      <c r="C3485" t="inlineStr">
        <is>
          <t>All About The Blur Instant Blurring Stick</t>
        </is>
      </c>
      <c r="D3485" t="inlineStr">
        <is>
          <t>stila All About The Blur Instant Blurring Stick</t>
        </is>
      </c>
      <c r="E3485" s="2">
        <f>HYPERLINK("https://www.amazon.com/About-Blur-Instant-Blurring-Stick/dp/B0BQCQGM55/ref=sr_1_1?keywords=All+About+The+Blur+Instant+Blurring+Stick&amp;qid=1695565825&amp;sr=8-1", "https://www.amazon.com/About-Blur-Instant-Blurring-Stick/dp/B0BQCQGM55/ref=sr_1_1?keywords=All+About+The+Blur+Instant+Blurring+Stick&amp;qid=1695565825&amp;sr=8-1")</f>
        <v/>
      </c>
      <c r="F3485" t="inlineStr">
        <is>
          <t>B0BQCQGM55</t>
        </is>
      </c>
      <c r="G3485">
        <f>_xlfn.IMAGE("https://camerareadycosmetics.com/cdn/shop/products/STILA_SPRING23_AllAboutTheBlur_InstantBlurStick_2000x2000_SE04010001_094800361997_01_50x.jpg?v=1674249217")</f>
        <v/>
      </c>
      <c r="H3485">
        <f>_xlfn.IMAGE("https://m.media-amazon.com/images/I/51EpArfqciL._AC_UL320_.jpg")</f>
        <v/>
      </c>
      <c r="K3485" t="inlineStr">
        <is>
          <t>30.0</t>
        </is>
      </c>
      <c r="L3485" t="n">
        <v>25.5</v>
      </c>
      <c r="M3485" s="1" t="inlineStr">
        <is>
          <t>-15.00%</t>
        </is>
      </c>
      <c r="N3485" t="n">
        <v>3.6</v>
      </c>
      <c r="O3485" t="n">
        <v>8</v>
      </c>
      <c r="Q3485" t="inlineStr">
        <is>
          <t>InStock</t>
        </is>
      </c>
      <c r="R3485" t="inlineStr">
        <is>
          <t>undefined</t>
        </is>
      </c>
      <c r="S3485" t="inlineStr">
        <is>
          <t>7563722784953</t>
        </is>
      </c>
    </row>
    <row r="3486" ht="75" customHeight="1">
      <c r="A3486" s="2">
        <f>HYPERLINK("https://camerareadycosmetics.com/products/stila-color-cocktail-travel-cheek-lip-eye-palette", "https://camerareadycosmetics.com/products/stila-color-cocktail-travel-cheek-lip-eye-palette")</f>
        <v/>
      </c>
      <c r="B3486" s="2">
        <f>HYPERLINK("https://camerareadycosmetics.com/products/stila-color-cocktail-travel-cheek-lip-eye-palette", "https://camerareadycosmetics.com/products/stila-color-cocktail-travel-cheek-lip-eye-palette")</f>
        <v/>
      </c>
      <c r="C3486" t="inlineStr">
        <is>
          <t>Color Cocktail Travel Cheek, Lip &amp; Eye Palette (Malibu Sunset)</t>
        </is>
      </c>
      <c r="D3486" t="inlineStr">
        <is>
          <t>Color Cocktail Travel Cheek, Lip &amp; Eye Palette</t>
        </is>
      </c>
      <c r="E3486" s="2">
        <f>HYPERLINK("https://www.amazon.com/stila-Color-Cocktail-Travel-Palette/dp/B09VSSFZF2/ref=sr_1_1?keywords=Color+Cocktail+Travel+Cheek%2C+Lip+%26+Eye+Palette+%28Malibu+Sunset%29&amp;qid=1695565834&amp;sr=8-1", "https://www.amazon.com/stila-Color-Cocktail-Travel-Palette/dp/B09VSSFZF2/ref=sr_1_1?keywords=Color+Cocktail+Travel+Cheek%2C+Lip+%26+Eye+Palette+%28Malibu+Sunset%29&amp;qid=1695565834&amp;sr=8-1")</f>
        <v/>
      </c>
      <c r="F3486" t="inlineStr">
        <is>
          <t>B09VSSFZF2</t>
        </is>
      </c>
      <c r="G3486">
        <f>_xlfn.IMAGE("https://camerareadycosmetics.com/cdn/shop/products/Cheek_Eye_LipPalette-MalibuOPEN_1800x1800_e287b04f-918a-4398-9c66-1794fcd6564b_50x.jpg?v=1650042078")</f>
        <v/>
      </c>
      <c r="H3486">
        <f>_xlfn.IMAGE("https://m.media-amazon.com/images/I/71m7G5lXFML._AC_UL320_.jpg")</f>
        <v/>
      </c>
      <c r="K3486" t="inlineStr">
        <is>
          <t>28.0</t>
        </is>
      </c>
      <c r="L3486" t="n">
        <v>28</v>
      </c>
      <c r="M3486" s="1" t="inlineStr">
        <is>
          <t>0.00%</t>
        </is>
      </c>
      <c r="N3486" t="n">
        <v>3.3</v>
      </c>
      <c r="O3486" t="n">
        <v>8</v>
      </c>
      <c r="Q3486" t="inlineStr">
        <is>
          <t>InStock</t>
        </is>
      </c>
      <c r="R3486" t="inlineStr">
        <is>
          <t>28.0</t>
        </is>
      </c>
      <c r="S3486" t="inlineStr">
        <is>
          <t>7291161018553</t>
        </is>
      </c>
    </row>
    <row r="3487" ht="75" customHeight="1">
      <c r="A3487" s="2">
        <f>HYPERLINK("https://camerareadycosmetics.com/products/stila-eye-shadow-in-compact", "https://camerareadycosmetics.com/products/stila-eye-shadow-in-compact")</f>
        <v/>
      </c>
      <c r="B3487" s="2">
        <f>HYPERLINK("https://camerareadycosmetics.com/products/stila-eye-shadow-in-compact", "https://camerareadycosmetics.com/products/stila-eye-shadow-in-compact")</f>
        <v/>
      </c>
      <c r="C3487" t="inlineStr">
        <is>
          <t>Eye Shadow in Compact Kitten (Compact)</t>
        </is>
      </c>
      <c r="D3487" t="inlineStr">
        <is>
          <t>Lancôme Color Design Single Eyeshadow Compact - Richly Pigmented &amp; Long Lasting - Crease-Resistant</t>
        </is>
      </c>
      <c r="E3487" s="2">
        <f>HYPERLINK("https://www.amazon.com/Lanc%C3%B4me-Design-Single-Eyeshadow-Compact/dp/B082MPRCPT/ref=sr_1_2?keywords=Eye+Shadow+in+Compact+Kitten+%28Compact%29&amp;qid=1695565565&amp;sr=8-2", "https://www.amazon.com/Lanc%C3%B4me-Design-Single-Eyeshadow-Compact/dp/B082MPRCPT/ref=sr_1_2?keywords=Eye+Shadow+in+Compact+Kitten+%28Compact%29&amp;qid=1695565565&amp;sr=8-2")</f>
        <v/>
      </c>
      <c r="F3487" t="inlineStr">
        <is>
          <t>B082MPRCPT</t>
        </is>
      </c>
      <c r="G3487">
        <f>_xlfn.IMAGE("https://camerareadycosmetics.com/cdn/shop/files/3155_zoom_50x.jpg?v=1687196868")</f>
        <v/>
      </c>
      <c r="H3487">
        <f>_xlfn.IMAGE("https://m.media-amazon.com/images/I/61Ael+X6xYL._AC_UL320_.jpg")</f>
        <v/>
      </c>
      <c r="K3487" t="inlineStr">
        <is>
          <t>20.0</t>
        </is>
      </c>
      <c r="L3487" t="n">
        <v>25</v>
      </c>
      <c r="M3487" s="1" t="inlineStr">
        <is>
          <t>25.00%</t>
        </is>
      </c>
      <c r="N3487" t="n">
        <v>4.7</v>
      </c>
      <c r="O3487" t="n">
        <v>369</v>
      </c>
      <c r="Q3487" t="inlineStr">
        <is>
          <t>InStock</t>
        </is>
      </c>
      <c r="R3487" t="inlineStr">
        <is>
          <t>undefined</t>
        </is>
      </c>
      <c r="S3487" t="inlineStr">
        <is>
          <t>7038984839</t>
        </is>
      </c>
    </row>
    <row r="3488" ht="75" customHeight="1">
      <c r="A3488" s="2">
        <f>HYPERLINK("https://camerareadycosmetics.com/products/stila-eye-shadow-in-compact", "https://camerareadycosmetics.com/products/stila-eye-shadow-in-compact")</f>
        <v/>
      </c>
      <c r="B3488" s="2">
        <f>HYPERLINK("https://camerareadycosmetics.com/products/stila-eye-shadow-in-compact", "https://camerareadycosmetics.com/products/stila-eye-shadow-in-compact")</f>
        <v/>
      </c>
      <c r="C3488" t="inlineStr">
        <is>
          <t>Eye Shadow in Compact Kitten (Compact)</t>
        </is>
      </c>
      <c r="D3488" t="inlineStr">
        <is>
          <t>stila Eye Shadow Compact, Kitten, 0.09 oz</t>
        </is>
      </c>
      <c r="E3488" s="2">
        <f>HYPERLINK("https://www.amazon.com/stila-Eye-Shadow-Compact-Kitten/dp/B004VQTUVE/ref=sr_1_1?keywords=Eye+Shadow+in+Compact+Kitten+%28Compact%29&amp;qid=1695565565&amp;sr=8-1", "https://www.amazon.com/stila-Eye-Shadow-Compact-Kitten/dp/B004VQTUVE/ref=sr_1_1?keywords=Eye+Shadow+in+Compact+Kitten+%28Compact%29&amp;qid=1695565565&amp;sr=8-1")</f>
        <v/>
      </c>
      <c r="F3488" t="inlineStr">
        <is>
          <t>B004VQTUVE</t>
        </is>
      </c>
      <c r="G3488">
        <f>_xlfn.IMAGE("https://camerareadycosmetics.com/cdn/shop/files/3155_zoom_50x.jpg?v=1687196868")</f>
        <v/>
      </c>
      <c r="H3488">
        <f>_xlfn.IMAGE("https://m.media-amazon.com/images/I/61X8lOgQtGL._AC_UL320_.jpg")</f>
        <v/>
      </c>
      <c r="K3488" t="inlineStr">
        <is>
          <t>20.0</t>
        </is>
      </c>
      <c r="L3488" t="n">
        <v>20</v>
      </c>
      <c r="M3488" s="1" t="inlineStr">
        <is>
          <t>0.00%</t>
        </is>
      </c>
      <c r="N3488" t="n">
        <v>4.3</v>
      </c>
      <c r="O3488" t="n">
        <v>640</v>
      </c>
      <c r="Q3488" t="inlineStr">
        <is>
          <t>InStock</t>
        </is>
      </c>
      <c r="R3488" t="inlineStr">
        <is>
          <t>undefined</t>
        </is>
      </c>
      <c r="S3488" t="inlineStr">
        <is>
          <t>7038984839</t>
        </is>
      </c>
    </row>
    <row r="3489" ht="75" customHeight="1">
      <c r="A3489" s="2">
        <f>HYPERLINK("https://camerareadycosmetics.com/products/stila-heavens-dew-gel-lip-oil", "https://camerareadycosmetics.com/products/stila-heavens-dew-gel-lip-oil")</f>
        <v/>
      </c>
      <c r="B3489" s="2">
        <f>HYPERLINK("https://camerareadycosmetics.com/products/stila-heavens-dew-gel-lip-oil", "https://camerareadycosmetics.com/products/stila-heavens-dew-gel-lip-oil")</f>
        <v/>
      </c>
      <c r="C3489" t="inlineStr">
        <is>
          <t>Heaven's Dew Gel Lip Oil</t>
        </is>
      </c>
      <c r="D3489" t="inlineStr">
        <is>
          <t>stila Heaven's Dew Gel Lip Oil</t>
        </is>
      </c>
      <c r="E3489" s="2">
        <f>HYPERLINK("https://www.amazon.com/stila-Heavens-Dew-Gel-Lip/dp/B0BYC159CL/ref=sr_1_1?keywords=Heaven%27s+Dew+Gel+Lip+Oil&amp;qid=1695565852&amp;sr=8-1", "https://www.amazon.com/stila-Heavens-Dew-Gel-Lip/dp/B0BYC159CL/ref=sr_1_1?keywords=Heaven%27s+Dew+Gel+Lip+Oil&amp;qid=1695565852&amp;sr=8-1")</f>
        <v/>
      </c>
      <c r="F3489" t="inlineStr">
        <is>
          <t>B0BYC159CL</t>
        </is>
      </c>
      <c r="G3489">
        <f>_xlfn.IMAGE("https://camerareadycosmetics.com/cdn/shop/products/HEAVEN_SDEWGelLipOil_MODELKEYVISUAL-1_1012x_776a1f84-53f1-4fa9-a165-ad6ebc72cd82_50x.jpg?v=1688678236")</f>
        <v/>
      </c>
      <c r="H3489">
        <f>_xlfn.IMAGE("https://m.media-amazon.com/images/I/617pfaQTjHL._AC_UL320_.jpg")</f>
        <v/>
      </c>
      <c r="K3489" t="inlineStr">
        <is>
          <t>24.0</t>
        </is>
      </c>
      <c r="L3489" t="n">
        <v>24</v>
      </c>
      <c r="M3489" s="1" t="inlineStr">
        <is>
          <t>0.00%</t>
        </is>
      </c>
      <c r="N3489" t="n">
        <v>3.6</v>
      </c>
      <c r="O3489" t="n">
        <v>5</v>
      </c>
      <c r="Q3489" t="inlineStr">
        <is>
          <t>InStock</t>
        </is>
      </c>
      <c r="R3489" t="inlineStr">
        <is>
          <t>undefined</t>
        </is>
      </c>
      <c r="S3489" t="inlineStr">
        <is>
          <t>7578377289913</t>
        </is>
      </c>
    </row>
    <row r="3490" ht="75" customHeight="1">
      <c r="A3490" s="2">
        <f>HYPERLINK("https://camerareadycosmetics.com/products/stila-heavens-hue-highlighter", "https://camerareadycosmetics.com/products/stila-heavens-hue-highlighter")</f>
        <v/>
      </c>
      <c r="B3490" s="2">
        <f>HYPERLINK("https://camerareadycosmetics.com/products/stila-heavens-hue-highlighter", "https://camerareadycosmetics.com/products/stila-heavens-hue-highlighter")</f>
        <v/>
      </c>
      <c r="C3490" t="inlineStr">
        <is>
          <t>Heaven's Hue Highlighter</t>
        </is>
      </c>
      <c r="D3490" t="inlineStr">
        <is>
          <t>Stila Heaven's Hue Highlighter, Incandescence, 1 Count (Pack of 1)</t>
        </is>
      </c>
      <c r="E3490" s="2">
        <f>HYPERLINK("https://www.amazon.com/stila-Heavens-Hue-Highlighter-0-35/dp/B07GJRR1ZG/ref=sr_1_2?keywords=Heavens+Hue+Highlighter&amp;qid=1695565588&amp;sr=8-2", "https://www.amazon.com/stila-Heavens-Hue-Highlighter-0-35/dp/B07GJRR1ZG/ref=sr_1_2?keywords=Heavens+Hue+Highlighter&amp;qid=1695565588&amp;sr=8-2")</f>
        <v/>
      </c>
      <c r="F3490" t="inlineStr">
        <is>
          <t>B07GJRR1ZG</t>
        </is>
      </c>
      <c r="G3490">
        <f>_xlfn.IMAGE("https://camerareadycosmetics.com/cdn/shop/products/kitten_1_50x.jpg?v=1691127183")</f>
        <v/>
      </c>
      <c r="H3490">
        <f>_xlfn.IMAGE("https://m.media-amazon.com/images/I/71KJhmul6TL._AC_UL320_.jpg")</f>
        <v/>
      </c>
      <c r="K3490" t="inlineStr">
        <is>
          <t>34.0</t>
        </is>
      </c>
      <c r="L3490" t="n">
        <v>34</v>
      </c>
      <c r="M3490" s="1" t="inlineStr">
        <is>
          <t>0.00%</t>
        </is>
      </c>
      <c r="N3490" t="n">
        <v>5</v>
      </c>
      <c r="O3490" t="n">
        <v>14</v>
      </c>
      <c r="Q3490" t="inlineStr">
        <is>
          <t>InStock</t>
        </is>
      </c>
      <c r="R3490" t="inlineStr">
        <is>
          <t>undefined</t>
        </is>
      </c>
      <c r="S3490" t="inlineStr">
        <is>
          <t>10211173002</t>
        </is>
      </c>
    </row>
    <row r="3491" ht="75" customHeight="1">
      <c r="A3491" s="2">
        <f>HYPERLINK("https://camerareadycosmetics.com/products/stila-heavens-hue-highlighter", "https://camerareadycosmetics.com/products/stila-heavens-hue-highlighter")</f>
        <v/>
      </c>
      <c r="B3491" s="2">
        <f>HYPERLINK("https://camerareadycosmetics.com/products/stila-heavens-hue-highlighter", "https://camerareadycosmetics.com/products/stila-heavens-hue-highlighter")</f>
        <v/>
      </c>
      <c r="C3491" t="inlineStr">
        <is>
          <t>Heaven's Hue Highlighter</t>
        </is>
      </c>
      <c r="D3491" t="inlineStr">
        <is>
          <t>stila Heaven's Hue Highlighter, Transcendence</t>
        </is>
      </c>
      <c r="E3491" s="2">
        <f>HYPERLINK("https://www.amazon.com/stila-Heavens-Highlighter-Transcendence-0-35/dp/B06WV7KM72/ref=sr_1_3?keywords=Heavens+Hue+Highlighter&amp;qid=1695565588&amp;sr=8-3", "https://www.amazon.com/stila-Heavens-Highlighter-Transcendence-0-35/dp/B06WV7KM72/ref=sr_1_3?keywords=Heavens+Hue+Highlighter&amp;qid=1695565588&amp;sr=8-3")</f>
        <v/>
      </c>
      <c r="F3491" t="inlineStr">
        <is>
          <t>B06WV7KM72</t>
        </is>
      </c>
      <c r="G3491">
        <f>_xlfn.IMAGE("https://camerareadycosmetics.com/cdn/shop/products/kitten_1_50x.jpg?v=1691127183")</f>
        <v/>
      </c>
      <c r="H3491">
        <f>_xlfn.IMAGE("https://m.media-amazon.com/images/I/81rFMkzPzFL._AC_UL320_.jpg")</f>
        <v/>
      </c>
      <c r="K3491" t="inlineStr">
        <is>
          <t>34.0</t>
        </is>
      </c>
      <c r="L3491" t="n">
        <v>34</v>
      </c>
      <c r="M3491" s="1" t="inlineStr">
        <is>
          <t>0.00%</t>
        </is>
      </c>
      <c r="N3491" t="n">
        <v>4.6</v>
      </c>
      <c r="O3491" t="n">
        <v>346</v>
      </c>
      <c r="Q3491" t="inlineStr">
        <is>
          <t>InStock</t>
        </is>
      </c>
      <c r="R3491" t="inlineStr">
        <is>
          <t>undefined</t>
        </is>
      </c>
      <c r="S3491" t="inlineStr">
        <is>
          <t>10211173002</t>
        </is>
      </c>
    </row>
    <row r="3492" ht="75" customHeight="1">
      <c r="A3492" s="2">
        <f>HYPERLINK("https://camerareadycosmetics.com/products/stila-heavens-hue-highlighter", "https://camerareadycosmetics.com/products/stila-heavens-hue-highlighter")</f>
        <v/>
      </c>
      <c r="B3492" s="2">
        <f>HYPERLINK("https://camerareadycosmetics.com/products/stila-heavens-hue-highlighter", "https://camerareadycosmetics.com/products/stila-heavens-hue-highlighter")</f>
        <v/>
      </c>
      <c r="C3492" t="inlineStr">
        <is>
          <t>Heaven's Hue Highlighter</t>
        </is>
      </c>
      <c r="D3492" t="inlineStr">
        <is>
          <t>Stila Heaven's Hue Highlighter, Bronze</t>
        </is>
      </c>
      <c r="E3492" s="2">
        <f>HYPERLINK("https://www.amazon.com/stila-Heavens-Highlighter-Bronze-0-35/dp/B06X3RGTB9/ref=sr_1_1?keywords=Heavens+Hue+Highlighter&amp;qid=1695565588&amp;sr=8-1", "https://www.amazon.com/stila-Heavens-Highlighter-Bronze-0-35/dp/B06X3RGTB9/ref=sr_1_1?keywords=Heavens+Hue+Highlighter&amp;qid=1695565588&amp;sr=8-1")</f>
        <v/>
      </c>
      <c r="F3492" t="inlineStr">
        <is>
          <t>B06X3RGTB9</t>
        </is>
      </c>
      <c r="G3492">
        <f>_xlfn.IMAGE("https://camerareadycosmetics.com/cdn/shop/products/kitten_1_50x.jpg?v=1691127183")</f>
        <v/>
      </c>
      <c r="H3492">
        <f>_xlfn.IMAGE("https://m.media-amazon.com/images/I/818mvgisi5L._AC_UL320_.jpg")</f>
        <v/>
      </c>
      <c r="K3492" t="inlineStr">
        <is>
          <t>34.0</t>
        </is>
      </c>
      <c r="L3492" t="n">
        <v>28.9</v>
      </c>
      <c r="M3492" s="1" t="inlineStr">
        <is>
          <t>-15.00%</t>
        </is>
      </c>
      <c r="N3492" t="n">
        <v>4.6</v>
      </c>
      <c r="O3492" t="n">
        <v>59</v>
      </c>
      <c r="Q3492" t="inlineStr">
        <is>
          <t>InStock</t>
        </is>
      </c>
      <c r="R3492" t="inlineStr">
        <is>
          <t>undefined</t>
        </is>
      </c>
      <c r="S3492" t="inlineStr">
        <is>
          <t>10211173002</t>
        </is>
      </c>
    </row>
    <row r="3493" ht="75" customHeight="1">
      <c r="A3493" s="2">
        <f>HYPERLINK("https://camerareadycosmetics.com/products/stila-magnificent-metals-glitter-glow-liquid-eye-shadow", "https://camerareadycosmetics.com/products/stila-magnificent-metals-glitter-glow-liquid-eye-shadow")</f>
        <v/>
      </c>
      <c r="B3493" s="2">
        <f>HYPERLINK("https://camerareadycosmetics.com/products/stila-magnificent-metals-glitter-glow-liquid-eye-shadow", "https://camerareadycosmetics.com/products/stila-magnificent-metals-glitter-glow-liquid-eye-shadow")</f>
        <v/>
      </c>
      <c r="C3493" t="inlineStr">
        <is>
          <t>Glitter &amp; Glow Liquid Eye Shadow</t>
        </is>
      </c>
      <c r="D3493" t="inlineStr">
        <is>
          <t>stila Inner Glow Glitter &amp; Glow Liquid Eye Shadow Duo</t>
        </is>
      </c>
      <c r="E3493" s="2">
        <f>HYPERLINK("https://www.amazon.com/Inner-Glow-Glitter-Liquid-Shadow/dp/B0BBPNS86M/ref=sr_1_3?keywords=Glitter+%26+Glow+Liquid+Eye+Shadow&amp;qid=1695565424&amp;sr=8-3", "https://www.amazon.com/Inner-Glow-Glitter-Liquid-Shadow/dp/B0BBPNS86M/ref=sr_1_3?keywords=Glitter+%26+Glow+Liquid+Eye+Shadow&amp;qid=1695565424&amp;sr=8-3")</f>
        <v/>
      </c>
      <c r="F3493" t="inlineStr">
        <is>
          <t>B0BBPNS86M</t>
        </is>
      </c>
      <c r="G3493">
        <f>_xlfn.IMAGE("https://camerareadycosmetics.com/cdn/shop/products/molten_midnight_50x.jpg?v=1691126574")</f>
        <v/>
      </c>
      <c r="H3493">
        <f>_xlfn.IMAGE("https://m.media-amazon.com/images/I/71Apfp+h6NL._AC_UL320_.jpg")</f>
        <v/>
      </c>
      <c r="K3493" t="inlineStr">
        <is>
          <t>25.0</t>
        </is>
      </c>
      <c r="L3493" t="n">
        <v>32</v>
      </c>
      <c r="M3493" s="1" t="inlineStr">
        <is>
          <t>28.00%</t>
        </is>
      </c>
      <c r="N3493" t="n">
        <v>4.6</v>
      </c>
      <c r="O3493" t="n">
        <v>3</v>
      </c>
      <c r="Q3493" t="inlineStr">
        <is>
          <t>InStock</t>
        </is>
      </c>
      <c r="R3493" t="inlineStr">
        <is>
          <t>undefined</t>
        </is>
      </c>
      <c r="S3493" t="inlineStr">
        <is>
          <t>10030284682</t>
        </is>
      </c>
    </row>
    <row r="3494" ht="75" customHeight="1">
      <c r="A3494" s="2">
        <f>HYPERLINK("https://camerareadycosmetics.com/products/stila-magnificent-metals-glitter-glow-liquid-eye-shadow", "https://camerareadycosmetics.com/products/stila-magnificent-metals-glitter-glow-liquid-eye-shadow")</f>
        <v/>
      </c>
      <c r="B3494" s="2">
        <f>HYPERLINK("https://camerareadycosmetics.com/products/stila-magnificent-metals-glitter-glow-liquid-eye-shadow", "https://camerareadycosmetics.com/products/stila-magnificent-metals-glitter-glow-liquid-eye-shadow")</f>
        <v/>
      </c>
      <c r="C3494" t="inlineStr">
        <is>
          <t>Glitter &amp; Glow Liquid Eye Shadow</t>
        </is>
      </c>
      <c r="D3494" t="inlineStr">
        <is>
          <t>Double Dip - Suede Shade and Glitter &amp; Glow Liquid Eye Shadows</t>
        </is>
      </c>
      <c r="E3494" s="2">
        <f>HYPERLINK("https://www.amazon.com/Double-Dip-Glitter-Liquid-Shadows/dp/B086F5CDQ3/ref=sr_1_6?keywords=Glitter+%26+Glow+Liquid+Eye+Shadow&amp;qid=1695565424&amp;sr=8-6", "https://www.amazon.com/Double-Dip-Glitter-Liquid-Shadows/dp/B086F5CDQ3/ref=sr_1_6?keywords=Glitter+%26+Glow+Liquid+Eye+Shadow&amp;qid=1695565424&amp;sr=8-6")</f>
        <v/>
      </c>
      <c r="F3494" t="inlineStr">
        <is>
          <t>B086F5CDQ3</t>
        </is>
      </c>
      <c r="G3494">
        <f>_xlfn.IMAGE("https://camerareadycosmetics.com/cdn/shop/products/molten_midnight_50x.jpg?v=1691126574")</f>
        <v/>
      </c>
      <c r="H3494">
        <f>_xlfn.IMAGE("https://m.media-amazon.com/images/I/61eln4alulL._AC_UL320_.jpg")</f>
        <v/>
      </c>
      <c r="K3494" t="inlineStr">
        <is>
          <t>25.0</t>
        </is>
      </c>
      <c r="L3494" t="n">
        <v>25</v>
      </c>
      <c r="M3494" s="1" t="inlineStr">
        <is>
          <t>0.00%</t>
        </is>
      </c>
      <c r="N3494" t="n">
        <v>3.3</v>
      </c>
      <c r="O3494" t="n">
        <v>47</v>
      </c>
      <c r="Q3494" t="inlineStr">
        <is>
          <t>InStock</t>
        </is>
      </c>
      <c r="R3494" t="inlineStr">
        <is>
          <t>undefined</t>
        </is>
      </c>
      <c r="S3494" t="inlineStr">
        <is>
          <t>10030284682</t>
        </is>
      </c>
    </row>
    <row r="3495" ht="75" customHeight="1">
      <c r="A3495" s="2">
        <f>HYPERLINK("https://camerareadycosmetics.com/products/stila-magnificent-metals-glitter-glow-liquid-eye-shadow", "https://camerareadycosmetics.com/products/stila-magnificent-metals-glitter-glow-liquid-eye-shadow")</f>
        <v/>
      </c>
      <c r="B3495" s="2">
        <f>HYPERLINK("https://camerareadycosmetics.com/products/stila-magnificent-metals-glitter-glow-liquid-eye-shadow", "https://camerareadycosmetics.com/products/stila-magnificent-metals-glitter-glow-liquid-eye-shadow")</f>
        <v/>
      </c>
      <c r="C3495" t="inlineStr">
        <is>
          <t>Glitter &amp; Glow Liquid Eye Shadow</t>
        </is>
      </c>
      <c r="D3495" t="inlineStr">
        <is>
          <t>Magnificent Metals Glitter And Glow Liquid Eye Shadow</t>
        </is>
      </c>
      <c r="E3495" s="2">
        <f>HYPERLINK("https://www.amazon.com/stila-Magnificent-Metals-Glitter-Liquid/dp/B06WV7KPY2/ref=sr_1_1?keywords=Glitter+%26+Glow+Liquid+Eye+Shadow&amp;qid=1695565424&amp;sr=8-1", "https://www.amazon.com/stila-Magnificent-Metals-Glitter-Liquid/dp/B06WV7KPY2/ref=sr_1_1?keywords=Glitter+%26+Glow+Liquid+Eye+Shadow&amp;qid=1695565424&amp;sr=8-1")</f>
        <v/>
      </c>
      <c r="F3495" t="inlineStr">
        <is>
          <t>B06WV7KPY2</t>
        </is>
      </c>
      <c r="G3495">
        <f>_xlfn.IMAGE("https://camerareadycosmetics.com/cdn/shop/products/molten_midnight_50x.jpg?v=1691126574")</f>
        <v/>
      </c>
      <c r="H3495">
        <f>_xlfn.IMAGE("https://m.media-amazon.com/images/I/51WJrvQRbyL._AC_UL320_.jpg")</f>
        <v/>
      </c>
      <c r="K3495" t="inlineStr">
        <is>
          <t>25.0</t>
        </is>
      </c>
      <c r="L3495" t="n">
        <v>25</v>
      </c>
      <c r="M3495" s="1" t="inlineStr">
        <is>
          <t>0.00%</t>
        </is>
      </c>
      <c r="N3495" t="n">
        <v>4.5</v>
      </c>
      <c r="O3495" t="n">
        <v>2943</v>
      </c>
      <c r="Q3495" t="inlineStr">
        <is>
          <t>InStock</t>
        </is>
      </c>
      <c r="R3495" t="inlineStr">
        <is>
          <t>undefined</t>
        </is>
      </c>
      <c r="S3495" t="inlineStr">
        <is>
          <t>10030284682</t>
        </is>
      </c>
    </row>
    <row r="3496" ht="75" customHeight="1">
      <c r="A3496" s="2">
        <f>HYPERLINK("https://camerareadycosmetics.com/products/stila-magnificent-metals-glitter-glow-liquid-eye-shadow", "https://camerareadycosmetics.com/products/stila-magnificent-metals-glitter-glow-liquid-eye-shadow")</f>
        <v/>
      </c>
      <c r="B3496" s="2">
        <f>HYPERLINK("https://camerareadycosmetics.com/products/stila-magnificent-metals-glitter-glow-liquid-eye-shadow", "https://camerareadycosmetics.com/products/stila-magnificent-metals-glitter-glow-liquid-eye-shadow")</f>
        <v/>
      </c>
      <c r="C3496" t="inlineStr">
        <is>
          <t>Glitter &amp; Glow Liquid Eye Shadow</t>
        </is>
      </c>
      <c r="D3496" t="inlineStr">
        <is>
          <t>stila Glitter &amp; Glow Liquid Eye Shadow - Mini Tip, Kitten Karma,0.15 Fl Oz (Pack of 1)</t>
        </is>
      </c>
      <c r="E3496" s="2">
        <f>HYPERLINK("https://www.amazon.com/stila-Glitter-Glow-Liquid-Shadow/dp/B08P2ZVDML/ref=sr_1_4?keywords=Glitter+%26+Glow+Liquid+Eye+Shadow&amp;qid=1695565424&amp;sr=8-4", "https://www.amazon.com/stila-Glitter-Glow-Liquid-Shadow/dp/B08P2ZVDML/ref=sr_1_4?keywords=Glitter+%26+Glow+Liquid+Eye+Shadow&amp;qid=1695565424&amp;sr=8-4")</f>
        <v/>
      </c>
      <c r="F3496" t="inlineStr">
        <is>
          <t>B08P2ZVDML</t>
        </is>
      </c>
      <c r="G3496">
        <f>_xlfn.IMAGE("https://camerareadycosmetics.com/cdn/shop/products/molten_midnight_50x.jpg?v=1691126574")</f>
        <v/>
      </c>
      <c r="H3496">
        <f>_xlfn.IMAGE("https://m.media-amazon.com/images/I/611qy-HI2NL._AC_UL320_.jpg")</f>
        <v/>
      </c>
      <c r="K3496" t="inlineStr">
        <is>
          <t>25.0</t>
        </is>
      </c>
      <c r="L3496" t="n">
        <v>25</v>
      </c>
      <c r="M3496" s="1" t="inlineStr">
        <is>
          <t>0.00%</t>
        </is>
      </c>
      <c r="N3496" t="n">
        <v>4.4</v>
      </c>
      <c r="O3496" t="n">
        <v>103</v>
      </c>
      <c r="Q3496" t="inlineStr">
        <is>
          <t>InStock</t>
        </is>
      </c>
      <c r="R3496" t="inlineStr">
        <is>
          <t>undefined</t>
        </is>
      </c>
      <c r="S3496" t="inlineStr">
        <is>
          <t>10030284682</t>
        </is>
      </c>
    </row>
    <row r="3497" ht="75" customHeight="1">
      <c r="A3497" s="2">
        <f>HYPERLINK("https://camerareadycosmetics.com/products/stila-magnificent-metals-glitter-glow-liquid-eye-shadow", "https://camerareadycosmetics.com/products/stila-magnificent-metals-glitter-glow-liquid-eye-shadow")</f>
        <v/>
      </c>
      <c r="B3497" s="2">
        <f>HYPERLINK("https://camerareadycosmetics.com/products/stila-magnificent-metals-glitter-glow-liquid-eye-shadow", "https://camerareadycosmetics.com/products/stila-magnificent-metals-glitter-glow-liquid-eye-shadow")</f>
        <v/>
      </c>
      <c r="C3497" t="inlineStr">
        <is>
          <t>Glitter &amp; Glow Liquid Eye Shadow</t>
        </is>
      </c>
      <c r="D3497" t="inlineStr">
        <is>
          <t>QiBest Diamond Glow Liquid Eye Shadow, Metals Glitter Shimmer Eyeliners Long Lasting Waterproof Sparkling Eye Shadow Set ( 9 Colors )</t>
        </is>
      </c>
      <c r="E3497" s="2">
        <f>HYPERLINK("https://www.amazon.com/Diamond-Glitter-Eyeliners-Waterproof-Sparkling/dp/B07X3KVPDS/ref=sr_1_5?keywords=Glitter+%26+Glow+Liquid+Eye+Shadow&amp;qid=1695565424&amp;sr=8-5", "https://www.amazon.com/Diamond-Glitter-Eyeliners-Waterproof-Sparkling/dp/B07X3KVPDS/ref=sr_1_5?keywords=Glitter+%26+Glow+Liquid+Eye+Shadow&amp;qid=1695565424&amp;sr=8-5")</f>
        <v/>
      </c>
      <c r="F3497" t="inlineStr">
        <is>
          <t>B07X3KVPDS</t>
        </is>
      </c>
      <c r="G3497">
        <f>_xlfn.IMAGE("https://camerareadycosmetics.com/cdn/shop/products/molten_midnight_50x.jpg?v=1691126574")</f>
        <v/>
      </c>
      <c r="H3497">
        <f>_xlfn.IMAGE("https://m.media-amazon.com/images/I/51Q-QOb8XPL._AC_UL320_.jpg")</f>
        <v/>
      </c>
      <c r="K3497" t="inlineStr">
        <is>
          <t>25.0</t>
        </is>
      </c>
      <c r="L3497" t="n">
        <v>21.99</v>
      </c>
      <c r="M3497" s="1" t="inlineStr">
        <is>
          <t>-12.04%</t>
        </is>
      </c>
      <c r="N3497" t="n">
        <v>4</v>
      </c>
      <c r="O3497" t="n">
        <v>598</v>
      </c>
      <c r="Q3497" t="inlineStr">
        <is>
          <t>InStock</t>
        </is>
      </c>
      <c r="R3497" t="inlineStr">
        <is>
          <t>undefined</t>
        </is>
      </c>
      <c r="S3497" t="inlineStr">
        <is>
          <t>10030284682</t>
        </is>
      </c>
    </row>
    <row r="3498" ht="75" customHeight="1">
      <c r="A3498" s="2">
        <f>HYPERLINK("https://camerareadycosmetics.com/products/stila-magnificent-metals-glitter-glow-liquid-eye-shadow", "https://camerareadycosmetics.com/products/stila-magnificent-metals-glitter-glow-liquid-eye-shadow")</f>
        <v/>
      </c>
      <c r="B3498" s="2">
        <f>HYPERLINK("https://camerareadycosmetics.com/products/stila-magnificent-metals-glitter-glow-liquid-eye-shadow", "https://camerareadycosmetics.com/products/stila-magnificent-metals-glitter-glow-liquid-eye-shadow")</f>
        <v/>
      </c>
      <c r="C3498" t="inlineStr">
        <is>
          <t>Glitter &amp; Glow Liquid Eye Shadow</t>
        </is>
      </c>
      <c r="D3498" t="inlineStr">
        <is>
          <t>Diamond Glow Liquid Eye Shadow 7 Colors Set Metals Glitter Shimmer Eyeliners Long Lasting Waterproof Sparkling</t>
        </is>
      </c>
      <c r="E3498" s="2">
        <f>HYPERLINK("https://www.amazon.com/Diamond-Glitter-Eyeliners-Waterproof-Sparkling/dp/B08B1VR3JF/ref=sr_1_10?keywords=Glitter+%26+Glow+Liquid+Eye+Shadow&amp;qid=1695565424&amp;sr=8-10", "https://www.amazon.com/Diamond-Glitter-Eyeliners-Waterproof-Sparkling/dp/B08B1VR3JF/ref=sr_1_10?keywords=Glitter+%26+Glow+Liquid+Eye+Shadow&amp;qid=1695565424&amp;sr=8-10")</f>
        <v/>
      </c>
      <c r="F3498" t="inlineStr">
        <is>
          <t>B08B1VR3JF</t>
        </is>
      </c>
      <c r="G3498">
        <f>_xlfn.IMAGE("https://camerareadycosmetics.com/cdn/shop/products/molten_midnight_50x.jpg?v=1691126574")</f>
        <v/>
      </c>
      <c r="H3498">
        <f>_xlfn.IMAGE("https://m.media-amazon.com/images/I/61Ris+olO-L._AC_UL320_.jpg")</f>
        <v/>
      </c>
      <c r="K3498" t="inlineStr">
        <is>
          <t>25.0</t>
        </is>
      </c>
      <c r="L3498" t="n">
        <v>13.99</v>
      </c>
      <c r="M3498" s="1" t="inlineStr">
        <is>
          <t>-44.04%</t>
        </is>
      </c>
      <c r="N3498" t="n">
        <v>4</v>
      </c>
      <c r="O3498" t="n">
        <v>92</v>
      </c>
      <c r="Q3498" t="inlineStr">
        <is>
          <t>InStock</t>
        </is>
      </c>
      <c r="R3498" t="inlineStr">
        <is>
          <t>undefined</t>
        </is>
      </c>
      <c r="S3498" t="inlineStr">
        <is>
          <t>10030284682</t>
        </is>
      </c>
    </row>
    <row r="3499" ht="75" customHeight="1">
      <c r="A3499" s="2">
        <f>HYPERLINK("https://camerareadycosmetics.com/products/stila-magnificent-metals-glitter-glow-liquid-eye-shadow", "https://camerareadycosmetics.com/products/stila-magnificent-metals-glitter-glow-liquid-eye-shadow")</f>
        <v/>
      </c>
      <c r="B3499" s="2">
        <f>HYPERLINK("https://camerareadycosmetics.com/products/stila-magnificent-metals-glitter-glow-liquid-eye-shadow", "https://camerareadycosmetics.com/products/stila-magnificent-metals-glitter-glow-liquid-eye-shadow")</f>
        <v/>
      </c>
      <c r="C3499" t="inlineStr">
        <is>
          <t>Glitter &amp; Glow Liquid Eye Shadow</t>
        </is>
      </c>
      <c r="D3499" t="inlineStr">
        <is>
          <t>Glitter Eyeshadow，Makeup For Eyes Liquid Shimmer Sparkle Glow Light Colors Pencil Stick Shiny Long Lasting Waterproof Shining Eye Shadow Sets Metallic Pigments Metals Gloss Sparkling Pen Kit (A101)</t>
        </is>
      </c>
      <c r="E3499" s="2">
        <f>HYPERLINK("https://www.amazon.com/Eyeshadow%EF%BC%8CMakeup-Waterproof-Metallic-Pigments-Sparkling/dp/B093TB39YC/ref=sr_1_2?keywords=Glitter+%26+Glow+Liquid+Eye+Shadow&amp;qid=1695565424&amp;sr=8-2", "https://www.amazon.com/Eyeshadow%EF%BC%8CMakeup-Waterproof-Metallic-Pigments-Sparkling/dp/B093TB39YC/ref=sr_1_2?keywords=Glitter+%26+Glow+Liquid+Eye+Shadow&amp;qid=1695565424&amp;sr=8-2")</f>
        <v/>
      </c>
      <c r="F3499" t="inlineStr">
        <is>
          <t>B093TB39YC</t>
        </is>
      </c>
      <c r="G3499">
        <f>_xlfn.IMAGE("https://camerareadycosmetics.com/cdn/shop/products/molten_midnight_50x.jpg?v=1691126574")</f>
        <v/>
      </c>
      <c r="H3499">
        <f>_xlfn.IMAGE("https://m.media-amazon.com/images/I/51XBh81HH1L._AC_UL320_.jpg")</f>
        <v/>
      </c>
      <c r="K3499" t="inlineStr">
        <is>
          <t>25.0</t>
        </is>
      </c>
      <c r="L3499" t="n">
        <v>8.09</v>
      </c>
      <c r="M3499" s="1" t="inlineStr">
        <is>
          <t>-67.64%</t>
        </is>
      </c>
      <c r="N3499" t="n">
        <v>4</v>
      </c>
      <c r="O3499" t="n">
        <v>1619</v>
      </c>
      <c r="Q3499" t="inlineStr">
        <is>
          <t>InStock</t>
        </is>
      </c>
      <c r="R3499" t="inlineStr">
        <is>
          <t>undefined</t>
        </is>
      </c>
      <c r="S3499" t="inlineStr">
        <is>
          <t>10030284682</t>
        </is>
      </c>
    </row>
    <row r="3500" ht="75" customHeight="1">
      <c r="A3500" s="2">
        <f>HYPERLINK("https://camerareadycosmetics.com/products/stila-magnificent-metals-glitter-glow-liquid-eye-shadow", "https://camerareadycosmetics.com/products/stila-magnificent-metals-glitter-glow-liquid-eye-shadow")</f>
        <v/>
      </c>
      <c r="B3500" s="2">
        <f>HYPERLINK("https://camerareadycosmetics.com/products/stila-magnificent-metals-glitter-glow-liquid-eye-shadow", "https://camerareadycosmetics.com/products/stila-magnificent-metals-glitter-glow-liquid-eye-shadow")</f>
        <v/>
      </c>
      <c r="C3500" t="inlineStr">
        <is>
          <t>Glitter &amp; Glow Liquid Eye Shadow</t>
        </is>
      </c>
      <c r="D3500" t="inlineStr">
        <is>
          <t>Eyeshadow liquid Glitter Long Lasting Pigments Metals Gloss Shimmer Eyeshadow Glow Eye Makeup (Rosegold)</t>
        </is>
      </c>
      <c r="E3500" s="2">
        <f>HYPERLINK("https://www.amazon.com/ONarisae-Eyeshadow-Glitter-Pigments-Rosegold/dp/B0C45KSZ2Q/ref=sr_1_9?keywords=Glitter+%26+Glow+Liquid+Eye+Shadow&amp;qid=1695565424&amp;sr=8-9", "https://www.amazon.com/ONarisae-Eyeshadow-Glitter-Pigments-Rosegold/dp/B0C45KSZ2Q/ref=sr_1_9?keywords=Glitter+%26+Glow+Liquid+Eye+Shadow&amp;qid=1695565424&amp;sr=8-9")</f>
        <v/>
      </c>
      <c r="F3500" t="inlineStr">
        <is>
          <t>B0C45KSZ2Q</t>
        </is>
      </c>
      <c r="G3500">
        <f>_xlfn.IMAGE("https://camerareadycosmetics.com/cdn/shop/products/molten_midnight_50x.jpg?v=1691126574")</f>
        <v/>
      </c>
      <c r="H3500">
        <f>_xlfn.IMAGE("https://m.media-amazon.com/images/I/71vk4o6Ii9L._AC_UL320_.jpg")</f>
        <v/>
      </c>
      <c r="K3500" t="inlineStr">
        <is>
          <t>25.0</t>
        </is>
      </c>
      <c r="L3500" t="n">
        <v>5.89</v>
      </c>
      <c r="M3500" s="1" t="inlineStr">
        <is>
          <t>-76.44%</t>
        </is>
      </c>
      <c r="N3500" t="n">
        <v>4.2</v>
      </c>
      <c r="O3500" t="n">
        <v>31</v>
      </c>
      <c r="Q3500" t="inlineStr">
        <is>
          <t>InStock</t>
        </is>
      </c>
      <c r="R3500" t="inlineStr">
        <is>
          <t>undefined</t>
        </is>
      </c>
      <c r="S3500" t="inlineStr">
        <is>
          <t>10030284682</t>
        </is>
      </c>
    </row>
    <row r="3501" ht="75" customHeight="1">
      <c r="A3501" s="2">
        <f>HYPERLINK("https://camerareadycosmetics.com/products/stila-magnificent-metals-glitter-glow-liquid-eye-shadow", "https://camerareadycosmetics.com/products/stila-magnificent-metals-glitter-glow-liquid-eye-shadow")</f>
        <v/>
      </c>
      <c r="B3501" s="2">
        <f>HYPERLINK("https://camerareadycosmetics.com/products/stila-magnificent-metals-glitter-glow-liquid-eye-shadow", "https://camerareadycosmetics.com/products/stila-magnificent-metals-glitter-glow-liquid-eye-shadow")</f>
        <v/>
      </c>
      <c r="C3501" t="inlineStr">
        <is>
          <t>Glitter &amp; Glow Liquid Eye Shadow</t>
        </is>
      </c>
      <c r="D3501" t="inlineStr">
        <is>
          <t>Liquid Glitter Eyeshadow, Metallic &amp; Shimmer &amp; Glow Shades,Quick-Drying, Waterproof, Non-sticky,0.17 Fl Oz</t>
        </is>
      </c>
      <c r="E3501" s="2">
        <f>HYPERLINK("https://www.amazon.com/YOUNG-VISION-Quick-Drying-Waterproof-Non-sticky/dp/B0BFWRMRWJ/ref=sr_1_7?keywords=Glitter+%26+Glow+Liquid+Eye+Shadow&amp;qid=1695565424&amp;sr=8-7", "https://www.amazon.com/YOUNG-VISION-Quick-Drying-Waterproof-Non-sticky/dp/B0BFWRMRWJ/ref=sr_1_7?keywords=Glitter+%26+Glow+Liquid+Eye+Shadow&amp;qid=1695565424&amp;sr=8-7")</f>
        <v/>
      </c>
      <c r="F3501" t="inlineStr">
        <is>
          <t>B0BFWRMRWJ</t>
        </is>
      </c>
      <c r="G3501">
        <f>_xlfn.IMAGE("https://camerareadycosmetics.com/cdn/shop/products/molten_midnight_50x.jpg?v=1691126574")</f>
        <v/>
      </c>
      <c r="H3501">
        <f>_xlfn.IMAGE("https://m.media-amazon.com/images/I/71Ge41qVA1L._AC_UL320_.jpg")</f>
        <v/>
      </c>
      <c r="K3501" t="inlineStr">
        <is>
          <t>25.0</t>
        </is>
      </c>
      <c r="L3501" t="n">
        <v>3.99</v>
      </c>
      <c r="M3501" s="1" t="inlineStr">
        <is>
          <t>-84.04%</t>
        </is>
      </c>
      <c r="N3501" t="n">
        <v>3.7</v>
      </c>
      <c r="O3501" t="n">
        <v>125</v>
      </c>
      <c r="Q3501" t="inlineStr">
        <is>
          <t>InStock</t>
        </is>
      </c>
      <c r="R3501" t="inlineStr">
        <is>
          <t>undefined</t>
        </is>
      </c>
      <c r="S3501" t="inlineStr">
        <is>
          <t>10030284682</t>
        </is>
      </c>
    </row>
    <row r="3502" ht="75" customHeight="1">
      <c r="A3502" s="2">
        <f>HYPERLINK("https://camerareadycosmetics.com/products/stila-magnificent-metals-glitter-glow-liquid-eye-shadow", "https://camerareadycosmetics.com/products/stila-magnificent-metals-glitter-glow-liquid-eye-shadow")</f>
        <v/>
      </c>
      <c r="B3502" s="2">
        <f>HYPERLINK("https://camerareadycosmetics.com/products/stila-magnificent-metals-glitter-glow-liquid-eye-shadow", "https://camerareadycosmetics.com/products/stila-magnificent-metals-glitter-glow-liquid-eye-shadow")</f>
        <v/>
      </c>
      <c r="C3502" t="inlineStr">
        <is>
          <t>Glitter &amp; Glow Liquid Eye Shadow</t>
        </is>
      </c>
      <c r="D3502" t="inlineStr">
        <is>
          <t>Glitter Eyeshadow，Makeup For Eyes Liquid Shimmer Sparkle Glow Light Colors Pencil Stick Shiny Long Lasting Waterproof Shining Eye Shadow Sets Metallic Pigments Metals Gloss Sparkling Pen Kit (A101)</t>
        </is>
      </c>
      <c r="E3502" s="2">
        <f>HYPERLINK("https://www.amazon.com/Eyeshadow%EF%BC%8CMakeup-Waterproof-Metallic-Pigments-Sparkling/dp/B093TB39YC/ref=sr_1_2?keywords=Glitter+%26+Glow+Liquid+Eye+Shadow&amp;qid=1695565424&amp;sr=8-2", "https://www.amazon.com/Eyeshadow%EF%BC%8CMakeup-Waterproof-Metallic-Pigments-Sparkling/dp/B093TB39YC/ref=sr_1_2?keywords=Glitter+%26+Glow+Liquid+Eye+Shadow&amp;qid=1695565424&amp;sr=8-2")</f>
        <v/>
      </c>
      <c r="F3502" t="inlineStr">
        <is>
          <t>B093TB39YC</t>
        </is>
      </c>
      <c r="G3502">
        <f>_xlfn.IMAGE("https://camerareadycosmetics.com/cdn/shop/products/molten_midnight_50x.jpg?v=1691126574")</f>
        <v/>
      </c>
      <c r="H3502">
        <f>_xlfn.IMAGE("https://m.media-amazon.com/images/I/51XBh81HH1L._AC_UL320_.jpg")</f>
        <v/>
      </c>
      <c r="K3502" t="inlineStr">
        <is>
          <t>25.0</t>
        </is>
      </c>
      <c r="L3502" t="n">
        <v>8.09</v>
      </c>
      <c r="M3502" s="1" t="inlineStr">
        <is>
          <t>-67.64%</t>
        </is>
      </c>
      <c r="N3502" t="n">
        <v>4</v>
      </c>
      <c r="O3502" t="n">
        <v>1619</v>
      </c>
      <c r="Q3502" t="inlineStr">
        <is>
          <t>InStock</t>
        </is>
      </c>
      <c r="R3502" t="inlineStr">
        <is>
          <t>undefined</t>
        </is>
      </c>
      <c r="S3502" t="inlineStr">
        <is>
          <t>10030284682</t>
        </is>
      </c>
    </row>
    <row r="3503" ht="75" customHeight="1">
      <c r="A3503" s="2">
        <f>HYPERLINK("https://camerareadycosmetics.com/products/stila-magnificent-metals-glitter-glow-liquid-eye-shadow", "https://camerareadycosmetics.com/products/stila-magnificent-metals-glitter-glow-liquid-eye-shadow")</f>
        <v/>
      </c>
      <c r="B3503" s="2">
        <f>HYPERLINK("https://camerareadycosmetics.com/products/stila-magnificent-metals-glitter-glow-liquid-eye-shadow", "https://camerareadycosmetics.com/products/stila-magnificent-metals-glitter-glow-liquid-eye-shadow")</f>
        <v/>
      </c>
      <c r="C3503" t="inlineStr">
        <is>
          <t>Glitter &amp; Glow Liquid Eye Shadow</t>
        </is>
      </c>
      <c r="D3503" t="inlineStr">
        <is>
          <t>Eyeshadow liquid Glitter Long Lasting Pigments Metals Gloss Shimmer Eyeshadow Glow Eye Makeup (Rosegold)</t>
        </is>
      </c>
      <c r="E3503" s="2">
        <f>HYPERLINK("https://www.amazon.com/ONarisae-Eyeshadow-Glitter-Pigments-Rosegold/dp/B0C45KSZ2Q/ref=sr_1_9?keywords=Glitter+%26+Glow+Liquid+Eye+Shadow&amp;qid=1695565424&amp;sr=8-9", "https://www.amazon.com/ONarisae-Eyeshadow-Glitter-Pigments-Rosegold/dp/B0C45KSZ2Q/ref=sr_1_9?keywords=Glitter+%26+Glow+Liquid+Eye+Shadow&amp;qid=1695565424&amp;sr=8-9")</f>
        <v/>
      </c>
      <c r="F3503" t="inlineStr">
        <is>
          <t>B0C45KSZ2Q</t>
        </is>
      </c>
      <c r="G3503">
        <f>_xlfn.IMAGE("https://camerareadycosmetics.com/cdn/shop/products/molten_midnight_50x.jpg?v=1691126574")</f>
        <v/>
      </c>
      <c r="H3503">
        <f>_xlfn.IMAGE("https://m.media-amazon.com/images/I/71vk4o6Ii9L._AC_UL320_.jpg")</f>
        <v/>
      </c>
      <c r="K3503" t="inlineStr">
        <is>
          <t>25.0</t>
        </is>
      </c>
      <c r="L3503" t="n">
        <v>5.89</v>
      </c>
      <c r="M3503" s="1" t="inlineStr">
        <is>
          <t>-76.44%</t>
        </is>
      </c>
      <c r="N3503" t="n">
        <v>4.2</v>
      </c>
      <c r="O3503" t="n">
        <v>31</v>
      </c>
      <c r="Q3503" t="inlineStr">
        <is>
          <t>InStock</t>
        </is>
      </c>
      <c r="R3503" t="inlineStr">
        <is>
          <t>undefined</t>
        </is>
      </c>
      <c r="S3503" t="inlineStr">
        <is>
          <t>10030284682</t>
        </is>
      </c>
    </row>
    <row r="3504" ht="75" customHeight="1">
      <c r="A3504" s="2">
        <f>HYPERLINK("https://camerareadycosmetics.com/products/stila-magnificent-metals-glitter-glow-liquid-eye-shadow", "https://camerareadycosmetics.com/products/stila-magnificent-metals-glitter-glow-liquid-eye-shadow")</f>
        <v/>
      </c>
      <c r="B3504" s="2">
        <f>HYPERLINK("https://camerareadycosmetics.com/products/stila-magnificent-metals-glitter-glow-liquid-eye-shadow", "https://camerareadycosmetics.com/products/stila-magnificent-metals-glitter-glow-liquid-eye-shadow")</f>
        <v/>
      </c>
      <c r="C3504" t="inlineStr">
        <is>
          <t>Glitter &amp; Glow Liquid Eye Shadow</t>
        </is>
      </c>
      <c r="D3504" t="inlineStr">
        <is>
          <t>Liquid Glitter Eyeshadow, Metallic &amp; Shimmer &amp; Glow Shades,Quick-Drying, Waterproof, Non-sticky,0.17 Fl Oz</t>
        </is>
      </c>
      <c r="E3504" s="2">
        <f>HYPERLINK("https://www.amazon.com/YOUNG-VISION-Quick-Drying-Waterproof-Non-sticky/dp/B0BFWRMRWJ/ref=sr_1_7?keywords=Glitter+%26+Glow+Liquid+Eye+Shadow&amp;qid=1695565424&amp;sr=8-7", "https://www.amazon.com/YOUNG-VISION-Quick-Drying-Waterproof-Non-sticky/dp/B0BFWRMRWJ/ref=sr_1_7?keywords=Glitter+%26+Glow+Liquid+Eye+Shadow&amp;qid=1695565424&amp;sr=8-7")</f>
        <v/>
      </c>
      <c r="F3504" t="inlineStr">
        <is>
          <t>B0BFWRMRWJ</t>
        </is>
      </c>
      <c r="G3504">
        <f>_xlfn.IMAGE("https://camerareadycosmetics.com/cdn/shop/products/molten_midnight_50x.jpg?v=1691126574")</f>
        <v/>
      </c>
      <c r="H3504">
        <f>_xlfn.IMAGE("https://m.media-amazon.com/images/I/71Ge41qVA1L._AC_UL320_.jpg")</f>
        <v/>
      </c>
      <c r="K3504" t="inlineStr">
        <is>
          <t>25.0</t>
        </is>
      </c>
      <c r="L3504" t="n">
        <v>3.99</v>
      </c>
      <c r="M3504" s="1" t="inlineStr">
        <is>
          <t>-84.04%</t>
        </is>
      </c>
      <c r="N3504" t="n">
        <v>3.7</v>
      </c>
      <c r="O3504" t="n">
        <v>125</v>
      </c>
      <c r="Q3504" t="inlineStr">
        <is>
          <t>InStock</t>
        </is>
      </c>
      <c r="R3504" t="inlineStr">
        <is>
          <t>undefined</t>
        </is>
      </c>
      <c r="S3504" t="inlineStr">
        <is>
          <t>10030284682</t>
        </is>
      </c>
    </row>
    <row r="3505" ht="75" customHeight="1">
      <c r="A3505" s="2">
        <f>HYPERLINK("https://camerareadycosmetics.com/products/stila-one-step-correct", "https://camerareadycosmetics.com/products/stila-one-step-correct")</f>
        <v/>
      </c>
      <c r="B3505" s="2">
        <f>HYPERLINK("https://camerareadycosmetics.com/products/stila-one-step-correct", "https://camerareadycosmetics.com/products/stila-one-step-correct")</f>
        <v/>
      </c>
      <c r="C3505" t="inlineStr">
        <is>
          <t>One Step Correct</t>
        </is>
      </c>
      <c r="D3505" t="inlineStr">
        <is>
          <t>stila One Step Correct KITTEN Skin Tone Correcting &amp; Brightening Primer, 1 oz.</t>
        </is>
      </c>
      <c r="E3505" s="2">
        <f>HYPERLINK("https://www.amazon.com/stila-Correct-KITTEN-Correcting-Brightening/dp/B08CG6B3DG/ref=sr_1_3?keywords=One+Step+Correct&amp;qid=1695565654&amp;sr=8-3", "https://www.amazon.com/stila-Correct-KITTEN-Correcting-Brightening/dp/B08CG6B3DG/ref=sr_1_3?keywords=One+Step+Correct&amp;qid=1695565654&amp;sr=8-3")</f>
        <v/>
      </c>
      <c r="F3505" t="inlineStr">
        <is>
          <t>B08CG6B3DG</t>
        </is>
      </c>
      <c r="G3505">
        <f>_xlfn.IMAGE("https://camerareadycosmetics.com/cdn/shop/products/PDP-One-Step-Correct3_1800x1800_0636c246-1494-40a5-80b6-ed251f62dae7_50x.jpg?v=1628732913")</f>
        <v/>
      </c>
      <c r="H3505">
        <f>_xlfn.IMAGE("https://m.media-amazon.com/images/I/71gTaWP4ZhL._AC_UL320_.jpg")</f>
        <v/>
      </c>
      <c r="K3505" t="inlineStr">
        <is>
          <t>36.0</t>
        </is>
      </c>
      <c r="L3505" t="n">
        <v>36</v>
      </c>
      <c r="M3505" s="1" t="inlineStr">
        <is>
          <t>0.00%</t>
        </is>
      </c>
      <c r="N3505" t="n">
        <v>4.5</v>
      </c>
      <c r="O3505" t="n">
        <v>324</v>
      </c>
      <c r="Q3505" t="inlineStr">
        <is>
          <t>InStock</t>
        </is>
      </c>
      <c r="R3505" t="inlineStr">
        <is>
          <t>undefined</t>
        </is>
      </c>
      <c r="S3505" t="inlineStr">
        <is>
          <t>11607062154</t>
        </is>
      </c>
    </row>
    <row r="3506" ht="75" customHeight="1">
      <c r="A3506" s="2">
        <f>HYPERLINK("https://camerareadycosmetics.com/products/stila-one-step-correct", "https://camerareadycosmetics.com/products/stila-one-step-correct")</f>
        <v/>
      </c>
      <c r="B3506" s="2">
        <f>HYPERLINK("https://camerareadycosmetics.com/products/stila-one-step-correct", "https://camerareadycosmetics.com/products/stila-one-step-correct")</f>
        <v/>
      </c>
      <c r="C3506" t="inlineStr">
        <is>
          <t>One Step Correct</t>
        </is>
      </c>
      <c r="D3506" t="inlineStr">
        <is>
          <t>stila One Step Correct Skin Tone Correcting &amp; Brightening Primer, 1 fl. oz.</t>
        </is>
      </c>
      <c r="E3506" s="2">
        <f>HYPERLINK("https://www.amazon.com/stila-Correct-Correcting-Brightening-Primer/dp/B09QDJ2L9P/ref=sr_1_4?keywords=One+Step+Correct&amp;qid=1695565654&amp;sr=8-4", "https://www.amazon.com/stila-Correct-Correcting-Brightening-Primer/dp/B09QDJ2L9P/ref=sr_1_4?keywords=One+Step+Correct&amp;qid=1695565654&amp;sr=8-4")</f>
        <v/>
      </c>
      <c r="F3506" t="inlineStr">
        <is>
          <t>B09QDJ2L9P</t>
        </is>
      </c>
      <c r="G3506">
        <f>_xlfn.IMAGE("https://camerareadycosmetics.com/cdn/shop/products/PDP-One-Step-Correct3_1800x1800_0636c246-1494-40a5-80b6-ed251f62dae7_50x.jpg?v=1628732913")</f>
        <v/>
      </c>
      <c r="H3506">
        <f>_xlfn.IMAGE("https://m.media-amazon.com/images/I/61r9njl+bFL._AC_UL320_.jpg")</f>
        <v/>
      </c>
      <c r="K3506" t="inlineStr">
        <is>
          <t>36.0</t>
        </is>
      </c>
      <c r="L3506" t="n">
        <v>36</v>
      </c>
      <c r="M3506" s="1" t="inlineStr">
        <is>
          <t>0.00%</t>
        </is>
      </c>
      <c r="N3506" t="n">
        <v>4.3</v>
      </c>
      <c r="O3506" t="n">
        <v>47</v>
      </c>
      <c r="Q3506" t="inlineStr">
        <is>
          <t>InStock</t>
        </is>
      </c>
      <c r="R3506" t="inlineStr">
        <is>
          <t>undefined</t>
        </is>
      </c>
      <c r="S3506" t="inlineStr">
        <is>
          <t>11607062154</t>
        </is>
      </c>
    </row>
    <row r="3507" ht="75" customHeight="1">
      <c r="A3507" s="2">
        <f>HYPERLINK("https://camerareadycosmetics.com/products/stila-one-step-correct", "https://camerareadycosmetics.com/products/stila-one-step-correct")</f>
        <v/>
      </c>
      <c r="B3507" s="2">
        <f>HYPERLINK("https://camerareadycosmetics.com/products/stila-one-step-correct", "https://camerareadycosmetics.com/products/stila-one-step-correct")</f>
        <v/>
      </c>
      <c r="C3507" t="inlineStr">
        <is>
          <t>One Step Correct</t>
        </is>
      </c>
      <c r="D3507" t="inlineStr">
        <is>
          <t>stila One Step Correct Skin Tone Correcting &amp; Brightening Primer, 1 fl. oz.</t>
        </is>
      </c>
      <c r="E3507" s="2">
        <f>HYPERLINK("https://www.amazon.com/stila-Correct-Correcting-Brightening-Primer/dp/B09QBYJNPR/ref=sr_1_5?keywords=One+Step+Correct&amp;qid=1695565654&amp;sr=8-5", "https://www.amazon.com/stila-Correct-Correcting-Brightening-Primer/dp/B09QBYJNPR/ref=sr_1_5?keywords=One+Step+Correct&amp;qid=1695565654&amp;sr=8-5")</f>
        <v/>
      </c>
      <c r="F3507" t="inlineStr">
        <is>
          <t>B09QBYJNPR</t>
        </is>
      </c>
      <c r="G3507">
        <f>_xlfn.IMAGE("https://camerareadycosmetics.com/cdn/shop/products/PDP-One-Step-Correct3_1800x1800_0636c246-1494-40a5-80b6-ed251f62dae7_50x.jpg?v=1628732913")</f>
        <v/>
      </c>
      <c r="H3507">
        <f>_xlfn.IMAGE("https://m.media-amazon.com/images/I/616tlMR6SAL._AC_UL320_.jpg")</f>
        <v/>
      </c>
      <c r="K3507" t="inlineStr">
        <is>
          <t>36.0</t>
        </is>
      </c>
      <c r="L3507" t="n">
        <v>36</v>
      </c>
      <c r="M3507" s="1" t="inlineStr">
        <is>
          <t>0.00%</t>
        </is>
      </c>
      <c r="N3507" t="n">
        <v>3.9</v>
      </c>
      <c r="O3507" t="n">
        <v>21</v>
      </c>
      <c r="Q3507" t="inlineStr">
        <is>
          <t>InStock</t>
        </is>
      </c>
      <c r="R3507" t="inlineStr">
        <is>
          <t>undefined</t>
        </is>
      </c>
      <c r="S3507" t="inlineStr">
        <is>
          <t>11607062154</t>
        </is>
      </c>
    </row>
    <row r="3508" ht="75" customHeight="1">
      <c r="A3508" s="2">
        <f>HYPERLINK("https://camerareadycosmetics.com/products/stila-one-step-correct", "https://camerareadycosmetics.com/products/stila-one-step-correct")</f>
        <v/>
      </c>
      <c r="B3508" s="2">
        <f>HYPERLINK("https://camerareadycosmetics.com/products/stila-one-step-correct", "https://camerareadycosmetics.com/products/stila-one-step-correct")</f>
        <v/>
      </c>
      <c r="C3508" t="inlineStr">
        <is>
          <t>One Step Correct</t>
        </is>
      </c>
      <c r="D3508" t="inlineStr">
        <is>
          <t>stila One Step Correct Brightening Finishing Powder</t>
        </is>
      </c>
      <c r="E3508" s="2">
        <f>HYPERLINK("https://www.amazon.com/stila-Correct-Brightening-Finishing-Powder/dp/B08QG3H5FD/ref=sr_1_7?keywords=One+Step+Correct&amp;qid=1695565654&amp;sr=8-7", "https://www.amazon.com/stila-Correct-Brightening-Finishing-Powder/dp/B08QG3H5FD/ref=sr_1_7?keywords=One+Step+Correct&amp;qid=1695565654&amp;sr=8-7")</f>
        <v/>
      </c>
      <c r="F3508" t="inlineStr">
        <is>
          <t>B08QG3H5FD</t>
        </is>
      </c>
      <c r="G3508">
        <f>_xlfn.IMAGE("https://camerareadycosmetics.com/cdn/shop/products/PDP-One-Step-Correct3_1800x1800_0636c246-1494-40a5-80b6-ed251f62dae7_50x.jpg?v=1628732913")</f>
        <v/>
      </c>
      <c r="H3508">
        <f>_xlfn.IMAGE("https://m.media-amazon.com/images/I/712x7RupqVL._AC_UL320_.jpg")</f>
        <v/>
      </c>
      <c r="K3508" t="inlineStr">
        <is>
          <t>36.0</t>
        </is>
      </c>
      <c r="L3508" t="n">
        <v>36</v>
      </c>
      <c r="M3508" s="1" t="inlineStr">
        <is>
          <t>0.00%</t>
        </is>
      </c>
      <c r="N3508" t="n">
        <v>4.1</v>
      </c>
      <c r="O3508" t="n">
        <v>105</v>
      </c>
      <c r="Q3508" t="inlineStr">
        <is>
          <t>InStock</t>
        </is>
      </c>
      <c r="R3508" t="inlineStr">
        <is>
          <t>undefined</t>
        </is>
      </c>
      <c r="S3508" t="inlineStr">
        <is>
          <t>11607062154</t>
        </is>
      </c>
    </row>
    <row r="3509" ht="75" customHeight="1">
      <c r="A3509" s="2">
        <f>HYPERLINK("https://camerareadycosmetics.com/products/stila-one-step-correct", "https://camerareadycosmetics.com/products/stila-one-step-correct")</f>
        <v/>
      </c>
      <c r="B3509" s="2">
        <f>HYPERLINK("https://camerareadycosmetics.com/products/stila-one-step-correct", "https://camerareadycosmetics.com/products/stila-one-step-correct")</f>
        <v/>
      </c>
      <c r="C3509" t="inlineStr">
        <is>
          <t>One Step Correct</t>
        </is>
      </c>
      <c r="D3509" t="inlineStr">
        <is>
          <t>stila One Step, Color Correcting Facial Serum, 1 Fl Oz</t>
        </is>
      </c>
      <c r="E3509" s="2">
        <f>HYPERLINK("https://www.amazon.com/stila-One-Step-Correct-fl/dp/B003W5GL5I/ref=sr_1_1?keywords=One+Step+Correct&amp;qid=1695565654&amp;sr=8-1", "https://www.amazon.com/stila-One-Step-Correct-fl/dp/B003W5GL5I/ref=sr_1_1?keywords=One+Step+Correct&amp;qid=1695565654&amp;sr=8-1")</f>
        <v/>
      </c>
      <c r="F3509" t="inlineStr">
        <is>
          <t>B003W5GL5I</t>
        </is>
      </c>
      <c r="G3509">
        <f>_xlfn.IMAGE("https://camerareadycosmetics.com/cdn/shop/products/PDP-One-Step-Correct3_1800x1800_0636c246-1494-40a5-80b6-ed251f62dae7_50x.jpg?v=1628732913")</f>
        <v/>
      </c>
      <c r="H3509">
        <f>_xlfn.IMAGE("https://m.media-amazon.com/images/I/51VJzb9aspL._AC_UL320_.jpg")</f>
        <v/>
      </c>
      <c r="K3509" t="inlineStr">
        <is>
          <t>36.0</t>
        </is>
      </c>
      <c r="L3509" t="n">
        <v>35.64</v>
      </c>
      <c r="M3509" s="1" t="inlineStr">
        <is>
          <t>-1.00%</t>
        </is>
      </c>
      <c r="N3509" t="n">
        <v>4.4</v>
      </c>
      <c r="O3509" t="n">
        <v>4034</v>
      </c>
      <c r="Q3509" t="inlineStr">
        <is>
          <t>InStock</t>
        </is>
      </c>
      <c r="R3509" t="inlineStr">
        <is>
          <t>undefined</t>
        </is>
      </c>
      <c r="S3509" t="inlineStr">
        <is>
          <t>11607062154</t>
        </is>
      </c>
    </row>
    <row r="3510" ht="75" customHeight="1">
      <c r="A3510" s="2">
        <f>HYPERLINK("https://camerareadycosmetics.com/products/stila-one-step-correct", "https://camerareadycosmetics.com/products/stila-one-step-correct")</f>
        <v/>
      </c>
      <c r="B3510" s="2">
        <f>HYPERLINK("https://camerareadycosmetics.com/products/stila-one-step-correct", "https://camerareadycosmetics.com/products/stila-one-step-correct")</f>
        <v/>
      </c>
      <c r="C3510" t="inlineStr">
        <is>
          <t>One Step Correct</t>
        </is>
      </c>
      <c r="D3510" t="inlineStr">
        <is>
          <t>SIAMHOO One Step Face Primer Makeup Tricolor Tinted Moisturizer Skin Tone Correcting and Brightening Primer for Glowing and Flawless Makeup, 35ml - 2pcs</t>
        </is>
      </c>
      <c r="E3510" s="2">
        <f>HYPERLINK("https://www.amazon.com/SIAMHOO-Tricolor-Moisturizer-Correcting-Brightening/dp/B089NQCFSK/ref=sr_1_9?keywords=One+Step+Correct&amp;qid=1695565654&amp;sr=8-9", "https://www.amazon.com/SIAMHOO-Tricolor-Moisturizer-Correcting-Brightening/dp/B089NQCFSK/ref=sr_1_9?keywords=One+Step+Correct&amp;qid=1695565654&amp;sr=8-9")</f>
        <v/>
      </c>
      <c r="F3510" t="inlineStr">
        <is>
          <t>B089NQCFSK</t>
        </is>
      </c>
      <c r="G3510">
        <f>_xlfn.IMAGE("https://camerareadycosmetics.com/cdn/shop/products/PDP-One-Step-Correct3_1800x1800_0636c246-1494-40a5-80b6-ed251f62dae7_50x.jpg?v=1628732913")</f>
        <v/>
      </c>
      <c r="H3510">
        <f>_xlfn.IMAGE("https://m.media-amazon.com/images/I/71zSIn+DisS._AC_UL320_.jpg")</f>
        <v/>
      </c>
      <c r="K3510" t="inlineStr">
        <is>
          <t>36.0</t>
        </is>
      </c>
      <c r="L3510" t="n">
        <v>14.99</v>
      </c>
      <c r="M3510" s="1" t="inlineStr">
        <is>
          <t>-58.36%</t>
        </is>
      </c>
      <c r="N3510" t="n">
        <v>4.1</v>
      </c>
      <c r="O3510" t="n">
        <v>838</v>
      </c>
      <c r="Q3510" t="inlineStr">
        <is>
          <t>InStock</t>
        </is>
      </c>
      <c r="R3510" t="inlineStr">
        <is>
          <t>undefined</t>
        </is>
      </c>
      <c r="S3510" t="inlineStr">
        <is>
          <t>11607062154</t>
        </is>
      </c>
    </row>
    <row r="3511" ht="75" customHeight="1">
      <c r="A3511" s="2">
        <f>HYPERLINK("https://camerareadycosmetics.com/products/stila-one-step-correct", "https://camerareadycosmetics.com/products/stila-one-step-correct")</f>
        <v/>
      </c>
      <c r="B3511" s="2">
        <f>HYPERLINK("https://camerareadycosmetics.com/products/stila-one-step-correct", "https://camerareadycosmetics.com/products/stila-one-step-correct")</f>
        <v/>
      </c>
      <c r="C3511" t="inlineStr">
        <is>
          <t>One Step Correct</t>
        </is>
      </c>
      <c r="D3511" t="inlineStr">
        <is>
          <t>One Step Color Corrector, Isolation Cream, Makeup Primer Skin Tone Correcting and Brightening Primer, Oil Control Moisturizing, Latorice</t>
        </is>
      </c>
      <c r="E3511" s="2">
        <f>HYPERLINK("https://www.amazon.com/Concealers-Corrector-Correcting-Brightening-Latorice/dp/B085KV46VN/ref=sr_1_2?keywords=One+Step+Correct&amp;qid=1695565654&amp;sr=8-2", "https://www.amazon.com/Concealers-Corrector-Correcting-Brightening-Latorice/dp/B085KV46VN/ref=sr_1_2?keywords=One+Step+Correct&amp;qid=1695565654&amp;sr=8-2")</f>
        <v/>
      </c>
      <c r="F3511" t="inlineStr">
        <is>
          <t>B085KV46VN</t>
        </is>
      </c>
      <c r="G3511">
        <f>_xlfn.IMAGE("https://camerareadycosmetics.com/cdn/shop/products/PDP-One-Step-Correct3_1800x1800_0636c246-1494-40a5-80b6-ed251f62dae7_50x.jpg?v=1628732913")</f>
        <v/>
      </c>
      <c r="H3511">
        <f>_xlfn.IMAGE("https://m.media-amazon.com/images/I/71y9xkzDMJL._AC_UL320_.jpg")</f>
        <v/>
      </c>
      <c r="K3511" t="inlineStr">
        <is>
          <t>36.0</t>
        </is>
      </c>
      <c r="L3511" t="n">
        <v>12.98</v>
      </c>
      <c r="M3511" s="1" t="inlineStr">
        <is>
          <t>-63.94%</t>
        </is>
      </c>
      <c r="N3511" t="n">
        <v>4.2</v>
      </c>
      <c r="O3511" t="n">
        <v>3441</v>
      </c>
      <c r="Q3511" t="inlineStr">
        <is>
          <t>InStock</t>
        </is>
      </c>
      <c r="R3511" t="inlineStr">
        <is>
          <t>undefined</t>
        </is>
      </c>
      <c r="S3511" t="inlineStr">
        <is>
          <t>11607062154</t>
        </is>
      </c>
    </row>
    <row r="3512" ht="75" customHeight="1">
      <c r="A3512" s="2">
        <f>HYPERLINK("https://camerareadycosmetics.com/products/stila-one-step-correct", "https://camerareadycosmetics.com/products/stila-one-step-correct")</f>
        <v/>
      </c>
      <c r="B3512" s="2">
        <f>HYPERLINK("https://camerareadycosmetics.com/products/stila-one-step-correct", "https://camerareadycosmetics.com/products/stila-one-step-correct")</f>
        <v/>
      </c>
      <c r="C3512" t="inlineStr">
        <is>
          <t>One Step Correct</t>
        </is>
      </c>
      <c r="D3512" t="inlineStr">
        <is>
          <t>One Step Tri-Color contour Isolation Cream, One Step Color Corrector, Makeup Primer Skin Tone Correcting and Brightening Primer, Neutralizing Dark Circles and Veins, Correcting Redeness Senana Marina (1 pack)</t>
        </is>
      </c>
      <c r="E3512" s="2">
        <f>HYPERLINK("https://www.amazon.com/Tri-Color-Isolation-Correcting-Brightening-Neutralizing/dp/B0BF412RNF/ref=sr_1_6?keywords=One+Step+Correct&amp;qid=1695565654&amp;sr=8-6", "https://www.amazon.com/Tri-Color-Isolation-Correcting-Brightening-Neutralizing/dp/B0BF412RNF/ref=sr_1_6?keywords=One+Step+Correct&amp;qid=1695565654&amp;sr=8-6")</f>
        <v/>
      </c>
      <c r="F3512" t="inlineStr">
        <is>
          <t>B0BF412RNF</t>
        </is>
      </c>
      <c r="G3512">
        <f>_xlfn.IMAGE("https://camerareadycosmetics.com/cdn/shop/products/PDP-One-Step-Correct3_1800x1800_0636c246-1494-40a5-80b6-ed251f62dae7_50x.jpg?v=1628732913")</f>
        <v/>
      </c>
      <c r="H3512">
        <f>_xlfn.IMAGE("https://m.media-amazon.com/images/I/41u2riXYuzL._AC_UL320_.jpg")</f>
        <v/>
      </c>
      <c r="K3512" t="inlineStr">
        <is>
          <t>36.0</t>
        </is>
      </c>
      <c r="L3512" t="n">
        <v>9.949999999999999</v>
      </c>
      <c r="M3512" s="1" t="inlineStr">
        <is>
          <t>-72.36%</t>
        </is>
      </c>
      <c r="N3512" t="n">
        <v>3.9</v>
      </c>
      <c r="O3512" t="n">
        <v>85</v>
      </c>
      <c r="Q3512" t="inlineStr">
        <is>
          <t>InStock</t>
        </is>
      </c>
      <c r="R3512" t="inlineStr">
        <is>
          <t>undefined</t>
        </is>
      </c>
      <c r="S3512" t="inlineStr">
        <is>
          <t>11607062154</t>
        </is>
      </c>
    </row>
    <row r="3513" ht="75" customHeight="1">
      <c r="A3513" s="2">
        <f>HYPERLINK("https://camerareadycosmetics.com/products/stila-one-step-correct", "https://camerareadycosmetics.com/products/stila-one-step-correct")</f>
        <v/>
      </c>
      <c r="B3513" s="2">
        <f>HYPERLINK("https://camerareadycosmetics.com/products/stila-one-step-correct", "https://camerareadycosmetics.com/products/stila-one-step-correct")</f>
        <v/>
      </c>
      <c r="C3513" t="inlineStr">
        <is>
          <t>One Step Correct</t>
        </is>
      </c>
      <c r="D3513" t="inlineStr">
        <is>
          <t>SIAMHOO One Step Face Primer Makeup Tricolor Tinted Moisturizer Skin Tone Correcting and Brightening Primer for Glowing and Flawless Makeup, 35ml - 2pcs</t>
        </is>
      </c>
      <c r="E3513" s="2">
        <f>HYPERLINK("https://www.amazon.com/SIAMHOO-Tricolor-Moisturizer-Correcting-Brightening/dp/B089NQCFSK/ref=sr_1_9?keywords=One+Step+Correct&amp;qid=1695565654&amp;sr=8-9", "https://www.amazon.com/SIAMHOO-Tricolor-Moisturizer-Correcting-Brightening/dp/B089NQCFSK/ref=sr_1_9?keywords=One+Step+Correct&amp;qid=1695565654&amp;sr=8-9")</f>
        <v/>
      </c>
      <c r="F3513" t="inlineStr">
        <is>
          <t>B089NQCFSK</t>
        </is>
      </c>
      <c r="G3513">
        <f>_xlfn.IMAGE("https://camerareadycosmetics.com/cdn/shop/products/PDP-One-Step-Correct3_1800x1800_0636c246-1494-40a5-80b6-ed251f62dae7_50x.jpg?v=1628732913")</f>
        <v/>
      </c>
      <c r="H3513">
        <f>_xlfn.IMAGE("https://m.media-amazon.com/images/I/71zSIn+DisS._AC_UL320_.jpg")</f>
        <v/>
      </c>
      <c r="K3513" t="inlineStr">
        <is>
          <t>36.0</t>
        </is>
      </c>
      <c r="L3513" t="n">
        <v>14.99</v>
      </c>
      <c r="M3513" s="1" t="inlineStr">
        <is>
          <t>-58.36%</t>
        </is>
      </c>
      <c r="N3513" t="n">
        <v>4.1</v>
      </c>
      <c r="O3513" t="n">
        <v>838</v>
      </c>
      <c r="Q3513" t="inlineStr">
        <is>
          <t>InStock</t>
        </is>
      </c>
      <c r="R3513" t="inlineStr">
        <is>
          <t>undefined</t>
        </is>
      </c>
      <c r="S3513" t="inlineStr">
        <is>
          <t>11607062154</t>
        </is>
      </c>
    </row>
    <row r="3514" ht="75" customHeight="1">
      <c r="A3514" s="2">
        <f>HYPERLINK("https://camerareadycosmetics.com/products/stila-one-step-correct", "https://camerareadycosmetics.com/products/stila-one-step-correct")</f>
        <v/>
      </c>
      <c r="B3514" s="2">
        <f>HYPERLINK("https://camerareadycosmetics.com/products/stila-one-step-correct", "https://camerareadycosmetics.com/products/stila-one-step-correct")</f>
        <v/>
      </c>
      <c r="C3514" t="inlineStr">
        <is>
          <t>One Step Correct</t>
        </is>
      </c>
      <c r="D3514" t="inlineStr">
        <is>
          <t>One Step Color Corrector, Isolation Cream, Makeup Primer Skin Tone Correcting and Brightening Primer, Oil Control Moisturizing, Latorice</t>
        </is>
      </c>
      <c r="E3514" s="2">
        <f>HYPERLINK("https://www.amazon.com/Concealers-Corrector-Correcting-Brightening-Latorice/dp/B085KV46VN/ref=sr_1_2?keywords=One+Step+Correct&amp;qid=1695565654&amp;sr=8-2", "https://www.amazon.com/Concealers-Corrector-Correcting-Brightening-Latorice/dp/B085KV46VN/ref=sr_1_2?keywords=One+Step+Correct&amp;qid=1695565654&amp;sr=8-2")</f>
        <v/>
      </c>
      <c r="F3514" t="inlineStr">
        <is>
          <t>B085KV46VN</t>
        </is>
      </c>
      <c r="G3514">
        <f>_xlfn.IMAGE("https://camerareadycosmetics.com/cdn/shop/products/PDP-One-Step-Correct3_1800x1800_0636c246-1494-40a5-80b6-ed251f62dae7_50x.jpg?v=1628732913")</f>
        <v/>
      </c>
      <c r="H3514">
        <f>_xlfn.IMAGE("https://m.media-amazon.com/images/I/71y9xkzDMJL._AC_UL320_.jpg")</f>
        <v/>
      </c>
      <c r="K3514" t="inlineStr">
        <is>
          <t>36.0</t>
        </is>
      </c>
      <c r="L3514" t="n">
        <v>12.98</v>
      </c>
      <c r="M3514" s="1" t="inlineStr">
        <is>
          <t>-63.94%</t>
        </is>
      </c>
      <c r="N3514" t="n">
        <v>4.2</v>
      </c>
      <c r="O3514" t="n">
        <v>3441</v>
      </c>
      <c r="Q3514" t="inlineStr">
        <is>
          <t>InStock</t>
        </is>
      </c>
      <c r="R3514" t="inlineStr">
        <is>
          <t>undefined</t>
        </is>
      </c>
      <c r="S3514" t="inlineStr">
        <is>
          <t>11607062154</t>
        </is>
      </c>
    </row>
    <row r="3515" ht="75" customHeight="1">
      <c r="A3515" s="2">
        <f>HYPERLINK("https://camerareadycosmetics.com/products/stila-one-step-correct", "https://camerareadycosmetics.com/products/stila-one-step-correct")</f>
        <v/>
      </c>
      <c r="B3515" s="2">
        <f>HYPERLINK("https://camerareadycosmetics.com/products/stila-one-step-correct", "https://camerareadycosmetics.com/products/stila-one-step-correct")</f>
        <v/>
      </c>
      <c r="C3515" t="inlineStr">
        <is>
          <t>One Step Correct</t>
        </is>
      </c>
      <c r="D3515" t="inlineStr">
        <is>
          <t>One Step Tri-Color contour Isolation Cream, One Step Color Corrector, Makeup Primer Skin Tone Correcting and Brightening Primer, Neutralizing Dark Circles and Veins, Correcting Redeness Senana Marina (1 pack)</t>
        </is>
      </c>
      <c r="E3515" s="2">
        <f>HYPERLINK("https://www.amazon.com/Tri-Color-Isolation-Correcting-Brightening-Neutralizing/dp/B0BF412RNF/ref=sr_1_6?keywords=One+Step+Correct&amp;qid=1695565654&amp;sr=8-6", "https://www.amazon.com/Tri-Color-Isolation-Correcting-Brightening-Neutralizing/dp/B0BF412RNF/ref=sr_1_6?keywords=One+Step+Correct&amp;qid=1695565654&amp;sr=8-6")</f>
        <v/>
      </c>
      <c r="F3515" t="inlineStr">
        <is>
          <t>B0BF412RNF</t>
        </is>
      </c>
      <c r="G3515">
        <f>_xlfn.IMAGE("https://camerareadycosmetics.com/cdn/shop/products/PDP-One-Step-Correct3_1800x1800_0636c246-1494-40a5-80b6-ed251f62dae7_50x.jpg?v=1628732913")</f>
        <v/>
      </c>
      <c r="H3515">
        <f>_xlfn.IMAGE("https://m.media-amazon.com/images/I/41u2riXYuzL._AC_UL320_.jpg")</f>
        <v/>
      </c>
      <c r="K3515" t="inlineStr">
        <is>
          <t>36.0</t>
        </is>
      </c>
      <c r="L3515" t="n">
        <v>9.949999999999999</v>
      </c>
      <c r="M3515" s="1" t="inlineStr">
        <is>
          <t>-72.36%</t>
        </is>
      </c>
      <c r="N3515" t="n">
        <v>3.9</v>
      </c>
      <c r="O3515" t="n">
        <v>85</v>
      </c>
      <c r="Q3515" t="inlineStr">
        <is>
          <t>InStock</t>
        </is>
      </c>
      <c r="R3515" t="inlineStr">
        <is>
          <t>undefined</t>
        </is>
      </c>
      <c r="S3515" t="inlineStr">
        <is>
          <t>11607062154</t>
        </is>
      </c>
    </row>
    <row r="3516" ht="75" customHeight="1">
      <c r="A3516" s="2">
        <f>HYPERLINK("https://camerareadycosmetics.com/products/stila-one-step-correct-brightening-finishing-powder", "https://camerareadycosmetics.com/products/stila-one-step-correct-brightening-finishing-powder")</f>
        <v/>
      </c>
      <c r="B3516" s="2">
        <f>HYPERLINK("https://camerareadycosmetics.com/products/stila-one-step-correct-brightening-finishing-powder", "https://camerareadycosmetics.com/products/stila-one-step-correct-brightening-finishing-powder")</f>
        <v/>
      </c>
      <c r="C3516" t="inlineStr">
        <is>
          <t>One Step Correct Brightening Finishing Powder</t>
        </is>
      </c>
      <c r="D3516" t="inlineStr">
        <is>
          <t>One Step Correct Brightening Finishing Powder</t>
        </is>
      </c>
      <c r="E3516" s="2">
        <f>HYPERLINK("https://www.amazon.com/stila-Correct-Brightening-Finishing-Powder/dp/B08QG3H5FD/ref=sr_1_1?keywords=One+Step+Correct+Brightening+Finishing+Powder&amp;qid=1695565827&amp;sr=8-1", "https://www.amazon.com/stila-Correct-Brightening-Finishing-Powder/dp/B08QG3H5FD/ref=sr_1_1?keywords=One+Step+Correct+Brightening+Finishing+Powder&amp;qid=1695565827&amp;sr=8-1")</f>
        <v/>
      </c>
      <c r="F3516" t="inlineStr">
        <is>
          <t>B08QG3H5FD</t>
        </is>
      </c>
      <c r="G3516">
        <f>_xlfn.IMAGE("https://camerareadycosmetics.com/cdn/shop/products/Stila.com_200921-Stila-OSCP-Case-236_50x.jpg?v=1629832645")</f>
        <v/>
      </c>
      <c r="H3516">
        <f>_xlfn.IMAGE("https://m.media-amazon.com/images/I/712x7RupqVL._AC_UL320_.jpg")</f>
        <v/>
      </c>
      <c r="K3516" t="inlineStr">
        <is>
          <t>36.0</t>
        </is>
      </c>
      <c r="L3516" t="n">
        <v>36</v>
      </c>
      <c r="M3516" s="1" t="inlineStr">
        <is>
          <t>0.00%</t>
        </is>
      </c>
      <c r="N3516" t="n">
        <v>4.1</v>
      </c>
      <c r="O3516" t="n">
        <v>105</v>
      </c>
      <c r="Q3516" t="inlineStr">
        <is>
          <t>InStock</t>
        </is>
      </c>
      <c r="R3516" t="inlineStr">
        <is>
          <t>undefined</t>
        </is>
      </c>
      <c r="S3516" t="inlineStr">
        <is>
          <t>6255338651833</t>
        </is>
      </c>
    </row>
    <row r="3517" ht="75" customHeight="1">
      <c r="A3517" s="2">
        <f>HYPERLINK("https://camerareadycosmetics.com/products/stila-save-the-day-eye-lip-perfecter", "https://camerareadycosmetics.com/products/stila-save-the-day-eye-lip-perfecter")</f>
        <v/>
      </c>
      <c r="B3517" s="2">
        <f>HYPERLINK("https://camerareadycosmetics.com/products/stila-save-the-day-eye-lip-perfecter", "https://camerareadycosmetics.com/products/stila-save-the-day-eye-lip-perfecter")</f>
        <v/>
      </c>
      <c r="C3517" t="inlineStr">
        <is>
          <t>Save The Day Eye &amp; Lip Perfecter</t>
        </is>
      </c>
      <c r="D3517" t="inlineStr">
        <is>
          <t>stila Save the Day Eye &amp; Lip Perfecter, 0.04 oz (Pack of 1)</t>
        </is>
      </c>
      <c r="E3517" s="2">
        <f>HYPERLINK("https://www.amazon.com/stila-Save-Day-Perfecter-0-04/dp/B08Z3ZP766/ref=sr_1_1?keywords=Save+The+Day+Eye&amp;qid=1695565841&amp;sr=8-1", "https://www.amazon.com/stila-Save-Day-Perfecter-0-04/dp/B08Z3ZP766/ref=sr_1_1?keywords=Save+The+Day+Eye&amp;qid=1695565841&amp;sr=8-1")</f>
        <v/>
      </c>
      <c r="F3517" t="inlineStr">
        <is>
          <t>B08Z3ZP766</t>
        </is>
      </c>
      <c r="G3517">
        <f>_xlfn.IMAGE("https://camerareadycosmetics.com/cdn/shop/products/Stila-Save-The-Day-Eye-_-Lip-Perfecter_50x.jpg?v=1619095269")</f>
        <v/>
      </c>
      <c r="H3517">
        <f>_xlfn.IMAGE("https://m.media-amazon.com/images/I/61xYqeby9-L._AC_UL320_.jpg")</f>
        <v/>
      </c>
      <c r="K3517" t="inlineStr">
        <is>
          <t>18.0</t>
        </is>
      </c>
      <c r="L3517" t="n">
        <v>15.3</v>
      </c>
      <c r="M3517" s="1" t="inlineStr">
        <is>
          <t>-15.00%</t>
        </is>
      </c>
      <c r="N3517" t="n">
        <v>3.4</v>
      </c>
      <c r="O3517" t="n">
        <v>11</v>
      </c>
      <c r="Q3517" t="inlineStr">
        <is>
          <t>InStock</t>
        </is>
      </c>
      <c r="R3517" t="inlineStr">
        <is>
          <t>18.0</t>
        </is>
      </c>
      <c r="S3517" t="inlineStr">
        <is>
          <t>6662667370681</t>
        </is>
      </c>
    </row>
    <row r="3518" ht="75" customHeight="1">
      <c r="A3518" s="2">
        <f>HYPERLINK("https://camerareadycosmetics.com/products/stila-shimmer-and-glow-eye-shadow", "https://camerareadycosmetics.com/products/stila-shimmer-and-glow-eye-shadow")</f>
        <v/>
      </c>
      <c r="B3518" s="2">
        <f>HYPERLINK("https://camerareadycosmetics.com/products/stila-shimmer-and-glow-eye-shadow", "https://camerareadycosmetics.com/products/stila-shimmer-and-glow-eye-shadow")</f>
        <v/>
      </c>
      <c r="C3518" t="inlineStr">
        <is>
          <t>Shimmer and Glow Eye Shadow</t>
        </is>
      </c>
      <c r="D3518" t="inlineStr">
        <is>
          <t>Magnificent Metals Glitter And Glow Liquid Eye Shadow</t>
        </is>
      </c>
      <c r="E3518" s="2">
        <f>HYPERLINK("https://www.amazon.com/stila-Magnificent-Metals-Glitter-Liquid/dp/B06WV7KPY2/ref=sr_1_9?keywords=Shimmer+and+Glow+Eye+Shadow&amp;qid=1695565455&amp;sr=8-9", "https://www.amazon.com/stila-Magnificent-Metals-Glitter-Liquid/dp/B06WV7KPY2/ref=sr_1_9?keywords=Shimmer+and+Glow+Eye+Shadow&amp;qid=1695565455&amp;sr=8-9")</f>
        <v/>
      </c>
      <c r="F3518" t="inlineStr">
        <is>
          <t>B06WV7KPY2</t>
        </is>
      </c>
      <c r="G3518">
        <f>_xlfn.IMAGE("https://camerareadycosmetics.com/cdn/shop/products/Stila_Shimmer_Glow-KITTEN-CLOSED_50x.jpg?v=1516925293")</f>
        <v/>
      </c>
      <c r="H3518">
        <f>_xlfn.IMAGE("https://m.media-amazon.com/images/I/51WJrvQRbyL._AC_UL320_.jpg")</f>
        <v/>
      </c>
      <c r="K3518" t="inlineStr">
        <is>
          <t>25.0</t>
        </is>
      </c>
      <c r="L3518" t="n">
        <v>25</v>
      </c>
      <c r="M3518" s="1" t="inlineStr">
        <is>
          <t>0.00%</t>
        </is>
      </c>
      <c r="N3518" t="n">
        <v>4.5</v>
      </c>
      <c r="O3518" t="n">
        <v>2943</v>
      </c>
      <c r="Q3518" t="inlineStr">
        <is>
          <t>InStock</t>
        </is>
      </c>
      <c r="R3518" t="inlineStr">
        <is>
          <t>undefined</t>
        </is>
      </c>
      <c r="S3518" t="inlineStr">
        <is>
          <t>441750519818</t>
        </is>
      </c>
    </row>
    <row r="3519" ht="75" customHeight="1">
      <c r="A3519" s="2">
        <f>HYPERLINK("https://camerareadycosmetics.com/products/stila-shimmer-and-glow-eye-shadow", "https://camerareadycosmetics.com/products/stila-shimmer-and-glow-eye-shadow")</f>
        <v/>
      </c>
      <c r="B3519" s="2">
        <f>HYPERLINK("https://camerareadycosmetics.com/products/stila-shimmer-and-glow-eye-shadow", "https://camerareadycosmetics.com/products/stila-shimmer-and-glow-eye-shadow")</f>
        <v/>
      </c>
      <c r="C3519" t="inlineStr">
        <is>
          <t>Shimmer and Glow Eye Shadow</t>
        </is>
      </c>
      <c r="D3519" t="inlineStr">
        <is>
          <t>Shimmer And Glow Liquid Eye Shadow</t>
        </is>
      </c>
      <c r="E3519" s="2">
        <f>HYPERLINK("https://www.amazon.com/stila-Shimmer-Liquid-Shadow-Kitten/dp/B0781VBYN9/ref=sr_1_3?keywords=Shimmer+and+Glow+Eye+Shadow&amp;qid=1695565455&amp;sr=8-3", "https://www.amazon.com/stila-Shimmer-Liquid-Shadow-Kitten/dp/B0781VBYN9/ref=sr_1_3?keywords=Shimmer+and+Glow+Eye+Shadow&amp;qid=1695565455&amp;sr=8-3")</f>
        <v/>
      </c>
      <c r="F3519" t="inlineStr">
        <is>
          <t>B0781VBYN9</t>
        </is>
      </c>
      <c r="G3519">
        <f>_xlfn.IMAGE("https://camerareadycosmetics.com/cdn/shop/products/Stila_Shimmer_Glow-KITTEN-CLOSED_50x.jpg?v=1516925293")</f>
        <v/>
      </c>
      <c r="H3519">
        <f>_xlfn.IMAGE("https://m.media-amazon.com/images/I/61LfYkvNxJL._AC_UL320_.jpg")</f>
        <v/>
      </c>
      <c r="K3519" t="inlineStr">
        <is>
          <t>25.0</t>
        </is>
      </c>
      <c r="L3519" t="n">
        <v>25</v>
      </c>
      <c r="M3519" s="1" t="inlineStr">
        <is>
          <t>0.00%</t>
        </is>
      </c>
      <c r="N3519" t="n">
        <v>4.5</v>
      </c>
      <c r="O3519" t="n">
        <v>699</v>
      </c>
      <c r="Q3519" t="inlineStr">
        <is>
          <t>InStock</t>
        </is>
      </c>
      <c r="R3519" t="inlineStr">
        <is>
          <t>undefined</t>
        </is>
      </c>
      <c r="S3519" t="inlineStr">
        <is>
          <t>441750519818</t>
        </is>
      </c>
    </row>
    <row r="3520" ht="75" customHeight="1">
      <c r="A3520" s="2">
        <f>HYPERLINK("https://camerareadycosmetics.com/products/stila-shimmer-and-glow-eye-shadow", "https://camerareadycosmetics.com/products/stila-shimmer-and-glow-eye-shadow")</f>
        <v/>
      </c>
      <c r="B3520" s="2">
        <f>HYPERLINK("https://camerareadycosmetics.com/products/stila-shimmer-and-glow-eye-shadow", "https://camerareadycosmetics.com/products/stila-shimmer-and-glow-eye-shadow")</f>
        <v/>
      </c>
      <c r="C3520" t="inlineStr">
        <is>
          <t>Shimmer and Glow Eye Shadow</t>
        </is>
      </c>
      <c r="D3520" t="inlineStr">
        <is>
          <t>New Item CLINIQUE ALL ABOUT SHADOW EYE SHADOW 0.07 OZ CLINIQUE/ALL ABOUT SHADOW SUPER SHIMMER SUNSET GLOW .07 OZ TAN/BROWN</t>
        </is>
      </c>
      <c r="E3520" s="2">
        <f>HYPERLINK("https://www.amazon.com/CLINIQUE-ABOUT-SHADOW-SHIMMER-SUNSET/dp/B00EUKWPMW/ref=sr_1_5?keywords=Shimmer+and+Glow+Eye+Shadow&amp;qid=1695565455&amp;sr=8-5", "https://www.amazon.com/CLINIQUE-ABOUT-SHADOW-SHIMMER-SUNSET/dp/B00EUKWPMW/ref=sr_1_5?keywords=Shimmer+and+Glow+Eye+Shadow&amp;qid=1695565455&amp;sr=8-5")</f>
        <v/>
      </c>
      <c r="F3520" t="inlineStr">
        <is>
          <t>B00EUKWPMW</t>
        </is>
      </c>
      <c r="G3520">
        <f>_xlfn.IMAGE("https://camerareadycosmetics.com/cdn/shop/products/Stila_Shimmer_Glow-KITTEN-CLOSED_50x.jpg?v=1516925293")</f>
        <v/>
      </c>
      <c r="H3520">
        <f>_xlfn.IMAGE("https://m.media-amazon.com/images/I/71To1mzGaDL._AC_UL320_.jpg")</f>
        <v/>
      </c>
      <c r="K3520" t="inlineStr">
        <is>
          <t>25.0</t>
        </is>
      </c>
      <c r="L3520" t="n">
        <v>15.62</v>
      </c>
      <c r="M3520" s="1" t="inlineStr">
        <is>
          <t>-37.52%</t>
        </is>
      </c>
      <c r="N3520" t="n">
        <v>4.4</v>
      </c>
      <c r="O3520" t="n">
        <v>235</v>
      </c>
      <c r="Q3520" t="inlineStr">
        <is>
          <t>InStock</t>
        </is>
      </c>
      <c r="R3520" t="inlineStr">
        <is>
          <t>undefined</t>
        </is>
      </c>
      <c r="S3520" t="inlineStr">
        <is>
          <t>441750519818</t>
        </is>
      </c>
    </row>
    <row r="3521" ht="75" customHeight="1">
      <c r="A3521" s="2">
        <f>HYPERLINK("https://camerareadycosmetics.com/products/stila-shimmer-and-glow-eye-shadow", "https://camerareadycosmetics.com/products/stila-shimmer-and-glow-eye-shadow")</f>
        <v/>
      </c>
      <c r="B3521" s="2">
        <f>HYPERLINK("https://camerareadycosmetics.com/products/stila-shimmer-and-glow-eye-shadow", "https://camerareadycosmetics.com/products/stila-shimmer-and-glow-eye-shadow")</f>
        <v/>
      </c>
      <c r="C3521" t="inlineStr">
        <is>
          <t>Shimmer and Glow Eye Shadow</t>
        </is>
      </c>
      <c r="D3521" t="inlineStr">
        <is>
          <t>Mally Beauty Evercolor Eyeshadow Stick - Amber Glow Shimmer - Waterproof and Crease-Proof Formula - Easy-to-Apply Buildable Color - Cream Shadow Stick</t>
        </is>
      </c>
      <c r="E3521" s="2">
        <f>HYPERLINK("https://www.amazon.com/Mally-Beauty-Evercolor-Eyeshadow-Apply/dp/B0BXMJJW3G/ref=sr_1_10?keywords=Shimmer+and+Glow+Eye+Shadow&amp;qid=1695565455&amp;sr=8-10", "https://www.amazon.com/Mally-Beauty-Evercolor-Eyeshadow-Apply/dp/B0BXMJJW3G/ref=sr_1_10?keywords=Shimmer+and+Glow+Eye+Shadow&amp;qid=1695565455&amp;sr=8-10")</f>
        <v/>
      </c>
      <c r="F3521" t="inlineStr">
        <is>
          <t>B0BXMJJW3G</t>
        </is>
      </c>
      <c r="G3521">
        <f>_xlfn.IMAGE("https://camerareadycosmetics.com/cdn/shop/products/Stila_Shimmer_Glow-KITTEN-CLOSED_50x.jpg?v=1516925293")</f>
        <v/>
      </c>
      <c r="H3521">
        <f>_xlfn.IMAGE("https://m.media-amazon.com/images/I/81vLH0bbCXL._AC_UL320_.jpg")</f>
        <v/>
      </c>
      <c r="K3521" t="inlineStr">
        <is>
          <t>25.0</t>
        </is>
      </c>
      <c r="L3521" t="n">
        <v>14</v>
      </c>
      <c r="M3521" s="1" t="inlineStr">
        <is>
          <t>-44.00%</t>
        </is>
      </c>
      <c r="N3521" t="n">
        <v>4.2</v>
      </c>
      <c r="O3521" t="n">
        <v>2124</v>
      </c>
      <c r="Q3521" t="inlineStr">
        <is>
          <t>InStock</t>
        </is>
      </c>
      <c r="R3521" t="inlineStr">
        <is>
          <t>undefined</t>
        </is>
      </c>
      <c r="S3521" t="inlineStr">
        <is>
          <t>441750519818</t>
        </is>
      </c>
    </row>
    <row r="3522" ht="75" customHeight="1">
      <c r="A3522" s="2">
        <f>HYPERLINK("https://camerareadycosmetics.com/products/stila-shimmer-and-glow-eye-shadow", "https://camerareadycosmetics.com/products/stila-shimmer-and-glow-eye-shadow")</f>
        <v/>
      </c>
      <c r="B3522" s="2">
        <f>HYPERLINK("https://camerareadycosmetics.com/products/stila-shimmer-and-glow-eye-shadow", "https://camerareadycosmetics.com/products/stila-shimmer-and-glow-eye-shadow")</f>
        <v/>
      </c>
      <c r="C3522" t="inlineStr">
        <is>
          <t>Shimmer and Glow Eye Shadow</t>
        </is>
      </c>
      <c r="D3522" t="inlineStr">
        <is>
          <t>VERONNI Glow In The Dark Glitter Eyeshadow Palette, Neon Eye Shadow Luminous Eye Shadow Palette Matte Makeup Pallet Shimmer Fluorescent Eye Makeup Waterproof and Sweat Resistant 24 Colors Eye Shadow (24 colors)</t>
        </is>
      </c>
      <c r="E3522" s="2">
        <f>HYPERLINK("https://www.amazon.com/VERONNI-Eyeshadow-Fluorescent-Waterproof-Resistant/dp/B094D265D6/ref=sr_1_6?keywords=Shimmer+and+Glow+Eye+Shadow&amp;qid=1695565455&amp;sr=8-6", "https://www.amazon.com/VERONNI-Eyeshadow-Fluorescent-Waterproof-Resistant/dp/B094D265D6/ref=sr_1_6?keywords=Shimmer+and+Glow+Eye+Shadow&amp;qid=1695565455&amp;sr=8-6")</f>
        <v/>
      </c>
      <c r="F3522" t="inlineStr">
        <is>
          <t>B094D265D6</t>
        </is>
      </c>
      <c r="G3522">
        <f>_xlfn.IMAGE("https://camerareadycosmetics.com/cdn/shop/products/Stila_Shimmer_Glow-KITTEN-CLOSED_50x.jpg?v=1516925293")</f>
        <v/>
      </c>
      <c r="H3522">
        <f>_xlfn.IMAGE("https://m.media-amazon.com/images/I/71IsTHqwdeL._AC_UL320_.jpg")</f>
        <v/>
      </c>
      <c r="K3522" t="inlineStr">
        <is>
          <t>25.0</t>
        </is>
      </c>
      <c r="L3522" t="n">
        <v>11.99</v>
      </c>
      <c r="M3522" s="1" t="inlineStr">
        <is>
          <t>-52.04%</t>
        </is>
      </c>
      <c r="N3522" t="n">
        <v>4</v>
      </c>
      <c r="O3522" t="n">
        <v>6</v>
      </c>
      <c r="Q3522" t="inlineStr">
        <is>
          <t>InStock</t>
        </is>
      </c>
      <c r="R3522" t="inlineStr">
        <is>
          <t>undefined</t>
        </is>
      </c>
      <c r="S3522" t="inlineStr">
        <is>
          <t>441750519818</t>
        </is>
      </c>
    </row>
    <row r="3523" ht="75" customHeight="1">
      <c r="A3523" s="2">
        <f>HYPERLINK("https://camerareadycosmetics.com/products/stila-shimmer-and-glow-eye-shadow", "https://camerareadycosmetics.com/products/stila-shimmer-and-glow-eye-shadow")</f>
        <v/>
      </c>
      <c r="B3523" s="2">
        <f>HYPERLINK("https://camerareadycosmetics.com/products/stila-shimmer-and-glow-eye-shadow", "https://camerareadycosmetics.com/products/stila-shimmer-and-glow-eye-shadow")</f>
        <v/>
      </c>
      <c r="C3523" t="inlineStr">
        <is>
          <t>Shimmer and Glow Eye Shadow</t>
        </is>
      </c>
      <c r="D3523" t="inlineStr">
        <is>
          <t>FOCALLURE Chameleon Cream Eyeshadow,Intense Color Shifting Creamy Eye Shadows,Highly Pigmented Metallic,Shimmer,Multi-Reflective Finishes,Wisdom Glow</t>
        </is>
      </c>
      <c r="E3523" s="2">
        <f>HYPERLINK("https://www.amazon.com/FOCALLURE-Chameleon-Eyeshadow-Multi-Reflective-Long-Lasting/dp/B09QYQ93QJ/ref=sr_1_4?keywords=Shimmer+and+Glow+Eye+Shadow&amp;qid=1695565455&amp;sr=8-4", "https://www.amazon.com/FOCALLURE-Chameleon-Eyeshadow-Multi-Reflective-Long-Lasting/dp/B09QYQ93QJ/ref=sr_1_4?keywords=Shimmer+and+Glow+Eye+Shadow&amp;qid=1695565455&amp;sr=8-4")</f>
        <v/>
      </c>
      <c r="F3523" t="inlineStr">
        <is>
          <t>B09QYQ93QJ</t>
        </is>
      </c>
      <c r="G3523">
        <f>_xlfn.IMAGE("https://camerareadycosmetics.com/cdn/shop/products/Stila_Shimmer_Glow-KITTEN-CLOSED_50x.jpg?v=1516925293")</f>
        <v/>
      </c>
      <c r="H3523">
        <f>_xlfn.IMAGE("https://m.media-amazon.com/images/I/71fAXclQn7L._AC_UL320_.jpg")</f>
        <v/>
      </c>
      <c r="K3523" t="inlineStr">
        <is>
          <t>25.0</t>
        </is>
      </c>
      <c r="L3523" t="n">
        <v>9.949999999999999</v>
      </c>
      <c r="M3523" s="1" t="inlineStr">
        <is>
          <t>-60.20%</t>
        </is>
      </c>
      <c r="N3523" t="n">
        <v>3.7</v>
      </c>
      <c r="O3523" t="n">
        <v>629</v>
      </c>
      <c r="Q3523" t="inlineStr">
        <is>
          <t>InStock</t>
        </is>
      </c>
      <c r="R3523" t="inlineStr">
        <is>
          <t>undefined</t>
        </is>
      </c>
      <c r="S3523" t="inlineStr">
        <is>
          <t>441750519818</t>
        </is>
      </c>
    </row>
    <row r="3524" ht="75" customHeight="1">
      <c r="A3524" s="2">
        <f>HYPERLINK("https://camerareadycosmetics.com/products/stila-shimmer-and-glow-eye-shadow", "https://camerareadycosmetics.com/products/stila-shimmer-and-glow-eye-shadow")</f>
        <v/>
      </c>
      <c r="B3524" s="2">
        <f>HYPERLINK("https://camerareadycosmetics.com/products/stila-shimmer-and-glow-eye-shadow", "https://camerareadycosmetics.com/products/stila-shimmer-and-glow-eye-shadow")</f>
        <v/>
      </c>
      <c r="C3524" t="inlineStr">
        <is>
          <t>Shimmer and Glow Eye Shadow</t>
        </is>
      </c>
      <c r="D3524" t="inlineStr">
        <is>
          <t>Glitter Eyeshadow，Makeup For Eyes Liquid Shimmer Sparkle Glow Light Colors Pencil Stick Shiny Long Lasting Waterproof Shining Eye Shadow Sets Metallic Pigments Metals Gloss Sparkling Pen Kit (A101)</t>
        </is>
      </c>
      <c r="E3524" s="2">
        <f>HYPERLINK("https://www.amazon.com/Eyeshadow%EF%BC%8CMakeup-Waterproof-Metallic-Pigments-Sparkling/dp/B093TB39YC/ref=sr_1_1?keywords=Shimmer+and+Glow+Eye+Shadow&amp;qid=1695565455&amp;sr=8-1", "https://www.amazon.com/Eyeshadow%EF%BC%8CMakeup-Waterproof-Metallic-Pigments-Sparkling/dp/B093TB39YC/ref=sr_1_1?keywords=Shimmer+and+Glow+Eye+Shadow&amp;qid=1695565455&amp;sr=8-1")</f>
        <v/>
      </c>
      <c r="F3524" t="inlineStr">
        <is>
          <t>B093TB39YC</t>
        </is>
      </c>
      <c r="G3524">
        <f>_xlfn.IMAGE("https://camerareadycosmetics.com/cdn/shop/products/Stila_Shimmer_Glow-KITTEN-CLOSED_50x.jpg?v=1516925293")</f>
        <v/>
      </c>
      <c r="H3524">
        <f>_xlfn.IMAGE("https://m.media-amazon.com/images/I/51XBh81HH1L._AC_UL320_.jpg")</f>
        <v/>
      </c>
      <c r="K3524" t="inlineStr">
        <is>
          <t>25.0</t>
        </is>
      </c>
      <c r="L3524" t="n">
        <v>8.09</v>
      </c>
      <c r="M3524" s="1" t="inlineStr">
        <is>
          <t>-67.64%</t>
        </is>
      </c>
      <c r="N3524" t="n">
        <v>4</v>
      </c>
      <c r="O3524" t="n">
        <v>1619</v>
      </c>
      <c r="Q3524" t="inlineStr">
        <is>
          <t>InStock</t>
        </is>
      </c>
      <c r="R3524" t="inlineStr">
        <is>
          <t>undefined</t>
        </is>
      </c>
      <c r="S3524" t="inlineStr">
        <is>
          <t>441750519818</t>
        </is>
      </c>
    </row>
    <row r="3525" ht="75" customHeight="1">
      <c r="A3525" s="2">
        <f>HYPERLINK("https://camerareadycosmetics.com/products/stila-shimmer-and-glow-eye-shadow", "https://camerareadycosmetics.com/products/stila-shimmer-and-glow-eye-shadow")</f>
        <v/>
      </c>
      <c r="B3525" s="2">
        <f>HYPERLINK("https://camerareadycosmetics.com/products/stila-shimmer-and-glow-eye-shadow", "https://camerareadycosmetics.com/products/stila-shimmer-and-glow-eye-shadow")</f>
        <v/>
      </c>
      <c r="C3525" t="inlineStr">
        <is>
          <t>Shimmer and Glow Eye Shadow</t>
        </is>
      </c>
      <c r="D3525" t="inlineStr">
        <is>
          <t>UV Glitter Eyeshadow Palette Glow in The Dark - Neon Body Glitter Face Makeup Pallets for Women - Shimmer Color Pop Eye Shadow Products for Halloween</t>
        </is>
      </c>
      <c r="E3525" s="2">
        <f>HYPERLINK("https://www.amazon.com/BADCOLOR-Glitter-Eyeshadow-Palette-Glow/dp/B0CBJL9BSV/ref=sr_1_2?keywords=Shimmer+and+Glow+Eye+Shadow&amp;qid=1695565455&amp;sr=8-2", "https://www.amazon.com/BADCOLOR-Glitter-Eyeshadow-Palette-Glow/dp/B0CBJL9BSV/ref=sr_1_2?keywords=Shimmer+and+Glow+Eye+Shadow&amp;qid=1695565455&amp;sr=8-2")</f>
        <v/>
      </c>
      <c r="F3525" t="inlineStr">
        <is>
          <t>B0CBJL9BSV</t>
        </is>
      </c>
      <c r="G3525">
        <f>_xlfn.IMAGE("https://camerareadycosmetics.com/cdn/shop/products/Stila_Shimmer_Glow-KITTEN-CLOSED_50x.jpg?v=1516925293")</f>
        <v/>
      </c>
      <c r="H3525">
        <f>_xlfn.IMAGE("https://m.media-amazon.com/images/I/71Na99HAWjL._AC_UL320_.jpg")</f>
        <v/>
      </c>
      <c r="K3525" t="inlineStr">
        <is>
          <t>25.0</t>
        </is>
      </c>
      <c r="L3525" t="n">
        <v>7.99</v>
      </c>
      <c r="M3525" s="1" t="inlineStr">
        <is>
          <t>-68.04%</t>
        </is>
      </c>
      <c r="N3525" t="n">
        <v>3.9</v>
      </c>
      <c r="O3525" t="n">
        <v>23</v>
      </c>
      <c r="Q3525" t="inlineStr">
        <is>
          <t>InStock</t>
        </is>
      </c>
      <c r="R3525" t="inlineStr">
        <is>
          <t>undefined</t>
        </is>
      </c>
      <c r="S3525" t="inlineStr">
        <is>
          <t>441750519818</t>
        </is>
      </c>
    </row>
    <row r="3526" ht="75" customHeight="1">
      <c r="A3526" s="2">
        <f>HYPERLINK("https://camerareadycosmetics.com/products/stila-shimmer-and-glow-eye-shadow", "https://camerareadycosmetics.com/products/stila-shimmer-and-glow-eye-shadow")</f>
        <v/>
      </c>
      <c r="B3526" s="2">
        <f>HYPERLINK("https://camerareadycosmetics.com/products/stila-shimmer-and-glow-eye-shadow", "https://camerareadycosmetics.com/products/stila-shimmer-and-glow-eye-shadow")</f>
        <v/>
      </c>
      <c r="C3526" t="inlineStr">
        <is>
          <t>Shimmer and Glow Eye Shadow</t>
        </is>
      </c>
      <c r="D3526" t="inlineStr">
        <is>
          <t>Glitter Eyeshadow Shimmer Long Lasting Effect Shiny Pigment Eyeshadow Glow Eye Makeup (Light Brown)</t>
        </is>
      </c>
      <c r="E3526" s="2">
        <f>HYPERLINK("https://www.amazon.com/ONarisae-Glitter-Eyeshadow-Shimmer-Lasting/dp/B0BTJ4T9C3/ref=sr_1_7?keywords=Shimmer+and+Glow+Eye+Shadow&amp;qid=1695565455&amp;sr=8-7", "https://www.amazon.com/ONarisae-Glitter-Eyeshadow-Shimmer-Lasting/dp/B0BTJ4T9C3/ref=sr_1_7?keywords=Shimmer+and+Glow+Eye+Shadow&amp;qid=1695565455&amp;sr=8-7")</f>
        <v/>
      </c>
      <c r="F3526" t="inlineStr">
        <is>
          <t>B0BTJ4T9C3</t>
        </is>
      </c>
      <c r="G3526">
        <f>_xlfn.IMAGE("https://camerareadycosmetics.com/cdn/shop/products/Stila_Shimmer_Glow-KITTEN-CLOSED_50x.jpg?v=1516925293")</f>
        <v/>
      </c>
      <c r="H3526">
        <f>_xlfn.IMAGE("https://m.media-amazon.com/images/I/710CI5-8hvL._AC_UL320_.jpg")</f>
        <v/>
      </c>
      <c r="K3526" t="inlineStr">
        <is>
          <t>25.0</t>
        </is>
      </c>
      <c r="L3526" t="n">
        <v>5.49</v>
      </c>
      <c r="M3526" s="1" t="inlineStr">
        <is>
          <t>-78.04%</t>
        </is>
      </c>
      <c r="N3526" t="n">
        <v>4.2</v>
      </c>
      <c r="O3526" t="n">
        <v>31</v>
      </c>
      <c r="Q3526" t="inlineStr">
        <is>
          <t>InStock</t>
        </is>
      </c>
      <c r="R3526" t="inlineStr">
        <is>
          <t>undefined</t>
        </is>
      </c>
      <c r="S3526" t="inlineStr">
        <is>
          <t>441750519818</t>
        </is>
      </c>
    </row>
    <row r="3527" ht="75" customHeight="1">
      <c r="A3527" s="2">
        <f>HYPERLINK("https://camerareadycosmetics.com/products/stila-shimmer-and-glow-eye-shadow", "https://camerareadycosmetics.com/products/stila-shimmer-and-glow-eye-shadow")</f>
        <v/>
      </c>
      <c r="B3527" s="2">
        <f>HYPERLINK("https://camerareadycosmetics.com/products/stila-shimmer-and-glow-eye-shadow", "https://camerareadycosmetics.com/products/stila-shimmer-and-glow-eye-shadow")</f>
        <v/>
      </c>
      <c r="C3527" t="inlineStr">
        <is>
          <t>Shimmer and Glow Eye Shadow</t>
        </is>
      </c>
      <c r="D3527" t="inlineStr">
        <is>
          <t>Liquid Glitter Eyeshadow, Metallic &amp; Shimmer &amp; Glow Shades,Quick-Drying, Waterproof, Non-sticky,0.17 Fl Oz</t>
        </is>
      </c>
      <c r="E3527" s="2">
        <f>HYPERLINK("https://www.amazon.com/YOUNG-VISION-Quick-Drying-Waterproof-Non-sticky/dp/B0BFWRMRWJ/ref=sr_1_8?keywords=Shimmer+and+Glow+Eye+Shadow&amp;qid=1695565455&amp;sr=8-8", "https://www.amazon.com/YOUNG-VISION-Quick-Drying-Waterproof-Non-sticky/dp/B0BFWRMRWJ/ref=sr_1_8?keywords=Shimmer+and+Glow+Eye+Shadow&amp;qid=1695565455&amp;sr=8-8")</f>
        <v/>
      </c>
      <c r="F3527" t="inlineStr">
        <is>
          <t>B0BFWRMRWJ</t>
        </is>
      </c>
      <c r="G3527">
        <f>_xlfn.IMAGE("https://camerareadycosmetics.com/cdn/shop/products/Stila_Shimmer_Glow-KITTEN-CLOSED_50x.jpg?v=1516925293")</f>
        <v/>
      </c>
      <c r="H3527">
        <f>_xlfn.IMAGE("https://m.media-amazon.com/images/I/71Ge41qVA1L._AC_UL320_.jpg")</f>
        <v/>
      </c>
      <c r="K3527" t="inlineStr">
        <is>
          <t>25.0</t>
        </is>
      </c>
      <c r="L3527" t="n">
        <v>3.99</v>
      </c>
      <c r="M3527" s="1" t="inlineStr">
        <is>
          <t>-84.04%</t>
        </is>
      </c>
      <c r="N3527" t="n">
        <v>3.7</v>
      </c>
      <c r="O3527" t="n">
        <v>125</v>
      </c>
      <c r="Q3527" t="inlineStr">
        <is>
          <t>InStock</t>
        </is>
      </c>
      <c r="R3527" t="inlineStr">
        <is>
          <t>undefined</t>
        </is>
      </c>
      <c r="S3527" t="inlineStr">
        <is>
          <t>441750519818</t>
        </is>
      </c>
    </row>
    <row r="3528" ht="75" customHeight="1">
      <c r="A3528" s="2">
        <f>HYPERLINK("https://camerareadycosmetics.com/products/stila-shimmer-and-glow-eye-shadow", "https://camerareadycosmetics.com/products/stila-shimmer-and-glow-eye-shadow")</f>
        <v/>
      </c>
      <c r="B3528" s="2">
        <f>HYPERLINK("https://camerareadycosmetics.com/products/stila-shimmer-and-glow-eye-shadow", "https://camerareadycosmetics.com/products/stila-shimmer-and-glow-eye-shadow")</f>
        <v/>
      </c>
      <c r="C3528" t="inlineStr">
        <is>
          <t>Shimmer and Glow Eye Shadow</t>
        </is>
      </c>
      <c r="D3528" t="inlineStr">
        <is>
          <t>VERONNI Glow In The Dark Glitter Eyeshadow Palette, Neon Eye Shadow Luminous Eye Shadow Palette Matte Makeup Pallet Shimmer Fluorescent Eye Makeup Waterproof and Sweat Resistant 24 Colors Eye Shadow (24 colors)</t>
        </is>
      </c>
      <c r="E3528" s="2">
        <f>HYPERLINK("https://www.amazon.com/VERONNI-Eyeshadow-Fluorescent-Waterproof-Resistant/dp/B094D265D6/ref=sr_1_6?keywords=Shimmer+and+Glow+Eye+Shadow&amp;qid=1695565455&amp;sr=8-6", "https://www.amazon.com/VERONNI-Eyeshadow-Fluorescent-Waterproof-Resistant/dp/B094D265D6/ref=sr_1_6?keywords=Shimmer+and+Glow+Eye+Shadow&amp;qid=1695565455&amp;sr=8-6")</f>
        <v/>
      </c>
      <c r="F3528" t="inlineStr">
        <is>
          <t>B094D265D6</t>
        </is>
      </c>
      <c r="G3528">
        <f>_xlfn.IMAGE("https://camerareadycosmetics.com/cdn/shop/products/Stila_Shimmer_Glow-KITTEN-CLOSED_50x.jpg?v=1516925293")</f>
        <v/>
      </c>
      <c r="H3528">
        <f>_xlfn.IMAGE("https://m.media-amazon.com/images/I/71IsTHqwdeL._AC_UL320_.jpg")</f>
        <v/>
      </c>
      <c r="K3528" t="inlineStr">
        <is>
          <t>25.0</t>
        </is>
      </c>
      <c r="L3528" t="n">
        <v>11.99</v>
      </c>
      <c r="M3528" s="1" t="inlineStr">
        <is>
          <t>-52.04%</t>
        </is>
      </c>
      <c r="N3528" t="n">
        <v>4</v>
      </c>
      <c r="O3528" t="n">
        <v>6</v>
      </c>
      <c r="Q3528" t="inlineStr">
        <is>
          <t>InStock</t>
        </is>
      </c>
      <c r="R3528" t="inlineStr">
        <is>
          <t>undefined</t>
        </is>
      </c>
      <c r="S3528" t="inlineStr">
        <is>
          <t>441750519818</t>
        </is>
      </c>
    </row>
    <row r="3529" ht="75" customHeight="1">
      <c r="A3529" s="2">
        <f>HYPERLINK("https://camerareadycosmetics.com/products/stila-shimmer-and-glow-eye-shadow", "https://camerareadycosmetics.com/products/stila-shimmer-and-glow-eye-shadow")</f>
        <v/>
      </c>
      <c r="B3529" s="2">
        <f>HYPERLINK("https://camerareadycosmetics.com/products/stila-shimmer-and-glow-eye-shadow", "https://camerareadycosmetics.com/products/stila-shimmer-and-glow-eye-shadow")</f>
        <v/>
      </c>
      <c r="C3529" t="inlineStr">
        <is>
          <t>Shimmer and Glow Eye Shadow</t>
        </is>
      </c>
      <c r="D3529" t="inlineStr">
        <is>
          <t>FOCALLURE Chameleon Cream Eyeshadow,Intense Color Shifting Creamy Eye Shadows,Highly Pigmented Metallic,Shimmer,Multi-Reflective Finishes,Wisdom Glow</t>
        </is>
      </c>
      <c r="E3529" s="2">
        <f>HYPERLINK("https://www.amazon.com/FOCALLURE-Chameleon-Eyeshadow-Multi-Reflective-Long-Lasting/dp/B09QYQ93QJ/ref=sr_1_4?keywords=Shimmer+and+Glow+Eye+Shadow&amp;qid=1695565455&amp;sr=8-4", "https://www.amazon.com/FOCALLURE-Chameleon-Eyeshadow-Multi-Reflective-Long-Lasting/dp/B09QYQ93QJ/ref=sr_1_4?keywords=Shimmer+and+Glow+Eye+Shadow&amp;qid=1695565455&amp;sr=8-4")</f>
        <v/>
      </c>
      <c r="F3529" t="inlineStr">
        <is>
          <t>B09QYQ93QJ</t>
        </is>
      </c>
      <c r="G3529">
        <f>_xlfn.IMAGE("https://camerareadycosmetics.com/cdn/shop/products/Stila_Shimmer_Glow-KITTEN-CLOSED_50x.jpg?v=1516925293")</f>
        <v/>
      </c>
      <c r="H3529">
        <f>_xlfn.IMAGE("https://m.media-amazon.com/images/I/71fAXclQn7L._AC_UL320_.jpg")</f>
        <v/>
      </c>
      <c r="K3529" t="inlineStr">
        <is>
          <t>25.0</t>
        </is>
      </c>
      <c r="L3529" t="n">
        <v>9.949999999999999</v>
      </c>
      <c r="M3529" s="1" t="inlineStr">
        <is>
          <t>-60.20%</t>
        </is>
      </c>
      <c r="N3529" t="n">
        <v>3.7</v>
      </c>
      <c r="O3529" t="n">
        <v>629</v>
      </c>
      <c r="Q3529" t="inlineStr">
        <is>
          <t>InStock</t>
        </is>
      </c>
      <c r="R3529" t="inlineStr">
        <is>
          <t>undefined</t>
        </is>
      </c>
      <c r="S3529" t="inlineStr">
        <is>
          <t>441750519818</t>
        </is>
      </c>
    </row>
    <row r="3530" ht="75" customHeight="1">
      <c r="A3530" s="2">
        <f>HYPERLINK("https://camerareadycosmetics.com/products/stila-shimmer-and-glow-eye-shadow", "https://camerareadycosmetics.com/products/stila-shimmer-and-glow-eye-shadow")</f>
        <v/>
      </c>
      <c r="B3530" s="2">
        <f>HYPERLINK("https://camerareadycosmetics.com/products/stila-shimmer-and-glow-eye-shadow", "https://camerareadycosmetics.com/products/stila-shimmer-and-glow-eye-shadow")</f>
        <v/>
      </c>
      <c r="C3530" t="inlineStr">
        <is>
          <t>Shimmer and Glow Eye Shadow</t>
        </is>
      </c>
      <c r="D3530" t="inlineStr">
        <is>
          <t>Glitter Eyeshadow，Makeup For Eyes Liquid Shimmer Sparkle Glow Light Colors Pencil Stick Shiny Long Lasting Waterproof Shining Eye Shadow Sets Metallic Pigments Metals Gloss Sparkling Pen Kit (A101)</t>
        </is>
      </c>
      <c r="E3530" s="2">
        <f>HYPERLINK("https://www.amazon.com/Eyeshadow%EF%BC%8CMakeup-Waterproof-Metallic-Pigments-Sparkling/dp/B093TB39YC/ref=sr_1_1?keywords=Shimmer+and+Glow+Eye+Shadow&amp;qid=1695565455&amp;sr=8-1", "https://www.amazon.com/Eyeshadow%EF%BC%8CMakeup-Waterproof-Metallic-Pigments-Sparkling/dp/B093TB39YC/ref=sr_1_1?keywords=Shimmer+and+Glow+Eye+Shadow&amp;qid=1695565455&amp;sr=8-1")</f>
        <v/>
      </c>
      <c r="F3530" t="inlineStr">
        <is>
          <t>B093TB39YC</t>
        </is>
      </c>
      <c r="G3530">
        <f>_xlfn.IMAGE("https://camerareadycosmetics.com/cdn/shop/products/Stila_Shimmer_Glow-KITTEN-CLOSED_50x.jpg?v=1516925293")</f>
        <v/>
      </c>
      <c r="H3530">
        <f>_xlfn.IMAGE("https://m.media-amazon.com/images/I/51XBh81HH1L._AC_UL320_.jpg")</f>
        <v/>
      </c>
      <c r="K3530" t="inlineStr">
        <is>
          <t>25.0</t>
        </is>
      </c>
      <c r="L3530" t="n">
        <v>8.09</v>
      </c>
      <c r="M3530" s="1" t="inlineStr">
        <is>
          <t>-67.64%</t>
        </is>
      </c>
      <c r="N3530" t="n">
        <v>4</v>
      </c>
      <c r="O3530" t="n">
        <v>1619</v>
      </c>
      <c r="Q3530" t="inlineStr">
        <is>
          <t>InStock</t>
        </is>
      </c>
      <c r="R3530" t="inlineStr">
        <is>
          <t>undefined</t>
        </is>
      </c>
      <c r="S3530" t="inlineStr">
        <is>
          <t>441750519818</t>
        </is>
      </c>
    </row>
    <row r="3531" ht="75" customHeight="1">
      <c r="A3531" s="2">
        <f>HYPERLINK("https://camerareadycosmetics.com/products/stila-shimmer-and-glow-eye-shadow", "https://camerareadycosmetics.com/products/stila-shimmer-and-glow-eye-shadow")</f>
        <v/>
      </c>
      <c r="B3531" s="2">
        <f>HYPERLINK("https://camerareadycosmetics.com/products/stila-shimmer-and-glow-eye-shadow", "https://camerareadycosmetics.com/products/stila-shimmer-and-glow-eye-shadow")</f>
        <v/>
      </c>
      <c r="C3531" t="inlineStr">
        <is>
          <t>Shimmer and Glow Eye Shadow</t>
        </is>
      </c>
      <c r="D3531" t="inlineStr">
        <is>
          <t>UV Glitter Eyeshadow Palette Glow in The Dark - Neon Body Glitter Face Makeup Pallets for Women - Shimmer Color Pop Eye Shadow Products for Halloween</t>
        </is>
      </c>
      <c r="E3531" s="2">
        <f>HYPERLINK("https://www.amazon.com/BADCOLOR-Glitter-Eyeshadow-Palette-Glow/dp/B0CBJL9BSV/ref=sr_1_2?keywords=Shimmer+and+Glow+Eye+Shadow&amp;qid=1695565455&amp;sr=8-2", "https://www.amazon.com/BADCOLOR-Glitter-Eyeshadow-Palette-Glow/dp/B0CBJL9BSV/ref=sr_1_2?keywords=Shimmer+and+Glow+Eye+Shadow&amp;qid=1695565455&amp;sr=8-2")</f>
        <v/>
      </c>
      <c r="F3531" t="inlineStr">
        <is>
          <t>B0CBJL9BSV</t>
        </is>
      </c>
      <c r="G3531">
        <f>_xlfn.IMAGE("https://camerareadycosmetics.com/cdn/shop/products/Stila_Shimmer_Glow-KITTEN-CLOSED_50x.jpg?v=1516925293")</f>
        <v/>
      </c>
      <c r="H3531">
        <f>_xlfn.IMAGE("https://m.media-amazon.com/images/I/71Na99HAWjL._AC_UL320_.jpg")</f>
        <v/>
      </c>
      <c r="K3531" t="inlineStr">
        <is>
          <t>25.0</t>
        </is>
      </c>
      <c r="L3531" t="n">
        <v>7.99</v>
      </c>
      <c r="M3531" s="1" t="inlineStr">
        <is>
          <t>-68.04%</t>
        </is>
      </c>
      <c r="N3531" t="n">
        <v>3.9</v>
      </c>
      <c r="O3531" t="n">
        <v>23</v>
      </c>
      <c r="Q3531" t="inlineStr">
        <is>
          <t>InStock</t>
        </is>
      </c>
      <c r="R3531" t="inlineStr">
        <is>
          <t>undefined</t>
        </is>
      </c>
      <c r="S3531" t="inlineStr">
        <is>
          <t>441750519818</t>
        </is>
      </c>
    </row>
    <row r="3532" ht="75" customHeight="1">
      <c r="A3532" s="2">
        <f>HYPERLINK("https://camerareadycosmetics.com/products/stila-shimmer-and-glow-eye-shadow", "https://camerareadycosmetics.com/products/stila-shimmer-and-glow-eye-shadow")</f>
        <v/>
      </c>
      <c r="B3532" s="2">
        <f>HYPERLINK("https://camerareadycosmetics.com/products/stila-shimmer-and-glow-eye-shadow", "https://camerareadycosmetics.com/products/stila-shimmer-and-glow-eye-shadow")</f>
        <v/>
      </c>
      <c r="C3532" t="inlineStr">
        <is>
          <t>Shimmer and Glow Eye Shadow</t>
        </is>
      </c>
      <c r="D3532" t="inlineStr">
        <is>
          <t>Glitter Eyeshadow Shimmer Long Lasting Effect Shiny Pigment Eyeshadow Glow Eye Makeup (Light Brown)</t>
        </is>
      </c>
      <c r="E3532" s="2">
        <f>HYPERLINK("https://www.amazon.com/ONarisae-Glitter-Eyeshadow-Shimmer-Lasting/dp/B0BTJ4T9C3/ref=sr_1_7?keywords=Shimmer+and+Glow+Eye+Shadow&amp;qid=1695565455&amp;sr=8-7", "https://www.amazon.com/ONarisae-Glitter-Eyeshadow-Shimmer-Lasting/dp/B0BTJ4T9C3/ref=sr_1_7?keywords=Shimmer+and+Glow+Eye+Shadow&amp;qid=1695565455&amp;sr=8-7")</f>
        <v/>
      </c>
      <c r="F3532" t="inlineStr">
        <is>
          <t>B0BTJ4T9C3</t>
        </is>
      </c>
      <c r="G3532">
        <f>_xlfn.IMAGE("https://camerareadycosmetics.com/cdn/shop/products/Stila_Shimmer_Glow-KITTEN-CLOSED_50x.jpg?v=1516925293")</f>
        <v/>
      </c>
      <c r="H3532">
        <f>_xlfn.IMAGE("https://m.media-amazon.com/images/I/710CI5-8hvL._AC_UL320_.jpg")</f>
        <v/>
      </c>
      <c r="K3532" t="inlineStr">
        <is>
          <t>25.0</t>
        </is>
      </c>
      <c r="L3532" t="n">
        <v>5.49</v>
      </c>
      <c r="M3532" s="1" t="inlineStr">
        <is>
          <t>-78.04%</t>
        </is>
      </c>
      <c r="N3532" t="n">
        <v>4.2</v>
      </c>
      <c r="O3532" t="n">
        <v>31</v>
      </c>
      <c r="Q3532" t="inlineStr">
        <is>
          <t>InStock</t>
        </is>
      </c>
      <c r="R3532" t="inlineStr">
        <is>
          <t>undefined</t>
        </is>
      </c>
      <c r="S3532" t="inlineStr">
        <is>
          <t>441750519818</t>
        </is>
      </c>
    </row>
    <row r="3533" ht="75" customHeight="1">
      <c r="A3533" s="2">
        <f>HYPERLINK("https://camerareadycosmetics.com/products/stila-shimmer-and-glow-eye-shadow", "https://camerareadycosmetics.com/products/stila-shimmer-and-glow-eye-shadow")</f>
        <v/>
      </c>
      <c r="B3533" s="2">
        <f>HYPERLINK("https://camerareadycosmetics.com/products/stila-shimmer-and-glow-eye-shadow", "https://camerareadycosmetics.com/products/stila-shimmer-and-glow-eye-shadow")</f>
        <v/>
      </c>
      <c r="C3533" t="inlineStr">
        <is>
          <t>Shimmer and Glow Eye Shadow</t>
        </is>
      </c>
      <c r="D3533" t="inlineStr">
        <is>
          <t>Liquid Glitter Eyeshadow, Metallic &amp; Shimmer &amp; Glow Shades,Quick-Drying, Waterproof, Non-sticky,0.17 Fl Oz</t>
        </is>
      </c>
      <c r="E3533" s="2">
        <f>HYPERLINK("https://www.amazon.com/YOUNG-VISION-Quick-Drying-Waterproof-Non-sticky/dp/B0BFWRMRWJ/ref=sr_1_8?keywords=Shimmer+and+Glow+Eye+Shadow&amp;qid=1695565455&amp;sr=8-8", "https://www.amazon.com/YOUNG-VISION-Quick-Drying-Waterproof-Non-sticky/dp/B0BFWRMRWJ/ref=sr_1_8?keywords=Shimmer+and+Glow+Eye+Shadow&amp;qid=1695565455&amp;sr=8-8")</f>
        <v/>
      </c>
      <c r="F3533" t="inlineStr">
        <is>
          <t>B0BFWRMRWJ</t>
        </is>
      </c>
      <c r="G3533">
        <f>_xlfn.IMAGE("https://camerareadycosmetics.com/cdn/shop/products/Stila_Shimmer_Glow-KITTEN-CLOSED_50x.jpg?v=1516925293")</f>
        <v/>
      </c>
      <c r="H3533">
        <f>_xlfn.IMAGE("https://m.media-amazon.com/images/I/71Ge41qVA1L._AC_UL320_.jpg")</f>
        <v/>
      </c>
      <c r="K3533" t="inlineStr">
        <is>
          <t>25.0</t>
        </is>
      </c>
      <c r="L3533" t="n">
        <v>3.99</v>
      </c>
      <c r="M3533" s="1" t="inlineStr">
        <is>
          <t>-84.04%</t>
        </is>
      </c>
      <c r="N3533" t="n">
        <v>3.7</v>
      </c>
      <c r="O3533" t="n">
        <v>125</v>
      </c>
      <c r="Q3533" t="inlineStr">
        <is>
          <t>InStock</t>
        </is>
      </c>
      <c r="R3533" t="inlineStr">
        <is>
          <t>undefined</t>
        </is>
      </c>
      <c r="S3533" t="inlineStr">
        <is>
          <t>441750519818</t>
        </is>
      </c>
    </row>
    <row r="3534" ht="75" customHeight="1">
      <c r="A3534" s="2">
        <f>HYPERLINK("https://camerareadycosmetics.com/products/stila-smudge-pot", "https://camerareadycosmetics.com/products/stila-smudge-pot")</f>
        <v/>
      </c>
      <c r="B3534" s="2">
        <f>HYPERLINK("https://camerareadycosmetics.com/products/stila-smudge-pot", "https://camerareadycosmetics.com/products/stila-smudge-pot")</f>
        <v/>
      </c>
      <c r="C3534" t="inlineStr">
        <is>
          <t>Smudge Pot (Black)</t>
        </is>
      </c>
      <c r="D3534" t="inlineStr">
        <is>
          <t>Floral Bowl Incense Burner Smudge Smudging Soapstone Pot Sage Offering Stone Charcoal Dia. 2.1 Inch, 1.1 Inch Black</t>
        </is>
      </c>
      <c r="E3534" s="2">
        <f>HYPERLINK("https://www.amazon.com/elite-DECORIO-Smudging-Soapstone-Offering/dp/B08WC69YMQ/ref=sr_1_1?keywords=Smudge+Pot+%28Black%29&amp;qid=1695565629&amp;sr=8-1", "https://www.amazon.com/elite-DECORIO-Smudging-Soapstone-Offering/dp/B08WC69YMQ/ref=sr_1_1?keywords=Smudge+Pot+%28Black%29&amp;qid=1695565629&amp;sr=8-1")</f>
        <v/>
      </c>
      <c r="F3534" t="inlineStr">
        <is>
          <t>B08WC69YMQ</t>
        </is>
      </c>
      <c r="G3534">
        <f>_xlfn.IMAGE("https://camerareadycosmetics.com/cdn/shop/files/3512_zoom_50x.jpg?v=1687196964")</f>
        <v/>
      </c>
      <c r="H3534">
        <f>_xlfn.IMAGE("https://m.media-amazon.com/images/I/718tC9k74ZL._AC_UL320_.jpg")</f>
        <v/>
      </c>
      <c r="K3534" t="inlineStr">
        <is>
          <t>20.0</t>
        </is>
      </c>
      <c r="L3534" t="n">
        <v>15.99</v>
      </c>
      <c r="M3534" s="1" t="inlineStr">
        <is>
          <t>-20.05%</t>
        </is>
      </c>
      <c r="N3534" t="n">
        <v>4.2</v>
      </c>
      <c r="O3534" t="n">
        <v>34</v>
      </c>
      <c r="Q3534" t="inlineStr">
        <is>
          <t>InStock</t>
        </is>
      </c>
      <c r="R3534" t="inlineStr">
        <is>
          <t>undefined</t>
        </is>
      </c>
      <c r="S3534" t="inlineStr">
        <is>
          <t>7039701703</t>
        </is>
      </c>
    </row>
    <row r="3535" ht="75" customHeight="1">
      <c r="A3535" s="2">
        <f>HYPERLINK("https://camerareadycosmetics.com/products/stila-smudge-stick-waterproof-eye-liner", "https://camerareadycosmetics.com/products/stila-smudge-stick-waterproof-eye-liner")</f>
        <v/>
      </c>
      <c r="B3535" s="2">
        <f>HYPERLINK("https://camerareadycosmetics.com/products/stila-smudge-stick-waterproof-eye-liner", "https://camerareadycosmetics.com/products/stila-smudge-stick-waterproof-eye-liner")</f>
        <v/>
      </c>
      <c r="C3535" t="inlineStr">
        <is>
          <t>Smudge Stick Waterproof Eye Liner</t>
        </is>
      </c>
      <c r="D3535" t="inlineStr">
        <is>
          <t>stila Smudge Stick Waterproof Eye Liner</t>
        </is>
      </c>
      <c r="E3535" s="2">
        <f>HYPERLINK("https://www.amazon.com/stila-Smudge-Stick-Waterproof-Liner/dp/B003H5YNQ2/ref=sr_1_1?keywords=Smudge+Stick+Waterproof+Eye+Liner&amp;qid=1695565519&amp;sr=8-1", "https://www.amazon.com/stila-Smudge-Stick-Waterproof-Liner/dp/B003H5YNQ2/ref=sr_1_1?keywords=Smudge+Stick+Waterproof+Eye+Liner&amp;qid=1695565519&amp;sr=8-1")</f>
        <v/>
      </c>
      <c r="F3535" t="inlineStr">
        <is>
          <t>B003H5YNQ2</t>
        </is>
      </c>
      <c r="G3535">
        <f>_xlfn.IMAGE("https://camerareadycosmetics.com/cdn/shop/products/Stila-Smudge-Stick-Waterproof-Eye-Liner-jasper_50x.jpg?v=1689639952")</f>
        <v/>
      </c>
      <c r="H3535">
        <f>_xlfn.IMAGE("https://m.media-amazon.com/images/I/61S-zBrEshL._AC_UL320_.jpg")</f>
        <v/>
      </c>
      <c r="K3535" t="inlineStr">
        <is>
          <t>22.0</t>
        </is>
      </c>
      <c r="L3535" t="n">
        <v>22</v>
      </c>
      <c r="M3535" s="1" t="inlineStr">
        <is>
          <t>0.00%</t>
        </is>
      </c>
      <c r="N3535" t="n">
        <v>4.4</v>
      </c>
      <c r="O3535" t="n">
        <v>2509</v>
      </c>
      <c r="Q3535" t="inlineStr">
        <is>
          <t>InStock</t>
        </is>
      </c>
      <c r="R3535" t="inlineStr">
        <is>
          <t>undefined</t>
        </is>
      </c>
      <c r="S3535" t="inlineStr">
        <is>
          <t>7039707015</t>
        </is>
      </c>
    </row>
    <row r="3536" ht="75" customHeight="1">
      <c r="A3536" s="2">
        <f>HYPERLINK("https://camerareadycosmetics.com/products/stila-smudge-stick-waterproof-eye-liner", "https://camerareadycosmetics.com/products/stila-smudge-stick-waterproof-eye-liner")</f>
        <v/>
      </c>
      <c r="B3536" s="2">
        <f>HYPERLINK("https://camerareadycosmetics.com/products/stila-smudge-stick-waterproof-eye-liner", "https://camerareadycosmetics.com/products/stila-smudge-stick-waterproof-eye-liner")</f>
        <v/>
      </c>
      <c r="C3536" t="inlineStr">
        <is>
          <t>Smudge Stick Waterproof Eye Liner</t>
        </is>
      </c>
      <c r="D3536" t="inlineStr">
        <is>
          <t>Mally Beauty Evercolor Gel Waterproof Eyeliner - Onyx - Creamy Long-Lasting Smudge-Proof Gel Formula - Retractable Eye Liner</t>
        </is>
      </c>
      <c r="E3536" s="2">
        <f>HYPERLINK("https://www.amazon.com/Mally-Beauty-Evercolor-Waterproof-Longwear/dp/B073BPGLDZ/ref=sr_1_7?keywords=Smudge+Stick+Waterproof+Eye+Liner&amp;qid=1695565519&amp;sr=8-7", "https://www.amazon.com/Mally-Beauty-Evercolor-Waterproof-Longwear/dp/B073BPGLDZ/ref=sr_1_7?keywords=Smudge+Stick+Waterproof+Eye+Liner&amp;qid=1695565519&amp;sr=8-7")</f>
        <v/>
      </c>
      <c r="F3536" t="inlineStr">
        <is>
          <t>B073BPGLDZ</t>
        </is>
      </c>
      <c r="G3536">
        <f>_xlfn.IMAGE("https://camerareadycosmetics.com/cdn/shop/products/Stila-Smudge-Stick-Waterproof-Eye-Liner-jasper_50x.jpg?v=1689639952")</f>
        <v/>
      </c>
      <c r="H3536">
        <f>_xlfn.IMAGE("https://m.media-amazon.com/images/I/71O+6TzbJOL._AC_UL320_.jpg")</f>
        <v/>
      </c>
      <c r="K3536" t="inlineStr">
        <is>
          <t>22.0</t>
        </is>
      </c>
      <c r="L3536" t="n">
        <v>17</v>
      </c>
      <c r="M3536" s="1" t="inlineStr">
        <is>
          <t>-22.73%</t>
        </is>
      </c>
      <c r="N3536" t="n">
        <v>4.3</v>
      </c>
      <c r="O3536" t="n">
        <v>1233</v>
      </c>
      <c r="Q3536" t="inlineStr">
        <is>
          <t>InStock</t>
        </is>
      </c>
      <c r="R3536" t="inlineStr">
        <is>
          <t>undefined</t>
        </is>
      </c>
      <c r="S3536" t="inlineStr">
        <is>
          <t>7039707015</t>
        </is>
      </c>
    </row>
    <row r="3537" ht="75" customHeight="1">
      <c r="A3537" s="2">
        <f>HYPERLINK("https://camerareadycosmetics.com/products/stila-smudge-stick-waterproof-eye-liner", "https://camerareadycosmetics.com/products/stila-smudge-stick-waterproof-eye-liner")</f>
        <v/>
      </c>
      <c r="B3537" s="2">
        <f>HYPERLINK("https://camerareadycosmetics.com/products/stila-smudge-stick-waterproof-eye-liner", "https://camerareadycosmetics.com/products/stila-smudge-stick-waterproof-eye-liner")</f>
        <v/>
      </c>
      <c r="C3537" t="inlineStr">
        <is>
          <t>Smudge Stick Waterproof Eye Liner</t>
        </is>
      </c>
      <c r="D3537" t="inlineStr">
        <is>
          <t>L'Oreal Paris Makeup Infallible Pro-Last Pencil Eyeliner, Waterproof and Smudge-Resistant, Glides on Easily to Create any Look, Black, 2 Count</t>
        </is>
      </c>
      <c r="E3537" s="2">
        <f>HYPERLINK("https://www.amazon.com/LOreal-Paris-Infallible-Waterproof-Smudge-Resistant/dp/B07GXYVF67/ref=sr_1_2?keywords=Smudge+Stick+Waterproof+Eye+Liner&amp;qid=1695565519&amp;sr=8-2", "https://www.amazon.com/LOreal-Paris-Infallible-Waterproof-Smudge-Resistant/dp/B07GXYVF67/ref=sr_1_2?keywords=Smudge+Stick+Waterproof+Eye+Liner&amp;qid=1695565519&amp;sr=8-2")</f>
        <v/>
      </c>
      <c r="F3537" t="inlineStr">
        <is>
          <t>B07GXYVF67</t>
        </is>
      </c>
      <c r="G3537">
        <f>_xlfn.IMAGE("https://camerareadycosmetics.com/cdn/shop/products/Stila-Smudge-Stick-Waterproof-Eye-Liner-jasper_50x.jpg?v=1689639952")</f>
        <v/>
      </c>
      <c r="H3537">
        <f>_xlfn.IMAGE("https://m.media-amazon.com/images/I/51ZGTK5YZyL._AC_UL320_.jpg")</f>
        <v/>
      </c>
      <c r="K3537" t="inlineStr">
        <is>
          <t>22.0</t>
        </is>
      </c>
      <c r="L3537" t="n">
        <v>14.98</v>
      </c>
      <c r="M3537" s="1" t="inlineStr">
        <is>
          <t>-31.91%</t>
        </is>
      </c>
      <c r="N3537" t="n">
        <v>4.3</v>
      </c>
      <c r="O3537" t="n">
        <v>12204</v>
      </c>
      <c r="Q3537" t="inlineStr">
        <is>
          <t>InStock</t>
        </is>
      </c>
      <c r="R3537" t="inlineStr">
        <is>
          <t>undefined</t>
        </is>
      </c>
      <c r="S3537" t="inlineStr">
        <is>
          <t>7039707015</t>
        </is>
      </c>
    </row>
    <row r="3538" ht="75" customHeight="1">
      <c r="A3538" s="2">
        <f>HYPERLINK("https://camerareadycosmetics.com/products/stila-smudge-stick-waterproof-eye-liner", "https://camerareadycosmetics.com/products/stila-smudge-stick-waterproof-eye-liner")</f>
        <v/>
      </c>
      <c r="B3538" s="2">
        <f>HYPERLINK("https://camerareadycosmetics.com/products/stila-smudge-stick-waterproof-eye-liner", "https://camerareadycosmetics.com/products/stila-smudge-stick-waterproof-eye-liner")</f>
        <v/>
      </c>
      <c r="C3538" t="inlineStr">
        <is>
          <t>Smudge Stick Waterproof Eye Liner</t>
        </is>
      </c>
      <c r="D3538" t="inlineStr">
        <is>
          <t>MEICOLY Matte Quick-Dry Eyeliner,Black Brown Eyeliner Gel,Tattoo Eyeliner Stick Pencil for Women,Smudge Waterproof Black Gel Eye-liner,2 Pcs</t>
        </is>
      </c>
      <c r="E3538" s="2">
        <f>HYPERLINK("https://www.amazon.com/MEICOLY-Quick-Dry-Eyeliner-Waterproof-Eye-liner/dp/B09V5RQMFX/ref=sr_1_9?keywords=Smudge+Stick+Waterproof+Eye+Liner&amp;qid=1695565519&amp;sr=8-9", "https://www.amazon.com/MEICOLY-Quick-Dry-Eyeliner-Waterproof-Eye-liner/dp/B09V5RQMFX/ref=sr_1_9?keywords=Smudge+Stick+Waterproof+Eye+Liner&amp;qid=1695565519&amp;sr=8-9")</f>
        <v/>
      </c>
      <c r="F3538" t="inlineStr">
        <is>
          <t>B09V5RQMFX</t>
        </is>
      </c>
      <c r="G3538">
        <f>_xlfn.IMAGE("https://camerareadycosmetics.com/cdn/shop/products/Stila-Smudge-Stick-Waterproof-Eye-Liner-jasper_50x.jpg?v=1689639952")</f>
        <v/>
      </c>
      <c r="H3538">
        <f>_xlfn.IMAGE("https://m.media-amazon.com/images/I/61sJIHet2JL._AC_UL320_.jpg")</f>
        <v/>
      </c>
      <c r="K3538" t="inlineStr">
        <is>
          <t>22.0</t>
        </is>
      </c>
      <c r="L3538" t="n">
        <v>9.99</v>
      </c>
      <c r="M3538" s="1" t="inlineStr">
        <is>
          <t>-54.59%</t>
        </is>
      </c>
      <c r="N3538" t="n">
        <v>3.7</v>
      </c>
      <c r="O3538" t="n">
        <v>47</v>
      </c>
      <c r="Q3538" t="inlineStr">
        <is>
          <t>InStock</t>
        </is>
      </c>
      <c r="R3538" t="inlineStr">
        <is>
          <t>undefined</t>
        </is>
      </c>
      <c r="S3538" t="inlineStr">
        <is>
          <t>7039707015</t>
        </is>
      </c>
    </row>
    <row r="3539" ht="75" customHeight="1">
      <c r="A3539" s="2">
        <f>HYPERLINK("https://camerareadycosmetics.com/products/stila-smudge-stick-waterproof-eye-liner", "https://camerareadycosmetics.com/products/stila-smudge-stick-waterproof-eye-liner")</f>
        <v/>
      </c>
      <c r="B3539" s="2">
        <f>HYPERLINK("https://camerareadycosmetics.com/products/stila-smudge-stick-waterproof-eye-liner", "https://camerareadycosmetics.com/products/stila-smudge-stick-waterproof-eye-liner")</f>
        <v/>
      </c>
      <c r="C3539" t="inlineStr">
        <is>
          <t>Smudge Stick Waterproof Eye Liner</t>
        </is>
      </c>
      <c r="D3539" t="inlineStr">
        <is>
          <t>LOKFAR 2 Pcs Black Gel Cream Eyeliner Set, Tool Smudge Proof and Waterproof Matte Black Eye-liner Pencil Tattoo Eyeliner Pen Stick Makeup for Women</t>
        </is>
      </c>
      <c r="E3539" s="2">
        <f>HYPERLINK("https://www.amazon.com/LOKFAR-Eyeliner-Waterproof-Eye-liner-Eye-liners/dp/B09BRFWX3J/ref=sr_1_4?keywords=Smudge+Stick+Waterproof+Eye+Liner&amp;qid=1695565519&amp;sr=8-4", "https://www.amazon.com/LOKFAR-Eyeliner-Waterproof-Eye-liner-Eye-liners/dp/B09BRFWX3J/ref=sr_1_4?keywords=Smudge+Stick+Waterproof+Eye+Liner&amp;qid=1695565519&amp;sr=8-4")</f>
        <v/>
      </c>
      <c r="F3539" t="inlineStr">
        <is>
          <t>B09BRFWX3J</t>
        </is>
      </c>
      <c r="G3539">
        <f>_xlfn.IMAGE("https://camerareadycosmetics.com/cdn/shop/products/Stila-Smudge-Stick-Waterproof-Eye-Liner-jasper_50x.jpg?v=1689639952")</f>
        <v/>
      </c>
      <c r="H3539">
        <f>_xlfn.IMAGE("https://m.media-amazon.com/images/I/71nTCucKLTL._AC_UL320_.jpg")</f>
        <v/>
      </c>
      <c r="K3539" t="inlineStr">
        <is>
          <t>22.0</t>
        </is>
      </c>
      <c r="L3539" t="n">
        <v>9.99</v>
      </c>
      <c r="M3539" s="1" t="inlineStr">
        <is>
          <t>-54.59%</t>
        </is>
      </c>
      <c r="N3539" t="n">
        <v>3.8</v>
      </c>
      <c r="O3539" t="n">
        <v>1321</v>
      </c>
      <c r="Q3539" t="inlineStr">
        <is>
          <t>InStock</t>
        </is>
      </c>
      <c r="R3539" t="inlineStr">
        <is>
          <t>undefined</t>
        </is>
      </c>
      <c r="S3539" t="inlineStr">
        <is>
          <t>7039707015</t>
        </is>
      </c>
    </row>
    <row r="3540" ht="75" customHeight="1">
      <c r="A3540" s="2">
        <f>HYPERLINK("https://camerareadycosmetics.com/products/stila-smudge-stick-waterproof-eye-liner", "https://camerareadycosmetics.com/products/stila-smudge-stick-waterproof-eye-liner")</f>
        <v/>
      </c>
      <c r="B3540" s="2">
        <f>HYPERLINK("https://camerareadycosmetics.com/products/stila-smudge-stick-waterproof-eye-liner", "https://camerareadycosmetics.com/products/stila-smudge-stick-waterproof-eye-liner")</f>
        <v/>
      </c>
      <c r="C3540" t="inlineStr">
        <is>
          <t>Smudge Stick Waterproof Eye Liner</t>
        </is>
      </c>
      <c r="D3540" t="inlineStr">
        <is>
          <t>Aaiffey 2 Colors Gel Eyeliner Set,Quick-Dry Cream Eyeliner Waterproof and Smudge Proof Eye-liner Pencil Long-Lasting Matte Black Eyeliner Stick for Women Girls (04 Black+03 Brown)</t>
        </is>
      </c>
      <c r="E3540" s="2">
        <f>HYPERLINK("https://www.amazon.com/Aaiffey-Quick-Dry-Waterproof-Eye-liner-Long-Lasting/dp/B09XHVTCRT/ref=sr_1_6?keywords=Smudge+Stick+Waterproof+Eye+Liner&amp;qid=1695565519&amp;sr=8-6", "https://www.amazon.com/Aaiffey-Quick-Dry-Waterproof-Eye-liner-Long-Lasting/dp/B09XHVTCRT/ref=sr_1_6?keywords=Smudge+Stick+Waterproof+Eye+Liner&amp;qid=1695565519&amp;sr=8-6")</f>
        <v/>
      </c>
      <c r="F3540" t="inlineStr">
        <is>
          <t>B09XHVTCRT</t>
        </is>
      </c>
      <c r="G3540">
        <f>_xlfn.IMAGE("https://camerareadycosmetics.com/cdn/shop/products/Stila-Smudge-Stick-Waterproof-Eye-Liner-jasper_50x.jpg?v=1689639952")</f>
        <v/>
      </c>
      <c r="H3540">
        <f>_xlfn.IMAGE("https://m.media-amazon.com/images/I/51DYDm+ScgL._AC_UL320_.jpg")</f>
        <v/>
      </c>
      <c r="K3540" t="inlineStr">
        <is>
          <t>22.0</t>
        </is>
      </c>
      <c r="L3540" t="n">
        <v>8.98</v>
      </c>
      <c r="M3540" s="1" t="inlineStr">
        <is>
          <t>-59.18%</t>
        </is>
      </c>
      <c r="N3540" t="n">
        <v>4</v>
      </c>
      <c r="O3540" t="n">
        <v>90</v>
      </c>
      <c r="Q3540" t="inlineStr">
        <is>
          <t>InStock</t>
        </is>
      </c>
      <c r="R3540" t="inlineStr">
        <is>
          <t>undefined</t>
        </is>
      </c>
      <c r="S3540" t="inlineStr">
        <is>
          <t>7039707015</t>
        </is>
      </c>
    </row>
    <row r="3541" ht="75" customHeight="1">
      <c r="A3541" s="2">
        <f>HYPERLINK("https://camerareadycosmetics.com/products/stila-smudge-stick-waterproof-eye-liner", "https://camerareadycosmetics.com/products/stila-smudge-stick-waterproof-eye-liner")</f>
        <v/>
      </c>
      <c r="B3541" s="2">
        <f>HYPERLINK("https://camerareadycosmetics.com/products/stila-smudge-stick-waterproof-eye-liner", "https://camerareadycosmetics.com/products/stila-smudge-stick-waterproof-eye-liner")</f>
        <v/>
      </c>
      <c r="C3541" t="inlineStr">
        <is>
          <t>Smudge Stick Waterproof Eye Liner</t>
        </is>
      </c>
      <c r="D3541" t="inlineStr">
        <is>
          <t>Aaiffey Black Gel Eyeliner Pencil,Cream Eyeliner Pen Smudge Proof Eyeliner Tool,Tattoo Eyeliner Pen Matte Black Eye-liner Quick Drying Eyeliner Gel Stick Waterproof All Day Lasting (04# Black)</t>
        </is>
      </c>
      <c r="E3541" s="2">
        <f>HYPERLINK("https://www.amazon.com/Aaiffey-Eyeliner-Eye-liner-Waterproof-Lasting/dp/B0BYDJQNDX/ref=sr_1_10?keywords=Smudge+Stick+Waterproof+Eye+Liner&amp;qid=1695565519&amp;sr=8-10", "https://www.amazon.com/Aaiffey-Eyeliner-Eye-liner-Waterproof-Lasting/dp/B0BYDJQNDX/ref=sr_1_10?keywords=Smudge+Stick+Waterproof+Eye+Liner&amp;qid=1695565519&amp;sr=8-10")</f>
        <v/>
      </c>
      <c r="F3541" t="inlineStr">
        <is>
          <t>B0BYDJQNDX</t>
        </is>
      </c>
      <c r="G3541">
        <f>_xlfn.IMAGE("https://camerareadycosmetics.com/cdn/shop/products/Stila-Smudge-Stick-Waterproof-Eye-Liner-jasper_50x.jpg?v=1689639952")</f>
        <v/>
      </c>
      <c r="H3541">
        <f>_xlfn.IMAGE("https://m.media-amazon.com/images/I/51Pu7S4UVGL._AC_UL320_.jpg")</f>
        <v/>
      </c>
      <c r="K3541" t="inlineStr">
        <is>
          <t>22.0</t>
        </is>
      </c>
      <c r="L3541" t="n">
        <v>6.98</v>
      </c>
      <c r="M3541" s="1" t="inlineStr">
        <is>
          <t>-68.27%</t>
        </is>
      </c>
      <c r="N3541" t="n">
        <v>2.3</v>
      </c>
      <c r="O3541" t="n">
        <v>6</v>
      </c>
      <c r="Q3541" t="inlineStr">
        <is>
          <t>InStock</t>
        </is>
      </c>
      <c r="R3541" t="inlineStr">
        <is>
          <t>undefined</t>
        </is>
      </c>
      <c r="S3541" t="inlineStr">
        <is>
          <t>7039707015</t>
        </is>
      </c>
    </row>
    <row r="3542" ht="75" customHeight="1">
      <c r="A3542" s="2">
        <f>HYPERLINK("https://camerareadycosmetics.com/products/stila-smudge-stick-waterproof-eye-liner", "https://camerareadycosmetics.com/products/stila-smudge-stick-waterproof-eye-liner")</f>
        <v/>
      </c>
      <c r="B3542" s="2">
        <f>HYPERLINK("https://camerareadycosmetics.com/products/stila-smudge-stick-waterproof-eye-liner", "https://camerareadycosmetics.com/products/stila-smudge-stick-waterproof-eye-liner")</f>
        <v/>
      </c>
      <c r="C3542" t="inlineStr">
        <is>
          <t>Smudge Stick Waterproof Eye Liner</t>
        </is>
      </c>
      <c r="D3542" t="inlineStr">
        <is>
          <t>MEICOLY Matte Quick-Dry Eyeliner,Black Brown Eyeliner Gel,Tattoo Eyeliner Stick Pencil for Women,Smudge Waterproof Black Gel Eye-liner,2 Pcs</t>
        </is>
      </c>
      <c r="E3542" s="2">
        <f>HYPERLINK("https://www.amazon.com/MEICOLY-Quick-Dry-Eyeliner-Waterproof-Eye-liner/dp/B09V5RQMFX/ref=sr_1_9?keywords=Smudge+Stick+Waterproof+Eye+Liner&amp;qid=1695565519&amp;sr=8-9", "https://www.amazon.com/MEICOLY-Quick-Dry-Eyeliner-Waterproof-Eye-liner/dp/B09V5RQMFX/ref=sr_1_9?keywords=Smudge+Stick+Waterproof+Eye+Liner&amp;qid=1695565519&amp;sr=8-9")</f>
        <v/>
      </c>
      <c r="F3542" t="inlineStr">
        <is>
          <t>B09V5RQMFX</t>
        </is>
      </c>
      <c r="G3542">
        <f>_xlfn.IMAGE("https://camerareadycosmetics.com/cdn/shop/products/Stila-Smudge-Stick-Waterproof-Eye-Liner-jasper_50x.jpg?v=1689639952")</f>
        <v/>
      </c>
      <c r="H3542">
        <f>_xlfn.IMAGE("https://m.media-amazon.com/images/I/61sJIHet2JL._AC_UL320_.jpg")</f>
        <v/>
      </c>
      <c r="K3542" t="inlineStr">
        <is>
          <t>22.0</t>
        </is>
      </c>
      <c r="L3542" t="n">
        <v>9.99</v>
      </c>
      <c r="M3542" s="1" t="inlineStr">
        <is>
          <t>-54.59%</t>
        </is>
      </c>
      <c r="N3542" t="n">
        <v>3.7</v>
      </c>
      <c r="O3542" t="n">
        <v>47</v>
      </c>
      <c r="Q3542" t="inlineStr">
        <is>
          <t>InStock</t>
        </is>
      </c>
      <c r="R3542" t="inlineStr">
        <is>
          <t>undefined</t>
        </is>
      </c>
      <c r="S3542" t="inlineStr">
        <is>
          <t>7039707015</t>
        </is>
      </c>
    </row>
    <row r="3543" ht="75" customHeight="1">
      <c r="A3543" s="2">
        <f>HYPERLINK("https://camerareadycosmetics.com/products/stila-smudge-stick-waterproof-eye-liner", "https://camerareadycosmetics.com/products/stila-smudge-stick-waterproof-eye-liner")</f>
        <v/>
      </c>
      <c r="B3543" s="2">
        <f>HYPERLINK("https://camerareadycosmetics.com/products/stila-smudge-stick-waterproof-eye-liner", "https://camerareadycosmetics.com/products/stila-smudge-stick-waterproof-eye-liner")</f>
        <v/>
      </c>
      <c r="C3543" t="inlineStr">
        <is>
          <t>Smudge Stick Waterproof Eye Liner</t>
        </is>
      </c>
      <c r="D3543" t="inlineStr">
        <is>
          <t>LOKFAR 2 Pcs Black Gel Cream Eyeliner Set, Tool Smudge Proof and Waterproof Matte Black Eye-liner Pencil Tattoo Eyeliner Pen Stick Makeup for Women</t>
        </is>
      </c>
      <c r="E3543" s="2">
        <f>HYPERLINK("https://www.amazon.com/LOKFAR-Eyeliner-Waterproof-Eye-liner-Eye-liners/dp/B09BRFWX3J/ref=sr_1_4?keywords=Smudge+Stick+Waterproof+Eye+Liner&amp;qid=1695565519&amp;sr=8-4", "https://www.amazon.com/LOKFAR-Eyeliner-Waterproof-Eye-liner-Eye-liners/dp/B09BRFWX3J/ref=sr_1_4?keywords=Smudge+Stick+Waterproof+Eye+Liner&amp;qid=1695565519&amp;sr=8-4")</f>
        <v/>
      </c>
      <c r="F3543" t="inlineStr">
        <is>
          <t>B09BRFWX3J</t>
        </is>
      </c>
      <c r="G3543">
        <f>_xlfn.IMAGE("https://camerareadycosmetics.com/cdn/shop/products/Stila-Smudge-Stick-Waterproof-Eye-Liner-jasper_50x.jpg?v=1689639952")</f>
        <v/>
      </c>
      <c r="H3543">
        <f>_xlfn.IMAGE("https://m.media-amazon.com/images/I/71nTCucKLTL._AC_UL320_.jpg")</f>
        <v/>
      </c>
      <c r="K3543" t="inlineStr">
        <is>
          <t>22.0</t>
        </is>
      </c>
      <c r="L3543" t="n">
        <v>9.99</v>
      </c>
      <c r="M3543" s="1" t="inlineStr">
        <is>
          <t>-54.59%</t>
        </is>
      </c>
      <c r="N3543" t="n">
        <v>3.8</v>
      </c>
      <c r="O3543" t="n">
        <v>1321</v>
      </c>
      <c r="Q3543" t="inlineStr">
        <is>
          <t>InStock</t>
        </is>
      </c>
      <c r="R3543" t="inlineStr">
        <is>
          <t>undefined</t>
        </is>
      </c>
      <c r="S3543" t="inlineStr">
        <is>
          <t>7039707015</t>
        </is>
      </c>
    </row>
    <row r="3544" ht="75" customHeight="1">
      <c r="A3544" s="2">
        <f>HYPERLINK("https://camerareadycosmetics.com/products/stila-smudge-stick-waterproof-eye-liner", "https://camerareadycosmetics.com/products/stila-smudge-stick-waterproof-eye-liner")</f>
        <v/>
      </c>
      <c r="B3544" s="2">
        <f>HYPERLINK("https://camerareadycosmetics.com/products/stila-smudge-stick-waterproof-eye-liner", "https://camerareadycosmetics.com/products/stila-smudge-stick-waterproof-eye-liner")</f>
        <v/>
      </c>
      <c r="C3544" t="inlineStr">
        <is>
          <t>Smudge Stick Waterproof Eye Liner</t>
        </is>
      </c>
      <c r="D3544" t="inlineStr">
        <is>
          <t>Aaiffey 2 Colors Gel Eyeliner Set,Quick-Dry Cream Eyeliner Waterproof and Smudge Proof Eye-liner Pencil Long-Lasting Matte Black Eyeliner Stick for Women Girls (04 Black+03 Brown)</t>
        </is>
      </c>
      <c r="E3544" s="2">
        <f>HYPERLINK("https://www.amazon.com/Aaiffey-Quick-Dry-Waterproof-Eye-liner-Long-Lasting/dp/B09XHVTCRT/ref=sr_1_6?keywords=Smudge+Stick+Waterproof+Eye+Liner&amp;qid=1695565519&amp;sr=8-6", "https://www.amazon.com/Aaiffey-Quick-Dry-Waterproof-Eye-liner-Long-Lasting/dp/B09XHVTCRT/ref=sr_1_6?keywords=Smudge+Stick+Waterproof+Eye+Liner&amp;qid=1695565519&amp;sr=8-6")</f>
        <v/>
      </c>
      <c r="F3544" t="inlineStr">
        <is>
          <t>B09XHVTCRT</t>
        </is>
      </c>
      <c r="G3544">
        <f>_xlfn.IMAGE("https://camerareadycosmetics.com/cdn/shop/products/Stila-Smudge-Stick-Waterproof-Eye-Liner-jasper_50x.jpg?v=1689639952")</f>
        <v/>
      </c>
      <c r="H3544">
        <f>_xlfn.IMAGE("https://m.media-amazon.com/images/I/51DYDm+ScgL._AC_UL320_.jpg")</f>
        <v/>
      </c>
      <c r="K3544" t="inlineStr">
        <is>
          <t>22.0</t>
        </is>
      </c>
      <c r="L3544" t="n">
        <v>8.98</v>
      </c>
      <c r="M3544" s="1" t="inlineStr">
        <is>
          <t>-59.18%</t>
        </is>
      </c>
      <c r="N3544" t="n">
        <v>4</v>
      </c>
      <c r="O3544" t="n">
        <v>90</v>
      </c>
      <c r="Q3544" t="inlineStr">
        <is>
          <t>InStock</t>
        </is>
      </c>
      <c r="R3544" t="inlineStr">
        <is>
          <t>undefined</t>
        </is>
      </c>
      <c r="S3544" t="inlineStr">
        <is>
          <t>7039707015</t>
        </is>
      </c>
    </row>
    <row r="3545" ht="75" customHeight="1">
      <c r="A3545" s="2">
        <f>HYPERLINK("https://camerareadycosmetics.com/products/stila-smudge-stick-waterproof-eye-liner", "https://camerareadycosmetics.com/products/stila-smudge-stick-waterproof-eye-liner")</f>
        <v/>
      </c>
      <c r="B3545" s="2">
        <f>HYPERLINK("https://camerareadycosmetics.com/products/stila-smudge-stick-waterproof-eye-liner", "https://camerareadycosmetics.com/products/stila-smudge-stick-waterproof-eye-liner")</f>
        <v/>
      </c>
      <c r="C3545" t="inlineStr">
        <is>
          <t>Smudge Stick Waterproof Eye Liner</t>
        </is>
      </c>
      <c r="D3545" t="inlineStr">
        <is>
          <t>Aaiffey Black Gel Eyeliner Pencil,Cream Eyeliner Pen Smudge Proof Eyeliner Tool,Tattoo Eyeliner Pen Matte Black Eye-liner Quick Drying Eyeliner Gel Stick Waterproof All Day Lasting (04# Black)</t>
        </is>
      </c>
      <c r="E3545" s="2">
        <f>HYPERLINK("https://www.amazon.com/Aaiffey-Eyeliner-Eye-liner-Waterproof-Lasting/dp/B0BYDJQNDX/ref=sr_1_10?keywords=Smudge+Stick+Waterproof+Eye+Liner&amp;qid=1695565519&amp;sr=8-10", "https://www.amazon.com/Aaiffey-Eyeliner-Eye-liner-Waterproof-Lasting/dp/B0BYDJQNDX/ref=sr_1_10?keywords=Smudge+Stick+Waterproof+Eye+Liner&amp;qid=1695565519&amp;sr=8-10")</f>
        <v/>
      </c>
      <c r="F3545" t="inlineStr">
        <is>
          <t>B0BYDJQNDX</t>
        </is>
      </c>
      <c r="G3545">
        <f>_xlfn.IMAGE("https://camerareadycosmetics.com/cdn/shop/products/Stila-Smudge-Stick-Waterproof-Eye-Liner-jasper_50x.jpg?v=1689639952")</f>
        <v/>
      </c>
      <c r="H3545">
        <f>_xlfn.IMAGE("https://m.media-amazon.com/images/I/51Pu7S4UVGL._AC_UL320_.jpg")</f>
        <v/>
      </c>
      <c r="K3545" t="inlineStr">
        <is>
          <t>22.0</t>
        </is>
      </c>
      <c r="L3545" t="n">
        <v>6.98</v>
      </c>
      <c r="M3545" s="1" t="inlineStr">
        <is>
          <t>-68.27%</t>
        </is>
      </c>
      <c r="N3545" t="n">
        <v>2.3</v>
      </c>
      <c r="O3545" t="n">
        <v>6</v>
      </c>
      <c r="Q3545" t="inlineStr">
        <is>
          <t>InStock</t>
        </is>
      </c>
      <c r="R3545" t="inlineStr">
        <is>
          <t>undefined</t>
        </is>
      </c>
      <c r="S3545" t="inlineStr">
        <is>
          <t>7039707015</t>
        </is>
      </c>
    </row>
    <row r="3546" ht="75" customHeight="1">
      <c r="A3546" s="2">
        <f>HYPERLINK("https://camerareadycosmetics.com/products/stila-stay-all-day-artistix-micro-liner", "https://camerareadycosmetics.com/products/stila-stay-all-day-artistix-micro-liner")</f>
        <v/>
      </c>
      <c r="B3546" s="2">
        <f>HYPERLINK("https://camerareadycosmetics.com/products/stila-stay-all-day-artistix-micro-liner", "https://camerareadycosmetics.com/products/stila-stay-all-day-artistix-micro-liner")</f>
        <v/>
      </c>
      <c r="C3546" t="inlineStr">
        <is>
          <t>Stay All Day ArtiStix Micro Liner</t>
        </is>
      </c>
      <c r="D3546" t="inlineStr">
        <is>
          <t>Stay All Day® ArtiStix Graphic Liner</t>
        </is>
      </c>
      <c r="E3546" s="2">
        <f>HYPERLINK("https://www.amazon.com/Stay-Day%C2%AE-ArtiStix-Graphic-Liner/dp/B0B64LJTZW/ref=sr_1_2?keywords=Stay+All+Day+ArtiStix+Micro+Liner&amp;qid=1695565831&amp;sr=8-2", "https://www.amazon.com/Stay-Day%C2%AE-ArtiStix-Graphic-Liner/dp/B0B64LJTZW/ref=sr_1_2?keywords=Stay+All+Day+ArtiStix+Micro+Liner&amp;qid=1695565831&amp;sr=8-2")</f>
        <v/>
      </c>
      <c r="F3546" t="inlineStr">
        <is>
          <t>B0B64LJTZW</t>
        </is>
      </c>
      <c r="G3546">
        <f>_xlfn.IMAGE("https://camerareadycosmetics.com/cdn/shop/products/SE06020001-MatteDarkBrown_MACRO2_1512x_dc86f075-88fb-4a33-987b-124065662676_50x.jpg?v=1688678219")</f>
        <v/>
      </c>
      <c r="H3546">
        <f>_xlfn.IMAGE("https://m.media-amazon.com/images/I/41fR7T51ZCL._AC_UL320_.jpg")</f>
        <v/>
      </c>
      <c r="K3546" t="inlineStr">
        <is>
          <t>22.0</t>
        </is>
      </c>
      <c r="L3546" t="n">
        <v>24</v>
      </c>
      <c r="M3546" s="1" t="inlineStr">
        <is>
          <t>9.09%</t>
        </is>
      </c>
      <c r="N3546" t="n">
        <v>3.7</v>
      </c>
      <c r="O3546" t="n">
        <v>4</v>
      </c>
      <c r="Q3546" t="inlineStr">
        <is>
          <t>InStock</t>
        </is>
      </c>
      <c r="R3546" t="inlineStr">
        <is>
          <t>undefined</t>
        </is>
      </c>
      <c r="S3546" t="inlineStr">
        <is>
          <t>7578256801977</t>
        </is>
      </c>
    </row>
    <row r="3547" ht="75" customHeight="1">
      <c r="A3547" s="2">
        <f>HYPERLINK("https://camerareadycosmetics.com/products/stila-stay-all-day-artistix-micro-liner", "https://camerareadycosmetics.com/products/stila-stay-all-day-artistix-micro-liner")</f>
        <v/>
      </c>
      <c r="B3547" s="2">
        <f>HYPERLINK("https://camerareadycosmetics.com/products/stila-stay-all-day-artistix-micro-liner", "https://camerareadycosmetics.com/products/stila-stay-all-day-artistix-micro-liner")</f>
        <v/>
      </c>
      <c r="C3547" t="inlineStr">
        <is>
          <t>Stay All Day ArtiStix Micro Liner</t>
        </is>
      </c>
      <c r="D3547" t="inlineStr">
        <is>
          <t>stila Stay All Day Waterproof Liquid Eye Liner - Micro Tip, Intense Black</t>
        </is>
      </c>
      <c r="E3547" s="2">
        <f>HYPERLINK("https://www.amazon.com/stila-Stay-Waterproof-Liquid-Liner/dp/B0781VL1G4/ref=sr_1_5?keywords=Stay+All+Day+ArtiStix+Micro+Liner&amp;qid=1695565831&amp;sr=8-5", "https://www.amazon.com/stila-Stay-Waterproof-Liquid-Liner/dp/B0781VL1G4/ref=sr_1_5?keywords=Stay+All+Day+ArtiStix+Micro+Liner&amp;qid=1695565831&amp;sr=8-5")</f>
        <v/>
      </c>
      <c r="F3547" t="inlineStr">
        <is>
          <t>B0781VL1G4</t>
        </is>
      </c>
      <c r="G3547">
        <f>_xlfn.IMAGE("https://camerareadycosmetics.com/cdn/shop/products/SE06020001-MatteDarkBrown_MACRO2_1512x_dc86f075-88fb-4a33-987b-124065662676_50x.jpg?v=1688678219")</f>
        <v/>
      </c>
      <c r="H3547">
        <f>_xlfn.IMAGE("https://m.media-amazon.com/images/I/517ikzjzRBL._AC_UL320_.jpg")</f>
        <v/>
      </c>
      <c r="K3547" t="inlineStr">
        <is>
          <t>22.0</t>
        </is>
      </c>
      <c r="L3547" t="n">
        <v>20.4</v>
      </c>
      <c r="M3547" s="1" t="inlineStr">
        <is>
          <t>-7.27%</t>
        </is>
      </c>
      <c r="N3547" t="n">
        <v>4.6</v>
      </c>
      <c r="O3547" t="n">
        <v>2233</v>
      </c>
      <c r="Q3547" t="inlineStr">
        <is>
          <t>InStock</t>
        </is>
      </c>
      <c r="R3547" t="inlineStr">
        <is>
          <t>undefined</t>
        </is>
      </c>
      <c r="S3547" t="inlineStr">
        <is>
          <t>7578256801977</t>
        </is>
      </c>
    </row>
    <row r="3548" ht="75" customHeight="1">
      <c r="A3548" s="2">
        <f>HYPERLINK("https://camerareadycosmetics.com/products/stila-stay-all-day-dual-ended-matte-liquid-eye-liner", "https://camerareadycosmetics.com/products/stila-stay-all-day-dual-ended-matte-liquid-eye-liner")</f>
        <v/>
      </c>
      <c r="B3548" s="2">
        <f>HYPERLINK("https://camerareadycosmetics.com/products/stila-stay-all-day-dual-ended-matte-liquid-eye-liner", "https://camerareadycosmetics.com/products/stila-stay-all-day-dual-ended-matte-liquid-eye-liner")</f>
        <v/>
      </c>
      <c r="C3548" t="inlineStr">
        <is>
          <t>Stay All Day Dual-Ended MATTE Liquid Eye Liner</t>
        </is>
      </c>
      <c r="D3548" t="inlineStr">
        <is>
          <t>Stay All Day® Dual-Ended Liquid Eye Liner</t>
        </is>
      </c>
      <c r="E3548" s="2">
        <f>HYPERLINK("https://www.amazon.com/stila-Dual-Ended-MATTE-Liquid-Liner/dp/B0BBJ7RLFS/ref=sr_1_1?keywords=Stay+All+Day+Dual-Ended+MATTE+Liquid+Eye+Liner&amp;qid=1695565844&amp;sr=8-1", "https://www.amazon.com/stila-Dual-Ended-MATTE-Liquid-Liner/dp/B0BBJ7RLFS/ref=sr_1_1?keywords=Stay+All+Day+Dual-Ended+MATTE+Liquid+Eye+Liner&amp;qid=1695565844&amp;sr=8-1")</f>
        <v/>
      </c>
      <c r="F3548" t="inlineStr">
        <is>
          <t>B0BBJ7RLFS</t>
        </is>
      </c>
      <c r="G3548">
        <f>_xlfn.IMAGE("https://camerareadycosmetics.com/cdn/shop/files/1_1_STILA_STAY_ALL_DAY_DUAL_EYE_LINER_OPEN_1048x_2268e0be-84bc-4e09-a222-fc86c926b505_50x.jpg?v=1687204803")</f>
        <v/>
      </c>
      <c r="H3548">
        <f>_xlfn.IMAGE("https://m.media-amazon.com/images/I/51XyRIFynJL._AC_UL320_.jpg")</f>
        <v/>
      </c>
      <c r="K3548" t="inlineStr">
        <is>
          <t>32.0</t>
        </is>
      </c>
      <c r="L3548" t="n">
        <v>24</v>
      </c>
      <c r="M3548" s="1" t="inlineStr">
        <is>
          <t>-25.00%</t>
        </is>
      </c>
      <c r="N3548" t="n">
        <v>4.4</v>
      </c>
      <c r="O3548" t="n">
        <v>510</v>
      </c>
      <c r="Q3548" t="inlineStr">
        <is>
          <t>InStock</t>
        </is>
      </c>
      <c r="R3548" t="inlineStr">
        <is>
          <t>undefined</t>
        </is>
      </c>
      <c r="S3548" t="inlineStr">
        <is>
          <t>7578263158969</t>
        </is>
      </c>
    </row>
    <row r="3549" ht="75" customHeight="1">
      <c r="A3549" s="2">
        <f>HYPERLINK("https://camerareadycosmetics.com/products/stila-stay-all-day-dual-ended-waterproof-liquid-eye-liner", "https://camerareadycosmetics.com/products/stila-stay-all-day-dual-ended-waterproof-liquid-eye-liner")</f>
        <v/>
      </c>
      <c r="B3549" s="2">
        <f>HYPERLINK("https://camerareadycosmetics.com/products/stila-stay-all-day-dual-ended-waterproof-liquid-eye-liner", "https://camerareadycosmetics.com/products/stila-stay-all-day-dual-ended-waterproof-liquid-eye-liner")</f>
        <v/>
      </c>
      <c r="C3549" t="inlineStr">
        <is>
          <t>Stay All Day Dual-Ended Waterproof Liquid Eye Liner</t>
        </is>
      </c>
      <c r="D3549" t="inlineStr">
        <is>
          <t>stila Stay All Day® Dual-Ended Liquid Eye Liner</t>
        </is>
      </c>
      <c r="E3549" s="2">
        <f>HYPERLINK("https://www.amazon.com/stila-Dual-Ended-Waterproof-Liquid-Liner/dp/B08SJWR93W/ref=sr_1_1?keywords=Stay+All+Day+Dual-Ended+Waterproof+Liquid+Eye+Liner&amp;qid=1695565664&amp;sr=8-1", "https://www.amazon.com/stila-Dual-Ended-Waterproof-Liquid-Liner/dp/B08SJWR93W/ref=sr_1_1?keywords=Stay+All+Day+Dual-Ended+Waterproof+Liquid+Eye+Liner&amp;qid=1695565664&amp;sr=8-1")</f>
        <v/>
      </c>
      <c r="F3549" t="inlineStr">
        <is>
          <t>B08SJWR93W</t>
        </is>
      </c>
      <c r="G3549">
        <f>_xlfn.IMAGE("https://camerareadycosmetics.com/cdn/shop/products/670x1005_Stila.com_200921-Stila-Eyeliner-Black-080_50x.jpg?v=1611437537")</f>
        <v/>
      </c>
      <c r="H3549">
        <f>_xlfn.IMAGE("https://m.media-amazon.com/images/I/613zCzFYQBL._AC_UL320_.jpg")</f>
        <v/>
      </c>
      <c r="K3549" t="inlineStr">
        <is>
          <t>32.0</t>
        </is>
      </c>
      <c r="L3549" t="n">
        <v>32</v>
      </c>
      <c r="M3549" s="1" t="inlineStr">
        <is>
          <t>0.00%</t>
        </is>
      </c>
      <c r="N3549" t="n">
        <v>4.4</v>
      </c>
      <c r="O3549" t="n">
        <v>510</v>
      </c>
      <c r="Q3549" t="inlineStr">
        <is>
          <t>InStock</t>
        </is>
      </c>
      <c r="R3549" t="inlineStr">
        <is>
          <t>undefined</t>
        </is>
      </c>
      <c r="S3549" t="inlineStr">
        <is>
          <t>6255303688377</t>
        </is>
      </c>
    </row>
    <row r="3550" ht="75" customHeight="1">
      <c r="A3550" s="2">
        <f>HYPERLINK("https://camerareadycosmetics.com/products/stila-stay-all-day-dual-ended-waterproof-liquid-eye-liner", "https://camerareadycosmetics.com/products/stila-stay-all-day-dual-ended-waterproof-liquid-eye-liner")</f>
        <v/>
      </c>
      <c r="B3550" s="2">
        <f>HYPERLINK("https://camerareadycosmetics.com/products/stila-stay-all-day-dual-ended-waterproof-liquid-eye-liner", "https://camerareadycosmetics.com/products/stila-stay-all-day-dual-ended-waterproof-liquid-eye-liner")</f>
        <v/>
      </c>
      <c r="C3550" t="inlineStr">
        <is>
          <t>Stay All Day Dual-Ended Waterproof Liquid Eye Liner</t>
        </is>
      </c>
      <c r="D3550" t="inlineStr">
        <is>
          <t>stila Stay All Day Waterproof Liquid Eye Liner</t>
        </is>
      </c>
      <c r="E3550" s="2">
        <f>HYPERLINK("https://www.amazon.com/stila-Waterproof-Liquid-Liner-Brown/dp/B004A8DCPS/ref=sr_1_2?keywords=Stay+All+Day+Dual-Ended+Waterproof+Liquid+Eye+Liner&amp;qid=1695565664&amp;sr=8-2", "https://www.amazon.com/stila-Waterproof-Liquid-Liner-Brown/dp/B004A8DCPS/ref=sr_1_2?keywords=Stay+All+Day+Dual-Ended+Waterproof+Liquid+Eye+Liner&amp;qid=1695565664&amp;sr=8-2")</f>
        <v/>
      </c>
      <c r="F3550" t="inlineStr">
        <is>
          <t>B004A8DCPS</t>
        </is>
      </c>
      <c r="G3550">
        <f>_xlfn.IMAGE("https://camerareadycosmetics.com/cdn/shop/products/670x1005_Stila.com_200921-Stila-Eyeliner-Black-080_50x.jpg?v=1611437537")</f>
        <v/>
      </c>
      <c r="H3550">
        <f>_xlfn.IMAGE("https://m.media-amazon.com/images/I/51mOtHP-UXL._AC_UL320_.jpg")</f>
        <v/>
      </c>
      <c r="K3550" t="inlineStr">
        <is>
          <t>32.0</t>
        </is>
      </c>
      <c r="L3550" t="n">
        <v>20.4</v>
      </c>
      <c r="M3550" s="1" t="inlineStr">
        <is>
          <t>-36.25%</t>
        </is>
      </c>
      <c r="N3550" t="n">
        <v>4.5</v>
      </c>
      <c r="O3550" t="n">
        <v>27487</v>
      </c>
      <c r="Q3550" t="inlineStr">
        <is>
          <t>InStock</t>
        </is>
      </c>
      <c r="R3550" t="inlineStr">
        <is>
          <t>undefined</t>
        </is>
      </c>
      <c r="S3550" t="inlineStr">
        <is>
          <t>6255303688377</t>
        </is>
      </c>
    </row>
    <row r="3551" ht="75" customHeight="1">
      <c r="A3551" s="2">
        <f>HYPERLINK("https://camerareadycosmetics.com/products/stila-stay-all-day-dual-ended-waterproof-liquid-eye-liner", "https://camerareadycosmetics.com/products/stila-stay-all-day-dual-ended-waterproof-liquid-eye-liner")</f>
        <v/>
      </c>
      <c r="B3551" s="2">
        <f>HYPERLINK("https://camerareadycosmetics.com/products/stila-stay-all-day-dual-ended-waterproof-liquid-eye-liner", "https://camerareadycosmetics.com/products/stila-stay-all-day-dual-ended-waterproof-liquid-eye-liner")</f>
        <v/>
      </c>
      <c r="C3551" t="inlineStr">
        <is>
          <t>Stay All Day Dual-Ended Waterproof Liquid Eye Liner</t>
        </is>
      </c>
      <c r="D3551" t="inlineStr">
        <is>
          <t>stila Stay All Day Waterproof Liquid Eye Liner - Micro Tip, Intense Black</t>
        </is>
      </c>
      <c r="E3551" s="2">
        <f>HYPERLINK("https://www.amazon.com/stila-Stay-Waterproof-Liquid-Liner/dp/B0781VL1G4/ref=sr_1_3?keywords=Stay+All+Day+Dual-Ended+Waterproof+Liquid+Eye+Liner&amp;qid=1695565664&amp;sr=8-3", "https://www.amazon.com/stila-Stay-Waterproof-Liquid-Liner/dp/B0781VL1G4/ref=sr_1_3?keywords=Stay+All+Day+Dual-Ended+Waterproof+Liquid+Eye+Liner&amp;qid=1695565664&amp;sr=8-3")</f>
        <v/>
      </c>
      <c r="F3551" t="inlineStr">
        <is>
          <t>B0781VL1G4</t>
        </is>
      </c>
      <c r="G3551">
        <f>_xlfn.IMAGE("https://camerareadycosmetics.com/cdn/shop/products/670x1005_Stila.com_200921-Stila-Eyeliner-Black-080_50x.jpg?v=1611437537")</f>
        <v/>
      </c>
      <c r="H3551">
        <f>_xlfn.IMAGE("https://m.media-amazon.com/images/I/517ikzjzRBL._AC_UL320_.jpg")</f>
        <v/>
      </c>
      <c r="K3551" t="inlineStr">
        <is>
          <t>32.0</t>
        </is>
      </c>
      <c r="L3551" t="n">
        <v>20.4</v>
      </c>
      <c r="M3551" s="1" t="inlineStr">
        <is>
          <t>-36.25%</t>
        </is>
      </c>
      <c r="N3551" t="n">
        <v>4.6</v>
      </c>
      <c r="O3551" t="n">
        <v>2233</v>
      </c>
      <c r="Q3551" t="inlineStr">
        <is>
          <t>InStock</t>
        </is>
      </c>
      <c r="R3551" t="inlineStr">
        <is>
          <t>undefined</t>
        </is>
      </c>
      <c r="S3551" t="inlineStr">
        <is>
          <t>6255303688377</t>
        </is>
      </c>
    </row>
    <row r="3552" ht="75" customHeight="1">
      <c r="A3552" s="2">
        <f>HYPERLINK("https://camerareadycosmetics.com/products/stila-stay-all-day-dual-ended-waterproof-liquid-eye-liner", "https://camerareadycosmetics.com/products/stila-stay-all-day-dual-ended-waterproof-liquid-eye-liner")</f>
        <v/>
      </c>
      <c r="B3552" s="2">
        <f>HYPERLINK("https://camerareadycosmetics.com/products/stila-stay-all-day-dual-ended-waterproof-liquid-eye-liner", "https://camerareadycosmetics.com/products/stila-stay-all-day-dual-ended-waterproof-liquid-eye-liner")</f>
        <v/>
      </c>
      <c r="C3552" t="inlineStr">
        <is>
          <t>Stay All Day Dual-Ended Waterproof Liquid Eye Liner</t>
        </is>
      </c>
      <c r="D3552" t="inlineStr">
        <is>
          <t>BSUS Stila Stay All Day Waterproof Liquid Eyeliner, Intense Black, 0.02 Oz</t>
        </is>
      </c>
      <c r="E3552" s="2">
        <f>HYPERLINK("https://www.amazon.com/BSUS-Waterproof-Liquid-Eyeliner-Intense/dp/B0BDDSG97H/ref=sr_1_9?keywords=Stay+All+Day+Dual-Ended+Waterproof+Liquid+Eye+Liner&amp;qid=1695565664&amp;sr=8-9", "https://www.amazon.com/BSUS-Waterproof-Liquid-Eyeliner-Intense/dp/B0BDDSG97H/ref=sr_1_9?keywords=Stay+All+Day+Dual-Ended+Waterproof+Liquid+Eye+Liner&amp;qid=1695565664&amp;sr=8-9")</f>
        <v/>
      </c>
      <c r="F3552" t="inlineStr">
        <is>
          <t>B0BDDSG97H</t>
        </is>
      </c>
      <c r="G3552">
        <f>_xlfn.IMAGE("https://camerareadycosmetics.com/cdn/shop/products/670x1005_Stila.com_200921-Stila-Eyeliner-Black-080_50x.jpg?v=1611437537")</f>
        <v/>
      </c>
      <c r="H3552">
        <f>_xlfn.IMAGE("https://m.media-amazon.com/images/I/21Caan91ipL._AC_UL320_.jpg")</f>
        <v/>
      </c>
      <c r="K3552" t="inlineStr">
        <is>
          <t>32.0</t>
        </is>
      </c>
      <c r="L3552" t="n">
        <v>18.99</v>
      </c>
      <c r="M3552" s="1" t="inlineStr">
        <is>
          <t>-40.66%</t>
        </is>
      </c>
      <c r="N3552" t="n">
        <v>3.4</v>
      </c>
      <c r="O3552" t="n">
        <v>7</v>
      </c>
      <c r="Q3552" t="inlineStr">
        <is>
          <t>InStock</t>
        </is>
      </c>
      <c r="R3552" t="inlineStr">
        <is>
          <t>undefined</t>
        </is>
      </c>
      <c r="S3552" t="inlineStr">
        <is>
          <t>6255303688377</t>
        </is>
      </c>
    </row>
    <row r="3553" ht="75" customHeight="1">
      <c r="A3553" s="2">
        <f>HYPERLINK("https://camerareadycosmetics.com/products/stila-stay-all-day-liquid-lipstick", "https://camerareadycosmetics.com/products/stila-stay-all-day-liquid-lipstick")</f>
        <v/>
      </c>
      <c r="B3553" s="2">
        <f>HYPERLINK("https://camerareadycosmetics.com/products/stila-stay-all-day-liquid-lipstick", "https://camerareadycosmetics.com/products/stila-stay-all-day-liquid-lipstick")</f>
        <v/>
      </c>
      <c r="C3553" t="inlineStr">
        <is>
          <t>Stay All Day Liquid Lipstick</t>
        </is>
      </c>
      <c r="D3553" t="inlineStr">
        <is>
          <t>stila Stay All Day® Shimmer Liquid Lipstick, 0.10 oz.</t>
        </is>
      </c>
      <c r="E3553" s="2">
        <f>HYPERLINK("https://www.amazon.com/stila-Shimmer-Liquid-Lipstick-Miele/dp/B0781VL6CP/ref=sr_1_3?keywords=Stay+All+Day+Liquid+Lipstick&amp;qid=1695565497&amp;sr=8-3", "https://www.amazon.com/stila-Shimmer-Liquid-Lipstick-Miele/dp/B0781VL6CP/ref=sr_1_3?keywords=Stay+All+Day+Liquid+Lipstick&amp;qid=1695565497&amp;sr=8-3")</f>
        <v/>
      </c>
      <c r="F3553" t="inlineStr">
        <is>
          <t>B0781VL6CP</t>
        </is>
      </c>
      <c r="G3553">
        <f>_xlfn.IMAGE("https://camerareadycosmetics.com/cdn/shop/products/Stay-All-Day-Liquid-Lipstick---Portofino-_1920x_f12c623b-013d-4b04-b9f2-c6116c1c148c_50x.jpg?v=1689640245")</f>
        <v/>
      </c>
      <c r="H3553">
        <f>_xlfn.IMAGE("https://m.media-amazon.com/images/I/714FHT8jdJL._AC_UL320_.jpg")</f>
        <v/>
      </c>
      <c r="K3553" t="inlineStr">
        <is>
          <t>24.0</t>
        </is>
      </c>
      <c r="L3553" t="n">
        <v>24</v>
      </c>
      <c r="M3553" s="1" t="inlineStr">
        <is>
          <t>0.00%</t>
        </is>
      </c>
      <c r="N3553" t="n">
        <v>4.5</v>
      </c>
      <c r="O3553" t="n">
        <v>307</v>
      </c>
      <c r="Q3553" t="inlineStr">
        <is>
          <t>InStock</t>
        </is>
      </c>
      <c r="R3553" t="inlineStr">
        <is>
          <t>undefined</t>
        </is>
      </c>
      <c r="S3553" t="inlineStr">
        <is>
          <t>7039893319</t>
        </is>
      </c>
    </row>
    <row r="3554" ht="75" customHeight="1">
      <c r="A3554" s="2">
        <f>HYPERLINK("https://camerareadycosmetics.com/products/stila-stay-all-day-liquid-lipstick", "https://camerareadycosmetics.com/products/stila-stay-all-day-liquid-lipstick")</f>
        <v/>
      </c>
      <c r="B3554" s="2">
        <f>HYPERLINK("https://camerareadycosmetics.com/products/stila-stay-all-day-liquid-lipstick", "https://camerareadycosmetics.com/products/stila-stay-all-day-liquid-lipstick")</f>
        <v/>
      </c>
      <c r="C3554" t="inlineStr">
        <is>
          <t>Stay All Day Liquid Lipstick</t>
        </is>
      </c>
      <c r="D3554" t="inlineStr">
        <is>
          <t>stila Stay All Day® Sheer Liquid Lipstick, 0.10 oz.</t>
        </is>
      </c>
      <c r="E3554" s="2">
        <f>HYPERLINK("https://www.amazon.com/stila-Sheer-Liquid-Lipstick-Patina/dp/B07834DLVK/ref=sr_1_4?keywords=Stay+All+Day+Liquid+Lipstick&amp;qid=1695565497&amp;sr=8-4", "https://www.amazon.com/stila-Sheer-Liquid-Lipstick-Patina/dp/B07834DLVK/ref=sr_1_4?keywords=Stay+All+Day+Liquid+Lipstick&amp;qid=1695565497&amp;sr=8-4")</f>
        <v/>
      </c>
      <c r="F3554" t="inlineStr">
        <is>
          <t>B07834DLVK</t>
        </is>
      </c>
      <c r="G3554">
        <f>_xlfn.IMAGE("https://camerareadycosmetics.com/cdn/shop/products/Stay-All-Day-Liquid-Lipstick---Portofino-_1920x_f12c623b-013d-4b04-b9f2-c6116c1c148c_50x.jpg?v=1689640245")</f>
        <v/>
      </c>
      <c r="H3554">
        <f>_xlfn.IMAGE("https://m.media-amazon.com/images/I/414RAhu0EXL._AC_UL320_.jpg")</f>
        <v/>
      </c>
      <c r="K3554" t="inlineStr">
        <is>
          <t>24.0</t>
        </is>
      </c>
      <c r="L3554" t="n">
        <v>24</v>
      </c>
      <c r="M3554" s="1" t="inlineStr">
        <is>
          <t>0.00%</t>
        </is>
      </c>
      <c r="N3554" t="n">
        <v>4.4</v>
      </c>
      <c r="O3554" t="n">
        <v>498</v>
      </c>
      <c r="Q3554" t="inlineStr">
        <is>
          <t>InStock</t>
        </is>
      </c>
      <c r="R3554" t="inlineStr">
        <is>
          <t>undefined</t>
        </is>
      </c>
      <c r="S3554" t="inlineStr">
        <is>
          <t>7039893319</t>
        </is>
      </c>
    </row>
    <row r="3555" ht="75" customHeight="1">
      <c r="A3555" s="2">
        <f>HYPERLINK("https://camerareadycosmetics.com/products/stila-stay-all-day-liquid-lipstick", "https://camerareadycosmetics.com/products/stila-stay-all-day-liquid-lipstick")</f>
        <v/>
      </c>
      <c r="B3555" s="2">
        <f>HYPERLINK("https://camerareadycosmetics.com/products/stila-stay-all-day-liquid-lipstick", "https://camerareadycosmetics.com/products/stila-stay-all-day-liquid-lipstick")</f>
        <v/>
      </c>
      <c r="C3555" t="inlineStr">
        <is>
          <t>Stay All Day Liquid Lipstick</t>
        </is>
      </c>
      <c r="D3555" t="inlineStr">
        <is>
          <t>stila Stay All Day® Liquid Lipstick, 0.10 fl. oz.</t>
        </is>
      </c>
      <c r="E3555" s="2">
        <f>HYPERLINK("https://www.amazon.com/stila-Stay-Liquid-Lipstick-Beso/dp/B007ZUGCL4/ref=sr_1_1?keywords=Stay+All+Day+Liquid+Lipstick&amp;qid=1695565497&amp;sr=8-1", "https://www.amazon.com/stila-Stay-Liquid-Lipstick-Beso/dp/B007ZUGCL4/ref=sr_1_1?keywords=Stay+All+Day+Liquid+Lipstick&amp;qid=1695565497&amp;sr=8-1")</f>
        <v/>
      </c>
      <c r="F3555" t="inlineStr">
        <is>
          <t>B007ZUGCL4</t>
        </is>
      </c>
      <c r="G3555">
        <f>_xlfn.IMAGE("https://camerareadycosmetics.com/cdn/shop/products/Stay-All-Day-Liquid-Lipstick---Portofino-_1920x_f12c623b-013d-4b04-b9f2-c6116c1c148c_50x.jpg?v=1689640245")</f>
        <v/>
      </c>
      <c r="H3555">
        <f>_xlfn.IMAGE("https://m.media-amazon.com/images/I/613F3oEd8lL._AC_UL320_.jpg")</f>
        <v/>
      </c>
      <c r="K3555" t="inlineStr">
        <is>
          <t>24.0</t>
        </is>
      </c>
      <c r="L3555" t="n">
        <v>12</v>
      </c>
      <c r="M3555" s="1" t="inlineStr">
        <is>
          <t>-50.00%</t>
        </is>
      </c>
      <c r="N3555" t="n">
        <v>4.5</v>
      </c>
      <c r="O3555" t="n">
        <v>1852</v>
      </c>
      <c r="Q3555" t="inlineStr">
        <is>
          <t>InStock</t>
        </is>
      </c>
      <c r="R3555" t="inlineStr">
        <is>
          <t>undefined</t>
        </is>
      </c>
      <c r="S3555" t="inlineStr">
        <is>
          <t>7039893319</t>
        </is>
      </c>
    </row>
    <row r="3556" ht="75" customHeight="1">
      <c r="A3556" s="2">
        <f>HYPERLINK("https://camerareadycosmetics.com/products/stila-stay-all-day-liquid-lipstick", "https://camerareadycosmetics.com/products/stila-stay-all-day-liquid-lipstick")</f>
        <v/>
      </c>
      <c r="B3556" s="2">
        <f>HYPERLINK("https://camerareadycosmetics.com/products/stila-stay-all-day-liquid-lipstick", "https://camerareadycosmetics.com/products/stila-stay-all-day-liquid-lipstick")</f>
        <v/>
      </c>
      <c r="C3556" t="inlineStr">
        <is>
          <t>Stay All Day Liquid Lipstick</t>
        </is>
      </c>
      <c r="D3556" t="inlineStr">
        <is>
          <t>Milani Stay Put Longwear Liquid Lipstick - Smudge-Proof, Kiss-Proof, and Fade-Resistant Formula for All-Day Wear - Go Off</t>
        </is>
      </c>
      <c r="E3556" s="2">
        <f>HYPERLINK("https://www.amazon.com/Milani-Stay-Longwear-Liquid-Lipstick/dp/B0BXBHYDPB/ref=sr_1_9?keywords=Stay+All+Day+Liquid+Lipstick&amp;qid=1695565497&amp;sr=8-9", "https://www.amazon.com/Milani-Stay-Longwear-Liquid-Lipstick/dp/B0BXBHYDPB/ref=sr_1_9?keywords=Stay+All+Day+Liquid+Lipstick&amp;qid=1695565497&amp;sr=8-9")</f>
        <v/>
      </c>
      <c r="F3556" t="inlineStr">
        <is>
          <t>B0BXBHYDPB</t>
        </is>
      </c>
      <c r="G3556">
        <f>_xlfn.IMAGE("https://camerareadycosmetics.com/cdn/shop/products/Stay-All-Day-Liquid-Lipstick---Portofino-_1920x_f12c623b-013d-4b04-b9f2-c6116c1c148c_50x.jpg?v=1689640245")</f>
        <v/>
      </c>
      <c r="H3556">
        <f>_xlfn.IMAGE("https://m.media-amazon.com/images/I/51foDlPu+wL._AC_UL320_.jpg")</f>
        <v/>
      </c>
      <c r="K3556" t="inlineStr">
        <is>
          <t>24.0</t>
        </is>
      </c>
      <c r="L3556" t="n">
        <v>9.970000000000001</v>
      </c>
      <c r="M3556" s="1" t="inlineStr">
        <is>
          <t>-58.46%</t>
        </is>
      </c>
      <c r="N3556" t="n">
        <v>4.2</v>
      </c>
      <c r="O3556" t="n">
        <v>389</v>
      </c>
      <c r="Q3556" t="inlineStr">
        <is>
          <t>InStock</t>
        </is>
      </c>
      <c r="R3556" t="inlineStr">
        <is>
          <t>undefined</t>
        </is>
      </c>
      <c r="S3556" t="inlineStr">
        <is>
          <t>7039893319</t>
        </is>
      </c>
    </row>
    <row r="3557" ht="75" customHeight="1">
      <c r="A3557" s="2">
        <f>HYPERLINK("https://camerareadycosmetics.com/products/stila-stay-all-day-liquid-lipstick", "https://camerareadycosmetics.com/products/stila-stay-all-day-liquid-lipstick")</f>
        <v/>
      </c>
      <c r="B3557" s="2">
        <f>HYPERLINK("https://camerareadycosmetics.com/products/stila-stay-all-day-liquid-lipstick", "https://camerareadycosmetics.com/products/stila-stay-all-day-liquid-lipstick")</f>
        <v/>
      </c>
      <c r="C3557" t="inlineStr">
        <is>
          <t>Stay All Day Liquid Lipstick</t>
        </is>
      </c>
      <c r="D3557" t="inlineStr">
        <is>
          <t>stila Stay All Day® Liquid Lipstick, 0.10 fl. oz.</t>
        </is>
      </c>
      <c r="E3557" s="2">
        <f>HYPERLINK("https://www.amazon.com/stila-Stay-Liquid-Lipstick-Beso/dp/B007ZUGCL4/ref=sr_1_1?keywords=Stay+All+Day+Liquid+Lipstick&amp;qid=1695565497&amp;sr=8-1", "https://www.amazon.com/stila-Stay-Liquid-Lipstick-Beso/dp/B007ZUGCL4/ref=sr_1_1?keywords=Stay+All+Day+Liquid+Lipstick&amp;qid=1695565497&amp;sr=8-1")</f>
        <v/>
      </c>
      <c r="F3557" t="inlineStr">
        <is>
          <t>B007ZUGCL4</t>
        </is>
      </c>
      <c r="G3557">
        <f>_xlfn.IMAGE("https://camerareadycosmetics.com/cdn/shop/products/Stay-All-Day-Liquid-Lipstick---Portofino-_1920x_f12c623b-013d-4b04-b9f2-c6116c1c148c_50x.jpg?v=1689640245")</f>
        <v/>
      </c>
      <c r="H3557">
        <f>_xlfn.IMAGE("https://m.media-amazon.com/images/I/613F3oEd8lL._AC_UL320_.jpg")</f>
        <v/>
      </c>
      <c r="K3557" t="inlineStr">
        <is>
          <t>24.0</t>
        </is>
      </c>
      <c r="L3557" t="n">
        <v>12</v>
      </c>
      <c r="M3557" s="1" t="inlineStr">
        <is>
          <t>-50.00%</t>
        </is>
      </c>
      <c r="N3557" t="n">
        <v>4.5</v>
      </c>
      <c r="O3557" t="n">
        <v>1852</v>
      </c>
      <c r="Q3557" t="inlineStr">
        <is>
          <t>InStock</t>
        </is>
      </c>
      <c r="R3557" t="inlineStr">
        <is>
          <t>undefined</t>
        </is>
      </c>
      <c r="S3557" t="inlineStr">
        <is>
          <t>7039893319</t>
        </is>
      </c>
    </row>
    <row r="3558" ht="75" customHeight="1">
      <c r="A3558" s="2">
        <f>HYPERLINK("https://camerareadycosmetics.com/products/stila-stay-all-day-liquid-lipstick", "https://camerareadycosmetics.com/products/stila-stay-all-day-liquid-lipstick")</f>
        <v/>
      </c>
      <c r="B3558" s="2">
        <f>HYPERLINK("https://camerareadycosmetics.com/products/stila-stay-all-day-liquid-lipstick", "https://camerareadycosmetics.com/products/stila-stay-all-day-liquid-lipstick")</f>
        <v/>
      </c>
      <c r="C3558" t="inlineStr">
        <is>
          <t>Stay All Day Liquid Lipstick</t>
        </is>
      </c>
      <c r="D3558" t="inlineStr">
        <is>
          <t>Milani Stay Put Longwear Liquid Lipstick - Smudge-Proof, Kiss-Proof, and Fade-Resistant Formula for All-Day Wear - Go Off</t>
        </is>
      </c>
      <c r="E3558" s="2">
        <f>HYPERLINK("https://www.amazon.com/Milani-Stay-Longwear-Liquid-Lipstick/dp/B0BXBHYDPB/ref=sr_1_9?keywords=Stay+All+Day+Liquid+Lipstick&amp;qid=1695565497&amp;sr=8-9", "https://www.amazon.com/Milani-Stay-Longwear-Liquid-Lipstick/dp/B0BXBHYDPB/ref=sr_1_9?keywords=Stay+All+Day+Liquid+Lipstick&amp;qid=1695565497&amp;sr=8-9")</f>
        <v/>
      </c>
      <c r="F3558" t="inlineStr">
        <is>
          <t>B0BXBHYDPB</t>
        </is>
      </c>
      <c r="G3558">
        <f>_xlfn.IMAGE("https://camerareadycosmetics.com/cdn/shop/products/Stay-All-Day-Liquid-Lipstick---Portofino-_1920x_f12c623b-013d-4b04-b9f2-c6116c1c148c_50x.jpg?v=1689640245")</f>
        <v/>
      </c>
      <c r="H3558">
        <f>_xlfn.IMAGE("https://m.media-amazon.com/images/I/51foDlPu+wL._AC_UL320_.jpg")</f>
        <v/>
      </c>
      <c r="K3558" t="inlineStr">
        <is>
          <t>24.0</t>
        </is>
      </c>
      <c r="L3558" t="n">
        <v>9.970000000000001</v>
      </c>
      <c r="M3558" s="1" t="inlineStr">
        <is>
          <t>-58.46%</t>
        </is>
      </c>
      <c r="N3558" t="n">
        <v>4.2</v>
      </c>
      <c r="O3558" t="n">
        <v>389</v>
      </c>
      <c r="Q3558" t="inlineStr">
        <is>
          <t>InStock</t>
        </is>
      </c>
      <c r="R3558" t="inlineStr">
        <is>
          <t>undefined</t>
        </is>
      </c>
      <c r="S3558" t="inlineStr">
        <is>
          <t>7039893319</t>
        </is>
      </c>
    </row>
    <row r="3559" ht="75" customHeight="1">
      <c r="A3559" s="2">
        <f>HYPERLINK("https://camerareadycosmetics.com/products/stila-stay-all-day-muted-neon-liquid-eye-liner", "https://camerareadycosmetics.com/products/stila-stay-all-day-muted-neon-liquid-eye-liner")</f>
        <v/>
      </c>
      <c r="B3559" s="2">
        <f>HYPERLINK("https://camerareadycosmetics.com/products/stila-stay-all-day-muted-neon-liquid-eye-liner", "https://camerareadycosmetics.com/products/stila-stay-all-day-muted-neon-liquid-eye-liner")</f>
        <v/>
      </c>
      <c r="C3559" t="inlineStr">
        <is>
          <t>Stay All Day Muted-Neon Liquid Eye Liner</t>
        </is>
      </c>
      <c r="D3559" t="inlineStr">
        <is>
          <t>Stay All Day® Dual-Ended Liquid Eye Liner</t>
        </is>
      </c>
      <c r="E3559" s="2">
        <f>HYPERLINK("https://www.amazon.com/Stay-Day%C2%AE-Dual-Ended-Liquid-Liner/dp/B097YXHP1Y/ref=sr_1_2?keywords=Stay+All+Day+Muted-Neon+Liquid+Eye+Liner&amp;qid=1695565786&amp;sr=8-2", "https://www.amazon.com/Stay-Day%C2%AE-Dual-Ended-Liquid-Liner/dp/B097YXHP1Y/ref=sr_1_2?keywords=Stay+All+Day+Muted-Neon+Liquid+Eye+Liner&amp;qid=1695565786&amp;sr=8-2")</f>
        <v/>
      </c>
      <c r="F3559" t="inlineStr">
        <is>
          <t>B097YXHP1Y</t>
        </is>
      </c>
      <c r="G3559">
        <f>_xlfn.IMAGE("https://camerareadycosmetics.com/cdn/shop/products/STAYALLDAYMUTED-NEONLiquidEyeLiner_MODELKEYVISUAL_1012x_db17ec6a-2aff-4ebb-a4de-e6ca8c011377_50x.jpg?v=1679346987")</f>
        <v/>
      </c>
      <c r="H3559">
        <f>_xlfn.IMAGE("https://m.media-amazon.com/images/I/51R7PQKaDZL._AC_UL320_.jpg")</f>
        <v/>
      </c>
      <c r="K3559" t="inlineStr">
        <is>
          <t>25.0</t>
        </is>
      </c>
      <c r="L3559" t="n">
        <v>22.51</v>
      </c>
      <c r="M3559" s="1" t="inlineStr">
        <is>
          <t>-9.96%</t>
        </is>
      </c>
      <c r="N3559" t="n">
        <v>4.4</v>
      </c>
      <c r="O3559" t="n">
        <v>510</v>
      </c>
      <c r="Q3559" t="inlineStr">
        <is>
          <t>InStock</t>
        </is>
      </c>
      <c r="R3559" t="inlineStr">
        <is>
          <t>undefined</t>
        </is>
      </c>
      <c r="S3559" t="inlineStr">
        <is>
          <t>7578294583481</t>
        </is>
      </c>
    </row>
    <row r="3560" ht="75" customHeight="1">
      <c r="A3560" s="2">
        <f>HYPERLINK("https://camerareadycosmetics.com/products/stila-stay-all-day-muted-neon-liquid-eye-liner", "https://camerareadycosmetics.com/products/stila-stay-all-day-muted-neon-liquid-eye-liner")</f>
        <v/>
      </c>
      <c r="B3560" s="2">
        <f>HYPERLINK("https://camerareadycosmetics.com/products/stila-stay-all-day-muted-neon-liquid-eye-liner", "https://camerareadycosmetics.com/products/stila-stay-all-day-muted-neon-liquid-eye-liner")</f>
        <v/>
      </c>
      <c r="C3560" t="inlineStr">
        <is>
          <t>Stay All Day Muted-Neon Liquid Eye Liner</t>
        </is>
      </c>
      <c r="D3560" t="inlineStr">
        <is>
          <t>Stay All Day Waterproof Liquid Eye Liner</t>
        </is>
      </c>
      <c r="E3560" s="2">
        <f>HYPERLINK("https://www.amazon.com/stila-Waterproof-Liquid-Liner-Intense/dp/B07DCJTX6Q/ref=sr_1_5?keywords=Stay+All+Day+Muted-Neon+Liquid+Eye+Liner&amp;qid=1695565786&amp;sr=8-5", "https://www.amazon.com/stila-Waterproof-Liquid-Liner-Intense/dp/B07DCJTX6Q/ref=sr_1_5?keywords=Stay+All+Day+Muted-Neon+Liquid+Eye+Liner&amp;qid=1695565786&amp;sr=8-5")</f>
        <v/>
      </c>
      <c r="F3560" t="inlineStr">
        <is>
          <t>B07DCJTX6Q</t>
        </is>
      </c>
      <c r="G3560">
        <f>_xlfn.IMAGE("https://camerareadycosmetics.com/cdn/shop/products/STAYALLDAYMUTED-NEONLiquidEyeLiner_MODELKEYVISUAL_1012x_db17ec6a-2aff-4ebb-a4de-e6ca8c011377_50x.jpg?v=1679346987")</f>
        <v/>
      </c>
      <c r="H3560">
        <f>_xlfn.IMAGE("https://m.media-amazon.com/images/I/61wzsUdwTgL._AC_UL320_.jpg")</f>
        <v/>
      </c>
      <c r="K3560" t="inlineStr">
        <is>
          <t>25.0</t>
        </is>
      </c>
      <c r="L3560" t="n">
        <v>20.4</v>
      </c>
      <c r="M3560" s="1" t="inlineStr">
        <is>
          <t>-18.40%</t>
        </is>
      </c>
      <c r="N3560" t="n">
        <v>4.5</v>
      </c>
      <c r="O3560" t="n">
        <v>27487</v>
      </c>
      <c r="Q3560" t="inlineStr">
        <is>
          <t>InStock</t>
        </is>
      </c>
      <c r="R3560" t="inlineStr">
        <is>
          <t>undefined</t>
        </is>
      </c>
      <c r="S3560" t="inlineStr">
        <is>
          <t>7578294583481</t>
        </is>
      </c>
    </row>
    <row r="3561" ht="75" customHeight="1">
      <c r="A3561" s="2">
        <f>HYPERLINK("https://camerareadycosmetics.com/products/stila-stay-all-day-waterproof-brow-color", "https://camerareadycosmetics.com/products/stila-stay-all-day-waterproof-brow-color")</f>
        <v/>
      </c>
      <c r="B3561" s="2">
        <f>HYPERLINK("https://camerareadycosmetics.com/products/stila-stay-all-day-waterproof-brow-color", "https://camerareadycosmetics.com/products/stila-stay-all-day-waterproof-brow-color")</f>
        <v/>
      </c>
      <c r="C3561" t="inlineStr">
        <is>
          <t>Stay All Day Waterproof Brow Color</t>
        </is>
      </c>
      <c r="D3561" t="inlineStr">
        <is>
          <t>stila Stay All Day® Waterproof Balayage Brow, 0.03 fl. oz.</t>
        </is>
      </c>
      <c r="E3561" s="2">
        <f>HYPERLINK("https://www.amazon.com/stila-Stay-Day%C2%AE-Waterproof-Balayage/dp/B09QDHKXVN/ref=sr_1_1?keywords=Stay+All+Day+Waterproof+Brow+Color&amp;qid=1695565549&amp;sr=8-1", "https://www.amazon.com/stila-Stay-Day%C2%AE-Waterproof-Balayage/dp/B09QDHKXVN/ref=sr_1_1?keywords=Stay+All+Day+Waterproof+Brow+Color&amp;qid=1695565549&amp;sr=8-1")</f>
        <v/>
      </c>
      <c r="F3561" t="inlineStr">
        <is>
          <t>B09QDHKXVN</t>
        </is>
      </c>
      <c r="G3561">
        <f>_xlfn.IMAGE("https://camerareadycosmetics.com/cdn/shop/products/152010000__40903.1429673286.600.600_50x.jpeg?v=1689639975")</f>
        <v/>
      </c>
      <c r="H3561">
        <f>_xlfn.IMAGE("https://m.media-amazon.com/images/I/518sS415IuL._AC_UL320_.jpg")</f>
        <v/>
      </c>
      <c r="K3561" t="inlineStr">
        <is>
          <t>22.0</t>
        </is>
      </c>
      <c r="L3561" t="n">
        <v>28</v>
      </c>
      <c r="M3561" s="1" t="inlineStr">
        <is>
          <t>27.27%</t>
        </is>
      </c>
      <c r="N3561" t="n">
        <v>2.7</v>
      </c>
      <c r="O3561" t="n">
        <v>43</v>
      </c>
      <c r="Q3561" t="inlineStr">
        <is>
          <t>OutOfStock</t>
        </is>
      </c>
      <c r="R3561" t="inlineStr">
        <is>
          <t>undefined</t>
        </is>
      </c>
      <c r="S3561" t="inlineStr">
        <is>
          <t>7039742407</t>
        </is>
      </c>
    </row>
    <row r="3562" ht="75" customHeight="1">
      <c r="A3562" s="2">
        <f>HYPERLINK("https://camerareadycosmetics.com/products/stila-stay-all-day-waterproof-brow-color", "https://camerareadycosmetics.com/products/stila-stay-all-day-waterproof-brow-color")</f>
        <v/>
      </c>
      <c r="B3562" s="2">
        <f>HYPERLINK("https://camerareadycosmetics.com/products/stila-stay-all-day-waterproof-brow-color", "https://camerareadycosmetics.com/products/stila-stay-all-day-waterproof-brow-color")</f>
        <v/>
      </c>
      <c r="C3562" t="inlineStr">
        <is>
          <t>Stay All Day Waterproof Brow Color</t>
        </is>
      </c>
      <c r="D3562" t="inlineStr">
        <is>
          <t>2Pcs Microblading Eyebrow Pen -Waterproof Eyebrow Pencil with a Micro-Fork Tip Applicator Creates Natural Looking Brows Effortlessly and Stays on All Day Professional Makeup (01#Chestnut)</t>
        </is>
      </c>
      <c r="E3562" s="2">
        <f>HYPERLINK("https://www.amazon.com/Microblading-Waterproof-Micro-Fork-Effortlessly-Professional/dp/B08JGJXHM6/ref=sr_1_4?keywords=Stay+All+Day+Waterproof+Brow+Color&amp;qid=1695565549&amp;sr=8-4", "https://www.amazon.com/Microblading-Waterproof-Micro-Fork-Effortlessly-Professional/dp/B08JGJXHM6/ref=sr_1_4?keywords=Stay+All+Day+Waterproof+Brow+Color&amp;qid=1695565549&amp;sr=8-4")</f>
        <v/>
      </c>
      <c r="F3562" t="inlineStr">
        <is>
          <t>B08JGJXHM6</t>
        </is>
      </c>
      <c r="G3562">
        <f>_xlfn.IMAGE("https://camerareadycosmetics.com/cdn/shop/products/152010000__40903.1429673286.600.600_50x.jpeg?v=1689639975")</f>
        <v/>
      </c>
      <c r="H3562">
        <f>_xlfn.IMAGE("https://m.media-amazon.com/images/I/51k4VX7ndjL._AC_UL320_.jpg")</f>
        <v/>
      </c>
      <c r="K3562" t="inlineStr">
        <is>
          <t>22.0</t>
        </is>
      </c>
      <c r="L3562" t="n">
        <v>13.95</v>
      </c>
      <c r="M3562" s="1" t="inlineStr">
        <is>
          <t>-36.59%</t>
        </is>
      </c>
      <c r="N3562" t="n">
        <v>3.4</v>
      </c>
      <c r="O3562" t="n">
        <v>40</v>
      </c>
      <c r="Q3562" t="inlineStr">
        <is>
          <t>OutOfStock</t>
        </is>
      </c>
      <c r="R3562" t="inlineStr">
        <is>
          <t>undefined</t>
        </is>
      </c>
      <c r="S3562" t="inlineStr">
        <is>
          <t>7039742407</t>
        </is>
      </c>
    </row>
    <row r="3563" ht="75" customHeight="1">
      <c r="A3563" s="2">
        <f>HYPERLINK("https://camerareadycosmetics.com/products/stila-stay-all-day-waterproof-brow-color", "https://camerareadycosmetics.com/products/stila-stay-all-day-waterproof-brow-color")</f>
        <v/>
      </c>
      <c r="B3563" s="2">
        <f>HYPERLINK("https://camerareadycosmetics.com/products/stila-stay-all-day-waterproof-brow-color", "https://camerareadycosmetics.com/products/stila-stay-all-day-waterproof-brow-color")</f>
        <v/>
      </c>
      <c r="C3563" t="inlineStr">
        <is>
          <t>Stay All Day Waterproof Brow Color</t>
        </is>
      </c>
      <c r="D3563" t="inlineStr">
        <is>
          <t>Ainviata 2PCS Liquid Eyebrow Pencil with 4 Micro-Fork Tips, Microblading Eyebrow Tint Tattoo Pen Stays on All Day, Waterproof &amp; Smudge-proof Brow Pencil Creates Natural Looking Eyebrow Makeup</t>
        </is>
      </c>
      <c r="E3563" s="2">
        <f>HYPERLINK("https://www.amazon.com/Ainviata-Micro-Fork-Microblading-Waterproof-Smudge-proof/dp/B0BN1Y2LYB/ref=sr_1_3?keywords=Stay+All+Day+Waterproof+Brow+Color&amp;qid=1695565549&amp;sr=8-3", "https://www.amazon.com/Ainviata-Micro-Fork-Microblading-Waterproof-Smudge-proof/dp/B0BN1Y2LYB/ref=sr_1_3?keywords=Stay+All+Day+Waterproof+Brow+Color&amp;qid=1695565549&amp;sr=8-3")</f>
        <v/>
      </c>
      <c r="F3563" t="inlineStr">
        <is>
          <t>B0BN1Y2LYB</t>
        </is>
      </c>
      <c r="G3563">
        <f>_xlfn.IMAGE("https://camerareadycosmetics.com/cdn/shop/products/152010000__40903.1429673286.600.600_50x.jpeg?v=1689639975")</f>
        <v/>
      </c>
      <c r="H3563">
        <f>_xlfn.IMAGE("https://m.media-amazon.com/images/I/71tK+pUs1oL._AC_UL320_.jpg")</f>
        <v/>
      </c>
      <c r="K3563" t="inlineStr">
        <is>
          <t>22.0</t>
        </is>
      </c>
      <c r="L3563" t="n">
        <v>9.99</v>
      </c>
      <c r="M3563" s="1" t="inlineStr">
        <is>
          <t>-54.59%</t>
        </is>
      </c>
      <c r="N3563" t="n">
        <v>3.7</v>
      </c>
      <c r="O3563" t="n">
        <v>594</v>
      </c>
      <c r="Q3563" t="inlineStr">
        <is>
          <t>OutOfStock</t>
        </is>
      </c>
      <c r="R3563" t="inlineStr">
        <is>
          <t>undefined</t>
        </is>
      </c>
      <c r="S3563" t="inlineStr">
        <is>
          <t>7039742407</t>
        </is>
      </c>
    </row>
    <row r="3564" ht="75" customHeight="1">
      <c r="A3564" s="2">
        <f>HYPERLINK("https://camerareadycosmetics.com/products/stila-stay-all-day-waterproof-brow-color", "https://camerareadycosmetics.com/products/stila-stay-all-day-waterproof-brow-color")</f>
        <v/>
      </c>
      <c r="B3564" s="2">
        <f>HYPERLINK("https://camerareadycosmetics.com/products/stila-stay-all-day-waterproof-brow-color", "https://camerareadycosmetics.com/products/stila-stay-all-day-waterproof-brow-color")</f>
        <v/>
      </c>
      <c r="C3564" t="inlineStr">
        <is>
          <t>Stay All Day Waterproof Brow Color</t>
        </is>
      </c>
      <c r="D3564" t="inlineStr">
        <is>
          <t>Eyenjoy Eyebrow Pen,Eyebrow Tattoo Microblade Pen-Waterproof Microblade Eyebrow Pencil with a Micro-Fork Tip Applicator,Creates Natural Looking Eyebrows Effortlessly and Stays on All Day,2 count</t>
        </is>
      </c>
      <c r="E3564" s="2">
        <f>HYPERLINK("https://www.amazon.com/Eyenjoy-Microblade-Pen-Waterproof-Micro-Fork-Effortlessly/dp/B08DD9Y84B/ref=sr_1_2?keywords=Stay+All+Day+Waterproof+Brow+Color&amp;qid=1695565549&amp;sr=8-2", "https://www.amazon.com/Eyenjoy-Microblade-Pen-Waterproof-Micro-Fork-Effortlessly/dp/B08DD9Y84B/ref=sr_1_2?keywords=Stay+All+Day+Waterproof+Brow+Color&amp;qid=1695565549&amp;sr=8-2")</f>
        <v/>
      </c>
      <c r="F3564" t="inlineStr">
        <is>
          <t>B08DD9Y84B</t>
        </is>
      </c>
      <c r="G3564">
        <f>_xlfn.IMAGE("https://camerareadycosmetics.com/cdn/shop/products/152010000__40903.1429673286.600.600_50x.jpeg?v=1689639975")</f>
        <v/>
      </c>
      <c r="H3564">
        <f>_xlfn.IMAGE("https://m.media-amazon.com/images/I/613ZFuH7xTL._AC_UL320_.jpg")</f>
        <v/>
      </c>
      <c r="K3564" t="inlineStr">
        <is>
          <t>22.0</t>
        </is>
      </c>
      <c r="L3564" t="n">
        <v>7.99</v>
      </c>
      <c r="M3564" s="1" t="inlineStr">
        <is>
          <t>-63.68%</t>
        </is>
      </c>
      <c r="N3564" t="n">
        <v>3.6</v>
      </c>
      <c r="O3564" t="n">
        <v>672</v>
      </c>
      <c r="Q3564" t="inlineStr">
        <is>
          <t>OutOfStock</t>
        </is>
      </c>
      <c r="R3564" t="inlineStr">
        <is>
          <t>undefined</t>
        </is>
      </c>
      <c r="S3564" t="inlineStr">
        <is>
          <t>7039742407</t>
        </is>
      </c>
    </row>
    <row r="3565" ht="75" customHeight="1">
      <c r="A3565" s="2">
        <f>HYPERLINK("https://camerareadycosmetics.com/products/stila-stay-all-day-waterproof-brow-color", "https://camerareadycosmetics.com/products/stila-stay-all-day-waterproof-brow-color")</f>
        <v/>
      </c>
      <c r="B3565" s="2">
        <f>HYPERLINK("https://camerareadycosmetics.com/products/stila-stay-all-day-waterproof-brow-color", "https://camerareadycosmetics.com/products/stila-stay-all-day-waterproof-brow-color")</f>
        <v/>
      </c>
      <c r="C3565" t="inlineStr">
        <is>
          <t>Stay All Day Waterproof Brow Color</t>
        </is>
      </c>
      <c r="D3565" t="inlineStr">
        <is>
          <t>Ainviata 2PCS Liquid Eyebrow Pencil with 4 Micro-Fork Tips, Microblading Eyebrow Tint Tattoo Pen Stays on All Day, Waterproof &amp; Smudge-proof Brow Pencil Creates Natural Looking Eyebrow Makeup</t>
        </is>
      </c>
      <c r="E3565" s="2">
        <f>HYPERLINK("https://www.amazon.com/Ainviata-Micro-Fork-Microblading-Waterproof-Smudge-proof/dp/B0BN1Y2LYB/ref=sr_1_3?keywords=Stay+All+Day+Waterproof+Brow+Color&amp;qid=1695565549&amp;sr=8-3", "https://www.amazon.com/Ainviata-Micro-Fork-Microblading-Waterproof-Smudge-proof/dp/B0BN1Y2LYB/ref=sr_1_3?keywords=Stay+All+Day+Waterproof+Brow+Color&amp;qid=1695565549&amp;sr=8-3")</f>
        <v/>
      </c>
      <c r="F3565" t="inlineStr">
        <is>
          <t>B0BN1Y2LYB</t>
        </is>
      </c>
      <c r="G3565">
        <f>_xlfn.IMAGE("https://camerareadycosmetics.com/cdn/shop/products/152010000__40903.1429673286.600.600_50x.jpeg?v=1689639975")</f>
        <v/>
      </c>
      <c r="H3565">
        <f>_xlfn.IMAGE("https://m.media-amazon.com/images/I/71tK+pUs1oL._AC_UL320_.jpg")</f>
        <v/>
      </c>
      <c r="K3565" t="inlineStr">
        <is>
          <t>22.0</t>
        </is>
      </c>
      <c r="L3565" t="n">
        <v>9.99</v>
      </c>
      <c r="M3565" s="1" t="inlineStr">
        <is>
          <t>-54.59%</t>
        </is>
      </c>
      <c r="N3565" t="n">
        <v>3.7</v>
      </c>
      <c r="O3565" t="n">
        <v>594</v>
      </c>
      <c r="Q3565" t="inlineStr">
        <is>
          <t>OutOfStock</t>
        </is>
      </c>
      <c r="R3565" t="inlineStr">
        <is>
          <t>undefined</t>
        </is>
      </c>
      <c r="S3565" t="inlineStr">
        <is>
          <t>7039742407</t>
        </is>
      </c>
    </row>
    <row r="3566" ht="75" customHeight="1">
      <c r="A3566" s="2">
        <f>HYPERLINK("https://camerareadycosmetics.com/products/stila-stay-all-day-waterproof-brow-color", "https://camerareadycosmetics.com/products/stila-stay-all-day-waterproof-brow-color")</f>
        <v/>
      </c>
      <c r="B3566" s="2">
        <f>HYPERLINK("https://camerareadycosmetics.com/products/stila-stay-all-day-waterproof-brow-color", "https://camerareadycosmetics.com/products/stila-stay-all-day-waterproof-brow-color")</f>
        <v/>
      </c>
      <c r="C3566" t="inlineStr">
        <is>
          <t>Stay All Day Waterproof Brow Color</t>
        </is>
      </c>
      <c r="D3566" t="inlineStr">
        <is>
          <t>Eyenjoy Eyebrow Pen,Eyebrow Tattoo Microblade Pen-Waterproof Microblade Eyebrow Pencil with a Micro-Fork Tip Applicator,Creates Natural Looking Eyebrows Effortlessly and Stays on All Day,2 count</t>
        </is>
      </c>
      <c r="E3566" s="2">
        <f>HYPERLINK("https://www.amazon.com/Eyenjoy-Microblade-Pen-Waterproof-Micro-Fork-Effortlessly/dp/B08DD9Y84B/ref=sr_1_2?keywords=Stay+All+Day+Waterproof+Brow+Color&amp;qid=1695565549&amp;sr=8-2", "https://www.amazon.com/Eyenjoy-Microblade-Pen-Waterproof-Micro-Fork-Effortlessly/dp/B08DD9Y84B/ref=sr_1_2?keywords=Stay+All+Day+Waterproof+Brow+Color&amp;qid=1695565549&amp;sr=8-2")</f>
        <v/>
      </c>
      <c r="F3566" t="inlineStr">
        <is>
          <t>B08DD9Y84B</t>
        </is>
      </c>
      <c r="G3566">
        <f>_xlfn.IMAGE("https://camerareadycosmetics.com/cdn/shop/products/152010000__40903.1429673286.600.600_50x.jpeg?v=1689639975")</f>
        <v/>
      </c>
      <c r="H3566">
        <f>_xlfn.IMAGE("https://m.media-amazon.com/images/I/613ZFuH7xTL._AC_UL320_.jpg")</f>
        <v/>
      </c>
      <c r="K3566" t="inlineStr">
        <is>
          <t>22.0</t>
        </is>
      </c>
      <c r="L3566" t="n">
        <v>7.99</v>
      </c>
      <c r="M3566" s="1" t="inlineStr">
        <is>
          <t>-63.68%</t>
        </is>
      </c>
      <c r="N3566" t="n">
        <v>3.6</v>
      </c>
      <c r="O3566" t="n">
        <v>672</v>
      </c>
      <c r="Q3566" t="inlineStr">
        <is>
          <t>OutOfStock</t>
        </is>
      </c>
      <c r="R3566" t="inlineStr">
        <is>
          <t>undefined</t>
        </is>
      </c>
      <c r="S3566" t="inlineStr">
        <is>
          <t>7039742407</t>
        </is>
      </c>
    </row>
    <row r="3567" ht="75" customHeight="1">
      <c r="A3567" s="2">
        <f>HYPERLINK("https://camerareadycosmetics.com/products/stila-stay-all-day-waterproof-liquid-eye-liner", "https://camerareadycosmetics.com/products/stila-stay-all-day-waterproof-liquid-eye-liner")</f>
        <v/>
      </c>
      <c r="B3567" s="2">
        <f>HYPERLINK("https://camerareadycosmetics.com/products/stila-stay-all-day-waterproof-liquid-eye-liner", "https://camerareadycosmetics.com/products/stila-stay-all-day-waterproof-liquid-eye-liner")</f>
        <v/>
      </c>
      <c r="C3567" t="inlineStr">
        <is>
          <t>Stay All Day Waterproof Liquid Eye Liner</t>
        </is>
      </c>
      <c r="D3567" t="inlineStr">
        <is>
          <t>Stay All Day® Dual-Ended Liquid Eye Liner</t>
        </is>
      </c>
      <c r="E3567" s="2">
        <f>HYPERLINK("https://www.amazon.com/stila-Dual-Ended-Waterproof-Liquid-Liner/dp/B08SJWR93W/ref=sr_1_2?keywords=Stay+All+Day+Waterproof+Liquid+Eye+Liner&amp;qid=1695565461&amp;sr=8-2", "https://www.amazon.com/stila-Dual-Ended-Waterproof-Liquid-Liner/dp/B08SJWR93W/ref=sr_1_2?keywords=Stay+All+Day+Waterproof+Liquid+Eye+Liner&amp;qid=1695565461&amp;sr=8-2")</f>
        <v/>
      </c>
      <c r="F3567" t="inlineStr">
        <is>
          <t>B08SJWR93W</t>
        </is>
      </c>
      <c r="G3567">
        <f>_xlfn.IMAGE("https://camerareadycosmetics.com/cdn/shop/products/6578_zoom_1396973458_50x.jpg?v=1689639971")</f>
        <v/>
      </c>
      <c r="H3567">
        <f>_xlfn.IMAGE("https://m.media-amazon.com/images/I/613zCzFYQBL._AC_UL320_.jpg")</f>
        <v/>
      </c>
      <c r="K3567" t="inlineStr">
        <is>
          <t>24.0</t>
        </is>
      </c>
      <c r="L3567" t="n">
        <v>32</v>
      </c>
      <c r="M3567" s="1" t="inlineStr">
        <is>
          <t>33.33%</t>
        </is>
      </c>
      <c r="N3567" t="n">
        <v>4.4</v>
      </c>
      <c r="O3567" t="n">
        <v>510</v>
      </c>
      <c r="Q3567" t="inlineStr">
        <is>
          <t>InStock</t>
        </is>
      </c>
      <c r="R3567" t="inlineStr">
        <is>
          <t>undefined</t>
        </is>
      </c>
      <c r="S3567" t="inlineStr">
        <is>
          <t>7039737799</t>
        </is>
      </c>
    </row>
    <row r="3568" ht="75" customHeight="1">
      <c r="A3568" s="2">
        <f>HYPERLINK("https://camerareadycosmetics.com/products/stila-stay-all-day-waterproof-liquid-eye-liner", "https://camerareadycosmetics.com/products/stila-stay-all-day-waterproof-liquid-eye-liner")</f>
        <v/>
      </c>
      <c r="B3568" s="2">
        <f>HYPERLINK("https://camerareadycosmetics.com/products/stila-stay-all-day-waterproof-liquid-eye-liner", "https://camerareadycosmetics.com/products/stila-stay-all-day-waterproof-liquid-eye-liner")</f>
        <v/>
      </c>
      <c r="C3568" t="inlineStr">
        <is>
          <t>Stay All Day Waterproof Liquid Eye Liner</t>
        </is>
      </c>
      <c r="D3568" t="inlineStr">
        <is>
          <t>stila Stay All Day Waterproof Liquid Eye Liner - Micro Tip, Intense Black</t>
        </is>
      </c>
      <c r="E3568" s="2">
        <f>HYPERLINK("https://www.amazon.com/stila-Stay-Waterproof-Liquid-Liner/dp/B0781VL1G4/ref=sr_1_3?keywords=Stay+All+Day+Waterproof+Liquid+Eye+Liner&amp;qid=1695565461&amp;sr=8-3", "https://www.amazon.com/stila-Stay-Waterproof-Liquid-Liner/dp/B0781VL1G4/ref=sr_1_3?keywords=Stay+All+Day+Waterproof+Liquid+Eye+Liner&amp;qid=1695565461&amp;sr=8-3")</f>
        <v/>
      </c>
      <c r="F3568" t="inlineStr">
        <is>
          <t>B0781VL1G4</t>
        </is>
      </c>
      <c r="G3568">
        <f>_xlfn.IMAGE("https://camerareadycosmetics.com/cdn/shop/products/6578_zoom_1396973458_50x.jpg?v=1689639971")</f>
        <v/>
      </c>
      <c r="H3568">
        <f>_xlfn.IMAGE("https://m.media-amazon.com/images/I/517ikzjzRBL._AC_UL320_.jpg")</f>
        <v/>
      </c>
      <c r="K3568" t="inlineStr">
        <is>
          <t>24.0</t>
        </is>
      </c>
      <c r="L3568" t="n">
        <v>20.4</v>
      </c>
      <c r="M3568" s="1" t="inlineStr">
        <is>
          <t>-15.00%</t>
        </is>
      </c>
      <c r="N3568" t="n">
        <v>4.6</v>
      </c>
      <c r="O3568" t="n">
        <v>2233</v>
      </c>
      <c r="Q3568" t="inlineStr">
        <is>
          <t>InStock</t>
        </is>
      </c>
      <c r="R3568" t="inlineStr">
        <is>
          <t>undefined</t>
        </is>
      </c>
      <c r="S3568" t="inlineStr">
        <is>
          <t>7039737799</t>
        </is>
      </c>
    </row>
    <row r="3569" ht="75" customHeight="1">
      <c r="A3569" s="2">
        <f>HYPERLINK("https://camerareadycosmetics.com/products/stila-stay-all-day-waterproof-liquid-eye-liner", "https://camerareadycosmetics.com/products/stila-stay-all-day-waterproof-liquid-eye-liner")</f>
        <v/>
      </c>
      <c r="B3569" s="2">
        <f>HYPERLINK("https://camerareadycosmetics.com/products/stila-stay-all-day-waterproof-liquid-eye-liner", "https://camerareadycosmetics.com/products/stila-stay-all-day-waterproof-liquid-eye-liner")</f>
        <v/>
      </c>
      <c r="C3569" t="inlineStr">
        <is>
          <t>Stay All Day Waterproof Liquid Eye Liner</t>
        </is>
      </c>
      <c r="D3569" t="inlineStr">
        <is>
          <t>Stila Stay All Day Waterproof Liquid Eyeliner, Intense Black, 0.02 Oz</t>
        </is>
      </c>
      <c r="E3569" s="2">
        <f>HYPERLINK("https://www.amazon.com/BSUS-Waterproof-Liquid-Eyeliner-Intense/dp/B0BDDSG97H/ref=sr_1_5?keywords=Stay+All+Day+Waterproof+Liquid+Eye+Liner&amp;qid=1695565461&amp;sr=8-5", "https://www.amazon.com/BSUS-Waterproof-Liquid-Eyeliner-Intense/dp/B0BDDSG97H/ref=sr_1_5?keywords=Stay+All+Day+Waterproof+Liquid+Eye+Liner&amp;qid=1695565461&amp;sr=8-5")</f>
        <v/>
      </c>
      <c r="F3569" t="inlineStr">
        <is>
          <t>B0BDDSG97H</t>
        </is>
      </c>
      <c r="G3569">
        <f>_xlfn.IMAGE("https://camerareadycosmetics.com/cdn/shop/products/6578_zoom_1396973458_50x.jpg?v=1689639971")</f>
        <v/>
      </c>
      <c r="H3569">
        <f>_xlfn.IMAGE("https://m.media-amazon.com/images/I/21Caan91ipL._AC_UL320_.jpg")</f>
        <v/>
      </c>
      <c r="K3569" t="inlineStr">
        <is>
          <t>24.0</t>
        </is>
      </c>
      <c r="L3569" t="n">
        <v>18.99</v>
      </c>
      <c r="M3569" s="1" t="inlineStr">
        <is>
          <t>-20.88%</t>
        </is>
      </c>
      <c r="N3569" t="n">
        <v>3.4</v>
      </c>
      <c r="O3569" t="n">
        <v>7</v>
      </c>
      <c r="Q3569" t="inlineStr">
        <is>
          <t>InStock</t>
        </is>
      </c>
      <c r="R3569" t="inlineStr">
        <is>
          <t>undefined</t>
        </is>
      </c>
      <c r="S3569" t="inlineStr">
        <is>
          <t>7039737799</t>
        </is>
      </c>
    </row>
    <row r="3570" ht="75" customHeight="1">
      <c r="A3570" s="2">
        <f>HYPERLINK("https://camerareadycosmetics.com/products/stila-stay-all-day-waterproof-liquid-eye-liner", "https://camerareadycosmetics.com/products/stila-stay-all-day-waterproof-liquid-eye-liner")</f>
        <v/>
      </c>
      <c r="B3570" s="2">
        <f>HYPERLINK("https://camerareadycosmetics.com/products/stila-stay-all-day-waterproof-liquid-eye-liner", "https://camerareadycosmetics.com/products/stila-stay-all-day-waterproof-liquid-eye-liner")</f>
        <v/>
      </c>
      <c r="C3570" t="inlineStr">
        <is>
          <t>Stay All Day Waterproof Liquid Eye Liner</t>
        </is>
      </c>
      <c r="D3570" t="inlineStr">
        <is>
          <t>Stay All Day Waterproof Liquid Eye Liner</t>
        </is>
      </c>
      <c r="E3570" s="2">
        <f>HYPERLINK("https://www.amazon.com/Stila-Waterproof-Liquid-Liner-Intense/dp/B0031NNE56/ref=sr_1_1?keywords=Stay+All+Day+Waterproof+Liquid+Eye+Liner&amp;qid=1695565461&amp;sr=8-1", "https://www.amazon.com/Stila-Waterproof-Liquid-Liner-Intense/dp/B0031NNE56/ref=sr_1_1?keywords=Stay+All+Day+Waterproof+Liquid+Eye+Liner&amp;qid=1695565461&amp;sr=8-1")</f>
        <v/>
      </c>
      <c r="F3570" t="inlineStr">
        <is>
          <t>B0031NNE56</t>
        </is>
      </c>
      <c r="G3570">
        <f>_xlfn.IMAGE("https://camerareadycosmetics.com/cdn/shop/products/6578_zoom_1396973458_50x.jpg?v=1689639971")</f>
        <v/>
      </c>
      <c r="H3570">
        <f>_xlfn.IMAGE("https://m.media-amazon.com/images/I/61CsYNjeDkL._AC_UL320_.jpg")</f>
        <v/>
      </c>
      <c r="K3570" t="inlineStr">
        <is>
          <t>24.0</t>
        </is>
      </c>
      <c r="L3570" t="n">
        <v>12</v>
      </c>
      <c r="M3570" s="1" t="inlineStr">
        <is>
          <t>-50.00%</t>
        </is>
      </c>
      <c r="N3570" t="n">
        <v>4.5</v>
      </c>
      <c r="O3570" t="n">
        <v>27487</v>
      </c>
      <c r="Q3570" t="inlineStr">
        <is>
          <t>InStock</t>
        </is>
      </c>
      <c r="R3570" t="inlineStr">
        <is>
          <t>undefined</t>
        </is>
      </c>
      <c r="S3570" t="inlineStr">
        <is>
          <t>7039737799</t>
        </is>
      </c>
    </row>
    <row r="3571" ht="75" customHeight="1">
      <c r="A3571" s="2">
        <f>HYPERLINK("https://camerareadycosmetics.com/products/stila-stay-all-day-waterproof-liquid-eye-liner", "https://camerareadycosmetics.com/products/stila-stay-all-day-waterproof-liquid-eye-liner")</f>
        <v/>
      </c>
      <c r="B3571" s="2">
        <f>HYPERLINK("https://camerareadycosmetics.com/products/stila-stay-all-day-waterproof-liquid-eye-liner", "https://camerareadycosmetics.com/products/stila-stay-all-day-waterproof-liquid-eye-liner")</f>
        <v/>
      </c>
      <c r="C3571" t="inlineStr">
        <is>
          <t>Stay All Day Waterproof Liquid Eye Liner</t>
        </is>
      </c>
      <c r="D3571" t="inlineStr">
        <is>
          <t>Maybelline New York Eyestudio Master Precise All Day Waterproof Liquid Eyeliner Makeup, Matte Black, 1 Count</t>
        </is>
      </c>
      <c r="E3571" s="2">
        <f>HYPERLINK("https://www.amazon.com/Maybelline-Eyestudio-Master-Precise-Eyeliner/dp/B085S8T2L3/ref=sr_1_8?keywords=Stay+All+Day+Waterproof+Liquid+Eye+Liner&amp;qid=1695565461&amp;sr=8-8", "https://www.amazon.com/Maybelline-Eyestudio-Master-Precise-Eyeliner/dp/B085S8T2L3/ref=sr_1_8?keywords=Stay+All+Day+Waterproof+Liquid+Eye+Liner&amp;qid=1695565461&amp;sr=8-8")</f>
        <v/>
      </c>
      <c r="F3571" t="inlineStr">
        <is>
          <t>B085S8T2L3</t>
        </is>
      </c>
      <c r="G3571">
        <f>_xlfn.IMAGE("https://camerareadycosmetics.com/cdn/shop/products/6578_zoom_1396973458_50x.jpg?v=1689639971")</f>
        <v/>
      </c>
      <c r="H3571">
        <f>_xlfn.IMAGE("https://m.media-amazon.com/images/I/61uo1l-GFCL._AC_UL320_.jpg")</f>
        <v/>
      </c>
      <c r="K3571" t="inlineStr">
        <is>
          <t>24.0</t>
        </is>
      </c>
      <c r="L3571" t="n">
        <v>7.66</v>
      </c>
      <c r="M3571" s="1" t="inlineStr">
        <is>
          <t>-68.08%</t>
        </is>
      </c>
      <c r="N3571" t="n">
        <v>4.4</v>
      </c>
      <c r="O3571" t="n">
        <v>31992</v>
      </c>
      <c r="Q3571" t="inlineStr">
        <is>
          <t>InStock</t>
        </is>
      </c>
      <c r="R3571" t="inlineStr">
        <is>
          <t>undefined</t>
        </is>
      </c>
      <c r="S3571" t="inlineStr">
        <is>
          <t>7039737799</t>
        </is>
      </c>
    </row>
    <row r="3572" ht="75" customHeight="1">
      <c r="A3572" s="2">
        <f>HYPERLINK("https://camerareadycosmetics.com/products/stila-stay-all-day-waterproof-liquid-eye-liner", "https://camerareadycosmetics.com/products/stila-stay-all-day-waterproof-liquid-eye-liner")</f>
        <v/>
      </c>
      <c r="B3572" s="2">
        <f>HYPERLINK("https://camerareadycosmetics.com/products/stila-stay-all-day-waterproof-liquid-eye-liner", "https://camerareadycosmetics.com/products/stila-stay-all-day-waterproof-liquid-eye-liner")</f>
        <v/>
      </c>
      <c r="C3572" t="inlineStr">
        <is>
          <t>Stay All Day Waterproof Liquid Eye Liner</t>
        </is>
      </c>
      <c r="D3572" t="inlineStr">
        <is>
          <t>Waterproof Liquid Eyeliner,Long Lasting Liquid Eye liner Makeup Pen,Stay All Day Waterproof Liquid Eye Liner For Intense Eye Definition, Make perfect eye makeup,Pitch Black (02brush head)</t>
        </is>
      </c>
      <c r="E3572" s="2">
        <f>HYPERLINK("https://www.amazon.com/dooreemee-Waterproof-Eyeliner-Lasting-Definition/dp/B0B5R8L2X5/ref=sr_1_7?keywords=Stay+All+Day+Waterproof+Liquid+Eye+Liner&amp;qid=1695565461&amp;sr=8-7", "https://www.amazon.com/dooreemee-Waterproof-Eyeliner-Lasting-Definition/dp/B0B5R8L2X5/ref=sr_1_7?keywords=Stay+All+Day+Waterproof+Liquid+Eye+Liner&amp;qid=1695565461&amp;sr=8-7")</f>
        <v/>
      </c>
      <c r="F3572" t="inlineStr">
        <is>
          <t>B0B5R8L2X5</t>
        </is>
      </c>
      <c r="G3572">
        <f>_xlfn.IMAGE("https://camerareadycosmetics.com/cdn/shop/products/6578_zoom_1396973458_50x.jpg?v=1689639971")</f>
        <v/>
      </c>
      <c r="H3572">
        <f>_xlfn.IMAGE("https://m.media-amazon.com/images/I/618bx+sX3hL._AC_UL320_.jpg")</f>
        <v/>
      </c>
      <c r="K3572" t="inlineStr">
        <is>
          <t>24.0</t>
        </is>
      </c>
      <c r="L3572" t="n">
        <v>5.99</v>
      </c>
      <c r="M3572" s="1" t="inlineStr">
        <is>
          <t>-75.04%</t>
        </is>
      </c>
      <c r="N3572" t="n">
        <v>4.1</v>
      </c>
      <c r="O3572" t="n">
        <v>94</v>
      </c>
      <c r="Q3572" t="inlineStr">
        <is>
          <t>InStock</t>
        </is>
      </c>
      <c r="R3572" t="inlineStr">
        <is>
          <t>undefined</t>
        </is>
      </c>
      <c r="S3572" t="inlineStr">
        <is>
          <t>7039737799</t>
        </is>
      </c>
    </row>
    <row r="3573" ht="75" customHeight="1">
      <c r="A3573" s="2">
        <f>HYPERLINK("https://camerareadycosmetics.com/products/stila-stay-all-day-waterproof-liquid-eye-liner", "https://camerareadycosmetics.com/products/stila-stay-all-day-waterproof-liquid-eye-liner")</f>
        <v/>
      </c>
      <c r="B3573" s="2">
        <f>HYPERLINK("https://camerareadycosmetics.com/products/stila-stay-all-day-waterproof-liquid-eye-liner", "https://camerareadycosmetics.com/products/stila-stay-all-day-waterproof-liquid-eye-liner")</f>
        <v/>
      </c>
      <c r="C3573" t="inlineStr">
        <is>
          <t>Stay All Day Waterproof Liquid Eye Liner</t>
        </is>
      </c>
      <c r="D3573" t="inlineStr">
        <is>
          <t>Liquid Eyeliner Waterproof, Long Lasting, Stay All Day Make Up, Oil Free / 1 Count- 0.6g / (Brown)</t>
        </is>
      </c>
      <c r="E3573" s="2">
        <f>HYPERLINK("https://www.amazon.com/Liquid-Eyeliner-Waterproof-Lasting-Count/dp/B0BPQ4HZ7Y/ref=sr_1_6?keywords=Stay+All+Day+Waterproof+Liquid+Eye+Liner&amp;qid=1695565461&amp;sr=8-6", "https://www.amazon.com/Liquid-Eyeliner-Waterproof-Lasting-Count/dp/B0BPQ4HZ7Y/ref=sr_1_6?keywords=Stay+All+Day+Waterproof+Liquid+Eye+Liner&amp;qid=1695565461&amp;sr=8-6")</f>
        <v/>
      </c>
      <c r="F3573" t="inlineStr">
        <is>
          <t>B0BPQ4HZ7Y</t>
        </is>
      </c>
      <c r="G3573">
        <f>_xlfn.IMAGE("https://camerareadycosmetics.com/cdn/shop/products/6578_zoom_1396973458_50x.jpg?v=1689639971")</f>
        <v/>
      </c>
      <c r="H3573">
        <f>_xlfn.IMAGE("https://m.media-amazon.com/images/I/41KuMUhO2-L._AC_UL320_.jpg")</f>
        <v/>
      </c>
      <c r="K3573" t="inlineStr">
        <is>
          <t>24.0</t>
        </is>
      </c>
      <c r="L3573" t="n">
        <v>4.19</v>
      </c>
      <c r="M3573" s="1" t="inlineStr">
        <is>
          <t>-82.54%</t>
        </is>
      </c>
      <c r="N3573" t="n">
        <v>5</v>
      </c>
      <c r="O3573" t="n">
        <v>3</v>
      </c>
      <c r="Q3573" t="inlineStr">
        <is>
          <t>InStock</t>
        </is>
      </c>
      <c r="R3573" t="inlineStr">
        <is>
          <t>undefined</t>
        </is>
      </c>
      <c r="S3573" t="inlineStr">
        <is>
          <t>7039737799</t>
        </is>
      </c>
    </row>
    <row r="3574" ht="75" customHeight="1">
      <c r="A3574" s="2">
        <f>HYPERLINK("https://camerareadycosmetics.com/products/stila-stay-all-day-waterproof-liquid-eye-liner", "https://camerareadycosmetics.com/products/stila-stay-all-day-waterproof-liquid-eye-liner")</f>
        <v/>
      </c>
      <c r="B3574" s="2">
        <f>HYPERLINK("https://camerareadycosmetics.com/products/stila-stay-all-day-waterproof-liquid-eye-liner", "https://camerareadycosmetics.com/products/stila-stay-all-day-waterproof-liquid-eye-liner")</f>
        <v/>
      </c>
      <c r="C3574" t="inlineStr">
        <is>
          <t>Stay All Day Waterproof Liquid Eye Liner</t>
        </is>
      </c>
      <c r="D3574" t="inlineStr">
        <is>
          <t>Stay All Day Waterproof Liquid Eye Liner</t>
        </is>
      </c>
      <c r="E3574" s="2">
        <f>HYPERLINK("https://www.amazon.com/Stila-Waterproof-Liquid-Liner-Intense/dp/B0031NNE56/ref=sr_1_1?keywords=Stay+All+Day+Waterproof+Liquid+Eye+Liner&amp;qid=1695565461&amp;sr=8-1", "https://www.amazon.com/Stila-Waterproof-Liquid-Liner-Intense/dp/B0031NNE56/ref=sr_1_1?keywords=Stay+All+Day+Waterproof+Liquid+Eye+Liner&amp;qid=1695565461&amp;sr=8-1")</f>
        <v/>
      </c>
      <c r="F3574" t="inlineStr">
        <is>
          <t>B0031NNE56</t>
        </is>
      </c>
      <c r="G3574">
        <f>_xlfn.IMAGE("https://camerareadycosmetics.com/cdn/shop/products/6578_zoom_1396973458_50x.jpg?v=1689639971")</f>
        <v/>
      </c>
      <c r="H3574">
        <f>_xlfn.IMAGE("https://m.media-amazon.com/images/I/61CsYNjeDkL._AC_UL320_.jpg")</f>
        <v/>
      </c>
      <c r="K3574" t="inlineStr">
        <is>
          <t>24.0</t>
        </is>
      </c>
      <c r="L3574" t="n">
        <v>12</v>
      </c>
      <c r="M3574" s="1" t="inlineStr">
        <is>
          <t>-50.00%</t>
        </is>
      </c>
      <c r="N3574" t="n">
        <v>4.5</v>
      </c>
      <c r="O3574" t="n">
        <v>27487</v>
      </c>
      <c r="Q3574" t="inlineStr">
        <is>
          <t>InStock</t>
        </is>
      </c>
      <c r="R3574" t="inlineStr">
        <is>
          <t>undefined</t>
        </is>
      </c>
      <c r="S3574" t="inlineStr">
        <is>
          <t>7039737799</t>
        </is>
      </c>
    </row>
    <row r="3575" ht="75" customHeight="1">
      <c r="A3575" s="2">
        <f>HYPERLINK("https://camerareadycosmetics.com/products/stila-stay-all-day-waterproof-liquid-eye-liner", "https://camerareadycosmetics.com/products/stila-stay-all-day-waterproof-liquid-eye-liner")</f>
        <v/>
      </c>
      <c r="B3575" s="2">
        <f>HYPERLINK("https://camerareadycosmetics.com/products/stila-stay-all-day-waterproof-liquid-eye-liner", "https://camerareadycosmetics.com/products/stila-stay-all-day-waterproof-liquid-eye-liner")</f>
        <v/>
      </c>
      <c r="C3575" t="inlineStr">
        <is>
          <t>Stay All Day Waterproof Liquid Eye Liner</t>
        </is>
      </c>
      <c r="D3575" t="inlineStr">
        <is>
          <t>Maybelline New York Eyestudio Master Precise All Day Waterproof Liquid Eyeliner Makeup, Matte Black, 1 Count</t>
        </is>
      </c>
      <c r="E3575" s="2">
        <f>HYPERLINK("https://www.amazon.com/Maybelline-Eyestudio-Master-Precise-Eyeliner/dp/B085S8T2L3/ref=sr_1_8?keywords=Stay+All+Day+Waterproof+Liquid+Eye+Liner&amp;qid=1695565461&amp;sr=8-8", "https://www.amazon.com/Maybelline-Eyestudio-Master-Precise-Eyeliner/dp/B085S8T2L3/ref=sr_1_8?keywords=Stay+All+Day+Waterproof+Liquid+Eye+Liner&amp;qid=1695565461&amp;sr=8-8")</f>
        <v/>
      </c>
      <c r="F3575" t="inlineStr">
        <is>
          <t>B085S8T2L3</t>
        </is>
      </c>
      <c r="G3575">
        <f>_xlfn.IMAGE("https://camerareadycosmetics.com/cdn/shop/products/6578_zoom_1396973458_50x.jpg?v=1689639971")</f>
        <v/>
      </c>
      <c r="H3575">
        <f>_xlfn.IMAGE("https://m.media-amazon.com/images/I/61uo1l-GFCL._AC_UL320_.jpg")</f>
        <v/>
      </c>
      <c r="K3575" t="inlineStr">
        <is>
          <t>24.0</t>
        </is>
      </c>
      <c r="L3575" t="n">
        <v>7.66</v>
      </c>
      <c r="M3575" s="1" t="inlineStr">
        <is>
          <t>-68.08%</t>
        </is>
      </c>
      <c r="N3575" t="n">
        <v>4.4</v>
      </c>
      <c r="O3575" t="n">
        <v>31992</v>
      </c>
      <c r="Q3575" t="inlineStr">
        <is>
          <t>InStock</t>
        </is>
      </c>
      <c r="R3575" t="inlineStr">
        <is>
          <t>undefined</t>
        </is>
      </c>
      <c r="S3575" t="inlineStr">
        <is>
          <t>7039737799</t>
        </is>
      </c>
    </row>
    <row r="3576" ht="75" customHeight="1">
      <c r="A3576" s="2">
        <f>HYPERLINK("https://camerareadycosmetics.com/products/stila-stay-all-day-waterproof-liquid-eye-liner", "https://camerareadycosmetics.com/products/stila-stay-all-day-waterproof-liquid-eye-liner")</f>
        <v/>
      </c>
      <c r="B3576" s="2">
        <f>HYPERLINK("https://camerareadycosmetics.com/products/stila-stay-all-day-waterproof-liquid-eye-liner", "https://camerareadycosmetics.com/products/stila-stay-all-day-waterproof-liquid-eye-liner")</f>
        <v/>
      </c>
      <c r="C3576" t="inlineStr">
        <is>
          <t>Stay All Day Waterproof Liquid Eye Liner</t>
        </is>
      </c>
      <c r="D3576" t="inlineStr">
        <is>
          <t>Waterproof Liquid Eyeliner,Long Lasting Liquid Eye liner Makeup Pen,Stay All Day Waterproof Liquid Eye Liner For Intense Eye Definition, Make perfect eye makeup,Pitch Black (02brush head)</t>
        </is>
      </c>
      <c r="E3576" s="2">
        <f>HYPERLINK("https://www.amazon.com/dooreemee-Waterproof-Eyeliner-Lasting-Definition/dp/B0B5R8L2X5/ref=sr_1_7?keywords=Stay+All+Day+Waterproof+Liquid+Eye+Liner&amp;qid=1695565461&amp;sr=8-7", "https://www.amazon.com/dooreemee-Waterproof-Eyeliner-Lasting-Definition/dp/B0B5R8L2X5/ref=sr_1_7?keywords=Stay+All+Day+Waterproof+Liquid+Eye+Liner&amp;qid=1695565461&amp;sr=8-7")</f>
        <v/>
      </c>
      <c r="F3576" t="inlineStr">
        <is>
          <t>B0B5R8L2X5</t>
        </is>
      </c>
      <c r="G3576">
        <f>_xlfn.IMAGE("https://camerareadycosmetics.com/cdn/shop/products/6578_zoom_1396973458_50x.jpg?v=1689639971")</f>
        <v/>
      </c>
      <c r="H3576">
        <f>_xlfn.IMAGE("https://m.media-amazon.com/images/I/618bx+sX3hL._AC_UL320_.jpg")</f>
        <v/>
      </c>
      <c r="K3576" t="inlineStr">
        <is>
          <t>24.0</t>
        </is>
      </c>
      <c r="L3576" t="n">
        <v>5.99</v>
      </c>
      <c r="M3576" s="1" t="inlineStr">
        <is>
          <t>-75.04%</t>
        </is>
      </c>
      <c r="N3576" t="n">
        <v>4.1</v>
      </c>
      <c r="O3576" t="n">
        <v>94</v>
      </c>
      <c r="Q3576" t="inlineStr">
        <is>
          <t>InStock</t>
        </is>
      </c>
      <c r="R3576" t="inlineStr">
        <is>
          <t>undefined</t>
        </is>
      </c>
      <c r="S3576" t="inlineStr">
        <is>
          <t>7039737799</t>
        </is>
      </c>
    </row>
    <row r="3577" ht="75" customHeight="1">
      <c r="A3577" s="2">
        <f>HYPERLINK("https://camerareadycosmetics.com/products/stila-stay-all-day-waterproof-liquid-eye-liner", "https://camerareadycosmetics.com/products/stila-stay-all-day-waterproof-liquid-eye-liner")</f>
        <v/>
      </c>
      <c r="B3577" s="2">
        <f>HYPERLINK("https://camerareadycosmetics.com/products/stila-stay-all-day-waterproof-liquid-eye-liner", "https://camerareadycosmetics.com/products/stila-stay-all-day-waterproof-liquid-eye-liner")</f>
        <v/>
      </c>
      <c r="C3577" t="inlineStr">
        <is>
          <t>Stay All Day Waterproof Liquid Eye Liner</t>
        </is>
      </c>
      <c r="D3577" t="inlineStr">
        <is>
          <t>Liquid Eyeliner Waterproof, Long Lasting, Stay All Day Make Up, Oil Free / 1 Count- 0.6g / (Brown)</t>
        </is>
      </c>
      <c r="E3577" s="2">
        <f>HYPERLINK("https://www.amazon.com/Liquid-Eyeliner-Waterproof-Lasting-Count/dp/B0BPQ4HZ7Y/ref=sr_1_6?keywords=Stay+All+Day+Waterproof+Liquid+Eye+Liner&amp;qid=1695565461&amp;sr=8-6", "https://www.amazon.com/Liquid-Eyeliner-Waterproof-Lasting-Count/dp/B0BPQ4HZ7Y/ref=sr_1_6?keywords=Stay+All+Day+Waterproof+Liquid+Eye+Liner&amp;qid=1695565461&amp;sr=8-6")</f>
        <v/>
      </c>
      <c r="F3577" t="inlineStr">
        <is>
          <t>B0BPQ4HZ7Y</t>
        </is>
      </c>
      <c r="G3577">
        <f>_xlfn.IMAGE("https://camerareadycosmetics.com/cdn/shop/products/6578_zoom_1396973458_50x.jpg?v=1689639971")</f>
        <v/>
      </c>
      <c r="H3577">
        <f>_xlfn.IMAGE("https://m.media-amazon.com/images/I/41KuMUhO2-L._AC_UL320_.jpg")</f>
        <v/>
      </c>
      <c r="K3577" t="inlineStr">
        <is>
          <t>24.0</t>
        </is>
      </c>
      <c r="L3577" t="n">
        <v>4.19</v>
      </c>
      <c r="M3577" s="1" t="inlineStr">
        <is>
          <t>-82.54%</t>
        </is>
      </c>
      <c r="N3577" t="n">
        <v>5</v>
      </c>
      <c r="O3577" t="n">
        <v>3</v>
      </c>
      <c r="Q3577" t="inlineStr">
        <is>
          <t>InStock</t>
        </is>
      </c>
      <c r="R3577" t="inlineStr">
        <is>
          <t>undefined</t>
        </is>
      </c>
      <c r="S3577" t="inlineStr">
        <is>
          <t>7039737799</t>
        </is>
      </c>
    </row>
    <row r="3578" ht="75" customHeight="1">
      <c r="A3578" s="2">
        <f>HYPERLINK("https://camerareadycosmetics.com/products/stila-stay-all-day-waterproof-liquid-eyeliner-microtip", "https://camerareadycosmetics.com/products/stila-stay-all-day-waterproof-liquid-eyeliner-microtip")</f>
        <v/>
      </c>
      <c r="B3578" s="2">
        <f>HYPERLINK("https://camerareadycosmetics.com/products/stila-stay-all-day-waterproof-liquid-eyeliner-microtip", "https://camerareadycosmetics.com/products/stila-stay-all-day-waterproof-liquid-eyeliner-microtip")</f>
        <v/>
      </c>
      <c r="C3578" t="inlineStr">
        <is>
          <t>Stay All Day Waterproof Liquid Eyeliner Microtip</t>
        </is>
      </c>
      <c r="D3578" t="inlineStr">
        <is>
          <t>stila Stay All Day Waterproof Liquid Eye Liner - Micro Tip, Intense Black</t>
        </is>
      </c>
      <c r="E3578" s="2">
        <f>HYPERLINK("https://www.amazon.com/stila-Stay-Waterproof-Liquid-Liner/dp/B0781VL1G4/ref=sr_1_6?keywords=Stay+All+Day+Waterproof+Liquid+Eyeliner+Microtip&amp;qid=1695565527&amp;sr=8-6", "https://www.amazon.com/stila-Stay-Waterproof-Liquid-Liner/dp/B0781VL1G4/ref=sr_1_6?keywords=Stay+All+Day+Waterproof+Liquid+Eyeliner+Microtip&amp;qid=1695565527&amp;sr=8-6")</f>
        <v/>
      </c>
      <c r="F3578" t="inlineStr">
        <is>
          <t>B0781VL1G4</t>
        </is>
      </c>
      <c r="G3578">
        <f>_xlfn.IMAGE("https://camerareadycosmetics.com/cdn/shop/files/brown-STILA-MicrotipOpen_50x.jpg?v=1687203204")</f>
        <v/>
      </c>
      <c r="H3578">
        <f>_xlfn.IMAGE("https://m.media-amazon.com/images/I/517ikzjzRBL._AC_UL320_.jpg")</f>
        <v/>
      </c>
      <c r="K3578" t="inlineStr">
        <is>
          <t>24.0</t>
        </is>
      </c>
      <c r="L3578" t="n">
        <v>20.4</v>
      </c>
      <c r="M3578" s="1" t="inlineStr">
        <is>
          <t>-15.00%</t>
        </is>
      </c>
      <c r="N3578" t="n">
        <v>4.6</v>
      </c>
      <c r="O3578" t="n">
        <v>2233</v>
      </c>
      <c r="Q3578" t="inlineStr">
        <is>
          <t>InStock</t>
        </is>
      </c>
      <c r="R3578" t="inlineStr">
        <is>
          <t>undefined</t>
        </is>
      </c>
      <c r="S3578" t="inlineStr">
        <is>
          <t>550444007434</t>
        </is>
      </c>
    </row>
    <row r="3579" ht="75" customHeight="1">
      <c r="A3579" s="2">
        <f>HYPERLINK("https://camerareadycosmetics.com/products/stila-stay-all-day-waterproof-liquid-eyeliner-microtip", "https://camerareadycosmetics.com/products/stila-stay-all-day-waterproof-liquid-eyeliner-microtip")</f>
        <v/>
      </c>
      <c r="B3579" s="2">
        <f>HYPERLINK("https://camerareadycosmetics.com/products/stila-stay-all-day-waterproof-liquid-eyeliner-microtip", "https://camerareadycosmetics.com/products/stila-stay-all-day-waterproof-liquid-eyeliner-microtip")</f>
        <v/>
      </c>
      <c r="C3579" t="inlineStr">
        <is>
          <t>Stay All Day Waterproof Liquid Eyeliner Microtip</t>
        </is>
      </c>
      <c r="D3579" t="inlineStr">
        <is>
          <t>Maybelline Eyestudio Master Precise All Day Waterproof Liquid Eyeliner Makeup, Black, 2 Count</t>
        </is>
      </c>
      <c r="E3579" s="2" t="n"/>
      <c r="F3579" t="inlineStr">
        <is>
          <t>B07M9JWK73</t>
        </is>
      </c>
      <c r="G3579">
        <f>_xlfn.IMAGE("https://camerareadycosmetics.com/cdn/shop/files/brown-STILA-MicrotipOpen_50x.jpg?v=1687203204")</f>
        <v/>
      </c>
      <c r="H3579">
        <f>_xlfn.IMAGE("https://m.media-amazon.com/images/I/41GDyicMI0L._AC_UL320_.jpg")</f>
        <v/>
      </c>
      <c r="K3579" t="inlineStr">
        <is>
          <t>24.0</t>
        </is>
      </c>
      <c r="L3579" t="n">
        <v>13.98</v>
      </c>
      <c r="M3579" s="1" t="inlineStr">
        <is>
          <t>-41.75%</t>
        </is>
      </c>
      <c r="N3579" t="n">
        <v>4.4</v>
      </c>
      <c r="O3579" t="n">
        <v>31992</v>
      </c>
      <c r="Q3579" t="inlineStr">
        <is>
          <t>InStock</t>
        </is>
      </c>
      <c r="R3579" t="inlineStr">
        <is>
          <t>undefined</t>
        </is>
      </c>
      <c r="S3579" t="inlineStr">
        <is>
          <t>550444007434</t>
        </is>
      </c>
    </row>
    <row r="3580" ht="75" customHeight="1">
      <c r="A3580" s="2">
        <f>HYPERLINK("https://camerareadycosmetics.com/products/stila-stay-all-day-waterproof-liquid-eyeliner-microtip", "https://camerareadycosmetics.com/products/stila-stay-all-day-waterproof-liquid-eyeliner-microtip")</f>
        <v/>
      </c>
      <c r="B3580" s="2">
        <f>HYPERLINK("https://camerareadycosmetics.com/products/stila-stay-all-day-waterproof-liquid-eyeliner-microtip", "https://camerareadycosmetics.com/products/stila-stay-all-day-waterproof-liquid-eyeliner-microtip")</f>
        <v/>
      </c>
      <c r="C3580" t="inlineStr">
        <is>
          <t>Stay All Day Waterproof Liquid Eyeliner Microtip</t>
        </is>
      </c>
      <c r="D3580" t="inlineStr">
        <is>
          <t>stila Stay All Day Waterproof Liquid Eye Liner</t>
        </is>
      </c>
      <c r="E3580" s="2">
        <f>HYPERLINK("https://www.amazon.com/Stila-Waterproof-Liquid-Liner-Intense/dp/B0031NNE56/ref=sr_1_7?keywords=Stay+All+Day+Waterproof+Liquid+Eyeliner+Microtip&amp;qid=1695565527&amp;sr=8-7", "https://www.amazon.com/Stila-Waterproof-Liquid-Liner-Intense/dp/B0031NNE56/ref=sr_1_7?keywords=Stay+All+Day+Waterproof+Liquid+Eyeliner+Microtip&amp;qid=1695565527&amp;sr=8-7")</f>
        <v/>
      </c>
      <c r="F3580" t="inlineStr">
        <is>
          <t>B0031NNE56</t>
        </is>
      </c>
      <c r="G3580">
        <f>_xlfn.IMAGE("https://camerareadycosmetics.com/cdn/shop/files/brown-STILA-MicrotipOpen_50x.jpg?v=1687203204")</f>
        <v/>
      </c>
      <c r="H3580">
        <f>_xlfn.IMAGE("https://m.media-amazon.com/images/I/61CsYNjeDkL._AC_UL320_.jpg")</f>
        <v/>
      </c>
      <c r="K3580" t="inlineStr">
        <is>
          <t>24.0</t>
        </is>
      </c>
      <c r="L3580" t="n">
        <v>12</v>
      </c>
      <c r="M3580" s="1" t="inlineStr">
        <is>
          <t>-50.00%</t>
        </is>
      </c>
      <c r="N3580" t="n">
        <v>4.5</v>
      </c>
      <c r="O3580" t="n">
        <v>27487</v>
      </c>
      <c r="Q3580" t="inlineStr">
        <is>
          <t>InStock</t>
        </is>
      </c>
      <c r="R3580" t="inlineStr">
        <is>
          <t>undefined</t>
        </is>
      </c>
      <c r="S3580" t="inlineStr">
        <is>
          <t>550444007434</t>
        </is>
      </c>
    </row>
    <row r="3581" ht="75" customHeight="1">
      <c r="A3581" s="2">
        <f>HYPERLINK("https://camerareadycosmetics.com/products/stila-stay-all-day-waterproof-liquid-eyeliner-microtip", "https://camerareadycosmetics.com/products/stila-stay-all-day-waterproof-liquid-eyeliner-microtip")</f>
        <v/>
      </c>
      <c r="B3581" s="2">
        <f>HYPERLINK("https://camerareadycosmetics.com/products/stila-stay-all-day-waterproof-liquid-eyeliner-microtip", "https://camerareadycosmetics.com/products/stila-stay-all-day-waterproof-liquid-eyeliner-microtip")</f>
        <v/>
      </c>
      <c r="C3581" t="inlineStr">
        <is>
          <t>Stay All Day Waterproof Liquid Eyeliner Microtip</t>
        </is>
      </c>
      <c r="D3581" t="inlineStr">
        <is>
          <t>Maybelline New York Eyestudio Master Precise All Day Waterproof Liquid Eyeliner Makeup, Matte Black, 1 Count</t>
        </is>
      </c>
      <c r="E3581" s="2">
        <f>HYPERLINK("https://www.amazon.com/Maybelline-Eyestudio-Master-Precise-Eyeliner/dp/B085S8T2L3/ref=sr_1_9?keywords=Stay+All+Day+Waterproof+Liquid+Eyeliner+Microtip&amp;qid=1695565527&amp;sr=8-9", "https://www.amazon.com/Maybelline-Eyestudio-Master-Precise-Eyeliner/dp/B085S8T2L3/ref=sr_1_9?keywords=Stay+All+Day+Waterproof+Liquid+Eyeliner+Microtip&amp;qid=1695565527&amp;sr=8-9")</f>
        <v/>
      </c>
      <c r="F3581" t="inlineStr">
        <is>
          <t>B085S8T2L3</t>
        </is>
      </c>
      <c r="G3581">
        <f>_xlfn.IMAGE("https://camerareadycosmetics.com/cdn/shop/files/brown-STILA-MicrotipOpen_50x.jpg?v=1687203204")</f>
        <v/>
      </c>
      <c r="H3581">
        <f>_xlfn.IMAGE("https://m.media-amazon.com/images/I/61uo1l-GFCL._AC_UL320_.jpg")</f>
        <v/>
      </c>
      <c r="K3581" t="inlineStr">
        <is>
          <t>24.0</t>
        </is>
      </c>
      <c r="L3581" t="n">
        <v>7.66</v>
      </c>
      <c r="M3581" s="1" t="inlineStr">
        <is>
          <t>-68.08%</t>
        </is>
      </c>
      <c r="N3581" t="n">
        <v>4.4</v>
      </c>
      <c r="O3581" t="n">
        <v>31992</v>
      </c>
      <c r="Q3581" t="inlineStr">
        <is>
          <t>InStock</t>
        </is>
      </c>
      <c r="R3581" t="inlineStr">
        <is>
          <t>undefined</t>
        </is>
      </c>
      <c r="S3581" t="inlineStr">
        <is>
          <t>550444007434</t>
        </is>
      </c>
    </row>
    <row r="3582" ht="75" customHeight="1">
      <c r="A3582" s="2">
        <f>HYPERLINK("https://camerareadycosmetics.com/products/stila-stay-all-day-waterproof-liquid-eyeliner-microtip", "https://camerareadycosmetics.com/products/stila-stay-all-day-waterproof-liquid-eyeliner-microtip")</f>
        <v/>
      </c>
      <c r="B3582" s="2">
        <f>HYPERLINK("https://camerareadycosmetics.com/products/stila-stay-all-day-waterproof-liquid-eyeliner-microtip", "https://camerareadycosmetics.com/products/stila-stay-all-day-waterproof-liquid-eyeliner-microtip")</f>
        <v/>
      </c>
      <c r="C3582" t="inlineStr">
        <is>
          <t>Stay All Day Waterproof Liquid Eyeliner Microtip</t>
        </is>
      </c>
      <c r="D3582" t="inlineStr">
        <is>
          <t>stila Stay All Day Waterproof Liquid Eye Liner</t>
        </is>
      </c>
      <c r="E3582" s="2">
        <f>HYPERLINK("https://www.amazon.com/Stila-Waterproof-Liquid-Liner-Intense/dp/B0031NNE56/ref=sr_1_7?keywords=Stay+All+Day+Waterproof+Liquid+Eyeliner+Microtip&amp;qid=1695565527&amp;sr=8-7", "https://www.amazon.com/Stila-Waterproof-Liquid-Liner-Intense/dp/B0031NNE56/ref=sr_1_7?keywords=Stay+All+Day+Waterproof+Liquid+Eyeliner+Microtip&amp;qid=1695565527&amp;sr=8-7")</f>
        <v/>
      </c>
      <c r="F3582" t="inlineStr">
        <is>
          <t>B0031NNE56</t>
        </is>
      </c>
      <c r="G3582">
        <f>_xlfn.IMAGE("https://camerareadycosmetics.com/cdn/shop/files/brown-STILA-MicrotipOpen_50x.jpg?v=1687203204")</f>
        <v/>
      </c>
      <c r="H3582">
        <f>_xlfn.IMAGE("https://m.media-amazon.com/images/I/61CsYNjeDkL._AC_UL320_.jpg")</f>
        <v/>
      </c>
      <c r="K3582" t="inlineStr">
        <is>
          <t>24.0</t>
        </is>
      </c>
      <c r="L3582" t="n">
        <v>12</v>
      </c>
      <c r="M3582" s="1" t="inlineStr">
        <is>
          <t>-50.00%</t>
        </is>
      </c>
      <c r="N3582" t="n">
        <v>4.5</v>
      </c>
      <c r="O3582" t="n">
        <v>27487</v>
      </c>
      <c r="Q3582" t="inlineStr">
        <is>
          <t>InStock</t>
        </is>
      </c>
      <c r="R3582" t="inlineStr">
        <is>
          <t>undefined</t>
        </is>
      </c>
      <c r="S3582" t="inlineStr">
        <is>
          <t>550444007434</t>
        </is>
      </c>
    </row>
    <row r="3583" ht="75" customHeight="1">
      <c r="A3583" s="2">
        <f>HYPERLINK("https://camerareadycosmetics.com/products/stila-stay-all-day-waterproof-liquid-eyeliner-microtip", "https://camerareadycosmetics.com/products/stila-stay-all-day-waterproof-liquid-eyeliner-microtip")</f>
        <v/>
      </c>
      <c r="B3583" s="2">
        <f>HYPERLINK("https://camerareadycosmetics.com/products/stila-stay-all-day-waterproof-liquid-eyeliner-microtip", "https://camerareadycosmetics.com/products/stila-stay-all-day-waterproof-liquid-eyeliner-microtip")</f>
        <v/>
      </c>
      <c r="C3583" t="inlineStr">
        <is>
          <t>Stay All Day Waterproof Liquid Eyeliner Microtip</t>
        </is>
      </c>
      <c r="D3583" t="inlineStr">
        <is>
          <t>Maybelline New York Eyestudio Master Precise All Day Waterproof Liquid Eyeliner Makeup, Matte Black, 1 Count</t>
        </is>
      </c>
      <c r="E3583" s="2">
        <f>HYPERLINK("https://www.amazon.com/Maybelline-Eyestudio-Master-Precise-Eyeliner/dp/B085S8T2L3/ref=sr_1_9?keywords=Stay+All+Day+Waterproof+Liquid+Eyeliner+Microtip&amp;qid=1695565527&amp;sr=8-9", "https://www.amazon.com/Maybelline-Eyestudio-Master-Precise-Eyeliner/dp/B085S8T2L3/ref=sr_1_9?keywords=Stay+All+Day+Waterproof+Liquid+Eyeliner+Microtip&amp;qid=1695565527&amp;sr=8-9")</f>
        <v/>
      </c>
      <c r="F3583" t="inlineStr">
        <is>
          <t>B085S8T2L3</t>
        </is>
      </c>
      <c r="G3583">
        <f>_xlfn.IMAGE("https://camerareadycosmetics.com/cdn/shop/files/brown-STILA-MicrotipOpen_50x.jpg?v=1687203204")</f>
        <v/>
      </c>
      <c r="H3583">
        <f>_xlfn.IMAGE("https://m.media-amazon.com/images/I/61uo1l-GFCL._AC_UL320_.jpg")</f>
        <v/>
      </c>
      <c r="K3583" t="inlineStr">
        <is>
          <t>24.0</t>
        </is>
      </c>
      <c r="L3583" t="n">
        <v>7.66</v>
      </c>
      <c r="M3583" s="1" t="inlineStr">
        <is>
          <t>-68.08%</t>
        </is>
      </c>
      <c r="N3583" t="n">
        <v>4.4</v>
      </c>
      <c r="O3583" t="n">
        <v>31992</v>
      </c>
      <c r="Q3583" t="inlineStr">
        <is>
          <t>InStock</t>
        </is>
      </c>
      <c r="R3583" t="inlineStr">
        <is>
          <t>undefined</t>
        </is>
      </c>
      <c r="S3583" t="inlineStr">
        <is>
          <t>550444007434</t>
        </is>
      </c>
    </row>
    <row r="3584" ht="75" customHeight="1">
      <c r="A3584" s="2">
        <f>HYPERLINK("https://camerareadycosmetics.com/products/suva-beauty-toppers-palette", "https://camerareadycosmetics.com/products/suva-beauty-toppers-palette")</f>
        <v/>
      </c>
      <c r="B3584" s="2">
        <f>HYPERLINK("https://camerareadycosmetics.com/products/suva-beauty-toppers-palette", "https://camerareadycosmetics.com/products/suva-beauty-toppers-palette")</f>
        <v/>
      </c>
      <c r="C3584" t="inlineStr">
        <is>
          <t>Toppers Palette</t>
        </is>
      </c>
      <c r="D3584" t="inlineStr">
        <is>
          <t>Slime Cupcake Toppers 18 pcs - Painting Themed Art Happy Birthday Decor Artist Palette Paint Brush boy Girl Party Supplies</t>
        </is>
      </c>
      <c r="E3584" s="2">
        <f>HYPERLINK("https://www.amazon.com/Slime-Cupcake-Toppers-18-pcs/dp/B097ZKVWSY/ref=sr_1_8?keywords=Toppers+Palette&amp;qid=1695565688&amp;sr=8-8", "https://www.amazon.com/Slime-Cupcake-Toppers-18-pcs/dp/B097ZKVWSY/ref=sr_1_8?keywords=Toppers+Palette&amp;qid=1695565688&amp;sr=8-8")</f>
        <v/>
      </c>
      <c r="F3584" t="inlineStr">
        <is>
          <t>B097ZKVWSY</t>
        </is>
      </c>
      <c r="G3584">
        <f>_xlfn.IMAGE("https://camerareadycosmetics.com/cdn/shop/products/PaletteOpen_1500x1500_V3_50x.jpg?v=1688674544")</f>
        <v/>
      </c>
      <c r="H3584">
        <f>_xlfn.IMAGE("https://m.media-amazon.com/images/I/71cDP6tW4eS._AC_UL320_.jpg")</f>
        <v/>
      </c>
      <c r="K3584" t="inlineStr">
        <is>
          <t>35.0</t>
        </is>
      </c>
      <c r="L3584" t="n">
        <v>8.99</v>
      </c>
      <c r="M3584" s="1" t="inlineStr">
        <is>
          <t>-74.31%</t>
        </is>
      </c>
      <c r="N3584" t="n">
        <v>4.5</v>
      </c>
      <c r="O3584" t="n">
        <v>35</v>
      </c>
      <c r="Q3584" t="inlineStr">
        <is>
          <t>InStock</t>
        </is>
      </c>
      <c r="R3584" t="inlineStr">
        <is>
          <t>undefined</t>
        </is>
      </c>
      <c r="S3584" t="inlineStr">
        <is>
          <t>6269696311481</t>
        </is>
      </c>
    </row>
    <row r="3585" ht="75" customHeight="1">
      <c r="A3585" s="2">
        <f>HYPERLINK("https://camerareadycosmetics.com/products/suva-beauty-toppers-palette", "https://camerareadycosmetics.com/products/suva-beauty-toppers-palette")</f>
        <v/>
      </c>
      <c r="B3585" s="2">
        <f>HYPERLINK("https://camerareadycosmetics.com/products/suva-beauty-toppers-palette", "https://camerareadycosmetics.com/products/suva-beauty-toppers-palette")</f>
        <v/>
      </c>
      <c r="C3585" t="inlineStr">
        <is>
          <t>Toppers Palette</t>
        </is>
      </c>
      <c r="D3585" t="inlineStr">
        <is>
          <t>24 PCS Paint Brush Color Palette Cupcake Toppers for Painting Party Birthday Painting Graffiti Party Decorations</t>
        </is>
      </c>
      <c r="E3585" s="2">
        <f>HYPERLINK("https://www.amazon.com/Morndew-Painting-Birthday-Graffiti-Decorations/dp/B084WRKZ18/ref=sr_1_1?keywords=Toppers+Palette&amp;qid=1695565688&amp;sr=8-1", "https://www.amazon.com/Morndew-Painting-Birthday-Graffiti-Decorations/dp/B084WRKZ18/ref=sr_1_1?keywords=Toppers+Palette&amp;qid=1695565688&amp;sr=8-1")</f>
        <v/>
      </c>
      <c r="F3585" t="inlineStr">
        <is>
          <t>B084WRKZ18</t>
        </is>
      </c>
      <c r="G3585">
        <f>_xlfn.IMAGE("https://camerareadycosmetics.com/cdn/shop/products/PaletteOpen_1500x1500_V3_50x.jpg?v=1688674544")</f>
        <v/>
      </c>
      <c r="H3585">
        <f>_xlfn.IMAGE("https://m.media-amazon.com/images/I/61QJBBZAXqL._AC_UL320_.jpg")</f>
        <v/>
      </c>
      <c r="K3585" t="inlineStr">
        <is>
          <t>35.0</t>
        </is>
      </c>
      <c r="L3585" t="n">
        <v>7.99</v>
      </c>
      <c r="M3585" s="1" t="inlineStr">
        <is>
          <t>-77.17%</t>
        </is>
      </c>
      <c r="N3585" t="n">
        <v>4.2</v>
      </c>
      <c r="O3585" t="n">
        <v>45</v>
      </c>
      <c r="Q3585" t="inlineStr">
        <is>
          <t>InStock</t>
        </is>
      </c>
      <c r="R3585" t="inlineStr">
        <is>
          <t>undefined</t>
        </is>
      </c>
      <c r="S3585" t="inlineStr">
        <is>
          <t>6269696311481</t>
        </is>
      </c>
    </row>
    <row r="3586" ht="75" customHeight="1">
      <c r="A3586" s="2">
        <f>HYPERLINK("https://camerareadycosmetics.com/products/suva-beauty-toppers-palette", "https://camerareadycosmetics.com/products/suva-beauty-toppers-palette")</f>
        <v/>
      </c>
      <c r="B3586" s="2">
        <f>HYPERLINK("https://camerareadycosmetics.com/products/suva-beauty-toppers-palette", "https://camerareadycosmetics.com/products/suva-beauty-toppers-palette")</f>
        <v/>
      </c>
      <c r="C3586" t="inlineStr">
        <is>
          <t>Toppers Palette</t>
        </is>
      </c>
      <c r="D3586" t="inlineStr">
        <is>
          <t>Slime Cupcake Toppers 18 pcs - Painting Themed Art Happy Birthday Decor Artist Palette Paint Brush boy Girl Party Supplies</t>
        </is>
      </c>
      <c r="E3586" s="2">
        <f>HYPERLINK("https://www.amazon.com/Slime-Cupcake-Toppers-18-pcs/dp/B097ZKVWSY/ref=sr_1_8?keywords=Toppers+Palette&amp;qid=1695565688&amp;sr=8-8", "https://www.amazon.com/Slime-Cupcake-Toppers-18-pcs/dp/B097ZKVWSY/ref=sr_1_8?keywords=Toppers+Palette&amp;qid=1695565688&amp;sr=8-8")</f>
        <v/>
      </c>
      <c r="F3586" t="inlineStr">
        <is>
          <t>B097ZKVWSY</t>
        </is>
      </c>
      <c r="G3586">
        <f>_xlfn.IMAGE("https://camerareadycosmetics.com/cdn/shop/products/PaletteOpen_1500x1500_V3_50x.jpg?v=1688674544")</f>
        <v/>
      </c>
      <c r="H3586">
        <f>_xlfn.IMAGE("https://m.media-amazon.com/images/I/71cDP6tW4eS._AC_UL320_.jpg")</f>
        <v/>
      </c>
      <c r="K3586" t="inlineStr">
        <is>
          <t>35.0</t>
        </is>
      </c>
      <c r="L3586" t="n">
        <v>8.99</v>
      </c>
      <c r="M3586" s="1" t="inlineStr">
        <is>
          <t>-74.31%</t>
        </is>
      </c>
      <c r="N3586" t="n">
        <v>4.5</v>
      </c>
      <c r="O3586" t="n">
        <v>35</v>
      </c>
      <c r="Q3586" t="inlineStr">
        <is>
          <t>InStock</t>
        </is>
      </c>
      <c r="R3586" t="inlineStr">
        <is>
          <t>undefined</t>
        </is>
      </c>
      <c r="S3586" t="inlineStr">
        <is>
          <t>6269696311481</t>
        </is>
      </c>
    </row>
    <row r="3587" ht="75" customHeight="1">
      <c r="A3587" s="2">
        <f>HYPERLINK("https://camerareadycosmetics.com/products/suva-beauty-toppers-palette", "https://camerareadycosmetics.com/products/suva-beauty-toppers-palette")</f>
        <v/>
      </c>
      <c r="B3587" s="2">
        <f>HYPERLINK("https://camerareadycosmetics.com/products/suva-beauty-toppers-palette", "https://camerareadycosmetics.com/products/suva-beauty-toppers-palette")</f>
        <v/>
      </c>
      <c r="C3587" t="inlineStr">
        <is>
          <t>Toppers Palette</t>
        </is>
      </c>
      <c r="D3587" t="inlineStr">
        <is>
          <t>24 PCS Paint Brush Color Palette Cupcake Toppers for Painting Party Birthday Painting Graffiti Party Decorations</t>
        </is>
      </c>
      <c r="E3587" s="2">
        <f>HYPERLINK("https://www.amazon.com/Morndew-Painting-Birthday-Graffiti-Decorations/dp/B084WRKZ18/ref=sr_1_1?keywords=Toppers+Palette&amp;qid=1695565688&amp;sr=8-1", "https://www.amazon.com/Morndew-Painting-Birthday-Graffiti-Decorations/dp/B084WRKZ18/ref=sr_1_1?keywords=Toppers+Palette&amp;qid=1695565688&amp;sr=8-1")</f>
        <v/>
      </c>
      <c r="F3587" t="inlineStr">
        <is>
          <t>B084WRKZ18</t>
        </is>
      </c>
      <c r="G3587">
        <f>_xlfn.IMAGE("https://camerareadycosmetics.com/cdn/shop/products/PaletteOpen_1500x1500_V3_50x.jpg?v=1688674544")</f>
        <v/>
      </c>
      <c r="H3587">
        <f>_xlfn.IMAGE("https://m.media-amazon.com/images/I/61QJBBZAXqL._AC_UL320_.jpg")</f>
        <v/>
      </c>
      <c r="K3587" t="inlineStr">
        <is>
          <t>35.0</t>
        </is>
      </c>
      <c r="L3587" t="n">
        <v>7.99</v>
      </c>
      <c r="M3587" s="1" t="inlineStr">
        <is>
          <t>-77.17%</t>
        </is>
      </c>
      <c r="N3587" t="n">
        <v>4.2</v>
      </c>
      <c r="O3587" t="n">
        <v>45</v>
      </c>
      <c r="Q3587" t="inlineStr">
        <is>
          <t>InStock</t>
        </is>
      </c>
      <c r="R3587" t="inlineStr">
        <is>
          <t>undefined</t>
        </is>
      </c>
      <c r="S3587" t="inlineStr">
        <is>
          <t>6269696311481</t>
        </is>
      </c>
    </row>
    <row r="3588" ht="75" customHeight="1">
      <c r="A3588" s="2">
        <f>HYPERLINK("https://camerareadycosmetics.com/products/sydney-grace-be-mine-palette-light", "https://camerareadycosmetics.com/products/sydney-grace-be-mine-palette-light")</f>
        <v/>
      </c>
      <c r="B3588" s="2">
        <f>HYPERLINK("https://camerareadycosmetics.com/products/sydney-grace-be-mine-palette-light", "https://camerareadycosmetics.com/products/sydney-grace-be-mine-palette-light")</f>
        <v/>
      </c>
      <c r="C3588" t="inlineStr">
        <is>
          <t>Be Mine Light Palette</t>
        </is>
      </c>
      <c r="D3588" t="inlineStr">
        <is>
          <t>2Pcs UCANBE Twilight Dusk + Aromas Nude Eyeshadow Palette Makeup Set, Matte Shimmer Glitter Pressed Pearl All Highly Pigmented Blending Powder, Natural Velvet Texture Eye Shadow Kit</t>
        </is>
      </c>
      <c r="E3588" s="2">
        <f>HYPERLINK("https://www.amazon.com/Twilight-Eyeshadow-Palette-Pigmented-Blending/dp/B07M5WQTKD/ref=sr_1_7?keywords=Be+Mine+Light+Palette&amp;qid=1695565708&amp;sr=8-7", "https://www.amazon.com/Twilight-Eyeshadow-Palette-Pigmented-Blending/dp/B07M5WQTKD/ref=sr_1_7?keywords=Be+Mine+Light+Palette&amp;qid=1695565708&amp;sr=8-7")</f>
        <v/>
      </c>
      <c r="F3588" t="inlineStr">
        <is>
          <t>B07M5WQTKD</t>
        </is>
      </c>
      <c r="G3588">
        <f>_xlfn.IMAGE("https://camerareadycosmetics.com/cdn/shop/files/SydneyGraceBeMineLightPalette_50x.jpg?v=1687203777")</f>
        <v/>
      </c>
      <c r="H3588">
        <f>_xlfn.IMAGE("https://m.media-amazon.com/images/I/712OWZa9-ML._AC_UL320_.jpg")</f>
        <v/>
      </c>
      <c r="K3588" t="inlineStr">
        <is>
          <t>52.0</t>
        </is>
      </c>
      <c r="L3588" t="n">
        <v>16.98</v>
      </c>
      <c r="M3588" s="1" t="inlineStr">
        <is>
          <t>-67.35%</t>
        </is>
      </c>
      <c r="N3588" t="n">
        <v>4.6</v>
      </c>
      <c r="O3588" t="n">
        <v>10322</v>
      </c>
      <c r="Q3588" t="inlineStr">
        <is>
          <t>OutOfStock</t>
        </is>
      </c>
      <c r="R3588" t="inlineStr">
        <is>
          <t>undefined</t>
        </is>
      </c>
      <c r="S3588" t="inlineStr">
        <is>
          <t>7171781558457</t>
        </is>
      </c>
    </row>
    <row r="3589" ht="75" customHeight="1">
      <c r="A3589" s="2">
        <f>HYPERLINK("https://camerareadycosmetics.com/products/sydney-grace-be-mine-palette-light", "https://camerareadycosmetics.com/products/sydney-grace-be-mine-palette-light")</f>
        <v/>
      </c>
      <c r="B3589" s="2">
        <f>HYPERLINK("https://camerareadycosmetics.com/products/sydney-grace-be-mine-palette-light", "https://camerareadycosmetics.com/products/sydney-grace-be-mine-palette-light")</f>
        <v/>
      </c>
      <c r="C3589" t="inlineStr">
        <is>
          <t>Be Mine Light Palette</t>
        </is>
      </c>
      <c r="D3589" t="inlineStr">
        <is>
          <t>Ccolor Cosmetics - Natural Face Palette in Glow, Make Up Set Highlighter Palette &amp; Blush Palette, Bronzer Palette Contour Kit With Shimmer &amp; Matte Shades for a Natural Look, Paraben-Free Make Up Kits</t>
        </is>
      </c>
      <c r="E3589" s="2">
        <f>HYPERLINK("https://www.amazon.com/Natural-Highlighter-Blush-Palette-OSL-024B/dp/B07L6QQDM9/ref=sr_1_9?keywords=Be+Mine+Light+Palette&amp;qid=1695565708&amp;sr=8-9", "https://www.amazon.com/Natural-Highlighter-Blush-Palette-OSL-024B/dp/B07L6QQDM9/ref=sr_1_9?keywords=Be+Mine+Light+Palette&amp;qid=1695565708&amp;sr=8-9")</f>
        <v/>
      </c>
      <c r="F3589" t="inlineStr">
        <is>
          <t>B07L6QQDM9</t>
        </is>
      </c>
      <c r="G3589">
        <f>_xlfn.IMAGE("https://camerareadycosmetics.com/cdn/shop/files/SydneyGraceBeMineLightPalette_50x.jpg?v=1687203777")</f>
        <v/>
      </c>
      <c r="H3589">
        <f>_xlfn.IMAGE("https://m.media-amazon.com/images/I/81CItimHdVL._AC_UL320_.jpg")</f>
        <v/>
      </c>
      <c r="K3589" t="inlineStr">
        <is>
          <t>52.0</t>
        </is>
      </c>
      <c r="L3589" t="n">
        <v>7.49</v>
      </c>
      <c r="M3589" s="1" t="inlineStr">
        <is>
          <t>-85.60%</t>
        </is>
      </c>
      <c r="N3589" t="n">
        <v>4.1</v>
      </c>
      <c r="O3589" t="n">
        <v>45</v>
      </c>
      <c r="Q3589" t="inlineStr">
        <is>
          <t>OutOfStock</t>
        </is>
      </c>
      <c r="R3589" t="inlineStr">
        <is>
          <t>undefined</t>
        </is>
      </c>
      <c r="S3589" t="inlineStr">
        <is>
          <t>7171781558457</t>
        </is>
      </c>
    </row>
    <row r="3590" ht="75" customHeight="1">
      <c r="A3590" s="2">
        <f>HYPERLINK("https://camerareadycosmetics.com/products/sydney-grace-be-mine-palette-light", "https://camerareadycosmetics.com/products/sydney-grace-be-mine-palette-light")</f>
        <v/>
      </c>
      <c r="B3590" s="2">
        <f>HYPERLINK("https://camerareadycosmetics.com/products/sydney-grace-be-mine-palette-light", "https://camerareadycosmetics.com/products/sydney-grace-be-mine-palette-light")</f>
        <v/>
      </c>
      <c r="C3590" t="inlineStr">
        <is>
          <t>Be Mine Light Palette</t>
        </is>
      </c>
      <c r="D3590" t="inlineStr">
        <is>
          <t>2Pcs UCANBE Twilight Dusk + Aromas Nude Eyeshadow Palette Makeup Set, Matte Shimmer Glitter Pressed Pearl All Highly Pigmented Blending Powder, Natural Velvet Texture Eye Shadow Kit</t>
        </is>
      </c>
      <c r="E3590" s="2">
        <f>HYPERLINK("https://www.amazon.com/Twilight-Eyeshadow-Palette-Pigmented-Blending/dp/B07M5WQTKD/ref=sr_1_7?keywords=Be+Mine+Light+Palette&amp;qid=1695565708&amp;sr=8-7", "https://www.amazon.com/Twilight-Eyeshadow-Palette-Pigmented-Blending/dp/B07M5WQTKD/ref=sr_1_7?keywords=Be+Mine+Light+Palette&amp;qid=1695565708&amp;sr=8-7")</f>
        <v/>
      </c>
      <c r="F3590" t="inlineStr">
        <is>
          <t>B07M5WQTKD</t>
        </is>
      </c>
      <c r="G3590">
        <f>_xlfn.IMAGE("https://camerareadycosmetics.com/cdn/shop/files/SydneyGraceBeMineLightPalette_50x.jpg?v=1687203777")</f>
        <v/>
      </c>
      <c r="H3590">
        <f>_xlfn.IMAGE("https://m.media-amazon.com/images/I/712OWZa9-ML._AC_UL320_.jpg")</f>
        <v/>
      </c>
      <c r="K3590" t="inlineStr">
        <is>
          <t>52.0</t>
        </is>
      </c>
      <c r="L3590" t="n">
        <v>16.98</v>
      </c>
      <c r="M3590" s="1" t="inlineStr">
        <is>
          <t>-67.35%</t>
        </is>
      </c>
      <c r="N3590" t="n">
        <v>4.6</v>
      </c>
      <c r="O3590" t="n">
        <v>10322</v>
      </c>
      <c r="Q3590" t="inlineStr">
        <is>
          <t>OutOfStock</t>
        </is>
      </c>
      <c r="R3590" t="inlineStr">
        <is>
          <t>undefined</t>
        </is>
      </c>
      <c r="S3590" t="inlineStr">
        <is>
          <t>7171781558457</t>
        </is>
      </c>
    </row>
    <row r="3591" ht="75" customHeight="1">
      <c r="A3591" s="2">
        <f>HYPERLINK("https://camerareadycosmetics.com/products/sydney-grace-be-mine-palette-light", "https://camerareadycosmetics.com/products/sydney-grace-be-mine-palette-light")</f>
        <v/>
      </c>
      <c r="B3591" s="2">
        <f>HYPERLINK("https://camerareadycosmetics.com/products/sydney-grace-be-mine-palette-light", "https://camerareadycosmetics.com/products/sydney-grace-be-mine-palette-light")</f>
        <v/>
      </c>
      <c r="C3591" t="inlineStr">
        <is>
          <t>Be Mine Light Palette</t>
        </is>
      </c>
      <c r="D3591" t="inlineStr">
        <is>
          <t>Ccolor Cosmetics - Natural Face Palette in Glow, Make Up Set Highlighter Palette &amp; Blush Palette, Bronzer Palette Contour Kit With Shimmer &amp; Matte Shades for a Natural Look, Paraben-Free Make Up Kits</t>
        </is>
      </c>
      <c r="E3591" s="2">
        <f>HYPERLINK("https://www.amazon.com/Natural-Highlighter-Blush-Palette-OSL-024B/dp/B07L6QQDM9/ref=sr_1_9?keywords=Be+Mine+Light+Palette&amp;qid=1695565708&amp;sr=8-9", "https://www.amazon.com/Natural-Highlighter-Blush-Palette-OSL-024B/dp/B07L6QQDM9/ref=sr_1_9?keywords=Be+Mine+Light+Palette&amp;qid=1695565708&amp;sr=8-9")</f>
        <v/>
      </c>
      <c r="F3591" t="inlineStr">
        <is>
          <t>B07L6QQDM9</t>
        </is>
      </c>
      <c r="G3591">
        <f>_xlfn.IMAGE("https://camerareadycosmetics.com/cdn/shop/files/SydneyGraceBeMineLightPalette_50x.jpg?v=1687203777")</f>
        <v/>
      </c>
      <c r="H3591">
        <f>_xlfn.IMAGE("https://m.media-amazon.com/images/I/81CItimHdVL._AC_UL320_.jpg")</f>
        <v/>
      </c>
      <c r="K3591" t="inlineStr">
        <is>
          <t>52.0</t>
        </is>
      </c>
      <c r="L3591" t="n">
        <v>7.49</v>
      </c>
      <c r="M3591" s="1" t="inlineStr">
        <is>
          <t>-85.60%</t>
        </is>
      </c>
      <c r="N3591" t="n">
        <v>4.1</v>
      </c>
      <c r="O3591" t="n">
        <v>45</v>
      </c>
      <c r="Q3591" t="inlineStr">
        <is>
          <t>OutOfStock</t>
        </is>
      </c>
      <c r="R3591" t="inlineStr">
        <is>
          <t>undefined</t>
        </is>
      </c>
      <c r="S3591" t="inlineStr">
        <is>
          <t>7171781558457</t>
        </is>
      </c>
    </row>
    <row r="3592" ht="75" customHeight="1">
      <c r="A3592" s="2">
        <f>HYPERLINK("https://camerareadycosmetics.com/products/sydney-grace-enduring-love-eyeshadow-deep-palette", "https://camerareadycosmetics.com/products/sydney-grace-enduring-love-eyeshadow-deep-palette")</f>
        <v/>
      </c>
      <c r="B3592" s="2">
        <f>HYPERLINK("https://camerareadycosmetics.com/products/sydney-grace-enduring-love-eyeshadow-deep-palette", "https://camerareadycosmetics.com/products/sydney-grace-enduring-love-eyeshadow-deep-palette")</f>
        <v/>
      </c>
      <c r="C3592" t="inlineStr">
        <is>
          <t>Enduring Love Eyeshadow (DEEP) Palette</t>
        </is>
      </c>
      <c r="D3592" t="inlineStr">
        <is>
          <t>Enduring Love Eye Shadow Palette (Deep)</t>
        </is>
      </c>
      <c r="E3592" s="2">
        <f>HYPERLINK("https://www.amazon.com/Sydney-Grace-Enduring-Shadow-Palette/dp/B0BTKS9Y8C/ref=sr_1_1?keywords=Enduring+Love+Eyeshadow+%28DEEP%29+Palette&amp;qid=1695565730&amp;sr=8-1", "https://www.amazon.com/Sydney-Grace-Enduring-Shadow-Palette/dp/B0BTKS9Y8C/ref=sr_1_1?keywords=Enduring+Love+Eyeshadow+%28DEEP%29+Palette&amp;qid=1695565730&amp;sr=8-1")</f>
        <v/>
      </c>
      <c r="F3592" t="inlineStr">
        <is>
          <t>B0BTKS9Y8C</t>
        </is>
      </c>
      <c r="G3592">
        <f>_xlfn.IMAGE("https://camerareadycosmetics.com/cdn/shop/products/Sydney-Grace-Enduring-Love-Eyeshadow-_DEEP_-Palette-top_50x.jpg?v=1629511326")</f>
        <v/>
      </c>
      <c r="H3592">
        <f>_xlfn.IMAGE("https://m.media-amazon.com/images/I/51MMy8cEsUL._AC_UL320_.jpg")</f>
        <v/>
      </c>
      <c r="K3592" t="inlineStr">
        <is>
          <t>52.0</t>
        </is>
      </c>
      <c r="L3592" t="n">
        <v>52</v>
      </c>
      <c r="M3592" s="1" t="inlineStr">
        <is>
          <t>0.00%</t>
        </is>
      </c>
      <c r="N3592" t="n">
        <v>2.8</v>
      </c>
      <c r="O3592" t="n">
        <v>2</v>
      </c>
      <c r="Q3592" t="inlineStr">
        <is>
          <t>OutOfStock</t>
        </is>
      </c>
      <c r="R3592" t="inlineStr">
        <is>
          <t>undefined</t>
        </is>
      </c>
      <c r="S3592" t="inlineStr">
        <is>
          <t>6884271194297</t>
        </is>
      </c>
    </row>
    <row r="3593" ht="75" customHeight="1">
      <c r="A3593" s="2">
        <f>HYPERLINK("https://camerareadycosmetics.com/products/sydney-grace-enduring-love-eyeshadow-deep-palette", "https://camerareadycosmetics.com/products/sydney-grace-enduring-love-eyeshadow-deep-palette")</f>
        <v/>
      </c>
      <c r="B3593" s="2">
        <f>HYPERLINK("https://camerareadycosmetics.com/products/sydney-grace-enduring-love-eyeshadow-deep-palette", "https://camerareadycosmetics.com/products/sydney-grace-enduring-love-eyeshadow-deep-palette")</f>
        <v/>
      </c>
      <c r="C3593" t="inlineStr">
        <is>
          <t>Enduring Love Eyeshadow (DEEP) Palette</t>
        </is>
      </c>
      <c r="D3593" t="inlineStr">
        <is>
          <t>SEPHORA COLLECTION Eye Love Eyeshadow Palette Deep Cool</t>
        </is>
      </c>
      <c r="E3593" s="2">
        <f>HYPERLINK("https://www.amazon.com/Sephora-Love-Color-Eyeshadow-Palette/dp/B09CHKNRJR/ref=sr_1_2?keywords=Enduring+Love+Eyeshadow+%28DEEP%29+Palette&amp;qid=1695565730&amp;sr=8-2", "https://www.amazon.com/Sephora-Love-Color-Eyeshadow-Palette/dp/B09CHKNRJR/ref=sr_1_2?keywords=Enduring+Love+Eyeshadow+%28DEEP%29+Palette&amp;qid=1695565730&amp;sr=8-2")</f>
        <v/>
      </c>
      <c r="F3593" t="inlineStr">
        <is>
          <t>B09CHKNRJR</t>
        </is>
      </c>
      <c r="G3593">
        <f>_xlfn.IMAGE("https://camerareadycosmetics.com/cdn/shop/products/Sydney-Grace-Enduring-Love-Eyeshadow-_DEEP_-Palette-top_50x.jpg?v=1629511326")</f>
        <v/>
      </c>
      <c r="H3593">
        <f>_xlfn.IMAGE("https://m.media-amazon.com/images/I/41FnCD3tSOL._AC_UL320_.jpg")</f>
        <v/>
      </c>
      <c r="K3593" t="inlineStr">
        <is>
          <t>52.0</t>
        </is>
      </c>
      <c r="L3593" t="n">
        <v>14</v>
      </c>
      <c r="M3593" s="1" t="inlineStr">
        <is>
          <t>-73.08%</t>
        </is>
      </c>
      <c r="N3593" t="n">
        <v>3.7</v>
      </c>
      <c r="O3593" t="n">
        <v>10</v>
      </c>
      <c r="Q3593" t="inlineStr">
        <is>
          <t>OutOfStock</t>
        </is>
      </c>
      <c r="R3593" t="inlineStr">
        <is>
          <t>undefined</t>
        </is>
      </c>
      <c r="S3593" t="inlineStr">
        <is>
          <t>6884271194297</t>
        </is>
      </c>
    </row>
    <row r="3594" ht="75" customHeight="1">
      <c r="A3594" s="2">
        <f>HYPERLINK("https://camerareadycosmetics.com/products/sydney-grace-enduring-love-eyeshadow-deep-palette", "https://camerareadycosmetics.com/products/sydney-grace-enduring-love-eyeshadow-deep-palette")</f>
        <v/>
      </c>
      <c r="B3594" s="2">
        <f>HYPERLINK("https://camerareadycosmetics.com/products/sydney-grace-enduring-love-eyeshadow-deep-palette", "https://camerareadycosmetics.com/products/sydney-grace-enduring-love-eyeshadow-deep-palette")</f>
        <v/>
      </c>
      <c r="C3594" t="inlineStr">
        <is>
          <t>Enduring Love Eyeshadow (DEEP) Palette</t>
        </is>
      </c>
      <c r="D3594" t="inlineStr">
        <is>
          <t>SEPHORA COLLECTION Eye Love Eyeshadow Palette Deep Cool</t>
        </is>
      </c>
      <c r="E3594" s="2">
        <f>HYPERLINK("https://www.amazon.com/Sephora-Love-Color-Eyeshadow-Palette/dp/B09CHKNRJR/ref=sr_1_2?keywords=Enduring+Love+Eyeshadow+%28DEEP%29+Palette&amp;qid=1695565730&amp;sr=8-2", "https://www.amazon.com/Sephora-Love-Color-Eyeshadow-Palette/dp/B09CHKNRJR/ref=sr_1_2?keywords=Enduring+Love+Eyeshadow+%28DEEP%29+Palette&amp;qid=1695565730&amp;sr=8-2")</f>
        <v/>
      </c>
      <c r="F3594" t="inlineStr">
        <is>
          <t>B09CHKNRJR</t>
        </is>
      </c>
      <c r="G3594">
        <f>_xlfn.IMAGE("https://camerareadycosmetics.com/cdn/shop/products/Sydney-Grace-Enduring-Love-Eyeshadow-_DEEP_-Palette-top_50x.jpg?v=1629511326")</f>
        <v/>
      </c>
      <c r="H3594">
        <f>_xlfn.IMAGE("https://m.media-amazon.com/images/I/41FnCD3tSOL._AC_UL320_.jpg")</f>
        <v/>
      </c>
      <c r="K3594" t="inlineStr">
        <is>
          <t>52.0</t>
        </is>
      </c>
      <c r="L3594" t="n">
        <v>14</v>
      </c>
      <c r="M3594" s="1" t="inlineStr">
        <is>
          <t>-73.08%</t>
        </is>
      </c>
      <c r="N3594" t="n">
        <v>3.7</v>
      </c>
      <c r="O3594" t="n">
        <v>10</v>
      </c>
      <c r="Q3594" t="inlineStr">
        <is>
          <t>OutOfStock</t>
        </is>
      </c>
      <c r="R3594" t="inlineStr">
        <is>
          <t>undefined</t>
        </is>
      </c>
      <c r="S3594" t="inlineStr">
        <is>
          <t>6884271194297</t>
        </is>
      </c>
    </row>
    <row r="3595" ht="75" customHeight="1">
      <c r="A3595" s="2">
        <f>HYPERLINK("https://camerareadycosmetics.com/products/sydney-grace-enduring-love-eyeshadow-palette-light", "https://camerareadycosmetics.com/products/sydney-grace-enduring-love-eyeshadow-palette-light")</f>
        <v/>
      </c>
      <c r="B3595" s="2">
        <f>HYPERLINK("https://camerareadycosmetics.com/products/sydney-grace-enduring-love-eyeshadow-palette-light", "https://camerareadycosmetics.com/products/sydney-grace-enduring-love-eyeshadow-palette-light")</f>
        <v/>
      </c>
      <c r="C3595" t="inlineStr">
        <is>
          <t>Enduring Love Eyeshadow (LIGHT) Palette</t>
        </is>
      </c>
      <c r="D3595" t="inlineStr">
        <is>
          <t>SEPHORA COLLECTION Eye Love Eyeshadow Palette Light Cool</t>
        </is>
      </c>
      <c r="E3595" s="2">
        <f>HYPERLINK("https://www.amazon.com/Sephora-Collection-Eyeshadow-Palette-LIGHT/dp/B07QMJTZ91/ref=sr_1_1?keywords=Enduring+Love+Eyeshadow+%28LIGHT%29+Palette&amp;qid=1695565698&amp;sr=8-1", "https://www.amazon.com/Sephora-Collection-Eyeshadow-Palette-LIGHT/dp/B07QMJTZ91/ref=sr_1_1?keywords=Enduring+Love+Eyeshadow+%28LIGHT%29+Palette&amp;qid=1695565698&amp;sr=8-1")</f>
        <v/>
      </c>
      <c r="F3595" t="inlineStr">
        <is>
          <t>B07QMJTZ91</t>
        </is>
      </c>
      <c r="G3595">
        <f>_xlfn.IMAGE("https://camerareadycosmetics.com/cdn/shop/files/sydney_grace_enduring_love_light_50x.jpg?v=1689519605")</f>
        <v/>
      </c>
      <c r="H3595">
        <f>_xlfn.IMAGE("https://m.media-amazon.com/images/I/61FuHXAdz+L._AC_UL320_.jpg")</f>
        <v/>
      </c>
      <c r="K3595" t="inlineStr">
        <is>
          <t>52.0</t>
        </is>
      </c>
      <c r="L3595" t="n">
        <v>15.99</v>
      </c>
      <c r="M3595" s="1" t="inlineStr">
        <is>
          <t>-69.25%</t>
        </is>
      </c>
      <c r="N3595" t="n">
        <v>4.4</v>
      </c>
      <c r="O3595" t="n">
        <v>213</v>
      </c>
      <c r="Q3595" t="inlineStr">
        <is>
          <t>InStock</t>
        </is>
      </c>
      <c r="R3595" t="inlineStr">
        <is>
          <t>undefined</t>
        </is>
      </c>
      <c r="S3595" t="inlineStr">
        <is>
          <t>6782001250489</t>
        </is>
      </c>
    </row>
    <row r="3596" ht="75" customHeight="1">
      <c r="A3596" s="2">
        <f>HYPERLINK("https://camerareadycosmetics.com/products/sydney-grace-enduring-love-eyeshadow-palette-light", "https://camerareadycosmetics.com/products/sydney-grace-enduring-love-eyeshadow-palette-light")</f>
        <v/>
      </c>
      <c r="B3596" s="2">
        <f>HYPERLINK("https://camerareadycosmetics.com/products/sydney-grace-enduring-love-eyeshadow-palette-light", "https://camerareadycosmetics.com/products/sydney-grace-enduring-love-eyeshadow-palette-light")</f>
        <v/>
      </c>
      <c r="C3596" t="inlineStr">
        <is>
          <t>Enduring Love Eyeshadow (LIGHT) Palette</t>
        </is>
      </c>
      <c r="D3596" t="inlineStr">
        <is>
          <t>SEPHORA COLLECTION Eye Love Eyeshadow Palette Light Warm</t>
        </is>
      </c>
      <c r="E3596" s="2">
        <f>HYPERLINK("https://www.amazon.com/SEPHORA-COLLECTION-Eyeshadow-Palette-LIGHT/dp/B07QLJPPHD/ref=sr_1_9?keywords=Enduring+Love+Eyeshadow+%28LIGHT%29+Palette&amp;qid=1695565698&amp;sr=8-9", "https://www.amazon.com/SEPHORA-COLLECTION-Eyeshadow-Palette-LIGHT/dp/B07QLJPPHD/ref=sr_1_9?keywords=Enduring+Love+Eyeshadow+%28LIGHT%29+Palette&amp;qid=1695565698&amp;sr=8-9")</f>
        <v/>
      </c>
      <c r="F3596" t="inlineStr">
        <is>
          <t>B07QLJPPHD</t>
        </is>
      </c>
      <c r="G3596">
        <f>_xlfn.IMAGE("https://camerareadycosmetics.com/cdn/shop/files/sydney_grace_enduring_love_light_50x.jpg?v=1689519605")</f>
        <v/>
      </c>
      <c r="H3596">
        <f>_xlfn.IMAGE("https://m.media-amazon.com/images/I/71uOka40xeL._AC_UL320_.jpg")</f>
        <v/>
      </c>
      <c r="K3596" t="inlineStr">
        <is>
          <t>52.0</t>
        </is>
      </c>
      <c r="L3596" t="n">
        <v>14.29</v>
      </c>
      <c r="M3596" s="1" t="inlineStr">
        <is>
          <t>-72.52%</t>
        </is>
      </c>
      <c r="N3596" t="n">
        <v>4.4</v>
      </c>
      <c r="O3596" t="n">
        <v>117</v>
      </c>
      <c r="Q3596" t="inlineStr">
        <is>
          <t>InStock</t>
        </is>
      </c>
      <c r="R3596" t="inlineStr">
        <is>
          <t>undefined</t>
        </is>
      </c>
      <c r="S3596" t="inlineStr">
        <is>
          <t>6782001250489</t>
        </is>
      </c>
    </row>
    <row r="3597" ht="75" customHeight="1">
      <c r="A3597" s="2">
        <f>HYPERLINK("https://camerareadycosmetics.com/products/sydney-grace-enduring-love-eyeshadow-palette-light", "https://camerareadycosmetics.com/products/sydney-grace-enduring-love-eyeshadow-palette-light")</f>
        <v/>
      </c>
      <c r="B3597" s="2">
        <f>HYPERLINK("https://camerareadycosmetics.com/products/sydney-grace-enduring-love-eyeshadow-palette-light", "https://camerareadycosmetics.com/products/sydney-grace-enduring-love-eyeshadow-palette-light")</f>
        <v/>
      </c>
      <c r="C3597" t="inlineStr">
        <is>
          <t>Enduring Love Eyeshadow (LIGHT) Palette</t>
        </is>
      </c>
      <c r="D3597" t="inlineStr">
        <is>
          <t>SEPHORA COLLECTION Eye Love Eyeshadow Palette Light Cool</t>
        </is>
      </c>
      <c r="E3597" s="2">
        <f>HYPERLINK("https://www.amazon.com/Sephora-Collection-Eyeshadow-Palette-LIGHT/dp/B07QMJTZ91/ref=sr_1_1?keywords=Enduring+Love+Eyeshadow+%28LIGHT%29+Palette&amp;qid=1695565698&amp;sr=8-1", "https://www.amazon.com/Sephora-Collection-Eyeshadow-Palette-LIGHT/dp/B07QMJTZ91/ref=sr_1_1?keywords=Enduring+Love+Eyeshadow+%28LIGHT%29+Palette&amp;qid=1695565698&amp;sr=8-1")</f>
        <v/>
      </c>
      <c r="F3597" t="inlineStr">
        <is>
          <t>B07QMJTZ91</t>
        </is>
      </c>
      <c r="G3597">
        <f>_xlfn.IMAGE("https://camerareadycosmetics.com/cdn/shop/files/sydney_grace_enduring_love_light_50x.jpg?v=1689519605")</f>
        <v/>
      </c>
      <c r="H3597">
        <f>_xlfn.IMAGE("https://m.media-amazon.com/images/I/61FuHXAdz+L._AC_UL320_.jpg")</f>
        <v/>
      </c>
      <c r="K3597" t="inlineStr">
        <is>
          <t>52.0</t>
        </is>
      </c>
      <c r="L3597" t="n">
        <v>15.99</v>
      </c>
      <c r="M3597" s="1" t="inlineStr">
        <is>
          <t>-69.25%</t>
        </is>
      </c>
      <c r="N3597" t="n">
        <v>4.4</v>
      </c>
      <c r="O3597" t="n">
        <v>213</v>
      </c>
      <c r="Q3597" t="inlineStr">
        <is>
          <t>InStock</t>
        </is>
      </c>
      <c r="R3597" t="inlineStr">
        <is>
          <t>undefined</t>
        </is>
      </c>
      <c r="S3597" t="inlineStr">
        <is>
          <t>6782001250489</t>
        </is>
      </c>
    </row>
    <row r="3598" ht="75" customHeight="1">
      <c r="A3598" s="2">
        <f>HYPERLINK("https://camerareadycosmetics.com/products/sydney-grace-enduring-love-eyeshadow-palette-light", "https://camerareadycosmetics.com/products/sydney-grace-enduring-love-eyeshadow-palette-light")</f>
        <v/>
      </c>
      <c r="B3598" s="2">
        <f>HYPERLINK("https://camerareadycosmetics.com/products/sydney-grace-enduring-love-eyeshadow-palette-light", "https://camerareadycosmetics.com/products/sydney-grace-enduring-love-eyeshadow-palette-light")</f>
        <v/>
      </c>
      <c r="C3598" t="inlineStr">
        <is>
          <t>Enduring Love Eyeshadow (LIGHT) Palette</t>
        </is>
      </c>
      <c r="D3598" t="inlineStr">
        <is>
          <t>SEPHORA COLLECTION Eye Love Eyeshadow Palette Light Warm</t>
        </is>
      </c>
      <c r="E3598" s="2">
        <f>HYPERLINK("https://www.amazon.com/SEPHORA-COLLECTION-Eyeshadow-Palette-LIGHT/dp/B07QLJPPHD/ref=sr_1_9?keywords=Enduring+Love+Eyeshadow+%28LIGHT%29+Palette&amp;qid=1695565698&amp;sr=8-9", "https://www.amazon.com/SEPHORA-COLLECTION-Eyeshadow-Palette-LIGHT/dp/B07QLJPPHD/ref=sr_1_9?keywords=Enduring+Love+Eyeshadow+%28LIGHT%29+Palette&amp;qid=1695565698&amp;sr=8-9")</f>
        <v/>
      </c>
      <c r="F3598" t="inlineStr">
        <is>
          <t>B07QLJPPHD</t>
        </is>
      </c>
      <c r="G3598">
        <f>_xlfn.IMAGE("https://camerareadycosmetics.com/cdn/shop/files/sydney_grace_enduring_love_light_50x.jpg?v=1689519605")</f>
        <v/>
      </c>
      <c r="H3598">
        <f>_xlfn.IMAGE("https://m.media-amazon.com/images/I/71uOka40xeL._AC_UL320_.jpg")</f>
        <v/>
      </c>
      <c r="K3598" t="inlineStr">
        <is>
          <t>52.0</t>
        </is>
      </c>
      <c r="L3598" t="n">
        <v>14.29</v>
      </c>
      <c r="M3598" s="1" t="inlineStr">
        <is>
          <t>-72.52%</t>
        </is>
      </c>
      <c r="N3598" t="n">
        <v>4.4</v>
      </c>
      <c r="O3598" t="n">
        <v>117</v>
      </c>
      <c r="Q3598" t="inlineStr">
        <is>
          <t>InStock</t>
        </is>
      </c>
      <c r="R3598" t="inlineStr">
        <is>
          <t>undefined</t>
        </is>
      </c>
      <c r="S3598" t="inlineStr">
        <is>
          <t>6782001250489</t>
        </is>
      </c>
    </row>
    <row r="3599" ht="75" customHeight="1">
      <c r="A3599" s="2">
        <f>HYPERLINK("https://camerareadycosmetics.com/products/sydney-grace-luminous-light-face-palette", "https://camerareadycosmetics.com/products/sydney-grace-luminous-light-face-palette")</f>
        <v/>
      </c>
      <c r="B3599" s="2">
        <f>HYPERLINK("https://camerareadycosmetics.com/products/sydney-grace-luminous-light-face-palette", "https://camerareadycosmetics.com/products/sydney-grace-luminous-light-face-palette")</f>
        <v/>
      </c>
      <c r="C3599" t="inlineStr">
        <is>
          <t>Luminous Light Face Palette</t>
        </is>
      </c>
      <c r="D3599" t="inlineStr">
        <is>
          <t>evpct 8 Colors Highlighter Makeup Palette for Face Highlighters &amp; Luminizers iluminadores de maquillaje profesional Gold Cheek Diamond Shimmer Stick Glitter Contour Bronzer and Highlighter Palette</t>
        </is>
      </c>
      <c r="E3599" s="2">
        <f>HYPERLINK("https://www.amazon.com/Highlighter-Highliterers-iluminadores-profesional-highlighters/dp/B09NSDP4GX/ref=sr_1_4?keywords=Luminous+Light+Face+Palette&amp;qid=1695565773&amp;sr=8-4", "https://www.amazon.com/Highlighter-Highliterers-iluminadores-profesional-highlighters/dp/B09NSDP4GX/ref=sr_1_4?keywords=Luminous+Light+Face+Palette&amp;qid=1695565773&amp;sr=8-4")</f>
        <v/>
      </c>
      <c r="F3599" t="inlineStr">
        <is>
          <t>B09NSDP4GX</t>
        </is>
      </c>
      <c r="G3599">
        <f>_xlfn.IMAGE("https://camerareadycosmetics.com/cdn/shop/products/sydney-grace_luminous-palette_Deep-1_50x.jpg?v=1680039533")</f>
        <v/>
      </c>
      <c r="H3599">
        <f>_xlfn.IMAGE("https://m.media-amazon.com/images/I/71wRox3QFmL._AC_UL320_.jpg")</f>
        <v/>
      </c>
      <c r="K3599" t="inlineStr">
        <is>
          <t>28.0</t>
        </is>
      </c>
      <c r="L3599" t="n">
        <v>8.98</v>
      </c>
      <c r="M3599" s="1" t="inlineStr">
        <is>
          <t>-67.93%</t>
        </is>
      </c>
      <c r="N3599" t="n">
        <v>4.1</v>
      </c>
      <c r="O3599" t="n">
        <v>978</v>
      </c>
      <c r="Q3599" t="inlineStr">
        <is>
          <t>InStock</t>
        </is>
      </c>
      <c r="R3599" t="inlineStr">
        <is>
          <t>undefined</t>
        </is>
      </c>
      <c r="S3599" t="inlineStr">
        <is>
          <t>7580390949049</t>
        </is>
      </c>
    </row>
    <row r="3600" ht="75" customHeight="1">
      <c r="A3600" s="2">
        <f>HYPERLINK("https://camerareadycosmetics.com/products/sydney-grace-luminous-light-face-palette", "https://camerareadycosmetics.com/products/sydney-grace-luminous-light-face-palette")</f>
        <v/>
      </c>
      <c r="B3600" s="2">
        <f>HYPERLINK("https://camerareadycosmetics.com/products/sydney-grace-luminous-light-face-palette", "https://camerareadycosmetics.com/products/sydney-grace-luminous-light-face-palette")</f>
        <v/>
      </c>
      <c r="C3600" t="inlineStr">
        <is>
          <t>Luminous Light Face Palette</t>
        </is>
      </c>
      <c r="D3600" t="inlineStr">
        <is>
          <t>Luminous Bronzer Creme,Natural Bronzer Cosmetic Liquid,Create Advanced Contour Lines,Deepen Side Shadows Beauty Face Palette (01# Light gold)</t>
        </is>
      </c>
      <c r="E3600" s="2">
        <f>HYPERLINK("https://www.amazon.com/Luminous-Bronzer-Natural-Cosmetic-Advanced/dp/B0BV2D3NP7/ref=sr_1_5?keywords=Luminous+Light+Face+Palette&amp;qid=1695565773&amp;sr=8-5", "https://www.amazon.com/Luminous-Bronzer-Natural-Cosmetic-Advanced/dp/B0BV2D3NP7/ref=sr_1_5?keywords=Luminous+Light+Face+Palette&amp;qid=1695565773&amp;sr=8-5")</f>
        <v/>
      </c>
      <c r="F3600" t="inlineStr">
        <is>
          <t>B0BV2D3NP7</t>
        </is>
      </c>
      <c r="G3600">
        <f>_xlfn.IMAGE("https://camerareadycosmetics.com/cdn/shop/products/sydney-grace_luminous-palette_Deep-1_50x.jpg?v=1680039533")</f>
        <v/>
      </c>
      <c r="H3600">
        <f>_xlfn.IMAGE("https://m.media-amazon.com/images/I/51DhwXvzSoL._AC_UL320_.jpg")</f>
        <v/>
      </c>
      <c r="K3600" t="inlineStr">
        <is>
          <t>28.0</t>
        </is>
      </c>
      <c r="L3600" t="n">
        <v>7.99</v>
      </c>
      <c r="M3600" s="1" t="inlineStr">
        <is>
          <t>-71.46%</t>
        </is>
      </c>
      <c r="N3600" t="n">
        <v>3.4</v>
      </c>
      <c r="O3600" t="n">
        <v>4</v>
      </c>
      <c r="Q3600" t="inlineStr">
        <is>
          <t>InStock</t>
        </is>
      </c>
      <c r="R3600" t="inlineStr">
        <is>
          <t>undefined</t>
        </is>
      </c>
      <c r="S3600" t="inlineStr">
        <is>
          <t>7580390949049</t>
        </is>
      </c>
    </row>
    <row r="3601" ht="75" customHeight="1">
      <c r="A3601" s="2">
        <f>HYPERLINK("https://camerareadycosmetics.com/products/sydney-grace-luminous-light-face-palette", "https://camerareadycosmetics.com/products/sydney-grace-luminous-light-face-palette")</f>
        <v/>
      </c>
      <c r="B3601" s="2">
        <f>HYPERLINK("https://camerareadycosmetics.com/products/sydney-grace-luminous-light-face-palette", "https://camerareadycosmetics.com/products/sydney-grace-luminous-light-face-palette")</f>
        <v/>
      </c>
      <c r="C3601" t="inlineStr">
        <is>
          <t>Luminous Light Face Palette</t>
        </is>
      </c>
      <c r="D3601" t="inlineStr">
        <is>
          <t>Highlighter Palette，Highlighter Makeup Palette, Glow Bronzer Highlighter Powder Kit,Face illuminator makeup palette</t>
        </is>
      </c>
      <c r="E3601" s="2">
        <f>HYPERLINK("https://www.amazon.com/Highlighter-Palette%EF%BC%8CHighlighter-Makeup-Palette-Bronzer/dp/B07MV3N6QH/ref=sr_1_6?keywords=Luminous+Light+Face+Palette&amp;qid=1695565773&amp;sr=8-6", "https://www.amazon.com/Highlighter-Palette%EF%BC%8CHighlighter-Makeup-Palette-Bronzer/dp/B07MV3N6QH/ref=sr_1_6?keywords=Luminous+Light+Face+Palette&amp;qid=1695565773&amp;sr=8-6")</f>
        <v/>
      </c>
      <c r="F3601" t="inlineStr">
        <is>
          <t>B07MV3N6QH</t>
        </is>
      </c>
      <c r="G3601">
        <f>_xlfn.IMAGE("https://camerareadycosmetics.com/cdn/shop/products/sydney-grace_luminous-palette_Deep-1_50x.jpg?v=1680039533")</f>
        <v/>
      </c>
      <c r="H3601">
        <f>_xlfn.IMAGE("https://m.media-amazon.com/images/I/81q9sKS+A1L._AC_UL320_.jpg")</f>
        <v/>
      </c>
      <c r="K3601" t="inlineStr">
        <is>
          <t>28.0</t>
        </is>
      </c>
      <c r="L3601" t="n">
        <v>4.99</v>
      </c>
      <c r="M3601" s="1" t="inlineStr">
        <is>
          <t>-82.18%</t>
        </is>
      </c>
      <c r="N3601" t="n">
        <v>4.4</v>
      </c>
      <c r="O3601" t="n">
        <v>6798</v>
      </c>
      <c r="Q3601" t="inlineStr">
        <is>
          <t>InStock</t>
        </is>
      </c>
      <c r="R3601" t="inlineStr">
        <is>
          <t>undefined</t>
        </is>
      </c>
      <c r="S3601" t="inlineStr">
        <is>
          <t>7580390949049</t>
        </is>
      </c>
    </row>
    <row r="3602" ht="75" customHeight="1">
      <c r="A3602" s="2">
        <f>HYPERLINK("https://camerareadycosmetics.com/products/sydney-grace-luminous-light-face-palette", "https://camerareadycosmetics.com/products/sydney-grace-luminous-light-face-palette")</f>
        <v/>
      </c>
      <c r="B3602" s="2">
        <f>HYPERLINK("https://camerareadycosmetics.com/products/sydney-grace-luminous-light-face-palette", "https://camerareadycosmetics.com/products/sydney-grace-luminous-light-face-palette")</f>
        <v/>
      </c>
      <c r="C3602" t="inlineStr">
        <is>
          <t>Luminous Light Face Palette</t>
        </is>
      </c>
      <c r="D3602" t="inlineStr">
        <is>
          <t>evpct 8 Colors Highlighter Makeup Palette for Face Highlighters &amp; Luminizers iluminadores de maquillaje profesional Gold Cheek Diamond Shimmer Stick Glitter Contour Bronzer and Highlighter Palette</t>
        </is>
      </c>
      <c r="E3602" s="2">
        <f>HYPERLINK("https://www.amazon.com/Highlighter-Highliterers-iluminadores-profesional-highlighters/dp/B09NSDP4GX/ref=sr_1_4?keywords=Luminous+Light+Face+Palette&amp;qid=1695565773&amp;sr=8-4", "https://www.amazon.com/Highlighter-Highliterers-iluminadores-profesional-highlighters/dp/B09NSDP4GX/ref=sr_1_4?keywords=Luminous+Light+Face+Palette&amp;qid=1695565773&amp;sr=8-4")</f>
        <v/>
      </c>
      <c r="F3602" t="inlineStr">
        <is>
          <t>B09NSDP4GX</t>
        </is>
      </c>
      <c r="G3602">
        <f>_xlfn.IMAGE("https://camerareadycosmetics.com/cdn/shop/products/sydney-grace_luminous-palette_Deep-1_50x.jpg?v=1680039533")</f>
        <v/>
      </c>
      <c r="H3602">
        <f>_xlfn.IMAGE("https://m.media-amazon.com/images/I/71wRox3QFmL._AC_UL320_.jpg")</f>
        <v/>
      </c>
      <c r="K3602" t="inlineStr">
        <is>
          <t>28.0</t>
        </is>
      </c>
      <c r="L3602" t="n">
        <v>8.98</v>
      </c>
      <c r="M3602" s="1" t="inlineStr">
        <is>
          <t>-67.93%</t>
        </is>
      </c>
      <c r="N3602" t="n">
        <v>4.1</v>
      </c>
      <c r="O3602" t="n">
        <v>978</v>
      </c>
      <c r="Q3602" t="inlineStr">
        <is>
          <t>InStock</t>
        </is>
      </c>
      <c r="R3602" t="inlineStr">
        <is>
          <t>undefined</t>
        </is>
      </c>
      <c r="S3602" t="inlineStr">
        <is>
          <t>7580390949049</t>
        </is>
      </c>
    </row>
    <row r="3603" ht="75" customHeight="1">
      <c r="A3603" s="2">
        <f>HYPERLINK("https://camerareadycosmetics.com/products/sydney-grace-luminous-light-face-palette", "https://camerareadycosmetics.com/products/sydney-grace-luminous-light-face-palette")</f>
        <v/>
      </c>
      <c r="B3603" s="2">
        <f>HYPERLINK("https://camerareadycosmetics.com/products/sydney-grace-luminous-light-face-palette", "https://camerareadycosmetics.com/products/sydney-grace-luminous-light-face-palette")</f>
        <v/>
      </c>
      <c r="C3603" t="inlineStr">
        <is>
          <t>Luminous Light Face Palette</t>
        </is>
      </c>
      <c r="D3603" t="inlineStr">
        <is>
          <t>Luminous Bronzer Creme,Natural Bronzer Cosmetic Liquid,Create Advanced Contour Lines,Deepen Side Shadows Beauty Face Palette (01# Light gold)</t>
        </is>
      </c>
      <c r="E3603" s="2">
        <f>HYPERLINK("https://www.amazon.com/Luminous-Bronzer-Natural-Cosmetic-Advanced/dp/B0BV2D3NP7/ref=sr_1_5?keywords=Luminous+Light+Face+Palette&amp;qid=1695565773&amp;sr=8-5", "https://www.amazon.com/Luminous-Bronzer-Natural-Cosmetic-Advanced/dp/B0BV2D3NP7/ref=sr_1_5?keywords=Luminous+Light+Face+Palette&amp;qid=1695565773&amp;sr=8-5")</f>
        <v/>
      </c>
      <c r="F3603" t="inlineStr">
        <is>
          <t>B0BV2D3NP7</t>
        </is>
      </c>
      <c r="G3603">
        <f>_xlfn.IMAGE("https://camerareadycosmetics.com/cdn/shop/products/sydney-grace_luminous-palette_Deep-1_50x.jpg?v=1680039533")</f>
        <v/>
      </c>
      <c r="H3603">
        <f>_xlfn.IMAGE("https://m.media-amazon.com/images/I/51DhwXvzSoL._AC_UL320_.jpg")</f>
        <v/>
      </c>
      <c r="K3603" t="inlineStr">
        <is>
          <t>28.0</t>
        </is>
      </c>
      <c r="L3603" t="n">
        <v>7.99</v>
      </c>
      <c r="M3603" s="1" t="inlineStr">
        <is>
          <t>-71.46%</t>
        </is>
      </c>
      <c r="N3603" t="n">
        <v>3.4</v>
      </c>
      <c r="O3603" t="n">
        <v>4</v>
      </c>
      <c r="Q3603" t="inlineStr">
        <is>
          <t>InStock</t>
        </is>
      </c>
      <c r="R3603" t="inlineStr">
        <is>
          <t>undefined</t>
        </is>
      </c>
      <c r="S3603" t="inlineStr">
        <is>
          <t>7580390949049</t>
        </is>
      </c>
    </row>
    <row r="3604" ht="75" customHeight="1">
      <c r="A3604" s="2">
        <f>HYPERLINK("https://camerareadycosmetics.com/products/sydney-grace-luminous-light-face-palette", "https://camerareadycosmetics.com/products/sydney-grace-luminous-light-face-palette")</f>
        <v/>
      </c>
      <c r="B3604" s="2">
        <f>HYPERLINK("https://camerareadycosmetics.com/products/sydney-grace-luminous-light-face-palette", "https://camerareadycosmetics.com/products/sydney-grace-luminous-light-face-palette")</f>
        <v/>
      </c>
      <c r="C3604" t="inlineStr">
        <is>
          <t>Luminous Light Face Palette</t>
        </is>
      </c>
      <c r="D3604" t="inlineStr">
        <is>
          <t>Highlighter Palette，Highlighter Makeup Palette, Glow Bronzer Highlighter Powder Kit,Face illuminator makeup palette</t>
        </is>
      </c>
      <c r="E3604" s="2">
        <f>HYPERLINK("https://www.amazon.com/Highlighter-Palette%EF%BC%8CHighlighter-Makeup-Palette-Bronzer/dp/B07MV3N6QH/ref=sr_1_6?keywords=Luminous+Light+Face+Palette&amp;qid=1695565773&amp;sr=8-6", "https://www.amazon.com/Highlighter-Palette%EF%BC%8CHighlighter-Makeup-Palette-Bronzer/dp/B07MV3N6QH/ref=sr_1_6?keywords=Luminous+Light+Face+Palette&amp;qid=1695565773&amp;sr=8-6")</f>
        <v/>
      </c>
      <c r="F3604" t="inlineStr">
        <is>
          <t>B07MV3N6QH</t>
        </is>
      </c>
      <c r="G3604">
        <f>_xlfn.IMAGE("https://camerareadycosmetics.com/cdn/shop/products/sydney-grace_luminous-palette_Deep-1_50x.jpg?v=1680039533")</f>
        <v/>
      </c>
      <c r="H3604">
        <f>_xlfn.IMAGE("https://m.media-amazon.com/images/I/81q9sKS+A1L._AC_UL320_.jpg")</f>
        <v/>
      </c>
      <c r="K3604" t="inlineStr">
        <is>
          <t>28.0</t>
        </is>
      </c>
      <c r="L3604" t="n">
        <v>4.99</v>
      </c>
      <c r="M3604" s="1" t="inlineStr">
        <is>
          <t>-82.18%</t>
        </is>
      </c>
      <c r="N3604" t="n">
        <v>4.4</v>
      </c>
      <c r="O3604" t="n">
        <v>6798</v>
      </c>
      <c r="Q3604" t="inlineStr">
        <is>
          <t>InStock</t>
        </is>
      </c>
      <c r="R3604" t="inlineStr">
        <is>
          <t>undefined</t>
        </is>
      </c>
      <c r="S3604" t="inlineStr">
        <is>
          <t>7580390949049</t>
        </is>
      </c>
    </row>
    <row r="3605" ht="75" customHeight="1">
      <c r="A3605" s="2">
        <f>HYPERLINK("https://camerareadycosmetics.com/products/sydney-grace-multi-chrome-cream-eyeshadow", "https://camerareadycosmetics.com/products/sydney-grace-multi-chrome-cream-eyeshadow")</f>
        <v/>
      </c>
      <c r="B3605" s="2">
        <f>HYPERLINK("https://camerareadycosmetics.com/products/sydney-grace-multi-chrome-cream-eyeshadow", "https://camerareadycosmetics.com/products/sydney-grace-multi-chrome-cream-eyeshadow")</f>
        <v/>
      </c>
      <c r="C3605" t="inlineStr">
        <is>
          <t>Multi-Chrome Cream Eyeshadow</t>
        </is>
      </c>
      <c r="D3605" t="inlineStr">
        <is>
          <t>Concrete Minerals MultiChrome Eyeshadow, Intense Color Shifting, Longer-Lasting With No Creasing, 100% Vegan and Cruelty Free, Handmade in USA, 2.4 Grams Loose Mineral Powder (Sample Bundle)</t>
        </is>
      </c>
      <c r="E3605" s="2" t="n"/>
      <c r="F3605" t="inlineStr">
        <is>
          <t>B08ZGSXGKC</t>
        </is>
      </c>
      <c r="G3605">
        <f>_xlfn.IMAGE("https://camerareadycosmetics.com/cdn/shop/products/phoenix-cream-eyeshadow_50x.jpg?v=1688676623")</f>
        <v/>
      </c>
      <c r="H3605">
        <f>_xlfn.IMAGE("https://m.media-amazon.com/images/I/71cIT5mffbL._AC_UL320_.jpg")</f>
        <v/>
      </c>
      <c r="K3605" t="inlineStr">
        <is>
          <t>15.0</t>
        </is>
      </c>
      <c r="L3605" t="n">
        <v>46</v>
      </c>
      <c r="M3605" s="1" t="inlineStr">
        <is>
          <t>206.67%</t>
        </is>
      </c>
      <c r="N3605" t="n">
        <v>4.2</v>
      </c>
      <c r="O3605" t="n">
        <v>1317</v>
      </c>
      <c r="Q3605" t="inlineStr">
        <is>
          <t>InStock</t>
        </is>
      </c>
      <c r="R3605" t="inlineStr">
        <is>
          <t>undefined</t>
        </is>
      </c>
      <c r="S3605" t="inlineStr">
        <is>
          <t>7245374881977</t>
        </is>
      </c>
    </row>
    <row r="3606" ht="75" customHeight="1">
      <c r="A3606" s="2">
        <f>HYPERLINK("https://camerareadycosmetics.com/products/sydney-grace-multi-chrome-cream-eyeshadow", "https://camerareadycosmetics.com/products/sydney-grace-multi-chrome-cream-eyeshadow")</f>
        <v/>
      </c>
      <c r="B3606" s="2">
        <f>HYPERLINK("https://camerareadycosmetics.com/products/sydney-grace-multi-chrome-cream-eyeshadow", "https://camerareadycosmetics.com/products/sydney-grace-multi-chrome-cream-eyeshadow")</f>
        <v/>
      </c>
      <c r="C3606" t="inlineStr">
        <is>
          <t>Multi-Chrome Cream Eyeshadow</t>
        </is>
      </c>
      <c r="D3606" t="inlineStr">
        <is>
          <t>Bowitzki 3.5g Cream Multi Chrome Eyeshadow Multichrome Chameleon Gel Makeup Color shifting Multi-chrome Longer Lasting No Creasing Shimmer Eye Shadow - nebula</t>
        </is>
      </c>
      <c r="E3606" s="2">
        <f>HYPERLINK("https://www.amazon.com/Bowitzki-Eyeshadow-Multichrome-Chameleon-Multi-chrome/dp/B09L4LNSWW/ref=sr_1_6?keywords=Multi-Chrome+Cream+Eyeshadow&amp;qid=1695565681&amp;sr=8-6", "https://www.amazon.com/Bowitzki-Eyeshadow-Multichrome-Chameleon-Multi-chrome/dp/B09L4LNSWW/ref=sr_1_6?keywords=Multi-Chrome+Cream+Eyeshadow&amp;qid=1695565681&amp;sr=8-6")</f>
        <v/>
      </c>
      <c r="F3606" t="inlineStr">
        <is>
          <t>B09L4LNSWW</t>
        </is>
      </c>
      <c r="G3606">
        <f>_xlfn.IMAGE("https://camerareadycosmetics.com/cdn/shop/products/phoenix-cream-eyeshadow_50x.jpg?v=1688676623")</f>
        <v/>
      </c>
      <c r="H3606">
        <f>_xlfn.IMAGE("https://m.media-amazon.com/images/I/61SLRXH27IL._AC_UL320_.jpg")</f>
        <v/>
      </c>
      <c r="K3606" t="inlineStr">
        <is>
          <t>15.0</t>
        </is>
      </c>
      <c r="L3606" t="n">
        <v>14.99</v>
      </c>
      <c r="M3606" s="1" t="inlineStr">
        <is>
          <t>-0.07%</t>
        </is>
      </c>
      <c r="N3606" t="n">
        <v>3.7</v>
      </c>
      <c r="O3606" t="n">
        <v>109</v>
      </c>
      <c r="Q3606" t="inlineStr">
        <is>
          <t>InStock</t>
        </is>
      </c>
      <c r="R3606" t="inlineStr">
        <is>
          <t>undefined</t>
        </is>
      </c>
      <c r="S3606" t="inlineStr">
        <is>
          <t>7245374881977</t>
        </is>
      </c>
    </row>
    <row r="3607" ht="75" customHeight="1">
      <c r="A3607" s="2">
        <f>HYPERLINK("https://camerareadycosmetics.com/products/sydney-grace-multi-chrome-cream-eyeshadow", "https://camerareadycosmetics.com/products/sydney-grace-multi-chrome-cream-eyeshadow")</f>
        <v/>
      </c>
      <c r="B3607" s="2">
        <f>HYPERLINK("https://camerareadycosmetics.com/products/sydney-grace-multi-chrome-cream-eyeshadow", "https://camerareadycosmetics.com/products/sydney-grace-multi-chrome-cream-eyeshadow")</f>
        <v/>
      </c>
      <c r="C3607" t="inlineStr">
        <is>
          <t>Multi-Chrome Cream Eyeshadow</t>
        </is>
      </c>
      <c r="D3607" t="inlineStr">
        <is>
          <t>CHARMACY Multi Chrome Flakes Cream Chameleon Gel Eyeshadow, Highly Pigmented Long Lasting, Sparkle Metallic Eyeshadow Makeup, 2.8g (#06)</t>
        </is>
      </c>
      <c r="E3607" s="2">
        <f>HYPERLINK("https://www.amazon.com/CHARMACY-Chameleon-Eyeshadow-Pigmented-Metallic/dp/B09QM18XCG/ref=sr_1_7?keywords=Multi-Chrome+Cream+Eyeshadow&amp;qid=1695565681&amp;sr=8-7", "https://www.amazon.com/CHARMACY-Chameleon-Eyeshadow-Pigmented-Metallic/dp/B09QM18XCG/ref=sr_1_7?keywords=Multi-Chrome+Cream+Eyeshadow&amp;qid=1695565681&amp;sr=8-7")</f>
        <v/>
      </c>
      <c r="F3607" t="inlineStr">
        <is>
          <t>B09QM18XCG</t>
        </is>
      </c>
      <c r="G3607">
        <f>_xlfn.IMAGE("https://camerareadycosmetics.com/cdn/shop/products/phoenix-cream-eyeshadow_50x.jpg?v=1688676623")</f>
        <v/>
      </c>
      <c r="H3607">
        <f>_xlfn.IMAGE("https://m.media-amazon.com/images/I/71Jv3ZjB1nL._AC_UL320_.jpg")</f>
        <v/>
      </c>
      <c r="K3607" t="inlineStr">
        <is>
          <t>15.0</t>
        </is>
      </c>
      <c r="L3607" t="n">
        <v>11.99</v>
      </c>
      <c r="M3607" s="1" t="inlineStr">
        <is>
          <t>-20.07%</t>
        </is>
      </c>
      <c r="N3607" t="n">
        <v>3.9</v>
      </c>
      <c r="O3607" t="n">
        <v>81</v>
      </c>
      <c r="Q3607" t="inlineStr">
        <is>
          <t>InStock</t>
        </is>
      </c>
      <c r="R3607" t="inlineStr">
        <is>
          <t>undefined</t>
        </is>
      </c>
      <c r="S3607" t="inlineStr">
        <is>
          <t>7245374881977</t>
        </is>
      </c>
    </row>
    <row r="3608" ht="75" customHeight="1">
      <c r="A3608" s="2">
        <f>HYPERLINK("https://camerareadycosmetics.com/products/sydney-grace-multi-chrome-cream-eyeshadow", "https://camerareadycosmetics.com/products/sydney-grace-multi-chrome-cream-eyeshadow")</f>
        <v/>
      </c>
      <c r="B3608" s="2">
        <f>HYPERLINK("https://camerareadycosmetics.com/products/sydney-grace-multi-chrome-cream-eyeshadow", "https://camerareadycosmetics.com/products/sydney-grace-multi-chrome-cream-eyeshadow")</f>
        <v/>
      </c>
      <c r="C3608" t="inlineStr">
        <is>
          <t>Multi-Chrome Cream Eyeshadow</t>
        </is>
      </c>
      <c r="D3608" t="inlineStr">
        <is>
          <t>FOCALLURE Chameleon Cream Eyeshadow,Intense Color Shifting Creamy Eye Shadows,Highly Pigmented Metallic,Shimmer,Multi-Reflective Finishes,Neon Desert</t>
        </is>
      </c>
      <c r="E3608" s="2">
        <f>HYPERLINK("https://www.amazon.com/FOCALLURE-Chameleon-Eyeshadow-Multi-Reflective-Long-Lasting/dp/B09QYNPGYS/ref=sr_1_9?keywords=Multi-Chrome+Cream+Eyeshadow&amp;qid=1695565681&amp;sr=8-9", "https://www.amazon.com/FOCALLURE-Chameleon-Eyeshadow-Multi-Reflective-Long-Lasting/dp/B09QYNPGYS/ref=sr_1_9?keywords=Multi-Chrome+Cream+Eyeshadow&amp;qid=1695565681&amp;sr=8-9")</f>
        <v/>
      </c>
      <c r="F3608" t="inlineStr">
        <is>
          <t>B09QYNPGYS</t>
        </is>
      </c>
      <c r="G3608">
        <f>_xlfn.IMAGE("https://camerareadycosmetics.com/cdn/shop/products/phoenix-cream-eyeshadow_50x.jpg?v=1688676623")</f>
        <v/>
      </c>
      <c r="H3608">
        <f>_xlfn.IMAGE("https://m.media-amazon.com/images/I/71Q9guAy8TL._AC_UL320_.jpg")</f>
        <v/>
      </c>
      <c r="K3608" t="inlineStr">
        <is>
          <t>15.0</t>
        </is>
      </c>
      <c r="L3608" t="n">
        <v>9.949999999999999</v>
      </c>
      <c r="M3608" s="1" t="inlineStr">
        <is>
          <t>-33.67%</t>
        </is>
      </c>
      <c r="N3608" t="n">
        <v>3.7</v>
      </c>
      <c r="O3608" t="n">
        <v>629</v>
      </c>
      <c r="Q3608" t="inlineStr">
        <is>
          <t>InStock</t>
        </is>
      </c>
      <c r="R3608" t="inlineStr">
        <is>
          <t>undefined</t>
        </is>
      </c>
      <c r="S3608" t="inlineStr">
        <is>
          <t>7245374881977</t>
        </is>
      </c>
    </row>
    <row r="3609" ht="75" customHeight="1">
      <c r="A3609" s="2">
        <f>HYPERLINK("https://camerareadycosmetics.com/products/sydney-grace-multi-chrome-cream-eyeshadow", "https://camerareadycosmetics.com/products/sydney-grace-multi-chrome-cream-eyeshadow")</f>
        <v/>
      </c>
      <c r="B3609" s="2">
        <f>HYPERLINK("https://camerareadycosmetics.com/products/sydney-grace-multi-chrome-cream-eyeshadow", "https://camerareadycosmetics.com/products/sydney-grace-multi-chrome-cream-eyeshadow")</f>
        <v/>
      </c>
      <c r="C3609" t="inlineStr">
        <is>
          <t>Multi-Chrome Cream Eyeshadow</t>
        </is>
      </c>
      <c r="D3609" t="inlineStr">
        <is>
          <t>CHARMACY Multichrome 2 in 1 Cream Eyeshadow Stick, Waterproof Eye Brightener Highlighter Stick Makeup, High Pigmented, Smudge-Proof, Vegan &amp; Cruelty-Free (#901)</t>
        </is>
      </c>
      <c r="E3609" s="2">
        <f>HYPERLINK("https://www.amazon.com/CHARMACY-Multichrome-Highlighter-Smudge-Proof-Cruelty-Free/dp/B0C4D9MW78/ref=sr_1_8?keywords=Multi-Chrome+Cream+Eyeshadow&amp;qid=1695565681&amp;sr=8-8", "https://www.amazon.com/CHARMACY-Multichrome-Highlighter-Smudge-Proof-Cruelty-Free/dp/B0C4D9MW78/ref=sr_1_8?keywords=Multi-Chrome+Cream+Eyeshadow&amp;qid=1695565681&amp;sr=8-8")</f>
        <v/>
      </c>
      <c r="F3609" t="inlineStr">
        <is>
          <t>B0C4D9MW78</t>
        </is>
      </c>
      <c r="G3609">
        <f>_xlfn.IMAGE("https://camerareadycosmetics.com/cdn/shop/products/phoenix-cream-eyeshadow_50x.jpg?v=1688676623")</f>
        <v/>
      </c>
      <c r="H3609">
        <f>_xlfn.IMAGE("https://m.media-amazon.com/images/I/71vgG5wA1IL._AC_UL320_.jpg")</f>
        <v/>
      </c>
      <c r="K3609" t="inlineStr">
        <is>
          <t>15.0</t>
        </is>
      </c>
      <c r="L3609" t="n">
        <v>9.59</v>
      </c>
      <c r="M3609" s="1" t="inlineStr">
        <is>
          <t>-36.07%</t>
        </is>
      </c>
      <c r="N3609" t="n">
        <v>3.9</v>
      </c>
      <c r="O3609" t="n">
        <v>96</v>
      </c>
      <c r="Q3609" t="inlineStr">
        <is>
          <t>InStock</t>
        </is>
      </c>
      <c r="R3609" t="inlineStr">
        <is>
          <t>undefined</t>
        </is>
      </c>
      <c r="S3609" t="inlineStr">
        <is>
          <t>7245374881977</t>
        </is>
      </c>
    </row>
    <row r="3610" ht="75" customHeight="1">
      <c r="A3610" s="2">
        <f>HYPERLINK("https://camerareadycosmetics.com/products/sydney-grace-multi-chrome-cream-eyeshadow", "https://camerareadycosmetics.com/products/sydney-grace-multi-chrome-cream-eyeshadow")</f>
        <v/>
      </c>
      <c r="B3610" s="2">
        <f>HYPERLINK("https://camerareadycosmetics.com/products/sydney-grace-multi-chrome-cream-eyeshadow", "https://camerareadycosmetics.com/products/sydney-grace-multi-chrome-cream-eyeshadow")</f>
        <v/>
      </c>
      <c r="C3610" t="inlineStr">
        <is>
          <t>Multi-Chrome Cream Eyeshadow</t>
        </is>
      </c>
      <c r="D3610" t="inlineStr">
        <is>
          <t>MEICOLY Cream Chameleon Eyeshadow Gel,Color Change Intense Color Shifting Creamy Thick Apply Eye Shadows,Multi Chrome Flakes,Glitter,Sparkle Metallic,Shimmer,No Creasing,Rain Forest</t>
        </is>
      </c>
      <c r="E3610" s="2">
        <f>HYPERLINK("https://www.amazon.com/MEICOLY-Chameleon-Eyeshadow-Shifting-Metallic/dp/B0B1YLQJ2H/ref=sr_1_5?keywords=Multi-Chrome+Cream+Eyeshadow&amp;qid=1695565681&amp;sr=8-5", "https://www.amazon.com/MEICOLY-Chameleon-Eyeshadow-Shifting-Metallic/dp/B0B1YLQJ2H/ref=sr_1_5?keywords=Multi-Chrome+Cream+Eyeshadow&amp;qid=1695565681&amp;sr=8-5")</f>
        <v/>
      </c>
      <c r="F3610" t="inlineStr">
        <is>
          <t>B0B1YLQJ2H</t>
        </is>
      </c>
      <c r="G3610">
        <f>_xlfn.IMAGE("https://camerareadycosmetics.com/cdn/shop/products/phoenix-cream-eyeshadow_50x.jpg?v=1688676623")</f>
        <v/>
      </c>
      <c r="H3610">
        <f>_xlfn.IMAGE("https://m.media-amazon.com/images/I/71EBkw9EobL._AC_UL320_.jpg")</f>
        <v/>
      </c>
      <c r="K3610" t="inlineStr">
        <is>
          <t>15.0</t>
        </is>
      </c>
      <c r="L3610" t="n">
        <v>5.99</v>
      </c>
      <c r="M3610" s="1" t="inlineStr">
        <is>
          <t>-60.07%</t>
        </is>
      </c>
      <c r="N3610" t="n">
        <v>3.5</v>
      </c>
      <c r="O3610" t="n">
        <v>27</v>
      </c>
      <c r="Q3610" t="inlineStr">
        <is>
          <t>InStock</t>
        </is>
      </c>
      <c r="R3610" t="inlineStr">
        <is>
          <t>undefined</t>
        </is>
      </c>
      <c r="S3610" t="inlineStr">
        <is>
          <t>7245374881977</t>
        </is>
      </c>
    </row>
    <row r="3611" ht="75" customHeight="1">
      <c r="A3611" s="2">
        <f>HYPERLINK("https://camerareadycosmetics.com/products/sydney-grace-multi-chrome-cream-eyeshadow", "https://camerareadycosmetics.com/products/sydney-grace-multi-chrome-cream-eyeshadow")</f>
        <v/>
      </c>
      <c r="B3611" s="2">
        <f>HYPERLINK("https://camerareadycosmetics.com/products/sydney-grace-multi-chrome-cream-eyeshadow", "https://camerareadycosmetics.com/products/sydney-grace-multi-chrome-cream-eyeshadow")</f>
        <v/>
      </c>
      <c r="C3611" t="inlineStr">
        <is>
          <t>Multi-Chrome Cream Eyeshadow</t>
        </is>
      </c>
      <c r="D3611" t="inlineStr">
        <is>
          <t>SUSIKEKI Liquid Glitter Eyeshadow,Chameleon Multichrome Metallic Shimmer Eye Shadows for Bold Smokey Makeup Looks,Long Lasting,Quick Drying,Opaque,Sparkling Korean Makeup Kits(#5 &amp; #6)</t>
        </is>
      </c>
      <c r="E3611" s="2">
        <f>HYPERLINK("https://www.amazon.com/SUSIKEKI-Eyeshadow-Chameleon-Multichrome-Sparkling/dp/B0BWDZ76GW/ref=sr_1_10?keywords=Multi-Chrome+Cream+Eyeshadow&amp;qid=1695565681&amp;sr=8-10", "https://www.amazon.com/SUSIKEKI-Eyeshadow-Chameleon-Multichrome-Sparkling/dp/B0BWDZ76GW/ref=sr_1_10?keywords=Multi-Chrome+Cream+Eyeshadow&amp;qid=1695565681&amp;sr=8-10")</f>
        <v/>
      </c>
      <c r="F3611" t="inlineStr">
        <is>
          <t>B0BWDZ76GW</t>
        </is>
      </c>
      <c r="G3611">
        <f>_xlfn.IMAGE("https://camerareadycosmetics.com/cdn/shop/products/phoenix-cream-eyeshadow_50x.jpg?v=1688676623")</f>
        <v/>
      </c>
      <c r="H3611">
        <f>_xlfn.IMAGE("https://m.media-amazon.com/images/I/71xOj1YrVWL._AC_UL320_.jpg")</f>
        <v/>
      </c>
      <c r="K3611" t="inlineStr">
        <is>
          <t>15.0</t>
        </is>
      </c>
      <c r="L3611" t="n">
        <v>4.99</v>
      </c>
      <c r="M3611" s="1" t="inlineStr">
        <is>
          <t>-66.73%</t>
        </is>
      </c>
      <c r="N3611" t="n">
        <v>3.3</v>
      </c>
      <c r="O3611" t="n">
        <v>30</v>
      </c>
      <c r="Q3611" t="inlineStr">
        <is>
          <t>InStock</t>
        </is>
      </c>
      <c r="R3611" t="inlineStr">
        <is>
          <t>undefined</t>
        </is>
      </c>
      <c r="S3611" t="inlineStr">
        <is>
          <t>7245374881977</t>
        </is>
      </c>
    </row>
    <row r="3612" ht="75" customHeight="1">
      <c r="A3612" s="2">
        <f>HYPERLINK("https://camerareadycosmetics.com/products/sydney-grace-multi-chrome-cream-eyeshadow", "https://camerareadycosmetics.com/products/sydney-grace-multi-chrome-cream-eyeshadow")</f>
        <v/>
      </c>
      <c r="B3612" s="2">
        <f>HYPERLINK("https://camerareadycosmetics.com/products/sydney-grace-multi-chrome-cream-eyeshadow", "https://camerareadycosmetics.com/products/sydney-grace-multi-chrome-cream-eyeshadow")</f>
        <v/>
      </c>
      <c r="C3612" t="inlineStr">
        <is>
          <t>Multi-Chrome Cream Eyeshadow</t>
        </is>
      </c>
      <c r="D3612" t="inlineStr">
        <is>
          <t>MEICOLY Cream Chameleon Eyeshadow Gel,Color Change Intense Color Shifting Creamy Thick Apply Eye Shadows,Multi Chrome Flakes,Glitter,Sparkle Metallic,Shimmer,No Creasing,Rain Forest</t>
        </is>
      </c>
      <c r="E3612" s="2">
        <f>HYPERLINK("https://www.amazon.com/MEICOLY-Chameleon-Eyeshadow-Shifting-Metallic/dp/B0B1YLQJ2H/ref=sr_1_5?keywords=Multi-Chrome+Cream+Eyeshadow&amp;qid=1695565681&amp;sr=8-5", "https://www.amazon.com/MEICOLY-Chameleon-Eyeshadow-Shifting-Metallic/dp/B0B1YLQJ2H/ref=sr_1_5?keywords=Multi-Chrome+Cream+Eyeshadow&amp;qid=1695565681&amp;sr=8-5")</f>
        <v/>
      </c>
      <c r="F3612" t="inlineStr">
        <is>
          <t>B0B1YLQJ2H</t>
        </is>
      </c>
      <c r="G3612">
        <f>_xlfn.IMAGE("https://camerareadycosmetics.com/cdn/shop/products/phoenix-cream-eyeshadow_50x.jpg?v=1688676623")</f>
        <v/>
      </c>
      <c r="H3612">
        <f>_xlfn.IMAGE("https://m.media-amazon.com/images/I/71EBkw9EobL._AC_UL320_.jpg")</f>
        <v/>
      </c>
      <c r="K3612" t="inlineStr">
        <is>
          <t>15.0</t>
        </is>
      </c>
      <c r="L3612" t="n">
        <v>5.99</v>
      </c>
      <c r="M3612" s="1" t="inlineStr">
        <is>
          <t>-60.07%</t>
        </is>
      </c>
      <c r="N3612" t="n">
        <v>3.5</v>
      </c>
      <c r="O3612" t="n">
        <v>27</v>
      </c>
      <c r="Q3612" t="inlineStr">
        <is>
          <t>InStock</t>
        </is>
      </c>
      <c r="R3612" t="inlineStr">
        <is>
          <t>undefined</t>
        </is>
      </c>
      <c r="S3612" t="inlineStr">
        <is>
          <t>7245374881977</t>
        </is>
      </c>
    </row>
    <row r="3613" ht="75" customHeight="1">
      <c r="A3613" s="2">
        <f>HYPERLINK("https://camerareadycosmetics.com/products/sydney-grace-multi-chrome-cream-eyeshadow", "https://camerareadycosmetics.com/products/sydney-grace-multi-chrome-cream-eyeshadow")</f>
        <v/>
      </c>
      <c r="B3613" s="2">
        <f>HYPERLINK("https://camerareadycosmetics.com/products/sydney-grace-multi-chrome-cream-eyeshadow", "https://camerareadycosmetics.com/products/sydney-grace-multi-chrome-cream-eyeshadow")</f>
        <v/>
      </c>
      <c r="C3613" t="inlineStr">
        <is>
          <t>Multi-Chrome Cream Eyeshadow</t>
        </is>
      </c>
      <c r="D3613" t="inlineStr">
        <is>
          <t>SUSIKEKI Liquid Glitter Eyeshadow,Chameleon Multichrome Metallic Shimmer Eye Shadows for Bold Smokey Makeup Looks,Long Lasting,Quick Drying,Opaque,Sparkling Korean Makeup Kits(#5 &amp; #6)</t>
        </is>
      </c>
      <c r="E3613" s="2">
        <f>HYPERLINK("https://www.amazon.com/SUSIKEKI-Eyeshadow-Chameleon-Multichrome-Sparkling/dp/B0BWDZ76GW/ref=sr_1_10?keywords=Multi-Chrome+Cream+Eyeshadow&amp;qid=1695565681&amp;sr=8-10", "https://www.amazon.com/SUSIKEKI-Eyeshadow-Chameleon-Multichrome-Sparkling/dp/B0BWDZ76GW/ref=sr_1_10?keywords=Multi-Chrome+Cream+Eyeshadow&amp;qid=1695565681&amp;sr=8-10")</f>
        <v/>
      </c>
      <c r="F3613" t="inlineStr">
        <is>
          <t>B0BWDZ76GW</t>
        </is>
      </c>
      <c r="G3613">
        <f>_xlfn.IMAGE("https://camerareadycosmetics.com/cdn/shop/products/phoenix-cream-eyeshadow_50x.jpg?v=1688676623")</f>
        <v/>
      </c>
      <c r="H3613">
        <f>_xlfn.IMAGE("https://m.media-amazon.com/images/I/71xOj1YrVWL._AC_UL320_.jpg")</f>
        <v/>
      </c>
      <c r="K3613" t="inlineStr">
        <is>
          <t>15.0</t>
        </is>
      </c>
      <c r="L3613" t="n">
        <v>4.99</v>
      </c>
      <c r="M3613" s="1" t="inlineStr">
        <is>
          <t>-66.73%</t>
        </is>
      </c>
      <c r="N3613" t="n">
        <v>3.3</v>
      </c>
      <c r="O3613" t="n">
        <v>30</v>
      </c>
      <c r="Q3613" t="inlineStr">
        <is>
          <t>InStock</t>
        </is>
      </c>
      <c r="R3613" t="inlineStr">
        <is>
          <t>undefined</t>
        </is>
      </c>
      <c r="S3613" t="inlineStr">
        <is>
          <t>7245374881977</t>
        </is>
      </c>
    </row>
    <row r="3614" ht="75" customHeight="1">
      <c r="A3614" s="2">
        <f>HYPERLINK("https://camerareadycosmetics.com/products/sydney-grace-multi-chrome-eyeshadows", "https://camerareadycosmetics.com/products/sydney-grace-multi-chrome-eyeshadows")</f>
        <v/>
      </c>
      <c r="B3614" s="2">
        <f>HYPERLINK("https://camerareadycosmetics.com/products/sydney-grace-multi-chrome-eyeshadows", "https://camerareadycosmetics.com/products/sydney-grace-multi-chrome-eyeshadows")</f>
        <v/>
      </c>
      <c r="C3614" t="inlineStr">
        <is>
          <t>Multi-Chrome Eyeshadows</t>
        </is>
      </c>
      <c r="D3614" t="inlineStr">
        <is>
          <t>Jolilab Metallic Liquid Chameleon Eyeshadow, Multi-Dimensional Eye Looks, Long-lasting Holographic Glitter Multichrome Eyeshadows Makeup (#Peacock+Wonder+Ember)</t>
        </is>
      </c>
      <c r="E3614" s="2">
        <f>HYPERLINK("https://www.amazon.com/Jolilab-Multi-Dimensional-Long-lasting-Holographic-Multichrome/dp/B09YLZ9JBF/ref=sr_1_7?keywords=Multi-Chrome+Eyeshadows&amp;qid=1695565709&amp;sr=8-7", "https://www.amazon.com/Jolilab-Multi-Dimensional-Long-lasting-Holographic-Multichrome/dp/B09YLZ9JBF/ref=sr_1_7?keywords=Multi-Chrome+Eyeshadows&amp;qid=1695565709&amp;sr=8-7")</f>
        <v/>
      </c>
      <c r="F3614" t="inlineStr">
        <is>
          <t>B09YLZ9JBF</t>
        </is>
      </c>
      <c r="G3614">
        <f>_xlfn.IMAGE("https://camerareadycosmetics.com/cdn/shop/products/beauregarde-multichrome-eyeshadow-sydney-grace_50x.jpg?v=1688676547")</f>
        <v/>
      </c>
      <c r="H3614">
        <f>_xlfn.IMAGE("https://m.media-amazon.com/images/I/816HFC0Tv5L._AC_UL320_.jpg")</f>
        <v/>
      </c>
      <c r="K3614" t="inlineStr">
        <is>
          <t>15.0</t>
        </is>
      </c>
      <c r="L3614" t="n">
        <v>13.99</v>
      </c>
      <c r="M3614" s="1" t="inlineStr">
        <is>
          <t>-6.73%</t>
        </is>
      </c>
      <c r="N3614" t="n">
        <v>4.4</v>
      </c>
      <c r="O3614" t="n">
        <v>787</v>
      </c>
      <c r="Q3614" t="inlineStr">
        <is>
          <t>InStock</t>
        </is>
      </c>
      <c r="R3614" t="inlineStr">
        <is>
          <t>undefined</t>
        </is>
      </c>
      <c r="S3614" t="inlineStr">
        <is>
          <t>7245260062905</t>
        </is>
      </c>
    </row>
    <row r="3615" ht="75" customHeight="1">
      <c r="A3615" s="2">
        <f>HYPERLINK("https://camerareadycosmetics.com/products/sydney-grace-multi-chrome-eyeshadows", "https://camerareadycosmetics.com/products/sydney-grace-multi-chrome-eyeshadows")</f>
        <v/>
      </c>
      <c r="B3615" s="2">
        <f>HYPERLINK("https://camerareadycosmetics.com/products/sydney-grace-multi-chrome-eyeshadows", "https://camerareadycosmetics.com/products/sydney-grace-multi-chrome-eyeshadows")</f>
        <v/>
      </c>
      <c r="C3615" t="inlineStr">
        <is>
          <t>Multi-Chrome Eyeshadows</t>
        </is>
      </c>
      <c r="D3615" t="inlineStr">
        <is>
          <t>OYGCee Multi Chrome Duochrome Shimmer Liquid Makeup Eyeshadows, Afflano Duo-Chrome Blue Green Metallic Sparkly Liquid Eyeshadow,Quick Drying Safe Formula,Blue and Green,Talc Free,#10…</t>
        </is>
      </c>
      <c r="E3615" s="2">
        <f>HYPERLINK("https://www.amazon.com/OYGCee-Duochrome-Eyeshadows-Duo-Chrome-Eyeshadow/dp/B0C3C7DHGZ/ref=sr_1_10?keywords=Multi-Chrome+Eyeshadows&amp;qid=1695565709&amp;sr=8-10", "https://www.amazon.com/OYGCee-Duochrome-Eyeshadows-Duo-Chrome-Eyeshadow/dp/B0C3C7DHGZ/ref=sr_1_10?keywords=Multi-Chrome+Eyeshadows&amp;qid=1695565709&amp;sr=8-10")</f>
        <v/>
      </c>
      <c r="F3615" t="inlineStr">
        <is>
          <t>B0C3C7DHGZ</t>
        </is>
      </c>
      <c r="G3615">
        <f>_xlfn.IMAGE("https://camerareadycosmetics.com/cdn/shop/products/beauregarde-multichrome-eyeshadow-sydney-grace_50x.jpg?v=1688676547")</f>
        <v/>
      </c>
      <c r="H3615">
        <f>_xlfn.IMAGE("https://m.media-amazon.com/images/I/61hDEmkFfHL._AC_UL320_.jpg")</f>
        <v/>
      </c>
      <c r="K3615" t="inlineStr">
        <is>
          <t>15.0</t>
        </is>
      </c>
      <c r="L3615" t="n">
        <v>9.99</v>
      </c>
      <c r="M3615" s="1" t="inlineStr">
        <is>
          <t>-33.40%</t>
        </is>
      </c>
      <c r="N3615" t="n">
        <v>4</v>
      </c>
      <c r="O3615" t="n">
        <v>4</v>
      </c>
      <c r="Q3615" t="inlineStr">
        <is>
          <t>InStock</t>
        </is>
      </c>
      <c r="R3615" t="inlineStr">
        <is>
          <t>undefined</t>
        </is>
      </c>
      <c r="S3615" t="inlineStr">
        <is>
          <t>7245260062905</t>
        </is>
      </c>
    </row>
    <row r="3616" ht="75" customHeight="1">
      <c r="A3616" s="2">
        <f>HYPERLINK("https://camerareadycosmetics.com/products/sydney-grace-pressed-pigment-shadows", "https://camerareadycosmetics.com/products/sydney-grace-pressed-pigment-shadows")</f>
        <v/>
      </c>
      <c r="B3616" s="2">
        <f>HYPERLINK("https://camerareadycosmetics.com/products/sydney-grace-pressed-pigment-shadows", "https://camerareadycosmetics.com/products/sydney-grace-pressed-pigment-shadows")</f>
        <v/>
      </c>
      <c r="C3616" t="inlineStr">
        <is>
          <t>Pressed Pigment Eyeshadows</t>
        </is>
      </c>
      <c r="D3616" t="inlineStr">
        <is>
          <t>You*Niverse Cosmetic Colorist by Horizon Group USA, Create 15 Hand Pressed Eyeshadows, STEAM Kit, Includes Magnetic Eyeshadow Palette, Colorful Eyeshadow Pigments, Eyeshadow Tamper Tool &amp; More,Multi</t>
        </is>
      </c>
      <c r="E3616" s="2">
        <f>HYPERLINK("https://www.amazon.com/You-Niverse-Cosmetic-Eyeshadows-Eyeshadow/dp/B09FG9GV5X/ref=sr_1_3?keywords=Pressed+Pigment+Eyeshadows&amp;qid=1695565445&amp;sr=8-3", "https://www.amazon.com/You-Niverse-Cosmetic-Eyeshadows-Eyeshadow/dp/B09FG9GV5X/ref=sr_1_3?keywords=Pressed+Pigment+Eyeshadows&amp;qid=1695565445&amp;sr=8-3")</f>
        <v/>
      </c>
      <c r="F3616" t="inlineStr">
        <is>
          <t>B09FG9GV5X</t>
        </is>
      </c>
      <c r="G3616">
        <f>_xlfn.IMAGE("https://camerareadycosmetics.com/cdn/shop/products/The-Greatest-Gift_pressed-pigment_50x.jpg?v=1624120707")</f>
        <v/>
      </c>
      <c r="H3616">
        <f>_xlfn.IMAGE("https://m.media-amazon.com/images/I/814GjUi94mL._AC_UL320_.jpg")</f>
        <v/>
      </c>
      <c r="K3616" t="inlineStr">
        <is>
          <t>6.25</t>
        </is>
      </c>
      <c r="L3616" t="n">
        <v>16.99</v>
      </c>
      <c r="M3616" s="1" t="inlineStr">
        <is>
          <t>171.84%</t>
        </is>
      </c>
      <c r="N3616" t="n">
        <v>4.5</v>
      </c>
      <c r="O3616" t="n">
        <v>37</v>
      </c>
      <c r="Q3616" t="inlineStr">
        <is>
          <t>InStock</t>
        </is>
      </c>
      <c r="R3616" t="inlineStr">
        <is>
          <t>undefined</t>
        </is>
      </c>
      <c r="S3616" t="inlineStr">
        <is>
          <t>6782157422777</t>
        </is>
      </c>
    </row>
    <row r="3617" ht="75" customHeight="1">
      <c r="A3617" s="2">
        <f>HYPERLINK("https://camerareadycosmetics.com/products/temptu-24-hour-hydra-lock-airbrush-foundation", "https://camerareadycosmetics.com/products/temptu-24-hour-hydra-lock-airbrush-foundation")</f>
        <v/>
      </c>
      <c r="B3617" s="2">
        <f>HYPERLINK("https://camerareadycosmetics.com/products/temptu-24-hour-hydra-lock-airbrush-foundation", "https://camerareadycosmetics.com/products/temptu-24-hour-hydra-lock-airbrush-foundation")</f>
        <v/>
      </c>
      <c r="C3617" t="inlineStr">
        <is>
          <t>Perfect Canvas Hydra Lock Airbrush Foundation (.25oz.)</t>
        </is>
      </c>
      <c r="D3617" t="inlineStr">
        <is>
          <t>Temptu Perfect Canvas Hydra Lock Airbrush Foundation Trio, Nude</t>
        </is>
      </c>
      <c r="E3617" s="2">
        <f>HYPERLINK("https://www.amazon.com/Temptu-Perfect-Canvas-Airpod-Foundation/dp/B07HM5QVZV/ref=sr_1_4?keywords=Perfect+Canvas+Hydra+Lock+Airbrush+Foundation+%28.25oz.%29&amp;qid=1695565442&amp;sr=8-4", "https://www.amazon.com/Temptu-Perfect-Canvas-Airpod-Foundation/dp/B07HM5QVZV/ref=sr_1_4?keywords=Perfect+Canvas+Hydra+Lock+Airbrush+Foundation+%28.25oz.%29&amp;qid=1695565442&amp;sr=8-4")</f>
        <v/>
      </c>
      <c r="F3617" t="inlineStr">
        <is>
          <t>B07HM5QVZV</t>
        </is>
      </c>
      <c r="G3617">
        <f>_xlfn.IMAGE("https://camerareadycosmetics.com/cdn/shop/products/25oz_2ivory_hydra-ivory_50x.jpg?v=1689660359")</f>
        <v/>
      </c>
      <c r="H3617">
        <f>_xlfn.IMAGE("https://m.media-amazon.com/images/I/71gmvaqrbsL._AC_UL320_.jpg")</f>
        <v/>
      </c>
      <c r="K3617" t="inlineStr">
        <is>
          <t>18.0</t>
        </is>
      </c>
      <c r="L3617" t="n">
        <v>130</v>
      </c>
      <c r="M3617" s="1" t="inlineStr">
        <is>
          <t>622.22%</t>
        </is>
      </c>
      <c r="N3617" t="n">
        <v>3</v>
      </c>
      <c r="O3617" t="n">
        <v>1</v>
      </c>
      <c r="Q3617" t="inlineStr">
        <is>
          <t>InStock</t>
        </is>
      </c>
      <c r="R3617" t="inlineStr">
        <is>
          <t>undefined</t>
        </is>
      </c>
      <c r="S3617" t="inlineStr">
        <is>
          <t>8487403975</t>
        </is>
      </c>
    </row>
    <row r="3618" ht="75" customHeight="1">
      <c r="A3618" s="2">
        <f>HYPERLINK("https://camerareadycosmetics.com/products/temptu-24-hour-hydra-lock-airbrush-foundation", "https://camerareadycosmetics.com/products/temptu-24-hour-hydra-lock-airbrush-foundation")</f>
        <v/>
      </c>
      <c r="B3618" s="2">
        <f>HYPERLINK("https://camerareadycosmetics.com/products/temptu-24-hour-hydra-lock-airbrush-foundation", "https://camerareadycosmetics.com/products/temptu-24-hour-hydra-lock-airbrush-foundation")</f>
        <v/>
      </c>
      <c r="C3618" t="inlineStr">
        <is>
          <t>Perfect Canvas Hydra Lock Airbrush Foundation (.25oz.)</t>
        </is>
      </c>
      <c r="D3618" t="inlineStr">
        <is>
          <t>Temptu Perfect Canvas Hydra Lock Airbrush Foundation Trio, Beige</t>
        </is>
      </c>
      <c r="E3618" s="2">
        <f>HYPERLINK("https://www.amazon.com/Temptu-Perfect-Canvas-Airpod-Foundation/dp/B07HM7DL43/ref=sr_1_3?keywords=Perfect+Canvas+Hydra+Lock+Airbrush+Foundation+%28.25oz.%29&amp;qid=1695565442&amp;sr=8-3", "https://www.amazon.com/Temptu-Perfect-Canvas-Airpod-Foundation/dp/B07HM7DL43/ref=sr_1_3?keywords=Perfect+Canvas+Hydra+Lock+Airbrush+Foundation+%28.25oz.%29&amp;qid=1695565442&amp;sr=8-3")</f>
        <v/>
      </c>
      <c r="F3618" t="inlineStr">
        <is>
          <t>B07HM7DL43</t>
        </is>
      </c>
      <c r="G3618">
        <f>_xlfn.IMAGE("https://camerareadycosmetics.com/cdn/shop/products/25oz_2ivory_hydra-ivory_50x.jpg?v=1689660359")</f>
        <v/>
      </c>
      <c r="H3618">
        <f>_xlfn.IMAGE("https://m.media-amazon.com/images/I/7139pnxgEPL._AC_UL320_.jpg")</f>
        <v/>
      </c>
      <c r="K3618" t="inlineStr">
        <is>
          <t>18.0</t>
        </is>
      </c>
      <c r="L3618" t="n">
        <v>130</v>
      </c>
      <c r="M3618" s="1" t="inlineStr">
        <is>
          <t>622.22%</t>
        </is>
      </c>
      <c r="N3618" t="n">
        <v>1</v>
      </c>
      <c r="O3618" t="n">
        <v>1</v>
      </c>
      <c r="Q3618" t="inlineStr">
        <is>
          <t>InStock</t>
        </is>
      </c>
      <c r="R3618" t="inlineStr">
        <is>
          <t>undefined</t>
        </is>
      </c>
      <c r="S3618" t="inlineStr">
        <is>
          <t>8487403975</t>
        </is>
      </c>
    </row>
    <row r="3619" ht="75" customHeight="1">
      <c r="A3619" s="2">
        <f>HYPERLINK("https://camerareadycosmetics.com/products/temptu-24-hour-hydra-lock-airbrush-foundation", "https://camerareadycosmetics.com/products/temptu-24-hour-hydra-lock-airbrush-foundation")</f>
        <v/>
      </c>
      <c r="B3619" s="2">
        <f>HYPERLINK("https://camerareadycosmetics.com/products/temptu-24-hour-hydra-lock-airbrush-foundation", "https://camerareadycosmetics.com/products/temptu-24-hour-hydra-lock-airbrush-foundation")</f>
        <v/>
      </c>
      <c r="C3619" t="inlineStr">
        <is>
          <t>Perfect Canvas Hydra Lock Airbrush Foundation (.25oz.)</t>
        </is>
      </c>
      <c r="D3619" t="inlineStr">
        <is>
          <t>TEMPTU Perfect Canvas Airbrush Foundation: Anti-Aging, Long-Wear Makeup, Buildable Coverage For Hydrated And Healthy Skin Semi Matte, Natural Finish 24 Shades</t>
        </is>
      </c>
      <c r="E3619" s="2">
        <f>HYPERLINK("https://www.amazon.com/Temptu-Perfect-Airbrush-Foundation-Starter/dp/B07BWN17LN/ref=sr_1_1?keywords=Perfect+Canvas+Hydra+Lock+Airbrush+Foundation+%28.25oz.%29&amp;qid=1695565442&amp;sr=8-1", "https://www.amazon.com/Temptu-Perfect-Airbrush-Foundation-Starter/dp/B07BWN17LN/ref=sr_1_1?keywords=Perfect+Canvas+Hydra+Lock+Airbrush+Foundation+%28.25oz.%29&amp;qid=1695565442&amp;sr=8-1")</f>
        <v/>
      </c>
      <c r="F3619" t="inlineStr">
        <is>
          <t>B07BWN17LN</t>
        </is>
      </c>
      <c r="G3619">
        <f>_xlfn.IMAGE("https://camerareadycosmetics.com/cdn/shop/products/25oz_2ivory_hydra-ivory_50x.jpg?v=1689660359")</f>
        <v/>
      </c>
      <c r="H3619">
        <f>_xlfn.IMAGE("https://m.media-amazon.com/images/I/71+jYgTSKyL._AC_UL320_.jpg")</f>
        <v/>
      </c>
      <c r="K3619" t="inlineStr">
        <is>
          <t>18.0</t>
        </is>
      </c>
      <c r="L3619" t="n">
        <v>69</v>
      </c>
      <c r="M3619" s="1" t="inlineStr">
        <is>
          <t>283.33%</t>
        </is>
      </c>
      <c r="N3619" t="n">
        <v>4.1</v>
      </c>
      <c r="O3619" t="n">
        <v>378</v>
      </c>
      <c r="Q3619" t="inlineStr">
        <is>
          <t>InStock</t>
        </is>
      </c>
      <c r="R3619" t="inlineStr">
        <is>
          <t>undefined</t>
        </is>
      </c>
      <c r="S3619" t="inlineStr">
        <is>
          <t>8487403975</t>
        </is>
      </c>
    </row>
    <row r="3620" ht="75" customHeight="1">
      <c r="A3620" s="2">
        <f>HYPERLINK("https://camerareadycosmetics.com/products/temptu-24-hour-hydra-lock-airbrush-foundation", "https://camerareadycosmetics.com/products/temptu-24-hour-hydra-lock-airbrush-foundation")</f>
        <v/>
      </c>
      <c r="B3620" s="2">
        <f>HYPERLINK("https://camerareadycosmetics.com/products/temptu-24-hour-hydra-lock-airbrush-foundation", "https://camerareadycosmetics.com/products/temptu-24-hour-hydra-lock-airbrush-foundation")</f>
        <v/>
      </c>
      <c r="C3620" t="inlineStr">
        <is>
          <t>Perfect Canvas Hydra Lock Airbrush Foundation (.25oz.)</t>
        </is>
      </c>
      <c r="D3620" t="inlineStr">
        <is>
          <t>Temptu Perfect Canvas Hydra Lock Airbrush Foundation Airpod, Chestnut, 0.41 Fl Oz</t>
        </is>
      </c>
      <c r="E3620" s="2">
        <f>HYPERLINK("https://www.amazon.com/Temptu-Perfect-Canvas-Airbrush-Foundation/dp/B07BZ7H9NN/ref=sr_1_10?keywords=Perfect+Canvas+Hydra+Lock+Airbrush+Foundation+%28.25oz.%29&amp;qid=1695565442&amp;sr=8-10", "https://www.amazon.com/Temptu-Perfect-Canvas-Airbrush-Foundation/dp/B07BZ7H9NN/ref=sr_1_10?keywords=Perfect+Canvas+Hydra+Lock+Airbrush+Foundation+%28.25oz.%29&amp;qid=1695565442&amp;sr=8-10")</f>
        <v/>
      </c>
      <c r="F3620" t="inlineStr">
        <is>
          <t>B07BZ7H9NN</t>
        </is>
      </c>
      <c r="G3620">
        <f>_xlfn.IMAGE("https://camerareadycosmetics.com/cdn/shop/products/25oz_2ivory_hydra-ivory_50x.jpg?v=1689660359")</f>
        <v/>
      </c>
      <c r="H3620">
        <f>_xlfn.IMAGE("https://m.media-amazon.com/images/I/51xLOhDQqwL._AC_UL320_.jpg")</f>
        <v/>
      </c>
      <c r="K3620" t="inlineStr">
        <is>
          <t>18.0</t>
        </is>
      </c>
      <c r="L3620" t="n">
        <v>52</v>
      </c>
      <c r="M3620" s="1" t="inlineStr">
        <is>
          <t>188.89%</t>
        </is>
      </c>
      <c r="N3620" t="n">
        <v>3.9</v>
      </c>
      <c r="O3620" t="n">
        <v>7</v>
      </c>
      <c r="Q3620" t="inlineStr">
        <is>
          <t>InStock</t>
        </is>
      </c>
      <c r="R3620" t="inlineStr">
        <is>
          <t>undefined</t>
        </is>
      </c>
      <c r="S3620" t="inlineStr">
        <is>
          <t>8487403975</t>
        </is>
      </c>
    </row>
    <row r="3621" ht="75" customHeight="1">
      <c r="A3621" s="2">
        <f>HYPERLINK("https://camerareadycosmetics.com/products/temptu-24-hour-hydra-lock-airbrush-foundation", "https://camerareadycosmetics.com/products/temptu-24-hour-hydra-lock-airbrush-foundation")</f>
        <v/>
      </c>
      <c r="B3621" s="2">
        <f>HYPERLINK("https://camerareadycosmetics.com/products/temptu-24-hour-hydra-lock-airbrush-foundation", "https://camerareadycosmetics.com/products/temptu-24-hour-hydra-lock-airbrush-foundation")</f>
        <v/>
      </c>
      <c r="C3621" t="inlineStr">
        <is>
          <t>Perfect Canvas Hydra Lock Airbrush Foundation (.25oz.)</t>
        </is>
      </c>
      <c r="D3621" t="inlineStr">
        <is>
          <t>Temptu Perfect Canvas Hydra Lock Airbrush Foundation Airpod, Cocoa, 0.41 Fl Oz</t>
        </is>
      </c>
      <c r="E3621" s="2">
        <f>HYPERLINK("https://www.amazon.com/Temptu-Perfect-Canvas-Airbrush-Foundation/dp/B07CF5LZXP/ref=sr_1_6?keywords=Perfect+Canvas+Hydra+Lock+Airbrush+Foundation+%28.25oz.%29&amp;qid=1695565442&amp;sr=8-6", "https://www.amazon.com/Temptu-Perfect-Canvas-Airbrush-Foundation/dp/B07CF5LZXP/ref=sr_1_6?keywords=Perfect+Canvas+Hydra+Lock+Airbrush+Foundation+%28.25oz.%29&amp;qid=1695565442&amp;sr=8-6")</f>
        <v/>
      </c>
      <c r="F3621" t="inlineStr">
        <is>
          <t>B07CF5LZXP</t>
        </is>
      </c>
      <c r="G3621">
        <f>_xlfn.IMAGE("https://camerareadycosmetics.com/cdn/shop/products/25oz_2ivory_hydra-ivory_50x.jpg?v=1689660359")</f>
        <v/>
      </c>
      <c r="H3621">
        <f>_xlfn.IMAGE("https://m.media-amazon.com/images/I/41zsh1Oyn+L._AC_UL320_.jpg")</f>
        <v/>
      </c>
      <c r="K3621" t="inlineStr">
        <is>
          <t>18.0</t>
        </is>
      </c>
      <c r="L3621" t="n">
        <v>52</v>
      </c>
      <c r="M3621" s="1" t="inlineStr">
        <is>
          <t>188.89%</t>
        </is>
      </c>
      <c r="N3621" t="n">
        <v>5</v>
      </c>
      <c r="O3621" t="n">
        <v>3</v>
      </c>
      <c r="Q3621" t="inlineStr">
        <is>
          <t>InStock</t>
        </is>
      </c>
      <c r="R3621" t="inlineStr">
        <is>
          <t>undefined</t>
        </is>
      </c>
      <c r="S3621" t="inlineStr">
        <is>
          <t>8487403975</t>
        </is>
      </c>
    </row>
    <row r="3622" ht="75" customHeight="1">
      <c r="A3622" s="2">
        <f>HYPERLINK("https://camerareadycosmetics.com/products/temptu-24-hour-hydra-lock-airbrush-foundation-1oz", "https://camerareadycosmetics.com/products/temptu-24-hour-hydra-lock-airbrush-foundation-1oz")</f>
        <v/>
      </c>
      <c r="B3622" s="2">
        <f>HYPERLINK("https://camerareadycosmetics.com/products/temptu-24-hour-hydra-lock-airbrush-foundation-1oz", "https://camerareadycosmetics.com/products/temptu-24-hour-hydra-lock-airbrush-foundation-1oz")</f>
        <v/>
      </c>
      <c r="C3622" t="inlineStr">
        <is>
          <t>Perfect Canvas Hydra Lock Airbrush Foundation (1oz.)</t>
        </is>
      </c>
      <c r="D3622" t="inlineStr">
        <is>
          <t>Temptu Perfect Canvas Hydra Lock Airbrush Foundation Trio, Beige</t>
        </is>
      </c>
      <c r="E3622" s="2">
        <f>HYPERLINK("https://www.amazon.com/Temptu-Perfect-Canvas-Airpod-Foundation/dp/B07HM7DL43/ref=sr_1_3?keywords=Perfect+Canvas+Hydra+Lock+Airbrush+Foundation+%281oz.%29&amp;qid=1695565432&amp;sr=8-3", "https://www.amazon.com/Temptu-Perfect-Canvas-Airpod-Foundation/dp/B07HM7DL43/ref=sr_1_3?keywords=Perfect+Canvas+Hydra+Lock+Airbrush+Foundation+%281oz.%29&amp;qid=1695565432&amp;sr=8-3")</f>
        <v/>
      </c>
      <c r="F3622" t="inlineStr">
        <is>
          <t>B07HM7DL43</t>
        </is>
      </c>
      <c r="G3622">
        <f>_xlfn.IMAGE("https://camerareadycosmetics.com/cdn/shop/products/1oz_3Buff_HydraLock_1_50x.jpg?v=1694448314")</f>
        <v/>
      </c>
      <c r="H3622">
        <f>_xlfn.IMAGE("https://m.media-amazon.com/images/I/7139pnxgEPL._AC_UL320_.jpg")</f>
        <v/>
      </c>
      <c r="K3622" t="inlineStr">
        <is>
          <t>39.0</t>
        </is>
      </c>
      <c r="L3622" t="n">
        <v>130</v>
      </c>
      <c r="M3622" s="1" t="inlineStr">
        <is>
          <t>233.33%</t>
        </is>
      </c>
      <c r="N3622" t="n">
        <v>1</v>
      </c>
      <c r="O3622" t="n">
        <v>1</v>
      </c>
      <c r="Q3622" t="inlineStr">
        <is>
          <t>InStock</t>
        </is>
      </c>
      <c r="R3622" t="inlineStr">
        <is>
          <t>undefined</t>
        </is>
      </c>
      <c r="S3622" t="inlineStr">
        <is>
          <t>10606526730</t>
        </is>
      </c>
    </row>
    <row r="3623" ht="75" customHeight="1">
      <c r="A3623" s="2">
        <f>HYPERLINK("https://camerareadycosmetics.com/products/temptu-24-hour-hydra-lock-airbrush-foundation-1oz", "https://camerareadycosmetics.com/products/temptu-24-hour-hydra-lock-airbrush-foundation-1oz")</f>
        <v/>
      </c>
      <c r="B3623" s="2">
        <f>HYPERLINK("https://camerareadycosmetics.com/products/temptu-24-hour-hydra-lock-airbrush-foundation-1oz", "https://camerareadycosmetics.com/products/temptu-24-hour-hydra-lock-airbrush-foundation-1oz")</f>
        <v/>
      </c>
      <c r="C3623" t="inlineStr">
        <is>
          <t>Perfect Canvas Hydra Lock Airbrush Foundation (1oz.)</t>
        </is>
      </c>
      <c r="D3623" t="inlineStr">
        <is>
          <t>Temptu Perfect Canvas Hydra Lock Airbrush Foundation Trio, Nude</t>
        </is>
      </c>
      <c r="E3623" s="2">
        <f>HYPERLINK("https://www.amazon.com/Temptu-Perfect-Canvas-Airpod-Foundation/dp/B07HM5QVZV/ref=sr_1_2?keywords=Perfect+Canvas+Hydra+Lock+Airbrush+Foundation+%281oz.%29&amp;qid=1695565432&amp;sr=8-2", "https://www.amazon.com/Temptu-Perfect-Canvas-Airpod-Foundation/dp/B07HM5QVZV/ref=sr_1_2?keywords=Perfect+Canvas+Hydra+Lock+Airbrush+Foundation+%281oz.%29&amp;qid=1695565432&amp;sr=8-2")</f>
        <v/>
      </c>
      <c r="F3623" t="inlineStr">
        <is>
          <t>B07HM5QVZV</t>
        </is>
      </c>
      <c r="G3623">
        <f>_xlfn.IMAGE("https://camerareadycosmetics.com/cdn/shop/products/1oz_3Buff_HydraLock_1_50x.jpg?v=1694448314")</f>
        <v/>
      </c>
      <c r="H3623">
        <f>_xlfn.IMAGE("https://m.media-amazon.com/images/I/71gmvaqrbsL._AC_UL320_.jpg")</f>
        <v/>
      </c>
      <c r="K3623" t="inlineStr">
        <is>
          <t>39.0</t>
        </is>
      </c>
      <c r="L3623" t="n">
        <v>130</v>
      </c>
      <c r="M3623" s="1" t="inlineStr">
        <is>
          <t>233.33%</t>
        </is>
      </c>
      <c r="N3623" t="n">
        <v>3</v>
      </c>
      <c r="O3623" t="n">
        <v>1</v>
      </c>
      <c r="Q3623" t="inlineStr">
        <is>
          <t>InStock</t>
        </is>
      </c>
      <c r="R3623" t="inlineStr">
        <is>
          <t>undefined</t>
        </is>
      </c>
      <c r="S3623" t="inlineStr">
        <is>
          <t>10606526730</t>
        </is>
      </c>
    </row>
    <row r="3624" ht="75" customHeight="1">
      <c r="A3624" s="2">
        <f>HYPERLINK("https://camerareadycosmetics.com/products/temptu-24-hour-hydra-lock-airbrush-foundation-1oz", "https://camerareadycosmetics.com/products/temptu-24-hour-hydra-lock-airbrush-foundation-1oz")</f>
        <v/>
      </c>
      <c r="B3624" s="2">
        <f>HYPERLINK("https://camerareadycosmetics.com/products/temptu-24-hour-hydra-lock-airbrush-foundation-1oz", "https://camerareadycosmetics.com/products/temptu-24-hour-hydra-lock-airbrush-foundation-1oz")</f>
        <v/>
      </c>
      <c r="C3624" t="inlineStr">
        <is>
          <t>Perfect Canvas Hydra Lock Airbrush Foundation (1oz.)</t>
        </is>
      </c>
      <c r="D3624" t="inlineStr">
        <is>
          <t>Temptu Perfect Canvas Hydra Lock Airbrush Foundation Airpod, Cocoa, 0.41 Fl Oz</t>
        </is>
      </c>
      <c r="E3624" s="2">
        <f>HYPERLINK("https://www.amazon.com/Temptu-Perfect-Canvas-Airbrush-Foundation/dp/B07CF5LZXP/ref=sr_1_5?keywords=Perfect+Canvas+Hydra+Lock+Airbrush+Foundation+%281oz.%29&amp;qid=1695565432&amp;sr=8-5", "https://www.amazon.com/Temptu-Perfect-Canvas-Airbrush-Foundation/dp/B07CF5LZXP/ref=sr_1_5?keywords=Perfect+Canvas+Hydra+Lock+Airbrush+Foundation+%281oz.%29&amp;qid=1695565432&amp;sr=8-5")</f>
        <v/>
      </c>
      <c r="F3624" t="inlineStr">
        <is>
          <t>B07CF5LZXP</t>
        </is>
      </c>
      <c r="G3624">
        <f>_xlfn.IMAGE("https://camerareadycosmetics.com/cdn/shop/products/1oz_3Buff_HydraLock_1_50x.jpg?v=1694448314")</f>
        <v/>
      </c>
      <c r="H3624">
        <f>_xlfn.IMAGE("https://m.media-amazon.com/images/I/41zsh1Oyn+L._AC_UL320_.jpg")</f>
        <v/>
      </c>
      <c r="K3624" t="inlineStr">
        <is>
          <t>39.0</t>
        </is>
      </c>
      <c r="L3624" t="n">
        <v>52</v>
      </c>
      <c r="M3624" s="1" t="inlineStr">
        <is>
          <t>33.33%</t>
        </is>
      </c>
      <c r="N3624" t="n">
        <v>5</v>
      </c>
      <c r="O3624" t="n">
        <v>3</v>
      </c>
      <c r="Q3624" t="inlineStr">
        <is>
          <t>InStock</t>
        </is>
      </c>
      <c r="R3624" t="inlineStr">
        <is>
          <t>undefined</t>
        </is>
      </c>
      <c r="S3624" t="inlineStr">
        <is>
          <t>10606526730</t>
        </is>
      </c>
    </row>
    <row r="3625" ht="75" customHeight="1">
      <c r="A3625" s="2">
        <f>HYPERLINK("https://camerareadycosmetics.com/products/temptu-24-hour-hydra-lock-airbrush-foundation-1oz", "https://camerareadycosmetics.com/products/temptu-24-hour-hydra-lock-airbrush-foundation-1oz")</f>
        <v/>
      </c>
      <c r="B3625" s="2">
        <f>HYPERLINK("https://camerareadycosmetics.com/products/temptu-24-hour-hydra-lock-airbrush-foundation-1oz", "https://camerareadycosmetics.com/products/temptu-24-hour-hydra-lock-airbrush-foundation-1oz")</f>
        <v/>
      </c>
      <c r="C3625" t="inlineStr">
        <is>
          <t>Perfect Canvas Hydra Lock Airbrush Foundation (1oz.)</t>
        </is>
      </c>
      <c r="D3625" t="inlineStr">
        <is>
          <t>TEMPTU Perfect Canvas Airbrush Foundation: Anti-Aging, Long-Wear Makeup, Buildable Coverage For Hydrated And Healthy Skin Semi Matte, Natural Finish 24 Shades</t>
        </is>
      </c>
      <c r="E3625" s="2">
        <f>HYPERLINK("https://www.amazon.com/Temptu-Perfect-Canvas-Airbrush-Foundation/dp/B07JYHYT27/ref=sr_1_6?keywords=Perfect+Canvas+Hydra+Lock+Airbrush+Foundation+%281oz.%29&amp;qid=1695565432&amp;sr=8-6", "https://www.amazon.com/Temptu-Perfect-Canvas-Airbrush-Foundation/dp/B07JYHYT27/ref=sr_1_6?keywords=Perfect+Canvas+Hydra+Lock+Airbrush+Foundation+%281oz.%29&amp;qid=1695565432&amp;sr=8-6")</f>
        <v/>
      </c>
      <c r="F3625" t="inlineStr">
        <is>
          <t>B07JYHYT27</t>
        </is>
      </c>
      <c r="G3625">
        <f>_xlfn.IMAGE("https://camerareadycosmetics.com/cdn/shop/products/1oz_3Buff_HydraLock_1_50x.jpg?v=1694448314")</f>
        <v/>
      </c>
      <c r="H3625">
        <f>_xlfn.IMAGE("https://m.media-amazon.com/images/I/51eQC07VqPL._AC_UL320_.jpg")</f>
        <v/>
      </c>
      <c r="K3625" t="inlineStr">
        <is>
          <t>39.0</t>
        </is>
      </c>
      <c r="L3625" t="n">
        <v>39</v>
      </c>
      <c r="M3625" s="1" t="inlineStr">
        <is>
          <t>0.00%</t>
        </is>
      </c>
      <c r="N3625" t="n">
        <v>4.1</v>
      </c>
      <c r="O3625" t="n">
        <v>378</v>
      </c>
      <c r="Q3625" t="inlineStr">
        <is>
          <t>InStock</t>
        </is>
      </c>
      <c r="R3625" t="inlineStr">
        <is>
          <t>undefined</t>
        </is>
      </c>
      <c r="S3625" t="inlineStr">
        <is>
          <t>10606526730</t>
        </is>
      </c>
    </row>
    <row r="3626" ht="75" customHeight="1">
      <c r="A3626" s="2">
        <f>HYPERLINK("https://camerareadycosmetics.com/products/temptu-24-hour-hydra-lock-airbrush-foundation-24-pack", "https://camerareadycosmetics.com/products/temptu-24-hour-hydra-lock-airbrush-foundation-24-pack")</f>
        <v/>
      </c>
      <c r="B3626" s="2">
        <f>HYPERLINK("https://camerareadycosmetics.com/products/temptu-24-hour-hydra-lock-airbrush-foundation-24-pack", "https://camerareadycosmetics.com/products/temptu-24-hour-hydra-lock-airbrush-foundation-24-pack")</f>
        <v/>
      </c>
      <c r="C3626" t="inlineStr">
        <is>
          <t>Perfect Canvas Hydra Lock Airbrush Foundation 24 Pack</t>
        </is>
      </c>
      <c r="D3626" t="inlineStr">
        <is>
          <t>Temptu Perfect Canvas Hydra Lock Airbrush Foundation Trio, Beige</t>
        </is>
      </c>
      <c r="E3626" s="2">
        <f>HYPERLINK("https://www.amazon.com/Temptu-Perfect-Canvas-Airpod-Foundation/dp/B07HM7DL43/ref=sr_1_4?keywords=Perfect+Canvas+Hydra+Lock+Airbrush+Foundation+24+Pack&amp;qid=1695565532&amp;sr=8-4", "https://www.amazon.com/Temptu-Perfect-Canvas-Airpod-Foundation/dp/B07HM7DL43/ref=sr_1_4?keywords=Perfect+Canvas+Hydra+Lock+Airbrush+Foundation+24+Pack&amp;qid=1695565532&amp;sr=8-4")</f>
        <v/>
      </c>
      <c r="F3626" t="inlineStr">
        <is>
          <t>B07HM7DL43</t>
        </is>
      </c>
      <c r="G3626">
        <f>_xlfn.IMAGE("https://camerareadycosmetics.com/cdn/shop/files/hydralock_20pack_50x.jpg?v=1687198309")</f>
        <v/>
      </c>
      <c r="H3626">
        <f>_xlfn.IMAGE("https://m.media-amazon.com/images/I/7139pnxgEPL._AC_UL320_.jpg")</f>
        <v/>
      </c>
      <c r="K3626" t="inlineStr">
        <is>
          <t>199.0</t>
        </is>
      </c>
      <c r="L3626" t="n">
        <v>130</v>
      </c>
      <c r="M3626" s="1" t="inlineStr">
        <is>
          <t>-34.67%</t>
        </is>
      </c>
      <c r="N3626" t="n">
        <v>1</v>
      </c>
      <c r="O3626" t="n">
        <v>1</v>
      </c>
      <c r="Q3626" t="inlineStr">
        <is>
          <t>InStock</t>
        </is>
      </c>
      <c r="R3626" t="inlineStr">
        <is>
          <t>undefined</t>
        </is>
      </c>
      <c r="S3626" t="inlineStr">
        <is>
          <t>8975624967</t>
        </is>
      </c>
    </row>
    <row r="3627" ht="75" customHeight="1">
      <c r="A3627" s="2">
        <f>HYPERLINK("https://camerareadycosmetics.com/products/temptu-24-hour-hydra-lock-airbrush-foundation-24-pack", "https://camerareadycosmetics.com/products/temptu-24-hour-hydra-lock-airbrush-foundation-24-pack")</f>
        <v/>
      </c>
      <c r="B3627" s="2">
        <f>HYPERLINK("https://camerareadycosmetics.com/products/temptu-24-hour-hydra-lock-airbrush-foundation-24-pack", "https://camerareadycosmetics.com/products/temptu-24-hour-hydra-lock-airbrush-foundation-24-pack")</f>
        <v/>
      </c>
      <c r="C3627" t="inlineStr">
        <is>
          <t>Perfect Canvas Hydra Lock Airbrush Foundation 24 Pack</t>
        </is>
      </c>
      <c r="D3627" t="inlineStr">
        <is>
          <t>Temptu Perfect Canvas Hydra Lock Airbrush Foundation Trio, Nude</t>
        </is>
      </c>
      <c r="E3627" s="2">
        <f>HYPERLINK("https://www.amazon.com/Temptu-Perfect-Canvas-Airpod-Foundation/dp/B07HM5QVZV/ref=sr_1_3?keywords=Perfect+Canvas+Hydra+Lock+Airbrush+Foundation+24+Pack&amp;qid=1695565532&amp;sr=8-3", "https://www.amazon.com/Temptu-Perfect-Canvas-Airpod-Foundation/dp/B07HM5QVZV/ref=sr_1_3?keywords=Perfect+Canvas+Hydra+Lock+Airbrush+Foundation+24+Pack&amp;qid=1695565532&amp;sr=8-3")</f>
        <v/>
      </c>
      <c r="F3627" t="inlineStr">
        <is>
          <t>B07HM5QVZV</t>
        </is>
      </c>
      <c r="G3627">
        <f>_xlfn.IMAGE("https://camerareadycosmetics.com/cdn/shop/files/hydralock_20pack_50x.jpg?v=1687198309")</f>
        <v/>
      </c>
      <c r="H3627">
        <f>_xlfn.IMAGE("https://m.media-amazon.com/images/I/71gmvaqrbsL._AC_UL320_.jpg")</f>
        <v/>
      </c>
      <c r="K3627" t="inlineStr">
        <is>
          <t>199.0</t>
        </is>
      </c>
      <c r="L3627" t="n">
        <v>130</v>
      </c>
      <c r="M3627" s="1" t="inlineStr">
        <is>
          <t>-34.67%</t>
        </is>
      </c>
      <c r="N3627" t="n">
        <v>3</v>
      </c>
      <c r="O3627" t="n">
        <v>1</v>
      </c>
      <c r="Q3627" t="inlineStr">
        <is>
          <t>InStock</t>
        </is>
      </c>
      <c r="R3627" t="inlineStr">
        <is>
          <t>undefined</t>
        </is>
      </c>
      <c r="S3627" t="inlineStr">
        <is>
          <t>8975624967</t>
        </is>
      </c>
    </row>
    <row r="3628" ht="75" customHeight="1">
      <c r="A3628" s="2">
        <f>HYPERLINK("https://camerareadycosmetics.com/products/temptu-24-hour-hydra-lock-airbrush-foundation-24-pack", "https://camerareadycosmetics.com/products/temptu-24-hour-hydra-lock-airbrush-foundation-24-pack")</f>
        <v/>
      </c>
      <c r="B3628" s="2">
        <f>HYPERLINK("https://camerareadycosmetics.com/products/temptu-24-hour-hydra-lock-airbrush-foundation-24-pack", "https://camerareadycosmetics.com/products/temptu-24-hour-hydra-lock-airbrush-foundation-24-pack")</f>
        <v/>
      </c>
      <c r="C3628" t="inlineStr">
        <is>
          <t>Perfect Canvas Hydra Lock Airbrush Foundation 24 Pack</t>
        </is>
      </c>
      <c r="D3628" t="inlineStr">
        <is>
          <t>TEMPTU Perfect Canvas Airbrush Foundation: Anti-Aging, Long-Wear Makeup, Buildable Coverage For Hydrated And Healthy Skin Semi Matte, Natural Finish 24 Shades</t>
        </is>
      </c>
      <c r="E3628" s="2">
        <f>HYPERLINK("https://www.amazon.com/Temptu-Perfect-Airbrush-Foundation-Starter/dp/B07BWN17LN/ref=sr_1_1?keywords=Perfect+Canvas+Hydra+Lock+Airbrush+Foundation+24+Pack&amp;qid=1695565532&amp;sr=8-1", "https://www.amazon.com/Temptu-Perfect-Airbrush-Foundation-Starter/dp/B07BWN17LN/ref=sr_1_1?keywords=Perfect+Canvas+Hydra+Lock+Airbrush+Foundation+24+Pack&amp;qid=1695565532&amp;sr=8-1")</f>
        <v/>
      </c>
      <c r="F3628" t="inlineStr">
        <is>
          <t>B07BWN17LN</t>
        </is>
      </c>
      <c r="G3628">
        <f>_xlfn.IMAGE("https://camerareadycosmetics.com/cdn/shop/files/hydralock_20pack_50x.jpg?v=1687198309")</f>
        <v/>
      </c>
      <c r="H3628">
        <f>_xlfn.IMAGE("https://m.media-amazon.com/images/I/71+jYgTSKyL._AC_UL320_.jpg")</f>
        <v/>
      </c>
      <c r="K3628" t="inlineStr">
        <is>
          <t>199.0</t>
        </is>
      </c>
      <c r="L3628" t="n">
        <v>69</v>
      </c>
      <c r="M3628" s="1" t="inlineStr">
        <is>
          <t>-65.33%</t>
        </is>
      </c>
      <c r="N3628" t="n">
        <v>4.1</v>
      </c>
      <c r="O3628" t="n">
        <v>378</v>
      </c>
      <c r="Q3628" t="inlineStr">
        <is>
          <t>InStock</t>
        </is>
      </c>
      <c r="R3628" t="inlineStr">
        <is>
          <t>undefined</t>
        </is>
      </c>
      <c r="S3628" t="inlineStr">
        <is>
          <t>8975624967</t>
        </is>
      </c>
    </row>
    <row r="3629" ht="75" customHeight="1">
      <c r="A3629" s="2">
        <f>HYPERLINK("https://camerareadycosmetics.com/products/temptu-24-hour-hydra-lock-airbrush-foundation-24-pack", "https://camerareadycosmetics.com/products/temptu-24-hour-hydra-lock-airbrush-foundation-24-pack")</f>
        <v/>
      </c>
      <c r="B3629" s="2">
        <f>HYPERLINK("https://camerareadycosmetics.com/products/temptu-24-hour-hydra-lock-airbrush-foundation-24-pack", "https://camerareadycosmetics.com/products/temptu-24-hour-hydra-lock-airbrush-foundation-24-pack")</f>
        <v/>
      </c>
      <c r="C3629" t="inlineStr">
        <is>
          <t>Perfect Canvas Hydra Lock Airbrush Foundation 24 Pack</t>
        </is>
      </c>
      <c r="D3629" t="inlineStr">
        <is>
          <t>Temptu Perfect Canvas Hydra Lock Airbrush Foundation Airpod, Cocoa, 0.41 Fl Oz</t>
        </is>
      </c>
      <c r="E3629" s="2">
        <f>HYPERLINK("https://www.amazon.com/Temptu-Perfect-Canvas-Airbrush-Foundation/dp/B07CF5LZXP/ref=sr_1_6?keywords=Perfect+Canvas+Hydra+Lock+Airbrush+Foundation+24+Pack&amp;qid=1695565532&amp;sr=8-6", "https://www.amazon.com/Temptu-Perfect-Canvas-Airbrush-Foundation/dp/B07CF5LZXP/ref=sr_1_6?keywords=Perfect+Canvas+Hydra+Lock+Airbrush+Foundation+24+Pack&amp;qid=1695565532&amp;sr=8-6")</f>
        <v/>
      </c>
      <c r="F3629" t="inlineStr">
        <is>
          <t>B07CF5LZXP</t>
        </is>
      </c>
      <c r="G3629">
        <f>_xlfn.IMAGE("https://camerareadycosmetics.com/cdn/shop/files/hydralock_20pack_50x.jpg?v=1687198309")</f>
        <v/>
      </c>
      <c r="H3629">
        <f>_xlfn.IMAGE("https://m.media-amazon.com/images/I/41zsh1Oyn+L._AC_UL320_.jpg")</f>
        <v/>
      </c>
      <c r="K3629" t="inlineStr">
        <is>
          <t>199.0</t>
        </is>
      </c>
      <c r="L3629" t="n">
        <v>52</v>
      </c>
      <c r="M3629" s="1" t="inlineStr">
        <is>
          <t>-73.87%</t>
        </is>
      </c>
      <c r="N3629" t="n">
        <v>5</v>
      </c>
      <c r="O3629" t="n">
        <v>3</v>
      </c>
      <c r="Q3629" t="inlineStr">
        <is>
          <t>InStock</t>
        </is>
      </c>
      <c r="R3629" t="inlineStr">
        <is>
          <t>undefined</t>
        </is>
      </c>
      <c r="S3629" t="inlineStr">
        <is>
          <t>8975624967</t>
        </is>
      </c>
    </row>
    <row r="3630" ht="75" customHeight="1">
      <c r="A3630" s="2">
        <f>HYPERLINK("https://camerareadycosmetics.com/products/temptu-24-hour-hydra-lock-airbrush-foundation-24-pack", "https://camerareadycosmetics.com/products/temptu-24-hour-hydra-lock-airbrush-foundation-24-pack")</f>
        <v/>
      </c>
      <c r="B3630" s="2">
        <f>HYPERLINK("https://camerareadycosmetics.com/products/temptu-24-hour-hydra-lock-airbrush-foundation-24-pack", "https://camerareadycosmetics.com/products/temptu-24-hour-hydra-lock-airbrush-foundation-24-pack")</f>
        <v/>
      </c>
      <c r="C3630" t="inlineStr">
        <is>
          <t>Perfect Canvas Hydra Lock Airbrush Foundation 24 Pack</t>
        </is>
      </c>
      <c r="D3630" t="inlineStr">
        <is>
          <t>TEMPTU Perfect Canvas Airbrush Foundation: Anti-Aging, Long-Wear Makeup, Buildable Coverage For Hydrated And Healthy Skin Semi Matte, Natural Finish 24 Shades</t>
        </is>
      </c>
      <c r="E3630" s="2">
        <f>HYPERLINK("https://www.amazon.com/Temptu-Perfect-Airbrush-Foundation-Starter/dp/B07BWN17LN/ref=sr_1_1?keywords=Perfect+Canvas+Hydra+Lock+Airbrush+Foundation+24+Pack&amp;qid=1695565532&amp;sr=8-1", "https://www.amazon.com/Temptu-Perfect-Airbrush-Foundation-Starter/dp/B07BWN17LN/ref=sr_1_1?keywords=Perfect+Canvas+Hydra+Lock+Airbrush+Foundation+24+Pack&amp;qid=1695565532&amp;sr=8-1")</f>
        <v/>
      </c>
      <c r="F3630" t="inlineStr">
        <is>
          <t>B07BWN17LN</t>
        </is>
      </c>
      <c r="G3630">
        <f>_xlfn.IMAGE("https://camerareadycosmetics.com/cdn/shop/files/hydralock_20pack_50x.jpg?v=1687198309")</f>
        <v/>
      </c>
      <c r="H3630">
        <f>_xlfn.IMAGE("https://m.media-amazon.com/images/I/71+jYgTSKyL._AC_UL320_.jpg")</f>
        <v/>
      </c>
      <c r="K3630" t="inlineStr">
        <is>
          <t>199.0</t>
        </is>
      </c>
      <c r="L3630" t="n">
        <v>69</v>
      </c>
      <c r="M3630" s="1" t="inlineStr">
        <is>
          <t>-65.33%</t>
        </is>
      </c>
      <c r="N3630" t="n">
        <v>4.1</v>
      </c>
      <c r="O3630" t="n">
        <v>378</v>
      </c>
      <c r="Q3630" t="inlineStr">
        <is>
          <t>InStock</t>
        </is>
      </c>
      <c r="R3630" t="inlineStr">
        <is>
          <t>undefined</t>
        </is>
      </c>
      <c r="S3630" t="inlineStr">
        <is>
          <t>8975624967</t>
        </is>
      </c>
    </row>
    <row r="3631" ht="75" customHeight="1">
      <c r="A3631" s="2">
        <f>HYPERLINK("https://camerareadycosmetics.com/products/temptu-24-hour-hydra-lock-airbrush-foundation-24-pack", "https://camerareadycosmetics.com/products/temptu-24-hour-hydra-lock-airbrush-foundation-24-pack")</f>
        <v/>
      </c>
      <c r="B3631" s="2">
        <f>HYPERLINK("https://camerareadycosmetics.com/products/temptu-24-hour-hydra-lock-airbrush-foundation-24-pack", "https://camerareadycosmetics.com/products/temptu-24-hour-hydra-lock-airbrush-foundation-24-pack")</f>
        <v/>
      </c>
      <c r="C3631" t="inlineStr">
        <is>
          <t>Perfect Canvas Hydra Lock Airbrush Foundation 24 Pack</t>
        </is>
      </c>
      <c r="D3631" t="inlineStr">
        <is>
          <t>Temptu Perfect Canvas Hydra Lock Airbrush Foundation Airpod, Cocoa, 0.41 Fl Oz</t>
        </is>
      </c>
      <c r="E3631" s="2">
        <f>HYPERLINK("https://www.amazon.com/Temptu-Perfect-Canvas-Airbrush-Foundation/dp/B07CF5LZXP/ref=sr_1_6?keywords=Perfect+Canvas+Hydra+Lock+Airbrush+Foundation+24+Pack&amp;qid=1695565532&amp;sr=8-6", "https://www.amazon.com/Temptu-Perfect-Canvas-Airbrush-Foundation/dp/B07CF5LZXP/ref=sr_1_6?keywords=Perfect+Canvas+Hydra+Lock+Airbrush+Foundation+24+Pack&amp;qid=1695565532&amp;sr=8-6")</f>
        <v/>
      </c>
      <c r="F3631" t="inlineStr">
        <is>
          <t>B07CF5LZXP</t>
        </is>
      </c>
      <c r="G3631">
        <f>_xlfn.IMAGE("https://camerareadycosmetics.com/cdn/shop/files/hydralock_20pack_50x.jpg?v=1687198309")</f>
        <v/>
      </c>
      <c r="H3631">
        <f>_xlfn.IMAGE("https://m.media-amazon.com/images/I/41zsh1Oyn+L._AC_UL320_.jpg")</f>
        <v/>
      </c>
      <c r="K3631" t="inlineStr">
        <is>
          <t>199.0</t>
        </is>
      </c>
      <c r="L3631" t="n">
        <v>52</v>
      </c>
      <c r="M3631" s="1" t="inlineStr">
        <is>
          <t>-73.87%</t>
        </is>
      </c>
      <c r="N3631" t="n">
        <v>5</v>
      </c>
      <c r="O3631" t="n">
        <v>3</v>
      </c>
      <c r="Q3631" t="inlineStr">
        <is>
          <t>InStock</t>
        </is>
      </c>
      <c r="R3631" t="inlineStr">
        <is>
          <t>undefined</t>
        </is>
      </c>
      <c r="S3631" t="inlineStr">
        <is>
          <t>8975624967</t>
        </is>
      </c>
    </row>
    <row r="3632" ht="75" customHeight="1">
      <c r="A3632" s="2">
        <f>HYPERLINK("https://camerareadycosmetics.com/products/temptu-airpod-foundation", "https://camerareadycosmetics.com/products/temptu-airpod-foundation")</f>
        <v/>
      </c>
      <c r="B3632" s="2">
        <f>HYPERLINK("https://camerareadycosmetics.com/products/temptu-airpod-foundation", "https://camerareadycosmetics.com/products/temptu-airpod-foundation")</f>
        <v/>
      </c>
      <c r="C3632" t="inlineStr">
        <is>
          <t>SilkSphere Airpod Foundation</t>
        </is>
      </c>
      <c r="D3632" t="inlineStr">
        <is>
          <t>TEMPTU SilkSphere Airbrush Foundation Airpod: Long-Lasting Makeup, Medium to Full Coverage | 4-In-1 Formula Foundation, Primer, Concealer &amp; Corrector | Dewy, Soft-Focus Finish | 18 Shades</t>
        </is>
      </c>
      <c r="E3632" s="2">
        <f>HYPERLINK("https://www.amazon.com/Temptu-Silksphere-Airpod-Airbrush-Foundation/dp/B074V8JXDZ/ref=sr_1_1?keywords=SilkSphere+Airpod+Foundation&amp;qid=1695565491&amp;sr=8-1", "https://www.amazon.com/Temptu-Silksphere-Airpod-Airbrush-Foundation/dp/B074V8JXDZ/ref=sr_1_1?keywords=SilkSphere+Airpod+Foundation&amp;qid=1695565491&amp;sr=8-1")</f>
        <v/>
      </c>
      <c r="F3632" t="inlineStr">
        <is>
          <t>B074V8JXDZ</t>
        </is>
      </c>
      <c r="G3632">
        <f>_xlfn.IMAGE("https://camerareadycosmetics.com/cdn/shop/products/2_ivory_shadeblock_web_dflt_50x.jpg?v=1689660285")</f>
        <v/>
      </c>
      <c r="H3632">
        <f>_xlfn.IMAGE("https://m.media-amazon.com/images/I/61E5Kt9rGLL._AC_UL320_.jpg")</f>
        <v/>
      </c>
      <c r="K3632" t="inlineStr">
        <is>
          <t>48.0</t>
        </is>
      </c>
      <c r="L3632" t="n">
        <v>48</v>
      </c>
      <c r="M3632" s="1" t="inlineStr">
        <is>
          <t>0.00%</t>
        </is>
      </c>
      <c r="N3632" t="n">
        <v>4</v>
      </c>
      <c r="O3632" t="n">
        <v>269</v>
      </c>
      <c r="Q3632" t="inlineStr">
        <is>
          <t>InStock</t>
        </is>
      </c>
      <c r="R3632" t="inlineStr">
        <is>
          <t>undefined</t>
        </is>
      </c>
      <c r="S3632" t="inlineStr">
        <is>
          <t>8487311303</t>
        </is>
      </c>
    </row>
    <row r="3633" ht="75" customHeight="1">
      <c r="A3633" s="2">
        <f>HYPERLINK("https://camerareadycosmetics.com/products/temptu-base-smooth-matte-primer", "https://camerareadycosmetics.com/products/temptu-base-smooth-matte-primer")</f>
        <v/>
      </c>
      <c r="B3633" s="2">
        <f>HYPERLINK("https://camerareadycosmetics.com/products/temptu-base-smooth-matte-primer", "https://camerareadycosmetics.com/products/temptu-base-smooth-matte-primer")</f>
        <v/>
      </c>
      <c r="C3633" t="inlineStr">
        <is>
          <t>BASE Smooth &amp; Matte Primer</t>
        </is>
      </c>
      <c r="D3633" t="inlineStr">
        <is>
          <t>Lancôme La Base Pro Makeup Primer For Face - Perfecting &amp; Smoothing Makeup Base - Oil-Free - 0.8 Fl Oz</t>
        </is>
      </c>
      <c r="E3633" s="2">
        <f>HYPERLINK("https://www.amazon.com/Perfecting-Makeup-Primer-Smoothing-Lancome/dp/B00G40FJH4/ref=sr_1_6?keywords=BASE+Smooth&amp;qid=1695565651&amp;sr=8-6", "https://www.amazon.com/Perfecting-Makeup-Primer-Smoothing-Lancome/dp/B00G40FJH4/ref=sr_1_6?keywords=BASE+Smooth&amp;qid=1695565651&amp;sr=8-6")</f>
        <v/>
      </c>
      <c r="F3633" t="inlineStr">
        <is>
          <t>B00G40FJH4</t>
        </is>
      </c>
      <c r="G3633">
        <f>_xlfn.IMAGE("https://camerareadycosmetics.com/cdn/shop/products/155044000__83864.1442278426.600.600_50x.jpeg?v=1689632413")</f>
        <v/>
      </c>
      <c r="H3633">
        <f>_xlfn.IMAGE("https://m.media-amazon.com/images/I/61If2-qWJgL._AC_UL320_.jpg")</f>
        <v/>
      </c>
      <c r="K3633" t="inlineStr">
        <is>
          <t>42.0</t>
        </is>
      </c>
      <c r="L3633" t="n">
        <v>35.7</v>
      </c>
      <c r="M3633" s="1" t="inlineStr">
        <is>
          <t>-15.00%</t>
        </is>
      </c>
      <c r="N3633" t="n">
        <v>4.7</v>
      </c>
      <c r="O3633" t="n">
        <v>1169</v>
      </c>
      <c r="Q3633" t="inlineStr">
        <is>
          <t>InStock</t>
        </is>
      </c>
      <c r="R3633" t="inlineStr">
        <is>
          <t>undefined</t>
        </is>
      </c>
      <c r="S3633" t="inlineStr">
        <is>
          <t>7036097479</t>
        </is>
      </c>
    </row>
    <row r="3634" ht="75" customHeight="1">
      <c r="A3634" s="2">
        <f>HYPERLINK("https://camerareadycosmetics.com/products/temptu-base-smooth-matte-primer", "https://camerareadycosmetics.com/products/temptu-base-smooth-matte-primer")</f>
        <v/>
      </c>
      <c r="B3634" s="2">
        <f>HYPERLINK("https://camerareadycosmetics.com/products/temptu-base-smooth-matte-primer", "https://camerareadycosmetics.com/products/temptu-base-smooth-matte-primer")</f>
        <v/>
      </c>
      <c r="C3634" t="inlineStr">
        <is>
          <t>BASE Smooth &amp; Matte Primer</t>
        </is>
      </c>
      <c r="D3634" t="inlineStr">
        <is>
          <t>Lancôme La Base Pro Makeup Primer For Face - Perfecting &amp; Smoothing Makeup Base - Oil-Free - 0.8 Fl Oz</t>
        </is>
      </c>
      <c r="E3634" s="2" t="n"/>
      <c r="F3634" t="inlineStr">
        <is>
          <t>B00G40FJH4</t>
        </is>
      </c>
      <c r="G3634">
        <f>_xlfn.IMAGE("https://camerareadycosmetics.com/cdn/shop/products/155044000__83864.1442278426.600.600_50x.jpeg?v=1689632413")</f>
        <v/>
      </c>
      <c r="H3634">
        <f>_xlfn.IMAGE("https://m.media-amazon.com/images/I/61If2-qWJgL._AC_UL320_.jpg")</f>
        <v/>
      </c>
      <c r="K3634" t="inlineStr">
        <is>
          <t>42.0</t>
        </is>
      </c>
      <c r="L3634" t="n">
        <v>35.7</v>
      </c>
      <c r="M3634" s="1" t="inlineStr">
        <is>
          <t>-15.00%</t>
        </is>
      </c>
      <c r="N3634" t="n">
        <v>4.7</v>
      </c>
      <c r="O3634" t="n">
        <v>1169</v>
      </c>
      <c r="Q3634" t="inlineStr">
        <is>
          <t>InStock</t>
        </is>
      </c>
      <c r="R3634" t="inlineStr">
        <is>
          <t>undefined</t>
        </is>
      </c>
      <c r="S3634" t="inlineStr">
        <is>
          <t>7036097479</t>
        </is>
      </c>
    </row>
    <row r="3635" ht="75" customHeight="1">
      <c r="A3635" s="2">
        <f>HYPERLINK("https://camerareadycosmetics.com/products/temptu-base-smooth-matte-primer", "https://camerareadycosmetics.com/products/temptu-base-smooth-matte-primer")</f>
        <v/>
      </c>
      <c r="B3635" s="2">
        <f>HYPERLINK("https://camerareadycosmetics.com/products/temptu-base-smooth-matte-primer", "https://camerareadycosmetics.com/products/temptu-base-smooth-matte-primer")</f>
        <v/>
      </c>
      <c r="C3635" t="inlineStr">
        <is>
          <t>BASE Smooth &amp; Matte Primer</t>
        </is>
      </c>
      <c r="D3635" t="inlineStr">
        <is>
          <t>e.l.f. Mineral Infused Face Primer, Primer For A Smooth Foundation Base, Fills In Fine Lines &amp; Refines Complexion, Vegan &amp; Cruelty-free, Small</t>
        </is>
      </c>
      <c r="E3635" s="2">
        <f>HYPERLINK("https://www.amazon.com/l-f-Mineral-Infused-Primer-Small/dp/B004DIXYWG/ref=sr_1_8?keywords=BASE+Smooth&amp;qid=1695565651&amp;sr=8-8", "https://www.amazon.com/l-f-Mineral-Infused-Primer-Small/dp/B004DIXYWG/ref=sr_1_8?keywords=BASE+Smooth&amp;qid=1695565651&amp;sr=8-8")</f>
        <v/>
      </c>
      <c r="F3635" t="inlineStr">
        <is>
          <t>B004DIXYWG</t>
        </is>
      </c>
      <c r="G3635">
        <f>_xlfn.IMAGE("https://camerareadycosmetics.com/cdn/shop/products/155044000__83864.1442278426.600.600_50x.jpeg?v=1689632413")</f>
        <v/>
      </c>
      <c r="H3635">
        <f>_xlfn.IMAGE("https://m.media-amazon.com/images/I/51SKPGFeNYL._AC_UL320_.jpg")</f>
        <v/>
      </c>
      <c r="K3635" t="inlineStr">
        <is>
          <t>42.0</t>
        </is>
      </c>
      <c r="L3635" t="n">
        <v>6.5</v>
      </c>
      <c r="M3635" s="1" t="inlineStr">
        <is>
          <t>-84.52%</t>
        </is>
      </c>
      <c r="N3635" t="n">
        <v>4.4</v>
      </c>
      <c r="O3635" t="n">
        <v>62863</v>
      </c>
      <c r="Q3635" t="inlineStr">
        <is>
          <t>InStock</t>
        </is>
      </c>
      <c r="R3635" t="inlineStr">
        <is>
          <t>undefined</t>
        </is>
      </c>
      <c r="S3635" t="inlineStr">
        <is>
          <t>7036097479</t>
        </is>
      </c>
    </row>
    <row r="3636" ht="75" customHeight="1">
      <c r="A3636" s="2">
        <f>HYPERLINK("https://camerareadycosmetics.com/products/temptu-base-smooth-matte-primer", "https://camerareadycosmetics.com/products/temptu-base-smooth-matte-primer")</f>
        <v/>
      </c>
      <c r="B3636" s="2">
        <f>HYPERLINK("https://camerareadycosmetics.com/products/temptu-base-smooth-matte-primer", "https://camerareadycosmetics.com/products/temptu-base-smooth-matte-primer")</f>
        <v/>
      </c>
      <c r="C3636" t="inlineStr">
        <is>
          <t>BASE Smooth &amp; Matte Primer</t>
        </is>
      </c>
      <c r="D3636" t="inlineStr">
        <is>
          <t>e.l.f. Mineral Infused Face Primer, Primer For A Smooth Foundation Base, Fills In Fine Lines &amp; Refines Complexion, Vegan &amp; Cruelty-free, Small</t>
        </is>
      </c>
      <c r="E3636" s="2">
        <f>HYPERLINK("https://www.amazon.com/l-f-Mineral-Infused-Primer-Small/dp/B004DIXYWG/ref=sr_1_8?keywords=BASE+Smooth&amp;qid=1695565651&amp;sr=8-8", "https://www.amazon.com/l-f-Mineral-Infused-Primer-Small/dp/B004DIXYWG/ref=sr_1_8?keywords=BASE+Smooth&amp;qid=1695565651&amp;sr=8-8")</f>
        <v/>
      </c>
      <c r="F3636" t="inlineStr">
        <is>
          <t>B004DIXYWG</t>
        </is>
      </c>
      <c r="G3636">
        <f>_xlfn.IMAGE("https://camerareadycosmetics.com/cdn/shop/products/155044000__83864.1442278426.600.600_50x.jpeg?v=1689632413")</f>
        <v/>
      </c>
      <c r="H3636">
        <f>_xlfn.IMAGE("https://m.media-amazon.com/images/I/51SKPGFeNYL._AC_UL320_.jpg")</f>
        <v/>
      </c>
      <c r="K3636" t="inlineStr">
        <is>
          <t>42.0</t>
        </is>
      </c>
      <c r="L3636" t="n">
        <v>6.5</v>
      </c>
      <c r="M3636" s="1" t="inlineStr">
        <is>
          <t>-84.52%</t>
        </is>
      </c>
      <c r="N3636" t="n">
        <v>4.4</v>
      </c>
      <c r="O3636" t="n">
        <v>62863</v>
      </c>
      <c r="Q3636" t="inlineStr">
        <is>
          <t>InStock</t>
        </is>
      </c>
      <c r="R3636" t="inlineStr">
        <is>
          <t>undefined</t>
        </is>
      </c>
      <c r="S3636" t="inlineStr">
        <is>
          <t>7036097479</t>
        </is>
      </c>
    </row>
    <row r="3637" ht="75" customHeight="1">
      <c r="A3637" s="2">
        <f>HYPERLINK("https://camerareadycosmetics.com/products/temptu-brilliant-glow-illuminating-primer-skin-perfector-1oz", "https://camerareadycosmetics.com/products/temptu-brilliant-glow-illuminating-primer-skin-perfector-1oz")</f>
        <v/>
      </c>
      <c r="B3637" s="2">
        <f>HYPERLINK("https://camerareadycosmetics.com/products/temptu-brilliant-glow-illuminating-primer-skin-perfector-1oz", "https://camerareadycosmetics.com/products/temptu-brilliant-glow-illuminating-primer-skin-perfector-1oz")</f>
        <v/>
      </c>
      <c r="C3637" t="inlineStr">
        <is>
          <t>Brilliant Glow: Illuminating Primer &amp; Skin Perfector 1oz</t>
        </is>
      </c>
      <c r="D3637" t="inlineStr">
        <is>
          <t>TEMPTU Brilliant Glow Illuminating Primer &amp; Skin Perfector Airpod: Hydrating Formula, Natural-Looking, Luminous Glow Primes &amp; Perfects Complexion, Available In 2 Shades</t>
        </is>
      </c>
      <c r="E3637" s="2">
        <f>HYPERLINK("https://www.amazon.com/Temptu-Brilliant-Illuminated-Primer-Perfector/dp/B07GS7MFV3/ref=sr_1_2?keywords=Brilliant+Glow%3A+Illuminating+Primer+%26+Skin+Perfector+1oz&amp;qid=1695565552&amp;sr=8-2", "https://www.amazon.com/Temptu-Brilliant-Illuminated-Primer-Perfector/dp/B07GS7MFV3/ref=sr_1_2?keywords=Brilliant+Glow%3A+Illuminating+Primer+%26+Skin+Perfector+1oz&amp;qid=1695565552&amp;sr=8-2")</f>
        <v/>
      </c>
      <c r="F3637" t="inlineStr">
        <is>
          <t>B07GS7MFV3</t>
        </is>
      </c>
      <c r="G3637">
        <f>_xlfn.IMAGE("https://camerareadycosmetics.com/cdn/shop/products/1oz-BrilliantGlow_MediumDeep_50x.jpg?v=1541708672")</f>
        <v/>
      </c>
      <c r="H3637">
        <f>_xlfn.IMAGE("https://m.media-amazon.com/images/I/61OjlEkPjeL._AC_UL320_.jpg")</f>
        <v/>
      </c>
      <c r="K3637" t="inlineStr">
        <is>
          <t>39.0</t>
        </is>
      </c>
      <c r="L3637" t="n">
        <v>44</v>
      </c>
      <c r="M3637" s="1" t="inlineStr">
        <is>
          <t>12.82%</t>
        </is>
      </c>
      <c r="N3637" t="n">
        <v>4</v>
      </c>
      <c r="O3637" t="n">
        <v>17</v>
      </c>
      <c r="Q3637" t="inlineStr">
        <is>
          <t>InStock</t>
        </is>
      </c>
      <c r="R3637" t="inlineStr">
        <is>
          <t>undefined</t>
        </is>
      </c>
      <c r="S3637" t="inlineStr">
        <is>
          <t>1343071027311</t>
        </is>
      </c>
    </row>
    <row r="3638" ht="75" customHeight="1">
      <c r="A3638" s="2">
        <f>HYPERLINK("https://camerareadycosmetics.com/products/temptu-brilliant-glow-illuminating-primer-skin-perfector-1oz", "https://camerareadycosmetics.com/products/temptu-brilliant-glow-illuminating-primer-skin-perfector-1oz")</f>
        <v/>
      </c>
      <c r="B3638" s="2">
        <f>HYPERLINK("https://camerareadycosmetics.com/products/temptu-brilliant-glow-illuminating-primer-skin-perfector-1oz", "https://camerareadycosmetics.com/products/temptu-brilliant-glow-illuminating-primer-skin-perfector-1oz")</f>
        <v/>
      </c>
      <c r="C3638" t="inlineStr">
        <is>
          <t>Brilliant Glow: Illuminating Primer &amp; Skin Perfector 1oz</t>
        </is>
      </c>
      <c r="D3638" t="inlineStr">
        <is>
          <t>TEMPTU Brilliant Glow Illuminating Primer &amp; Skin Perfector: Hydrating Formula, Natural-Looking, Luminous Glow, Primes &amp; Perfects Complexion, Available In 2 Shades</t>
        </is>
      </c>
      <c r="E3638" s="2">
        <f>HYPERLINK("https://www.amazon.com/Temptu-Brilliant-Illuminated-Primer-Perfector/dp/B07HM5QHWL/ref=sr_1_1?keywords=Brilliant+Glow%3A+Illuminating+Primer+%26+Skin+Perfector+1oz&amp;qid=1695565552&amp;sr=8-1", "https://www.amazon.com/Temptu-Brilliant-Illuminated-Primer-Perfector/dp/B07HM5QHWL/ref=sr_1_1?keywords=Brilliant+Glow%3A+Illuminating+Primer+%26+Skin+Perfector+1oz&amp;qid=1695565552&amp;sr=8-1")</f>
        <v/>
      </c>
      <c r="F3638" t="inlineStr">
        <is>
          <t>B07HM5QHWL</t>
        </is>
      </c>
      <c r="G3638">
        <f>_xlfn.IMAGE("https://camerareadycosmetics.com/cdn/shop/products/1oz-BrilliantGlow_MediumDeep_50x.jpg?v=1541708672")</f>
        <v/>
      </c>
      <c r="H3638">
        <f>_xlfn.IMAGE("https://m.media-amazon.com/images/I/61QUl0NNdIL._AC_UL320_.jpg")</f>
        <v/>
      </c>
      <c r="K3638" t="inlineStr">
        <is>
          <t>39.0</t>
        </is>
      </c>
      <c r="L3638" t="n">
        <v>39</v>
      </c>
      <c r="M3638" s="1" t="inlineStr">
        <is>
          <t>0.00%</t>
        </is>
      </c>
      <c r="N3638" t="n">
        <v>3.8</v>
      </c>
      <c r="O3638" t="n">
        <v>14</v>
      </c>
      <c r="Q3638" t="inlineStr">
        <is>
          <t>InStock</t>
        </is>
      </c>
      <c r="R3638" t="inlineStr">
        <is>
          <t>undefined</t>
        </is>
      </c>
      <c r="S3638" t="inlineStr">
        <is>
          <t>1343071027311</t>
        </is>
      </c>
    </row>
    <row r="3639" ht="75" customHeight="1">
      <c r="A3639" s="2">
        <f>HYPERLINK("https://camerareadycosmetics.com/products/temptu-brilliant-glow-illuminating-primer-skin-perfector-airpod", "https://camerareadycosmetics.com/products/temptu-brilliant-glow-illuminating-primer-skin-perfector-airpod")</f>
        <v/>
      </c>
      <c r="B3639" s="2">
        <f>HYPERLINK("https://camerareadycosmetics.com/products/temptu-brilliant-glow-illuminating-primer-skin-perfector-airpod", "https://camerareadycosmetics.com/products/temptu-brilliant-glow-illuminating-primer-skin-perfector-airpod")</f>
        <v/>
      </c>
      <c r="C3639" t="inlineStr">
        <is>
          <t>Brilliant Glow: Illuminating Primer &amp; Skin Perfector Airpod</t>
        </is>
      </c>
      <c r="D3639" t="inlineStr">
        <is>
          <t>TEMPTU Brilliant Glow Illuminating Primer &amp; Skin Perfector Airpod: Hydrating Formula, Natural-Looking, Luminous Glow Primes &amp; Perfects Complexion, Available In 2 Shades</t>
        </is>
      </c>
      <c r="E3639" s="2">
        <f>HYPERLINK("https://www.amazon.com/Temptu-Brilliant-Illuminated-Primer-Perfector/dp/B07GS2J57Z/ref=sr_1_1?keywords=Brilliant+Glow%3A+Illuminating+Primer&amp;qid=1695565649&amp;sr=8-1", "https://www.amazon.com/Temptu-Brilliant-Illuminated-Primer-Perfector/dp/B07GS2J57Z/ref=sr_1_1?keywords=Brilliant+Glow%3A+Illuminating+Primer&amp;qid=1695565649&amp;sr=8-1")</f>
        <v/>
      </c>
      <c r="F3639" t="inlineStr">
        <is>
          <t>B07GS2J57Z</t>
        </is>
      </c>
      <c r="G3639">
        <f>_xlfn.IMAGE("https://camerareadycosmetics.com/cdn/shop/products/brilliantglow_12mlmediumdeep_2_1_50x.jpg?v=1531756121")</f>
        <v/>
      </c>
      <c r="H3639">
        <f>_xlfn.IMAGE("https://m.media-amazon.com/images/I/61VlegyOG9L._AC_UL320_.jpg")</f>
        <v/>
      </c>
      <c r="K3639" t="inlineStr">
        <is>
          <t>44.0</t>
        </is>
      </c>
      <c r="L3639" t="n">
        <v>44</v>
      </c>
      <c r="M3639" s="1" t="inlineStr">
        <is>
          <t>0.00%</t>
        </is>
      </c>
      <c r="N3639" t="n">
        <v>4</v>
      </c>
      <c r="O3639" t="n">
        <v>17</v>
      </c>
      <c r="Q3639" t="inlineStr">
        <is>
          <t>InStock</t>
        </is>
      </c>
      <c r="R3639" t="inlineStr">
        <is>
          <t>undefined</t>
        </is>
      </c>
      <c r="S3639" t="inlineStr">
        <is>
          <t>1343066931311</t>
        </is>
      </c>
    </row>
    <row r="3640" ht="75" customHeight="1">
      <c r="A3640" s="2">
        <f>HYPERLINK("https://camerareadycosmetics.com/products/temptu-brilliant-glow-illuminating-primer-skin-perfector-airpod", "https://camerareadycosmetics.com/products/temptu-brilliant-glow-illuminating-primer-skin-perfector-airpod")</f>
        <v/>
      </c>
      <c r="B3640" s="2">
        <f>HYPERLINK("https://camerareadycosmetics.com/products/temptu-brilliant-glow-illuminating-primer-skin-perfector-airpod", "https://camerareadycosmetics.com/products/temptu-brilliant-glow-illuminating-primer-skin-perfector-airpod")</f>
        <v/>
      </c>
      <c r="C3640" t="inlineStr">
        <is>
          <t>Brilliant Glow: Illuminating Primer &amp; Skin Perfector Airpod</t>
        </is>
      </c>
      <c r="D3640" t="inlineStr">
        <is>
          <t>TEMPTU Brilliant Glow Illuminating Primer &amp; Skin Perfector: Hydrating Formula, Natural-Looking, Luminous Glow, Primes &amp; Perfects Complexion, Available In 2 Shades</t>
        </is>
      </c>
      <c r="E3640" s="2">
        <f>HYPERLINK("https://www.amazon.com/Temptu-Brilliant-Illuminated-Primer-Perfector/dp/B07HM5QGXQ/ref=sr_1_2?keywords=Brilliant+Glow%3A+Illuminating+Primer&amp;qid=1695565649&amp;sr=8-2", "https://www.amazon.com/Temptu-Brilliant-Illuminated-Primer-Perfector/dp/B07HM5QGXQ/ref=sr_1_2?keywords=Brilliant+Glow%3A+Illuminating+Primer&amp;qid=1695565649&amp;sr=8-2")</f>
        <v/>
      </c>
      <c r="F3640" t="inlineStr">
        <is>
          <t>B07HM5QGXQ</t>
        </is>
      </c>
      <c r="G3640">
        <f>_xlfn.IMAGE("https://camerareadycosmetics.com/cdn/shop/products/brilliantglow_12mlmediumdeep_2_1_50x.jpg?v=1531756121")</f>
        <v/>
      </c>
      <c r="H3640">
        <f>_xlfn.IMAGE("https://m.media-amazon.com/images/I/61L4ZyMXkNL._AC_UL320_.jpg")</f>
        <v/>
      </c>
      <c r="K3640" t="inlineStr">
        <is>
          <t>44.0</t>
        </is>
      </c>
      <c r="L3640" t="n">
        <v>39</v>
      </c>
      <c r="M3640" s="1" t="inlineStr">
        <is>
          <t>-11.36%</t>
        </is>
      </c>
      <c r="N3640" t="n">
        <v>3.8</v>
      </c>
      <c r="O3640" t="n">
        <v>14</v>
      </c>
      <c r="Q3640" t="inlineStr">
        <is>
          <t>InStock</t>
        </is>
      </c>
      <c r="R3640" t="inlineStr">
        <is>
          <t>undefined</t>
        </is>
      </c>
      <c r="S3640" t="inlineStr">
        <is>
          <t>1343066931311</t>
        </is>
      </c>
    </row>
    <row r="3641" ht="75" customHeight="1">
      <c r="A3641" s="2">
        <f>HYPERLINK("https://camerareadycosmetics.com/products/temptu-built-to-lash-mascara", "https://camerareadycosmetics.com/products/temptu-built-to-lash-mascara")</f>
        <v/>
      </c>
      <c r="B3641" s="2">
        <f>HYPERLINK("https://camerareadycosmetics.com/products/temptu-built-to-lash-mascara", "https://camerareadycosmetics.com/products/temptu-built-to-lash-mascara")</f>
        <v/>
      </c>
      <c r="C3641" t="inlineStr">
        <is>
          <t>Built to Lash Mascara (Exclusive)</t>
        </is>
      </c>
      <c r="D3641" t="inlineStr">
        <is>
          <t>TEMPTU Built to Lash Mascara, Black, 0.35 Fl. Oz - Water and Smudge-Resistant, Paraben-Free - Long-Lasting Volume Mascara with Argan Oil, Avocado Oil, Olive Oil, Aloe Leaf - Premium Beauty Products</t>
        </is>
      </c>
      <c r="E3641" s="2">
        <f>HYPERLINK("https://www.amazon.com/Temptu-Built-Lash-Mascara-Black/dp/B07TRN15HM/ref=sr_1_1?keywords=Built+to+Lash+Mascara+%28Exclusive%29&amp;qid=1695565613&amp;sr=8-1", "https://www.amazon.com/Temptu-Built-Lash-Mascara-Black/dp/B07TRN15HM/ref=sr_1_1?keywords=Built+to+Lash+Mascara+%28Exclusive%29&amp;qid=1695565613&amp;sr=8-1")</f>
        <v/>
      </c>
      <c r="F3641" t="inlineStr">
        <is>
          <t>B07TRN15HM</t>
        </is>
      </c>
      <c r="G3641">
        <f>_xlfn.IMAGE("https://camerareadycosmetics.com/cdn/shop/products/temptu-built-to-lash-mascara-with-brush-61207_50x.jpg?v=1562470347")</f>
        <v/>
      </c>
      <c r="H3641">
        <f>_xlfn.IMAGE("https://m.media-amazon.com/images/I/31PzspmBvPL._AC_UL320_.jpg")</f>
        <v/>
      </c>
      <c r="K3641" t="inlineStr">
        <is>
          <t>24.0</t>
        </is>
      </c>
      <c r="L3641" t="n">
        <v>24</v>
      </c>
      <c r="M3641" s="1" t="inlineStr">
        <is>
          <t>0.00%</t>
        </is>
      </c>
      <c r="N3641" t="n">
        <v>4.3</v>
      </c>
      <c r="O3641" t="n">
        <v>17</v>
      </c>
      <c r="Q3641" t="inlineStr">
        <is>
          <t>InStock</t>
        </is>
      </c>
      <c r="R3641" t="inlineStr">
        <is>
          <t>undefined</t>
        </is>
      </c>
      <c r="S3641" t="inlineStr">
        <is>
          <t>3880932704367</t>
        </is>
      </c>
    </row>
    <row r="3642" ht="75" customHeight="1">
      <c r="A3642" s="2">
        <f>HYPERLINK("https://camerareadycosmetics.com/products/temptu-dura-liquid-starter-set-skin-dark", "https://camerareadycosmetics.com/products/temptu-dura-liquid-starter-set-skin-dark")</f>
        <v/>
      </c>
      <c r="B3642" s="2">
        <f>HYPERLINK("https://camerareadycosmetics.com/products/temptu-dura-liquid-starter-set-skin-dark", "https://camerareadycosmetics.com/products/temptu-dura-liquid-starter-set-skin-dark")</f>
        <v/>
      </c>
      <c r="C3642" t="inlineStr">
        <is>
          <t>Dura Liquid Starter Set - Skin Dark</t>
        </is>
      </c>
      <c r="D3642" t="inlineStr">
        <is>
          <t>AZUREBEAUTY 18Pcs Dip Powder Nail Kit Starter, Dark Brown Purple Nude Neutral Skin Tone White Nail Dipping Powder System Essential Kit for French Nail Manicure Art Set Manicure Salon DIY at Home</t>
        </is>
      </c>
      <c r="E3642" s="2">
        <f>HYPERLINK("https://www.amazon.com/Starter-AZUREBEAUTY-Neutral-Essential-Manicure/dp/B09WCK7NQ1/ref=sr_1_5?keywords=Dura+Liquid+Starter+Set+-+Skin+Dark&amp;qid=1695565778&amp;sr=8-5", "https://www.amazon.com/Starter-AZUREBEAUTY-Neutral-Essential-Manicure/dp/B09WCK7NQ1/ref=sr_1_5?keywords=Dura+Liquid+Starter+Set+-+Skin+Dark&amp;qid=1695565778&amp;sr=8-5")</f>
        <v/>
      </c>
      <c r="F3642" t="inlineStr">
        <is>
          <t>B09WCK7NQ1</t>
        </is>
      </c>
      <c r="G3642">
        <f>_xlfn.IMAGE("https://camerareadycosmetics.com/cdn/shop/products/temptu-duraskindark_50x.jpg?v=1559113636")</f>
        <v/>
      </c>
      <c r="H3642">
        <f>_xlfn.IMAGE("https://m.media-amazon.com/images/I/81H-mTJTRLL._AC_UL320_.jpg")</f>
        <v/>
      </c>
      <c r="K3642" t="inlineStr">
        <is>
          <t>54.0</t>
        </is>
      </c>
      <c r="L3642" t="n">
        <v>19.99</v>
      </c>
      <c r="M3642" s="1" t="inlineStr">
        <is>
          <t>-62.98%</t>
        </is>
      </c>
      <c r="N3642" t="n">
        <v>4</v>
      </c>
      <c r="O3642" t="n">
        <v>328</v>
      </c>
      <c r="Q3642" t="inlineStr">
        <is>
          <t>OutOfStock</t>
        </is>
      </c>
      <c r="R3642" t="inlineStr">
        <is>
          <t>undefined</t>
        </is>
      </c>
      <c r="S3642" t="inlineStr">
        <is>
          <t>2237990043759</t>
        </is>
      </c>
    </row>
    <row r="3643" ht="75" customHeight="1">
      <c r="A3643" s="2">
        <f>HYPERLINK("https://camerareadycosmetics.com/products/temptu-dura-liquid-starter-set-skin-dark", "https://camerareadycosmetics.com/products/temptu-dura-liquid-starter-set-skin-dark")</f>
        <v/>
      </c>
      <c r="B3643" s="2">
        <f>HYPERLINK("https://camerareadycosmetics.com/products/temptu-dura-liquid-starter-set-skin-dark", "https://camerareadycosmetics.com/products/temptu-dura-liquid-starter-set-skin-dark")</f>
        <v/>
      </c>
      <c r="C3643" t="inlineStr">
        <is>
          <t>Dura Liquid Starter Set - Skin Dark</t>
        </is>
      </c>
      <c r="D3643" t="inlineStr">
        <is>
          <t>AZUREBEAUTY Dip Powder Nail Kit Starter, All Season Nude Skin Pearlescent Shell Glitter 4 Colors Dipping Powder Liquid Set Recycling Tray with Base &amp; Top Coat Activator for Salon Home DIY Manicure</t>
        </is>
      </c>
      <c r="E3643" s="2">
        <f>HYPERLINK("https://www.amazon.com/AZUREBEAUTY-Dip-Powder-Nail-Kit/dp/B097MZGT2J/ref=sr_1_1?keywords=Dura+Liquid+Starter+Set+-+Skin+Dark&amp;qid=1695565778&amp;sr=8-1", "https://www.amazon.com/AZUREBEAUTY-Dip-Powder-Nail-Kit/dp/B097MZGT2J/ref=sr_1_1?keywords=Dura+Liquid+Starter+Set+-+Skin+Dark&amp;qid=1695565778&amp;sr=8-1")</f>
        <v/>
      </c>
      <c r="F3643" t="inlineStr">
        <is>
          <t>B097MZGT2J</t>
        </is>
      </c>
      <c r="G3643">
        <f>_xlfn.IMAGE("https://camerareadycosmetics.com/cdn/shop/products/temptu-duraskindark_50x.jpg?v=1559113636")</f>
        <v/>
      </c>
      <c r="H3643">
        <f>_xlfn.IMAGE("https://m.media-amazon.com/images/I/81Y-3s+uOqL._AC_UL320_.jpg")</f>
        <v/>
      </c>
      <c r="K3643" t="inlineStr">
        <is>
          <t>54.0</t>
        </is>
      </c>
      <c r="L3643" t="n">
        <v>13.59</v>
      </c>
      <c r="M3643" s="1" t="inlineStr">
        <is>
          <t>-74.83%</t>
        </is>
      </c>
      <c r="N3643" t="n">
        <v>4.3</v>
      </c>
      <c r="O3643" t="n">
        <v>14892</v>
      </c>
      <c r="Q3643" t="inlineStr">
        <is>
          <t>OutOfStock</t>
        </is>
      </c>
      <c r="R3643" t="inlineStr">
        <is>
          <t>undefined</t>
        </is>
      </c>
      <c r="S3643" t="inlineStr">
        <is>
          <t>2237990043759</t>
        </is>
      </c>
    </row>
    <row r="3644" ht="75" customHeight="1">
      <c r="A3644" s="2">
        <f>HYPERLINK("https://camerareadycosmetics.com/products/temptu-dura-liquid-starter-set-skin-dark", "https://camerareadycosmetics.com/products/temptu-dura-liquid-starter-set-skin-dark")</f>
        <v/>
      </c>
      <c r="B3644" s="2">
        <f>HYPERLINK("https://camerareadycosmetics.com/products/temptu-dura-liquid-starter-set-skin-dark", "https://camerareadycosmetics.com/products/temptu-dura-liquid-starter-set-skin-dark")</f>
        <v/>
      </c>
      <c r="C3644" t="inlineStr">
        <is>
          <t>Dura Liquid Starter Set - Skin Dark</t>
        </is>
      </c>
      <c r="D3644" t="inlineStr">
        <is>
          <t>AZUREBEAUTY 18Pcs Dip Powder Nail Kit Starter, Dark Brown Purple Nude Neutral Skin Tone White Nail Dipping Powder System Essential Kit for French Nail Manicure Art Set Manicure Salon DIY at Home</t>
        </is>
      </c>
      <c r="E3644" s="2">
        <f>HYPERLINK("https://www.amazon.com/Starter-AZUREBEAUTY-Neutral-Essential-Manicure/dp/B09WCK7NQ1/ref=sr_1_5?keywords=Dura+Liquid+Starter+Set+-+Skin+Dark&amp;qid=1695565778&amp;sr=8-5", "https://www.amazon.com/Starter-AZUREBEAUTY-Neutral-Essential-Manicure/dp/B09WCK7NQ1/ref=sr_1_5?keywords=Dura+Liquid+Starter+Set+-+Skin+Dark&amp;qid=1695565778&amp;sr=8-5")</f>
        <v/>
      </c>
      <c r="F3644" t="inlineStr">
        <is>
          <t>B09WCK7NQ1</t>
        </is>
      </c>
      <c r="G3644">
        <f>_xlfn.IMAGE("https://camerareadycosmetics.com/cdn/shop/products/temptu-duraskindark_50x.jpg?v=1559113636")</f>
        <v/>
      </c>
      <c r="H3644">
        <f>_xlfn.IMAGE("https://m.media-amazon.com/images/I/81H-mTJTRLL._AC_UL320_.jpg")</f>
        <v/>
      </c>
      <c r="K3644" t="inlineStr">
        <is>
          <t>54.0</t>
        </is>
      </c>
      <c r="L3644" t="n">
        <v>19.99</v>
      </c>
      <c r="M3644" s="1" t="inlineStr">
        <is>
          <t>-62.98%</t>
        </is>
      </c>
      <c r="N3644" t="n">
        <v>4</v>
      </c>
      <c r="O3644" t="n">
        <v>328</v>
      </c>
      <c r="Q3644" t="inlineStr">
        <is>
          <t>OutOfStock</t>
        </is>
      </c>
      <c r="R3644" t="inlineStr">
        <is>
          <t>undefined</t>
        </is>
      </c>
      <c r="S3644" t="inlineStr">
        <is>
          <t>2237990043759</t>
        </is>
      </c>
    </row>
    <row r="3645" ht="75" customHeight="1">
      <c r="A3645" s="2">
        <f>HYPERLINK("https://camerareadycosmetics.com/products/temptu-dura-liquid-starter-set-skin-dark", "https://camerareadycosmetics.com/products/temptu-dura-liquid-starter-set-skin-dark")</f>
        <v/>
      </c>
      <c r="B3645" s="2">
        <f>HYPERLINK("https://camerareadycosmetics.com/products/temptu-dura-liquid-starter-set-skin-dark", "https://camerareadycosmetics.com/products/temptu-dura-liquid-starter-set-skin-dark")</f>
        <v/>
      </c>
      <c r="C3645" t="inlineStr">
        <is>
          <t>Dura Liquid Starter Set - Skin Dark</t>
        </is>
      </c>
      <c r="D3645" t="inlineStr">
        <is>
          <t>AZUREBEAUTY Dip Powder Nail Kit Starter, All Season Nude Skin Pearlescent Shell Glitter 4 Colors Dipping Powder Liquid Set Recycling Tray with Base &amp; Top Coat Activator for Salon Home DIY Manicure</t>
        </is>
      </c>
      <c r="E3645" s="2">
        <f>HYPERLINK("https://www.amazon.com/AZUREBEAUTY-Dip-Powder-Nail-Kit/dp/B097MZGT2J/ref=sr_1_1?keywords=Dura+Liquid+Starter+Set+-+Skin+Dark&amp;qid=1695565778&amp;sr=8-1", "https://www.amazon.com/AZUREBEAUTY-Dip-Powder-Nail-Kit/dp/B097MZGT2J/ref=sr_1_1?keywords=Dura+Liquid+Starter+Set+-+Skin+Dark&amp;qid=1695565778&amp;sr=8-1")</f>
        <v/>
      </c>
      <c r="F3645" t="inlineStr">
        <is>
          <t>B097MZGT2J</t>
        </is>
      </c>
      <c r="G3645">
        <f>_xlfn.IMAGE("https://camerareadycosmetics.com/cdn/shop/products/temptu-duraskindark_50x.jpg?v=1559113636")</f>
        <v/>
      </c>
      <c r="H3645">
        <f>_xlfn.IMAGE("https://m.media-amazon.com/images/I/81Y-3s+uOqL._AC_UL320_.jpg")</f>
        <v/>
      </c>
      <c r="K3645" t="inlineStr">
        <is>
          <t>54.0</t>
        </is>
      </c>
      <c r="L3645" t="n">
        <v>13.59</v>
      </c>
      <c r="M3645" s="1" t="inlineStr">
        <is>
          <t>-74.83%</t>
        </is>
      </c>
      <c r="N3645" t="n">
        <v>4.3</v>
      </c>
      <c r="O3645" t="n">
        <v>14892</v>
      </c>
      <c r="Q3645" t="inlineStr">
        <is>
          <t>OutOfStock</t>
        </is>
      </c>
      <c r="R3645" t="inlineStr">
        <is>
          <t>undefined</t>
        </is>
      </c>
      <c r="S3645" t="inlineStr">
        <is>
          <t>2237990043759</t>
        </is>
      </c>
    </row>
    <row r="3646" ht="75" customHeight="1">
      <c r="A3646" s="2">
        <f>HYPERLINK("https://camerareadycosmetics.com/products/temptu-dura-liquid-starter-set-skin-light", "https://camerareadycosmetics.com/products/temptu-dura-liquid-starter-set-skin-light")</f>
        <v/>
      </c>
      <c r="B3646" s="2">
        <f>HYPERLINK("https://camerareadycosmetics.com/products/temptu-dura-liquid-starter-set-skin-light", "https://camerareadycosmetics.com/products/temptu-dura-liquid-starter-set-skin-light")</f>
        <v/>
      </c>
      <c r="C3646" t="inlineStr">
        <is>
          <t>Dura Liquid Starter Set - Skin Light</t>
        </is>
      </c>
      <c r="D3646" t="inlineStr">
        <is>
          <t>AZUREBEAUTY Dip Powder Nail Kit Starter, All Season Nude Skin Pearlescent Shell Glitter 4 Colors Dipping Powder Liquid Set Recycling Tray with Base &amp; Top Coat Activator for Salon Home DIY Manicure</t>
        </is>
      </c>
      <c r="E3646" s="2">
        <f>HYPERLINK("https://www.amazon.com/AZUREBEAUTY-Dip-Powder-Nail-Kit/dp/B097MZGT2J/ref=sr_1_1?keywords=Dura+Liquid+Starter+Set+-+Skin+Light&amp;qid=1695565705&amp;sr=8-1", "https://www.amazon.com/AZUREBEAUTY-Dip-Powder-Nail-Kit/dp/B097MZGT2J/ref=sr_1_1?keywords=Dura+Liquid+Starter+Set+-+Skin+Light&amp;qid=1695565705&amp;sr=8-1")</f>
        <v/>
      </c>
      <c r="F3646" t="inlineStr">
        <is>
          <t>B097MZGT2J</t>
        </is>
      </c>
      <c r="G3646">
        <f>_xlfn.IMAGE("https://camerareadycosmetics.com/cdn/shop/products/temptu-duraskinlight_50x.jpg?v=1559113636")</f>
        <v/>
      </c>
      <c r="H3646">
        <f>_xlfn.IMAGE("https://m.media-amazon.com/images/I/81Y-3s+uOqL._AC_UL320_.jpg")</f>
        <v/>
      </c>
      <c r="K3646" t="inlineStr">
        <is>
          <t>54.0</t>
        </is>
      </c>
      <c r="L3646" t="n">
        <v>13.59</v>
      </c>
      <c r="M3646" s="1" t="inlineStr">
        <is>
          <t>-74.83%</t>
        </is>
      </c>
      <c r="N3646" t="n">
        <v>4.3</v>
      </c>
      <c r="O3646" t="n">
        <v>14892</v>
      </c>
      <c r="Q3646" t="inlineStr">
        <is>
          <t>OutOfStock</t>
        </is>
      </c>
      <c r="R3646" t="inlineStr">
        <is>
          <t>undefined</t>
        </is>
      </c>
      <c r="S3646" t="inlineStr">
        <is>
          <t>2237983588463</t>
        </is>
      </c>
    </row>
    <row r="3647" ht="75" customHeight="1">
      <c r="A3647" s="2">
        <f>HYPERLINK("https://camerareadycosmetics.com/products/temptu-dura-liquid-starter-set-skin-light", "https://camerareadycosmetics.com/products/temptu-dura-liquid-starter-set-skin-light")</f>
        <v/>
      </c>
      <c r="B3647" s="2">
        <f>HYPERLINK("https://camerareadycosmetics.com/products/temptu-dura-liquid-starter-set-skin-light", "https://camerareadycosmetics.com/products/temptu-dura-liquid-starter-set-skin-light")</f>
        <v/>
      </c>
      <c r="C3647" t="inlineStr">
        <is>
          <t>Dura Liquid Starter Set - Skin Light</t>
        </is>
      </c>
      <c r="D3647" t="inlineStr">
        <is>
          <t>AZUREBEAUTY Dip Powder Nail Kit Starter, All Season Nude Skin Pearlescent Shell Glitter 4 Colors Dipping Powder Liquid Set Recycling Tray with Base &amp; Top Coat Activator for Salon Home DIY Manicure</t>
        </is>
      </c>
      <c r="E3647" s="2">
        <f>HYPERLINK("https://www.amazon.com/AZUREBEAUTY-Dip-Powder-Nail-Kit/dp/B097MZGT2J/ref=sr_1_1?keywords=Dura+Liquid+Starter+Set+-+Skin+Light&amp;qid=1695565705&amp;sr=8-1", "https://www.amazon.com/AZUREBEAUTY-Dip-Powder-Nail-Kit/dp/B097MZGT2J/ref=sr_1_1?keywords=Dura+Liquid+Starter+Set+-+Skin+Light&amp;qid=1695565705&amp;sr=8-1")</f>
        <v/>
      </c>
      <c r="F3647" t="inlineStr">
        <is>
          <t>B097MZGT2J</t>
        </is>
      </c>
      <c r="G3647">
        <f>_xlfn.IMAGE("https://camerareadycosmetics.com/cdn/shop/products/temptu-duraskinlight_50x.jpg?v=1559113636")</f>
        <v/>
      </c>
      <c r="H3647">
        <f>_xlfn.IMAGE("https://m.media-amazon.com/images/I/81Y-3s+uOqL._AC_UL320_.jpg")</f>
        <v/>
      </c>
      <c r="K3647" t="inlineStr">
        <is>
          <t>54.0</t>
        </is>
      </c>
      <c r="L3647" t="n">
        <v>13.59</v>
      </c>
      <c r="M3647" s="1" t="inlineStr">
        <is>
          <t>-74.83%</t>
        </is>
      </c>
      <c r="N3647" t="n">
        <v>4.3</v>
      </c>
      <c r="O3647" t="n">
        <v>14892</v>
      </c>
      <c r="Q3647" t="inlineStr">
        <is>
          <t>OutOfStock</t>
        </is>
      </c>
      <c r="R3647" t="inlineStr">
        <is>
          <t>undefined</t>
        </is>
      </c>
      <c r="S3647" t="inlineStr">
        <is>
          <t>2237983588463</t>
        </is>
      </c>
    </row>
    <row r="3648" ht="75" customHeight="1">
      <c r="A3648" s="2">
        <f>HYPERLINK("https://camerareadycosmetics.com/products/temptu-neutralizer-wheel", "https://camerareadycosmetics.com/products/temptu-neutralizer-wheel")</f>
        <v/>
      </c>
      <c r="B3648" s="2">
        <f>HYPERLINK("https://camerareadycosmetics.com/products/temptu-neutralizer-wheel", "https://camerareadycosmetics.com/products/temptu-neutralizer-wheel")</f>
        <v/>
      </c>
      <c r="C3648" t="inlineStr">
        <is>
          <t>Neutralizer Wheel</t>
        </is>
      </c>
      <c r="D3648" t="inlineStr">
        <is>
          <t>TEMPTU S/B Neutralizer Wheel - Includes 5 Color-Correcting Shades To Perfect &amp; Even Out All Skin Types &amp; Tones | Multi-use, Can Be Applied With Brush, Sponge, or Fingertips, 1 pack</t>
        </is>
      </c>
      <c r="E3648" s="2">
        <f>HYPERLINK("https://www.amazon.com/Temptu-S-B-Neutralizer-Wheel/dp/B0081S5ZEE/ref=sr_1_1?keywords=Neutralizer+Wheel&amp;qid=1695565678&amp;sr=8-1", "https://www.amazon.com/Temptu-S-B-Neutralizer-Wheel/dp/B0081S5ZEE/ref=sr_1_1?keywords=Neutralizer+Wheel&amp;qid=1695565678&amp;sr=8-1")</f>
        <v/>
      </c>
      <c r="F3648" t="inlineStr">
        <is>
          <t>B0081S5ZEE</t>
        </is>
      </c>
      <c r="G3648">
        <f>_xlfn.IMAGE("https://camerareadycosmetics.com/cdn/shop/products/15504000_a_W__81758.1429724858.600.600_50x.jpeg?v=1689631837")</f>
        <v/>
      </c>
      <c r="H3648">
        <f>_xlfn.IMAGE("https://m.media-amazon.com/images/I/71gGNqYfoSL._AC_UL320_.jpg")</f>
        <v/>
      </c>
      <c r="K3648" t="inlineStr">
        <is>
          <t>32.0</t>
        </is>
      </c>
      <c r="L3648" t="n">
        <v>32</v>
      </c>
      <c r="M3648" s="1" t="inlineStr">
        <is>
          <t>0.00%</t>
        </is>
      </c>
      <c r="N3648" t="n">
        <v>3.9</v>
      </c>
      <c r="O3648" t="n">
        <v>55</v>
      </c>
      <c r="Q3648" t="inlineStr">
        <is>
          <t>InStock</t>
        </is>
      </c>
      <c r="R3648" t="inlineStr">
        <is>
          <t>undefined</t>
        </is>
      </c>
      <c r="S3648" t="inlineStr">
        <is>
          <t>7035824071</t>
        </is>
      </c>
    </row>
    <row r="3649" ht="75" customHeight="1">
      <c r="A3649" s="2">
        <f>HYPERLINK("https://camerareadycosmetics.com/products/temptu-perfect-canvas-airbrush-color-correctors-starter-set", "https://camerareadycosmetics.com/products/temptu-perfect-canvas-airbrush-color-correctors-starter-set")</f>
        <v/>
      </c>
      <c r="B3649" s="2">
        <f>HYPERLINK("https://camerareadycosmetics.com/products/temptu-perfect-canvas-airbrush-color-correctors-starter-set", "https://camerareadycosmetics.com/products/temptu-perfect-canvas-airbrush-color-correctors-starter-set")</f>
        <v/>
      </c>
      <c r="C3649" t="inlineStr">
        <is>
          <t>Perfect Canvas Airbrush Color Correctors Starter Set</t>
        </is>
      </c>
      <c r="D3649" t="inlineStr">
        <is>
          <t>TEMPTU Perfect Canvas Airbrush Color Corrector: Long-Wear, High-Performance Airbrush Color Correctors | Weightless Color Correction For Skin Discoloration | 7 Shades</t>
        </is>
      </c>
      <c r="E3649" s="2">
        <f>HYPERLINK("https://www.amazon.com/Temptu-Perfect-Canvas-Airbrush-Corrector/dp/B07BZ82LXT/ref=sr_1_1?keywords=Perfect+Canvas+Airbrush+Color+Correctors+Starter+Set&amp;qid=1695565705&amp;sr=8-1", "https://www.amazon.com/Temptu-Perfect-Canvas-Airbrush-Corrector/dp/B07BZ82LXT/ref=sr_1_1?keywords=Perfect+Canvas+Airbrush+Color+Correctors+Starter+Set&amp;qid=1695565705&amp;sr=8-1")</f>
        <v/>
      </c>
      <c r="F3649" t="inlineStr">
        <is>
          <t>B07BZ82LXT</t>
        </is>
      </c>
      <c r="G3649">
        <f>_xlfn.IMAGE("https://camerareadycosmetics.com/cdn/shop/products/25oz_pc_corrector_7-pack_web_1_50x.jpg?v=1506755800")</f>
        <v/>
      </c>
      <c r="H3649">
        <f>_xlfn.IMAGE("https://m.media-amazon.com/images/I/51lfPSP068L._AC_UL320_.jpg")</f>
        <v/>
      </c>
      <c r="K3649" t="inlineStr">
        <is>
          <t>74.0</t>
        </is>
      </c>
      <c r="L3649" t="n">
        <v>18</v>
      </c>
      <c r="M3649" s="1" t="inlineStr">
        <is>
          <t>-75.68%</t>
        </is>
      </c>
      <c r="N3649" t="n">
        <v>3.5</v>
      </c>
      <c r="O3649" t="n">
        <v>24</v>
      </c>
      <c r="Q3649" t="inlineStr">
        <is>
          <t>InStock</t>
        </is>
      </c>
      <c r="R3649" t="inlineStr">
        <is>
          <t>undefined</t>
        </is>
      </c>
      <c r="S3649" t="inlineStr">
        <is>
          <t>10963219146</t>
        </is>
      </c>
    </row>
    <row r="3650" ht="75" customHeight="1">
      <c r="A3650" s="2">
        <f>HYPERLINK("https://camerareadycosmetics.com/products/temptu-perfect-canvas-airbrush-color-correctors-starter-set", "https://camerareadycosmetics.com/products/temptu-perfect-canvas-airbrush-color-correctors-starter-set")</f>
        <v/>
      </c>
      <c r="B3650" s="2">
        <f>HYPERLINK("https://camerareadycosmetics.com/products/temptu-perfect-canvas-airbrush-color-correctors-starter-set", "https://camerareadycosmetics.com/products/temptu-perfect-canvas-airbrush-color-correctors-starter-set")</f>
        <v/>
      </c>
      <c r="C3650" t="inlineStr">
        <is>
          <t>Perfect Canvas Airbrush Color Correctors Starter Set</t>
        </is>
      </c>
      <c r="D3650" t="inlineStr">
        <is>
          <t>TEMPTU Perfect Canvas Airbrush Color Corrector: Long-Wear, High-Performance Airbrush Color Correctors | Weightless Color Correction For Skin Discoloration | 7 Shades</t>
        </is>
      </c>
      <c r="E3650" s="2">
        <f>HYPERLINK("https://www.amazon.com/Temptu-Perfect-Canvas-Airbrush-Corrector/dp/B07BZ82LXT/ref=sr_1_1?keywords=Perfect+Canvas+Airbrush+Color+Correctors+Starter+Set&amp;qid=1695565705&amp;sr=8-1", "https://www.amazon.com/Temptu-Perfect-Canvas-Airbrush-Corrector/dp/B07BZ82LXT/ref=sr_1_1?keywords=Perfect+Canvas+Airbrush+Color+Correctors+Starter+Set&amp;qid=1695565705&amp;sr=8-1")</f>
        <v/>
      </c>
      <c r="F3650" t="inlineStr">
        <is>
          <t>B07BZ82LXT</t>
        </is>
      </c>
      <c r="G3650">
        <f>_xlfn.IMAGE("https://camerareadycosmetics.com/cdn/shop/products/25oz_pc_corrector_7-pack_web_1_50x.jpg?v=1506755800")</f>
        <v/>
      </c>
      <c r="H3650">
        <f>_xlfn.IMAGE("https://m.media-amazon.com/images/I/51lfPSP068L._AC_UL320_.jpg")</f>
        <v/>
      </c>
      <c r="K3650" t="inlineStr">
        <is>
          <t>74.0</t>
        </is>
      </c>
      <c r="L3650" t="n">
        <v>18</v>
      </c>
      <c r="M3650" s="1" t="inlineStr">
        <is>
          <t>-75.68%</t>
        </is>
      </c>
      <c r="N3650" t="n">
        <v>3.5</v>
      </c>
      <c r="O3650" t="n">
        <v>24</v>
      </c>
      <c r="Q3650" t="inlineStr">
        <is>
          <t>InStock</t>
        </is>
      </c>
      <c r="R3650" t="inlineStr">
        <is>
          <t>undefined</t>
        </is>
      </c>
      <c r="S3650" t="inlineStr">
        <is>
          <t>10963219146</t>
        </is>
      </c>
    </row>
    <row r="3651" ht="75" customHeight="1">
      <c r="A3651" s="2">
        <f>HYPERLINK("https://camerareadycosmetics.com/products/temptu-perfect-canvas-airpod-highlighter", "https://camerareadycosmetics.com/products/temptu-perfect-canvas-airpod-highlighter")</f>
        <v/>
      </c>
      <c r="B3651" s="2">
        <f>HYPERLINK("https://camerareadycosmetics.com/products/temptu-perfect-canvas-airpod-highlighter", "https://camerareadycosmetics.com/products/temptu-perfect-canvas-airpod-highlighter")</f>
        <v/>
      </c>
      <c r="C3651" t="inlineStr">
        <is>
          <t>Perfect Canvas Airpod Highlighter</t>
        </is>
      </c>
      <c r="D3651" t="inlineStr">
        <is>
          <t>Perfect Canvas Airbrush Highlighter Airpod: Long-Wear, Layerable, Light-Reflecting Radiance &amp; Shimmer, Natural-Looking Luminosity, Weightless Illuminator, Buildable Formula, 7 Shades</t>
        </is>
      </c>
      <c r="E3651" s="2">
        <f>HYPERLINK("https://www.amazon.com/Temptu-Perfect-Canvas-Airbrush-Highlighter/dp/B074V8HLPB/ref=sr_1_fkmr0_1?keywords=Perfect+Canvas+Airpod+Highlighter&amp;qid=1695565668&amp;sr=8-1-fkmr0", "https://www.amazon.com/Temptu-Perfect-Canvas-Airbrush-Highlighter/dp/B074V8HLPB/ref=sr_1_fkmr0_1?keywords=Perfect+Canvas+Airpod+Highlighter&amp;qid=1695565668&amp;sr=8-1-fkmr0")</f>
        <v/>
      </c>
      <c r="F3651" t="inlineStr">
        <is>
          <t>B074V8HLPB</t>
        </is>
      </c>
      <c r="G3651">
        <f>_xlfn.IMAGE("https://camerareadycosmetics.com/cdn/shop/products/perfect-canvas-airbrush-highlighter-8ml-airpod-sunset-glow_50x.jpg?v=1626338587")</f>
        <v/>
      </c>
      <c r="H3651">
        <f>_xlfn.IMAGE("https://m.media-amazon.com/images/I/61R8+v3659L._AC_UL320_.jpg")</f>
        <v/>
      </c>
      <c r="K3651" t="inlineStr">
        <is>
          <t>39.0</t>
        </is>
      </c>
      <c r="L3651" t="n">
        <v>39</v>
      </c>
      <c r="M3651" s="1" t="inlineStr">
        <is>
          <t>0.00%</t>
        </is>
      </c>
      <c r="N3651" t="n">
        <v>3.7</v>
      </c>
      <c r="O3651" t="n">
        <v>44</v>
      </c>
      <c r="Q3651" t="inlineStr">
        <is>
          <t>InStock</t>
        </is>
      </c>
      <c r="R3651" t="inlineStr">
        <is>
          <t>39.0</t>
        </is>
      </c>
      <c r="S3651" t="inlineStr">
        <is>
          <t>6831125987513</t>
        </is>
      </c>
    </row>
    <row r="3652" ht="75" customHeight="1">
      <c r="A3652" s="2">
        <f>HYPERLINK("https://camerareadycosmetics.com/products/temptu-perfect-canvas-airpod-highlighter", "https://camerareadycosmetics.com/products/temptu-perfect-canvas-airpod-highlighter")</f>
        <v/>
      </c>
      <c r="B3652" s="2">
        <f>HYPERLINK("https://camerareadycosmetics.com/products/temptu-perfect-canvas-airpod-highlighter", "https://camerareadycosmetics.com/products/temptu-perfect-canvas-airpod-highlighter")</f>
        <v/>
      </c>
      <c r="C3652" t="inlineStr">
        <is>
          <t>Perfect Canvas Airpod Highlighter</t>
        </is>
      </c>
      <c r="D3652" t="inlineStr">
        <is>
          <t>Perfect Canvas Airbrush Highlighter Airpod: Long-Wear, Layerable, Light-Reflecting Radiance &amp; Shimmer, Natural-Looking Luminosity, Weightless Illuminator, Buildable Formula, 7 Shades</t>
        </is>
      </c>
      <c r="E3652" s="2">
        <f>HYPERLINK("https://www.amazon.com/Temptu-Perfect-Airbrush-Highlighter-Champagne/dp/B074V84MQT/ref=sr_1_1?keywords=Perfect+Canvas+Airpod+Highlighter&amp;qid=1695565668&amp;sr=8-1", "https://www.amazon.com/Temptu-Perfect-Airbrush-Highlighter-Champagne/dp/B074V84MQT/ref=sr_1_1?keywords=Perfect+Canvas+Airpod+Highlighter&amp;qid=1695565668&amp;sr=8-1")</f>
        <v/>
      </c>
      <c r="F3652" t="inlineStr">
        <is>
          <t>B074V84MQT</t>
        </is>
      </c>
      <c r="G3652">
        <f>_xlfn.IMAGE("https://camerareadycosmetics.com/cdn/shop/products/perfect-canvas-airbrush-highlighter-8ml-airpod-sunset-glow_50x.jpg?v=1626338587")</f>
        <v/>
      </c>
      <c r="H3652">
        <f>_xlfn.IMAGE("https://m.media-amazon.com/images/I/61wR-R1mipL._AC_UL320_.jpg")</f>
        <v/>
      </c>
      <c r="K3652" t="inlineStr">
        <is>
          <t>39.0</t>
        </is>
      </c>
      <c r="L3652" t="n">
        <v>39</v>
      </c>
      <c r="M3652" s="1" t="inlineStr">
        <is>
          <t>0.00%</t>
        </is>
      </c>
      <c r="N3652" t="n">
        <v>3.7</v>
      </c>
      <c r="O3652" t="n">
        <v>44</v>
      </c>
      <c r="Q3652" t="inlineStr">
        <is>
          <t>InStock</t>
        </is>
      </c>
      <c r="R3652" t="inlineStr">
        <is>
          <t>39.0</t>
        </is>
      </c>
      <c r="S3652" t="inlineStr">
        <is>
          <t>6831125987513</t>
        </is>
      </c>
    </row>
    <row r="3653" ht="75" customHeight="1">
      <c r="A3653" s="2">
        <f>HYPERLINK("https://camerareadycosmetics.com/products/temptu-perfect-canvas-color-correctors", "https://camerareadycosmetics.com/products/temptu-perfect-canvas-color-correctors")</f>
        <v/>
      </c>
      <c r="B3653" s="2">
        <f>HYPERLINK("https://camerareadycosmetics.com/products/temptu-perfect-canvas-color-correctors", "https://camerareadycosmetics.com/products/temptu-perfect-canvas-color-correctors")</f>
        <v/>
      </c>
      <c r="C3653" t="inlineStr">
        <is>
          <t>Perfect Canvas Color Correctors</t>
        </is>
      </c>
      <c r="D3653" t="inlineStr">
        <is>
          <t>TEMPTU Perfect Canvas Airbrush Color Correctors Starter Set: Long-Wear, High-Performance Airbrush Color Correctors | Weightless Color Correction For Skin Discoloration | 7 Shades</t>
        </is>
      </c>
      <c r="E3653" s="2">
        <f>HYPERLINK("https://www.amazon.com/Temptu-Perfect-Airbrush-Concealer-Corrector/dp/B074XBNP66/ref=sr_1_4?keywords=Perfect+Canvas+Color+Correctors&amp;qid=1695565644&amp;sr=8-4", "https://www.amazon.com/Temptu-Perfect-Airbrush-Concealer-Corrector/dp/B074XBNP66/ref=sr_1_4?keywords=Perfect+Canvas+Color+Correctors&amp;qid=1695565644&amp;sr=8-4")</f>
        <v/>
      </c>
      <c r="F3653" t="inlineStr">
        <is>
          <t>B074XBNP66</t>
        </is>
      </c>
      <c r="G3653">
        <f>_xlfn.IMAGE("https://camerareadycosmetics.com/cdn/shop/products/25oz_pc_corrector_caramel_1_50x.jpg?v=1528576418")</f>
        <v/>
      </c>
      <c r="H3653">
        <f>_xlfn.IMAGE("https://m.media-amazon.com/images/I/711rEzGP+vL._AC_UL320_.jpg")</f>
        <v/>
      </c>
      <c r="K3653" t="inlineStr">
        <is>
          <t>18.0</t>
        </is>
      </c>
      <c r="L3653" t="n">
        <v>74</v>
      </c>
      <c r="M3653" s="1" t="inlineStr">
        <is>
          <t>311.11%</t>
        </is>
      </c>
      <c r="N3653" t="n">
        <v>4.1</v>
      </c>
      <c r="O3653" t="n">
        <v>24</v>
      </c>
      <c r="Q3653" t="inlineStr">
        <is>
          <t>InStock</t>
        </is>
      </c>
      <c r="R3653" t="inlineStr">
        <is>
          <t>undefined</t>
        </is>
      </c>
      <c r="S3653" t="inlineStr">
        <is>
          <t>1327810248815</t>
        </is>
      </c>
    </row>
    <row r="3654" ht="75" customHeight="1">
      <c r="A3654" s="2">
        <f>HYPERLINK("https://camerareadycosmetics.com/products/temptu-perfect-canvas-color-correctors", "https://camerareadycosmetics.com/products/temptu-perfect-canvas-color-correctors")</f>
        <v/>
      </c>
      <c r="B3654" s="2">
        <f>HYPERLINK("https://camerareadycosmetics.com/products/temptu-perfect-canvas-color-correctors", "https://camerareadycosmetics.com/products/temptu-perfect-canvas-color-correctors")</f>
        <v/>
      </c>
      <c r="C3654" t="inlineStr">
        <is>
          <t>Perfect Canvas Color Correctors</t>
        </is>
      </c>
      <c r="D3654" t="inlineStr">
        <is>
          <t>TEMPTU Perfect Canvas Airbrush One Step Concealer &amp; Color Corrector Airpod: Long-Wear, High-Performance Airbrush Color Correctors For Skin Discoloration | 7 Shades</t>
        </is>
      </c>
      <c r="E3654" s="2">
        <f>HYPERLINK("https://www.amazon.com/Temptu-Perfect-Airbrush-Concealer-Corrector/dp/B074V6PB2R/ref=sr_1_2?keywords=Perfect+Canvas+Color+Correctors&amp;qid=1695565644&amp;sr=8-2", "https://www.amazon.com/Temptu-Perfect-Airbrush-Concealer-Corrector/dp/B074V6PB2R/ref=sr_1_2?keywords=Perfect+Canvas+Color+Correctors&amp;qid=1695565644&amp;sr=8-2")</f>
        <v/>
      </c>
      <c r="F3654" t="inlineStr">
        <is>
          <t>B074V6PB2R</t>
        </is>
      </c>
      <c r="G3654">
        <f>_xlfn.IMAGE("https://camerareadycosmetics.com/cdn/shop/products/25oz_pc_corrector_caramel_1_50x.jpg?v=1528576418")</f>
        <v/>
      </c>
      <c r="H3654">
        <f>_xlfn.IMAGE("https://m.media-amazon.com/images/I/51j9P+RxiQL._AC_UL320_.jpg")</f>
        <v/>
      </c>
      <c r="K3654" t="inlineStr">
        <is>
          <t>18.0</t>
        </is>
      </c>
      <c r="L3654" t="n">
        <v>34</v>
      </c>
      <c r="M3654" s="1" t="inlineStr">
        <is>
          <t>88.89%</t>
        </is>
      </c>
      <c r="N3654" t="n">
        <v>4</v>
      </c>
      <c r="O3654" t="n">
        <v>35</v>
      </c>
      <c r="Q3654" t="inlineStr">
        <is>
          <t>InStock</t>
        </is>
      </c>
      <c r="R3654" t="inlineStr">
        <is>
          <t>undefined</t>
        </is>
      </c>
      <c r="S3654" t="inlineStr">
        <is>
          <t>1327810248815</t>
        </is>
      </c>
    </row>
    <row r="3655" ht="75" customHeight="1">
      <c r="A3655" s="2">
        <f>HYPERLINK("https://camerareadycosmetics.com/products/temptu-perfect-canvas-color-correctors", "https://camerareadycosmetics.com/products/temptu-perfect-canvas-color-correctors")</f>
        <v/>
      </c>
      <c r="B3655" s="2">
        <f>HYPERLINK("https://camerareadycosmetics.com/products/temptu-perfect-canvas-color-correctors", "https://camerareadycosmetics.com/products/temptu-perfect-canvas-color-correctors")</f>
        <v/>
      </c>
      <c r="C3655" t="inlineStr">
        <is>
          <t>Perfect Canvas Color Correctors</t>
        </is>
      </c>
      <c r="D3655" t="inlineStr">
        <is>
          <t>TEMPTU Perfect Canvas Airbrush Color Corrector: Long-Wear, High-Performance Airbrush Color Correctors | Weightless Color Correction For Skin Discoloration | 7 Shades</t>
        </is>
      </c>
      <c r="E3655" s="2">
        <f>HYPERLINK("https://www.amazon.com/Temptu-Perfect-Canvas-Airbrush-Corrector/dp/B07BZ7H9Q2/ref=sr_1_1?keywords=Perfect+Canvas+Color+Correctors&amp;qid=1695565644&amp;sr=8-1", "https://www.amazon.com/Temptu-Perfect-Canvas-Airbrush-Corrector/dp/B07BZ7H9Q2/ref=sr_1_1?keywords=Perfect+Canvas+Color+Correctors&amp;qid=1695565644&amp;sr=8-1")</f>
        <v/>
      </c>
      <c r="F3655" t="inlineStr">
        <is>
          <t>B07BZ7H9Q2</t>
        </is>
      </c>
      <c r="G3655">
        <f>_xlfn.IMAGE("https://camerareadycosmetics.com/cdn/shop/products/25oz_pc_corrector_caramel_1_50x.jpg?v=1528576418")</f>
        <v/>
      </c>
      <c r="H3655">
        <f>_xlfn.IMAGE("https://m.media-amazon.com/images/I/51j5gTDJQpL._AC_UL320_.jpg")</f>
        <v/>
      </c>
      <c r="K3655" t="inlineStr">
        <is>
          <t>18.0</t>
        </is>
      </c>
      <c r="L3655" t="n">
        <v>18</v>
      </c>
      <c r="M3655" s="1" t="inlineStr">
        <is>
          <t>0.00%</t>
        </is>
      </c>
      <c r="N3655" t="n">
        <v>3.5</v>
      </c>
      <c r="O3655" t="n">
        <v>24</v>
      </c>
      <c r="Q3655" t="inlineStr">
        <is>
          <t>InStock</t>
        </is>
      </c>
      <c r="R3655" t="inlineStr">
        <is>
          <t>undefined</t>
        </is>
      </c>
      <c r="S3655" t="inlineStr">
        <is>
          <t>1327810248815</t>
        </is>
      </c>
    </row>
    <row r="3656" ht="75" customHeight="1">
      <c r="A3656" s="2">
        <f>HYPERLINK("https://camerareadycosmetics.com/products/temptu-perfect-canvas-hydra-lock-airpod-foundation", "https://camerareadycosmetics.com/products/temptu-perfect-canvas-hydra-lock-airpod-foundation")</f>
        <v/>
      </c>
      <c r="B3656" s="2">
        <f>HYPERLINK("https://camerareadycosmetics.com/products/temptu-perfect-canvas-hydra-lock-airpod-foundation", "https://camerareadycosmetics.com/products/temptu-perfect-canvas-hydra-lock-airpod-foundation")</f>
        <v/>
      </c>
      <c r="C3656" t="inlineStr">
        <is>
          <t>Perfect Canvas Hydra Lock Airpod Foundation</t>
        </is>
      </c>
      <c r="D3656" t="inlineStr">
        <is>
          <t>Temptu Perfect Canvas Hydra Lock Airbrush Foundation Trio, Beige</t>
        </is>
      </c>
      <c r="E3656" s="2">
        <f>HYPERLINK("https://www.amazon.com/Temptu-Perfect-Canvas-Airpod-Foundation/dp/B07HM7DL43/ref=sr_1_9?keywords=Perfect+Canvas+Hydra+Lock+Airpod+Foundation&amp;qid=1695565466&amp;sr=8-9", "https://www.amazon.com/Temptu-Perfect-Canvas-Airpod-Foundation/dp/B07HM7DL43/ref=sr_1_9?keywords=Perfect+Canvas+Hydra+Lock+Airpod+Foundation&amp;qid=1695565466&amp;sr=8-9")</f>
        <v/>
      </c>
      <c r="F3656" t="inlineStr">
        <is>
          <t>B07HM7DL43</t>
        </is>
      </c>
      <c r="G3656">
        <f>_xlfn.IMAGE("https://camerareadycosmetics.com/cdn/shop/products/4pt5bisque_perfectcanvasfoundationswatch_50x.jpg?v=1557252241")</f>
        <v/>
      </c>
      <c r="H3656">
        <f>_xlfn.IMAGE("https://m.media-amazon.com/images/I/7139pnxgEPL._AC_UL320_.jpg")</f>
        <v/>
      </c>
      <c r="K3656" t="inlineStr">
        <is>
          <t>52.0</t>
        </is>
      </c>
      <c r="L3656" t="n">
        <v>130</v>
      </c>
      <c r="M3656" s="1" t="inlineStr">
        <is>
          <t>150.00%</t>
        </is>
      </c>
      <c r="N3656" t="n">
        <v>1</v>
      </c>
      <c r="O3656" t="n">
        <v>1</v>
      </c>
      <c r="Q3656" t="inlineStr">
        <is>
          <t>InStock</t>
        </is>
      </c>
      <c r="R3656" t="inlineStr">
        <is>
          <t>undefined</t>
        </is>
      </c>
      <c r="S3656" t="inlineStr">
        <is>
          <t>429312016394</t>
        </is>
      </c>
    </row>
    <row r="3657" ht="75" customHeight="1">
      <c r="A3657" s="2">
        <f>HYPERLINK("https://camerareadycosmetics.com/products/temptu-perfect-canvas-hydra-lock-airpod-foundation", "https://camerareadycosmetics.com/products/temptu-perfect-canvas-hydra-lock-airpod-foundation")</f>
        <v/>
      </c>
      <c r="B3657" s="2">
        <f>HYPERLINK("https://camerareadycosmetics.com/products/temptu-perfect-canvas-hydra-lock-airpod-foundation", "https://camerareadycosmetics.com/products/temptu-perfect-canvas-hydra-lock-airpod-foundation")</f>
        <v/>
      </c>
      <c r="C3657" t="inlineStr">
        <is>
          <t>Perfect Canvas Hydra Lock Airpod Foundation</t>
        </is>
      </c>
      <c r="D3657" t="inlineStr">
        <is>
          <t>Temptu Perfect Canvas Hydra Lock Airbrush Foundation Trio, Nude</t>
        </is>
      </c>
      <c r="E3657" s="2">
        <f>HYPERLINK("https://www.amazon.com/Temptu-Perfect-Canvas-Airpod-Foundation/dp/B07HM5QVZV/ref=sr_1_8?keywords=Perfect+Canvas+Hydra+Lock+Airpod+Foundation&amp;qid=1695565466&amp;sr=8-8", "https://www.amazon.com/Temptu-Perfect-Canvas-Airpod-Foundation/dp/B07HM5QVZV/ref=sr_1_8?keywords=Perfect+Canvas+Hydra+Lock+Airpod+Foundation&amp;qid=1695565466&amp;sr=8-8")</f>
        <v/>
      </c>
      <c r="F3657" t="inlineStr">
        <is>
          <t>B07HM5QVZV</t>
        </is>
      </c>
      <c r="G3657">
        <f>_xlfn.IMAGE("https://camerareadycosmetics.com/cdn/shop/products/4pt5bisque_perfectcanvasfoundationswatch_50x.jpg?v=1557252241")</f>
        <v/>
      </c>
      <c r="H3657">
        <f>_xlfn.IMAGE("https://m.media-amazon.com/images/I/71gmvaqrbsL._AC_UL320_.jpg")</f>
        <v/>
      </c>
      <c r="K3657" t="inlineStr">
        <is>
          <t>52.0</t>
        </is>
      </c>
      <c r="L3657" t="n">
        <v>130</v>
      </c>
      <c r="M3657" s="1" t="inlineStr">
        <is>
          <t>150.00%</t>
        </is>
      </c>
      <c r="N3657" t="n">
        <v>3</v>
      </c>
      <c r="O3657" t="n">
        <v>1</v>
      </c>
      <c r="Q3657" t="inlineStr">
        <is>
          <t>InStock</t>
        </is>
      </c>
      <c r="R3657" t="inlineStr">
        <is>
          <t>undefined</t>
        </is>
      </c>
      <c r="S3657" t="inlineStr">
        <is>
          <t>429312016394</t>
        </is>
      </c>
    </row>
    <row r="3658" ht="75" customHeight="1">
      <c r="A3658" s="2">
        <f>HYPERLINK("https://camerareadycosmetics.com/products/temptu-perfect-canvas-hydra-lock-airpod-foundation", "https://camerareadycosmetics.com/products/temptu-perfect-canvas-hydra-lock-airpod-foundation")</f>
        <v/>
      </c>
      <c r="B3658" s="2">
        <f>HYPERLINK("https://camerareadycosmetics.com/products/temptu-perfect-canvas-hydra-lock-airpod-foundation", "https://camerareadycosmetics.com/products/temptu-perfect-canvas-hydra-lock-airpod-foundation")</f>
        <v/>
      </c>
      <c r="C3658" t="inlineStr">
        <is>
          <t>Perfect Canvas Hydra Lock Airpod Foundation</t>
        </is>
      </c>
      <c r="D3658" t="inlineStr">
        <is>
          <t>Temptu Perfect Canvas Hydra Lock Airbrush Foundation Airpod, Cocoa, 0.41 Fl Oz</t>
        </is>
      </c>
      <c r="E3658" s="2">
        <f>HYPERLINK("https://www.amazon.com/Temptu-Perfect-Canvas-Airbrush-Foundation/dp/B07CF5LZXP/ref=sr_1_3?keywords=Perfect+Canvas+Hydra+Lock+Airpod+Foundation&amp;qid=1695565466&amp;sr=8-3", "https://www.amazon.com/Temptu-Perfect-Canvas-Airbrush-Foundation/dp/B07CF5LZXP/ref=sr_1_3?keywords=Perfect+Canvas+Hydra+Lock+Airpod+Foundation&amp;qid=1695565466&amp;sr=8-3")</f>
        <v/>
      </c>
      <c r="F3658" t="inlineStr">
        <is>
          <t>B07CF5LZXP</t>
        </is>
      </c>
      <c r="G3658">
        <f>_xlfn.IMAGE("https://camerareadycosmetics.com/cdn/shop/products/4pt5bisque_perfectcanvasfoundationswatch_50x.jpg?v=1557252241")</f>
        <v/>
      </c>
      <c r="H3658">
        <f>_xlfn.IMAGE("https://m.media-amazon.com/images/I/41zsh1Oyn+L._AC_UL320_.jpg")</f>
        <v/>
      </c>
      <c r="K3658" t="inlineStr">
        <is>
          <t>52.0</t>
        </is>
      </c>
      <c r="L3658" t="n">
        <v>52</v>
      </c>
      <c r="M3658" s="1" t="inlineStr">
        <is>
          <t>0.00%</t>
        </is>
      </c>
      <c r="N3658" t="n">
        <v>5</v>
      </c>
      <c r="O3658" t="n">
        <v>3</v>
      </c>
      <c r="Q3658" t="inlineStr">
        <is>
          <t>InStock</t>
        </is>
      </c>
      <c r="R3658" t="inlineStr">
        <is>
          <t>undefined</t>
        </is>
      </c>
      <c r="S3658" t="inlineStr">
        <is>
          <t>429312016394</t>
        </is>
      </c>
    </row>
    <row r="3659" ht="75" customHeight="1">
      <c r="A3659" s="2">
        <f>HYPERLINK("https://camerareadycosmetics.com/products/temptu-perfect-canvas-hydra-lock-airpod-foundation", "https://camerareadycosmetics.com/products/temptu-perfect-canvas-hydra-lock-airpod-foundation")</f>
        <v/>
      </c>
      <c r="B3659" s="2">
        <f>HYPERLINK("https://camerareadycosmetics.com/products/temptu-perfect-canvas-hydra-lock-airpod-foundation", "https://camerareadycosmetics.com/products/temptu-perfect-canvas-hydra-lock-airpod-foundation")</f>
        <v/>
      </c>
      <c r="C3659" t="inlineStr">
        <is>
          <t>Perfect Canvas Hydra Lock Airpod Foundation</t>
        </is>
      </c>
      <c r="D3659" t="inlineStr">
        <is>
          <t>Temptu Perfect Canvas Hydra Lock Airbrush Foundation Airpod, Chestnut, 0.41 Fl Oz</t>
        </is>
      </c>
      <c r="E3659" s="2">
        <f>HYPERLINK("https://www.amazon.com/Temptu-Perfect-Canvas-Airbrush-Foundation/dp/B07BZ7H9NN/ref=sr_1_2?keywords=Perfect+Canvas+Hydra+Lock+Airpod+Foundation&amp;qid=1695565466&amp;sr=8-2", "https://www.amazon.com/Temptu-Perfect-Canvas-Airbrush-Foundation/dp/B07BZ7H9NN/ref=sr_1_2?keywords=Perfect+Canvas+Hydra+Lock+Airpod+Foundation&amp;qid=1695565466&amp;sr=8-2")</f>
        <v/>
      </c>
      <c r="F3659" t="inlineStr">
        <is>
          <t>B07BZ7H9NN</t>
        </is>
      </c>
      <c r="G3659">
        <f>_xlfn.IMAGE("https://camerareadycosmetics.com/cdn/shop/products/4pt5bisque_perfectcanvasfoundationswatch_50x.jpg?v=1557252241")</f>
        <v/>
      </c>
      <c r="H3659">
        <f>_xlfn.IMAGE("https://m.media-amazon.com/images/I/51xLOhDQqwL._AC_UL320_.jpg")</f>
        <v/>
      </c>
      <c r="K3659" t="inlineStr">
        <is>
          <t>52.0</t>
        </is>
      </c>
      <c r="L3659" t="n">
        <v>52</v>
      </c>
      <c r="M3659" s="1" t="inlineStr">
        <is>
          <t>0.00%</t>
        </is>
      </c>
      <c r="N3659" t="n">
        <v>3.9</v>
      </c>
      <c r="O3659" t="n">
        <v>7</v>
      </c>
      <c r="Q3659" t="inlineStr">
        <is>
          <t>InStock</t>
        </is>
      </c>
      <c r="R3659" t="inlineStr">
        <is>
          <t>undefined</t>
        </is>
      </c>
      <c r="S3659" t="inlineStr">
        <is>
          <t>429312016394</t>
        </is>
      </c>
    </row>
    <row r="3660" ht="75" customHeight="1">
      <c r="A3660" s="2">
        <f>HYPERLINK("https://camerareadycosmetics.com/products/temptu-pro-sb-12-pc-foundation-starter-set-1-4-oz", "https://camerareadycosmetics.com/products/temptu-pro-sb-12-pc-foundation-starter-set-1-4-oz")</f>
        <v/>
      </c>
      <c r="B3660" s="2">
        <f>HYPERLINK("https://camerareadycosmetics.com/products/temptu-pro-sb-12-pc-foundation-starter-set-1-4-oz", "https://camerareadycosmetics.com/products/temptu-pro-sb-12-pc-foundation-starter-set-1-4-oz")</f>
        <v/>
      </c>
      <c r="C3660" t="inlineStr">
        <is>
          <t>S/B Foundation Starter Set</t>
        </is>
      </c>
      <c r="D3660" t="inlineStr">
        <is>
          <t>TEMPTU Airbrush Makeup System S-One Kit: Airbrush Makeup Set for Professionals and Makeup Artists: Includes S/B Silicone-Based Foundation Starter Set &amp; Cleaning Kit, Lightweight, Travel-Friendly</t>
        </is>
      </c>
      <c r="E3660" s="2">
        <f>HYPERLINK("https://www.amazon.com/Temptu-S-One-Premier-Airbrush-Kit/dp/B07CYXLSF1/ref=sr_1_7?keywords=S%2FB+Foundation+Starter+Set&amp;qid=1695565489&amp;sr=8-7", "https://www.amazon.com/Temptu-S-One-Premier-Airbrush-Kit/dp/B07CYXLSF1/ref=sr_1_7?keywords=S%2FB+Foundation+Starter+Set&amp;qid=1695565489&amp;sr=8-7")</f>
        <v/>
      </c>
      <c r="F3660" t="inlineStr">
        <is>
          <t>B07CYXLSF1</t>
        </is>
      </c>
      <c r="G3660">
        <f>_xlfn.IMAGE("https://camerareadycosmetics.com/cdn/shop/products/starter-aqua-web-800x800-foundation_50x.jpg?v=1689625917")</f>
        <v/>
      </c>
      <c r="H3660">
        <f>_xlfn.IMAGE("https://m.media-amazon.com/images/I/61tQS0vbqAL._AC_UL320_.jpg")</f>
        <v/>
      </c>
      <c r="K3660" t="inlineStr">
        <is>
          <t>96.0</t>
        </is>
      </c>
      <c r="L3660" t="n">
        <v>470</v>
      </c>
      <c r="M3660" s="1" t="inlineStr">
        <is>
          <t>389.58%</t>
        </is>
      </c>
      <c r="N3660" t="n">
        <v>4</v>
      </c>
      <c r="O3660" t="n">
        <v>22</v>
      </c>
      <c r="Q3660" t="inlineStr">
        <is>
          <t>InStock</t>
        </is>
      </c>
      <c r="R3660" t="inlineStr">
        <is>
          <t>undefined</t>
        </is>
      </c>
      <c r="S3660" t="inlineStr">
        <is>
          <t>7034574663</t>
        </is>
      </c>
    </row>
    <row r="3661" ht="75" customHeight="1">
      <c r="A3661" s="2">
        <f>HYPERLINK("https://camerareadycosmetics.com/products/temptu-pro-sb-12-pc-foundation-starter-set-1-4-oz", "https://camerareadycosmetics.com/products/temptu-pro-sb-12-pc-foundation-starter-set-1-4-oz")</f>
        <v/>
      </c>
      <c r="B3661" s="2">
        <f>HYPERLINK("https://camerareadycosmetics.com/products/temptu-pro-sb-12-pc-foundation-starter-set-1-4-oz", "https://camerareadycosmetics.com/products/temptu-pro-sb-12-pc-foundation-starter-set-1-4-oz")</f>
        <v/>
      </c>
      <c r="C3661" t="inlineStr">
        <is>
          <t>S/B Foundation Starter Set</t>
        </is>
      </c>
      <c r="D3661" t="inlineStr">
        <is>
          <t>TEMPTU Airbrush Makeup System Pro Plus Kit: Airbrush Makeup Set for Professionals and Makeup Artists: Includes S/B Silicone-Based Foundation Starter Set &amp; Cleaning Kit, Lightweight, Travel-Friendly</t>
        </is>
      </c>
      <c r="E3661" s="2">
        <f>HYPERLINK("https://www.amazon.com/Temptu-Pro-Plus-Premier-Airbrush/dp/B07CF5VGJJ/ref=sr_1_3?keywords=S%2FB+Foundation+Starter+Set&amp;qid=1695565489&amp;sr=8-3", "https://www.amazon.com/Temptu-Pro-Plus-Premier-Airbrush/dp/B07CF5VGJJ/ref=sr_1_3?keywords=S%2FB+Foundation+Starter+Set&amp;qid=1695565489&amp;sr=8-3")</f>
        <v/>
      </c>
      <c r="F3661" t="inlineStr">
        <is>
          <t>B07CF5VGJJ</t>
        </is>
      </c>
      <c r="G3661">
        <f>_xlfn.IMAGE("https://camerareadycosmetics.com/cdn/shop/products/starter-aqua-web-800x800-foundation_50x.jpg?v=1689625917")</f>
        <v/>
      </c>
      <c r="H3661">
        <f>_xlfn.IMAGE("https://m.media-amazon.com/images/I/61Rvk7ypWSL._AC_UL320_.jpg")</f>
        <v/>
      </c>
      <c r="K3661" t="inlineStr">
        <is>
          <t>96.0</t>
        </is>
      </c>
      <c r="L3661" t="n">
        <v>345</v>
      </c>
      <c r="M3661" s="1" t="inlineStr">
        <is>
          <t>259.38%</t>
        </is>
      </c>
      <c r="N3661" t="n">
        <v>4</v>
      </c>
      <c r="O3661" t="n">
        <v>19</v>
      </c>
      <c r="Q3661" t="inlineStr">
        <is>
          <t>InStock</t>
        </is>
      </c>
      <c r="R3661" t="inlineStr">
        <is>
          <t>undefined</t>
        </is>
      </c>
      <c r="S3661" t="inlineStr">
        <is>
          <t>7034574663</t>
        </is>
      </c>
    </row>
    <row r="3662" ht="75" customHeight="1">
      <c r="A3662" s="2">
        <f>HYPERLINK("https://camerareadycosmetics.com/products/temptu-pro-sb-12-pc-foundation-starter-set-1-4-oz", "https://camerareadycosmetics.com/products/temptu-pro-sb-12-pc-foundation-starter-set-1-4-oz")</f>
        <v/>
      </c>
      <c r="B3662" s="2">
        <f>HYPERLINK("https://camerareadycosmetics.com/products/temptu-pro-sb-12-pc-foundation-starter-set-1-4-oz", "https://camerareadycosmetics.com/products/temptu-pro-sb-12-pc-foundation-starter-set-1-4-oz")</f>
        <v/>
      </c>
      <c r="C3662" t="inlineStr">
        <is>
          <t>S/B Foundation Starter Set</t>
        </is>
      </c>
      <c r="D3662" t="inlineStr">
        <is>
          <t>TEMPTU Airbrush Makeup System 2.0 Kit: Airbrush Makeup Set for Professionals and Makeup Artists: Includes S/B Silicone-Based Foundation Starter Set &amp; Cleaning Kit, Lightweight, Travel-Friendly</t>
        </is>
      </c>
      <c r="E3662" s="2">
        <f>HYPERLINK("https://www.amazon.com/Temptu-Airbrush-Makeup-System-Premier/dp/B07CYXLSF2/ref=sr_1_2?keywords=S%2FB+Foundation+Starter+Set&amp;qid=1695565489&amp;sr=8-2", "https://www.amazon.com/Temptu-Airbrush-Makeup-System-Premier/dp/B07CYXLSF2/ref=sr_1_2?keywords=S%2FB+Foundation+Starter+Set&amp;qid=1695565489&amp;sr=8-2")</f>
        <v/>
      </c>
      <c r="F3662" t="inlineStr">
        <is>
          <t>B07CYXLSF2</t>
        </is>
      </c>
      <c r="G3662">
        <f>_xlfn.IMAGE("https://camerareadycosmetics.com/cdn/shop/products/starter-aqua-web-800x800-foundation_50x.jpg?v=1689625917")</f>
        <v/>
      </c>
      <c r="H3662">
        <f>_xlfn.IMAGE("https://m.media-amazon.com/images/I/61aGL1qRAzL._AC_UL320_.jpg")</f>
        <v/>
      </c>
      <c r="K3662" t="inlineStr">
        <is>
          <t>96.0</t>
        </is>
      </c>
      <c r="L3662" t="n">
        <v>270</v>
      </c>
      <c r="M3662" s="1" t="inlineStr">
        <is>
          <t>181.25%</t>
        </is>
      </c>
      <c r="N3662" t="n">
        <v>4</v>
      </c>
      <c r="O3662" t="n">
        <v>139</v>
      </c>
      <c r="Q3662" t="inlineStr">
        <is>
          <t>InStock</t>
        </is>
      </c>
      <c r="R3662" t="inlineStr">
        <is>
          <t>undefined</t>
        </is>
      </c>
      <c r="S3662" t="inlineStr">
        <is>
          <t>7034574663</t>
        </is>
      </c>
    </row>
    <row r="3663" ht="75" customHeight="1">
      <c r="A3663" s="2">
        <f>HYPERLINK("https://camerareadycosmetics.com/products/temptu-pro-sb-12-pc-foundation-starter-set-1-4-oz", "https://camerareadycosmetics.com/products/temptu-pro-sb-12-pc-foundation-starter-set-1-4-oz")</f>
        <v/>
      </c>
      <c r="B3663" s="2">
        <f>HYPERLINK("https://camerareadycosmetics.com/products/temptu-pro-sb-12-pc-foundation-starter-set-1-4-oz", "https://camerareadycosmetics.com/products/temptu-pro-sb-12-pc-foundation-starter-set-1-4-oz")</f>
        <v/>
      </c>
      <c r="C3663" t="inlineStr">
        <is>
          <t>S/B Foundation Starter Set</t>
        </is>
      </c>
      <c r="D3663" t="inlineStr">
        <is>
          <t>TEMPTU S/B Airbrush Blush &amp; Highlighter Starter Set: Long-Wear Makeup, Dewy Buildable Formula Brightens Complexion, All Skin Types, 8 Count (Pack of 1)</t>
        </is>
      </c>
      <c r="E3663" s="2">
        <f>HYPERLINK("https://www.amazon.com/Temptu-Blush-Highlighter-Piece-Starter/dp/B0081RZP6I/ref=sr_1_9?keywords=S%2FB+Foundation+Starter+Set&amp;qid=1695565489&amp;sr=8-9", "https://www.amazon.com/Temptu-Blush-Highlighter-Piece-Starter/dp/B0081RZP6I/ref=sr_1_9?keywords=S%2FB+Foundation+Starter+Set&amp;qid=1695565489&amp;sr=8-9")</f>
        <v/>
      </c>
      <c r="F3663" t="inlineStr">
        <is>
          <t>B0081RZP6I</t>
        </is>
      </c>
      <c r="G3663">
        <f>_xlfn.IMAGE("https://camerareadycosmetics.com/cdn/shop/products/starter-aqua-web-800x800-foundation_50x.jpg?v=1689625917")</f>
        <v/>
      </c>
      <c r="H3663">
        <f>_xlfn.IMAGE("https://m.media-amazon.com/images/I/71OmQ-q5Y-L._AC_UL320_.jpg")</f>
        <v/>
      </c>
      <c r="K3663" t="inlineStr">
        <is>
          <t>96.0</t>
        </is>
      </c>
      <c r="L3663" t="n">
        <v>69</v>
      </c>
      <c r="M3663" s="1" t="inlineStr">
        <is>
          <t>-28.12%</t>
        </is>
      </c>
      <c r="N3663" t="n">
        <v>4.4</v>
      </c>
      <c r="O3663" t="n">
        <v>38</v>
      </c>
      <c r="Q3663" t="inlineStr">
        <is>
          <t>InStock</t>
        </is>
      </c>
      <c r="R3663" t="inlineStr">
        <is>
          <t>undefined</t>
        </is>
      </c>
      <c r="S3663" t="inlineStr">
        <is>
          <t>7034574663</t>
        </is>
      </c>
    </row>
    <row r="3664" ht="75" customHeight="1">
      <c r="A3664" s="2">
        <f>HYPERLINK("https://camerareadycosmetics.com/products/temptu-pro-sb-12-pc-foundation-starter-set-1-4-oz", "https://camerareadycosmetics.com/products/temptu-pro-sb-12-pc-foundation-starter-set-1-4-oz")</f>
        <v/>
      </c>
      <c r="B3664" s="2">
        <f>HYPERLINK("https://camerareadycosmetics.com/products/temptu-pro-sb-12-pc-foundation-starter-set-1-4-oz", "https://camerareadycosmetics.com/products/temptu-pro-sb-12-pc-foundation-starter-set-1-4-oz")</f>
        <v/>
      </c>
      <c r="C3664" t="inlineStr">
        <is>
          <t>S/B Foundation Starter Set</t>
        </is>
      </c>
      <c r="D3664" t="inlineStr">
        <is>
          <t>TEMPTU S/B Silicone-Based Shade Adjuster Starter Set: Long-Lasting, Highly-Pigmented Formula For Customizing S/B Foundation Shades | Includes 7 Primary Colors</t>
        </is>
      </c>
      <c r="E3664" s="2">
        <f>HYPERLINK("https://www.amazon.com/TEMPTU-Silicone-Based-Shade-Adjuster-Starter/dp/B004EVIFH6/ref=sr_1_4?keywords=S%2FB+Foundation+Starter+Set&amp;qid=1695565489&amp;sr=8-4", "https://www.amazon.com/TEMPTU-Silicone-Based-Shade-Adjuster-Starter/dp/B004EVIFH6/ref=sr_1_4?keywords=S%2FB+Foundation+Starter+Set&amp;qid=1695565489&amp;sr=8-4")</f>
        <v/>
      </c>
      <c r="F3664" t="inlineStr">
        <is>
          <t>B004EVIFH6</t>
        </is>
      </c>
      <c r="G3664">
        <f>_xlfn.IMAGE("https://camerareadycosmetics.com/cdn/shop/products/starter-aqua-web-800x800-foundation_50x.jpg?v=1689625917")</f>
        <v/>
      </c>
      <c r="H3664">
        <f>_xlfn.IMAGE("https://m.media-amazon.com/images/I/71TIvK9yN0L._AC_UL320_.jpg")</f>
        <v/>
      </c>
      <c r="K3664" t="inlineStr">
        <is>
          <t>96.0</t>
        </is>
      </c>
      <c r="L3664" t="n">
        <v>64</v>
      </c>
      <c r="M3664" s="1" t="inlineStr">
        <is>
          <t>-33.33%</t>
        </is>
      </c>
      <c r="N3664" t="n">
        <v>4.7</v>
      </c>
      <c r="O3664" t="n">
        <v>38</v>
      </c>
      <c r="Q3664" t="inlineStr">
        <is>
          <t>InStock</t>
        </is>
      </c>
      <c r="R3664" t="inlineStr">
        <is>
          <t>undefined</t>
        </is>
      </c>
      <c r="S3664" t="inlineStr">
        <is>
          <t>7034574663</t>
        </is>
      </c>
    </row>
    <row r="3665" ht="75" customHeight="1">
      <c r="A3665" s="2">
        <f>HYPERLINK("https://camerareadycosmetics.com/products/temptu-pro-sb-12-pc-foundation-starter-set-1-4-oz", "https://camerareadycosmetics.com/products/temptu-pro-sb-12-pc-foundation-starter-set-1-4-oz")</f>
        <v/>
      </c>
      <c r="B3665" s="2">
        <f>HYPERLINK("https://camerareadycosmetics.com/products/temptu-pro-sb-12-pc-foundation-starter-set-1-4-oz", "https://camerareadycosmetics.com/products/temptu-pro-sb-12-pc-foundation-starter-set-1-4-oz")</f>
        <v/>
      </c>
      <c r="C3665" t="inlineStr">
        <is>
          <t>S/B Foundation Starter Set</t>
        </is>
      </c>
      <c r="D3665" t="inlineStr">
        <is>
          <t>TRESSON BB Pigment Serum Starter Kit Hyaluronic Acid Essence Foundation BB Glow Skin Care Kit 0.27oz 12 Vials, Combined With Niacinamide and Peptides To Brighten Skin Tone Anti-Aging Foundation #1</t>
        </is>
      </c>
      <c r="E3665" s="2">
        <f>HYPERLINK("https://www.amazon.com/TRESSON-Hyaluronic-Foundation-Niacinamide-Anti-Aging/dp/B0C6M58BPW/ref=sr_1_8?keywords=S%2FB+Foundation+Starter+Set&amp;qid=1695565489&amp;sr=8-8", "https://www.amazon.com/TRESSON-Hyaluronic-Foundation-Niacinamide-Anti-Aging/dp/B0C6M58BPW/ref=sr_1_8?keywords=S%2FB+Foundation+Starter+Set&amp;qid=1695565489&amp;sr=8-8")</f>
        <v/>
      </c>
      <c r="F3665" t="inlineStr">
        <is>
          <t>B0C6M58BPW</t>
        </is>
      </c>
      <c r="G3665">
        <f>_xlfn.IMAGE("https://camerareadycosmetics.com/cdn/shop/products/starter-aqua-web-800x800-foundation_50x.jpg?v=1689625917")</f>
        <v/>
      </c>
      <c r="H3665">
        <f>_xlfn.IMAGE("https://m.media-amazon.com/images/I/71sL63esI3L._AC_UL320_.jpg")</f>
        <v/>
      </c>
      <c r="K3665" t="inlineStr">
        <is>
          <t>96.0</t>
        </is>
      </c>
      <c r="L3665" t="n">
        <v>40.99</v>
      </c>
      <c r="M3665" s="1" t="inlineStr">
        <is>
          <t>-57.30%</t>
        </is>
      </c>
      <c r="N3665" t="n">
        <v>5</v>
      </c>
      <c r="O3665" t="n">
        <v>2</v>
      </c>
      <c r="Q3665" t="inlineStr">
        <is>
          <t>InStock</t>
        </is>
      </c>
      <c r="R3665" t="inlineStr">
        <is>
          <t>undefined</t>
        </is>
      </c>
      <c r="S3665" t="inlineStr">
        <is>
          <t>7034574663</t>
        </is>
      </c>
    </row>
    <row r="3666" ht="75" customHeight="1">
      <c r="A3666" s="2">
        <f>HYPERLINK("https://camerareadycosmetics.com/products/temptu-pro-sb-12-pc-foundation-starter-set-1-4-oz", "https://camerareadycosmetics.com/products/temptu-pro-sb-12-pc-foundation-starter-set-1-4-oz")</f>
        <v/>
      </c>
      <c r="B3666" s="2">
        <f>HYPERLINK("https://camerareadycosmetics.com/products/temptu-pro-sb-12-pc-foundation-starter-set-1-4-oz", "https://camerareadycosmetics.com/products/temptu-pro-sb-12-pc-foundation-starter-set-1-4-oz")</f>
        <v/>
      </c>
      <c r="C3666" t="inlineStr">
        <is>
          <t>S/B Foundation Starter Set</t>
        </is>
      </c>
      <c r="D3666" t="inlineStr">
        <is>
          <t>STARTER KIT with BRUSH SET (BEIGE) Mineral Makeup Bare Skin Matte Foundation Cover</t>
        </is>
      </c>
      <c r="E3666" s="2">
        <f>HYPERLINK("https://www.amazon.com/STARTER-BRUSH-Mineral-Makeup-Foundation/dp/B00TWXEO3U/ref=sr_1_10?keywords=S%2FB+Foundation+Starter+Set&amp;qid=1695565489&amp;sr=8-10", "https://www.amazon.com/STARTER-BRUSH-Mineral-Makeup-Foundation/dp/B00TWXEO3U/ref=sr_1_10?keywords=S%2FB+Foundation+Starter+Set&amp;qid=1695565489&amp;sr=8-10")</f>
        <v/>
      </c>
      <c r="F3666" t="inlineStr">
        <is>
          <t>B00TWXEO3U</t>
        </is>
      </c>
      <c r="G3666">
        <f>_xlfn.IMAGE("https://camerareadycosmetics.com/cdn/shop/products/starter-aqua-web-800x800-foundation_50x.jpg?v=1689625917")</f>
        <v/>
      </c>
      <c r="H3666">
        <f>_xlfn.IMAGE("https://m.media-amazon.com/images/I/71q0NR7CBLL._AC_UL320_.jpg")</f>
        <v/>
      </c>
      <c r="K3666" t="inlineStr">
        <is>
          <t>96.0</t>
        </is>
      </c>
      <c r="L3666" t="n">
        <v>20.99</v>
      </c>
      <c r="M3666" s="1" t="inlineStr">
        <is>
          <t>-78.14%</t>
        </is>
      </c>
      <c r="N3666" t="n">
        <v>3.8</v>
      </c>
      <c r="O3666" t="n">
        <v>1279</v>
      </c>
      <c r="Q3666" t="inlineStr">
        <is>
          <t>InStock</t>
        </is>
      </c>
      <c r="R3666" t="inlineStr">
        <is>
          <t>undefined</t>
        </is>
      </c>
      <c r="S3666" t="inlineStr">
        <is>
          <t>7034574663</t>
        </is>
      </c>
    </row>
    <row r="3667" ht="75" customHeight="1">
      <c r="A3667" s="2">
        <f>HYPERLINK("https://camerareadycosmetics.com/products/temptu-pro-sb-12-pc-foundation-starter-set-1-4-oz", "https://camerareadycosmetics.com/products/temptu-pro-sb-12-pc-foundation-starter-set-1-4-oz")</f>
        <v/>
      </c>
      <c r="B3667" s="2">
        <f>HYPERLINK("https://camerareadycosmetics.com/products/temptu-pro-sb-12-pc-foundation-starter-set-1-4-oz", "https://camerareadycosmetics.com/products/temptu-pro-sb-12-pc-foundation-starter-set-1-4-oz")</f>
        <v/>
      </c>
      <c r="C3667" t="inlineStr">
        <is>
          <t>S/B Foundation Starter Set</t>
        </is>
      </c>
      <c r="D3667" t="inlineStr">
        <is>
          <t>TRESSON BB Pigment Serum Starter Kit Hyaluronic Acid Essence Foundation BB Glow Skin Care Kit 0.27oz 12 Vials, Combined With Niacinamide and Peptides To Brighten Skin Tone Anti-Aging Foundation #1</t>
        </is>
      </c>
      <c r="E3667" s="2">
        <f>HYPERLINK("https://www.amazon.com/TRESSON-Hyaluronic-Foundation-Niacinamide-Anti-Aging/dp/B0C6M58BPW/ref=sr_1_8?keywords=S%2FB+Foundation+Starter+Set&amp;qid=1695565489&amp;sr=8-8", "https://www.amazon.com/TRESSON-Hyaluronic-Foundation-Niacinamide-Anti-Aging/dp/B0C6M58BPW/ref=sr_1_8?keywords=S%2FB+Foundation+Starter+Set&amp;qid=1695565489&amp;sr=8-8")</f>
        <v/>
      </c>
      <c r="F3667" t="inlineStr">
        <is>
          <t>B0C6M58BPW</t>
        </is>
      </c>
      <c r="G3667">
        <f>_xlfn.IMAGE("https://camerareadycosmetics.com/cdn/shop/products/starter-aqua-web-800x800-foundation_50x.jpg?v=1689625917")</f>
        <v/>
      </c>
      <c r="H3667">
        <f>_xlfn.IMAGE("https://m.media-amazon.com/images/I/71sL63esI3L._AC_UL320_.jpg")</f>
        <v/>
      </c>
      <c r="K3667" t="inlineStr">
        <is>
          <t>96.0</t>
        </is>
      </c>
      <c r="L3667" t="n">
        <v>40.99</v>
      </c>
      <c r="M3667" s="1" t="inlineStr">
        <is>
          <t>-57.30%</t>
        </is>
      </c>
      <c r="N3667" t="n">
        <v>5</v>
      </c>
      <c r="O3667" t="n">
        <v>2</v>
      </c>
      <c r="Q3667" t="inlineStr">
        <is>
          <t>InStock</t>
        </is>
      </c>
      <c r="R3667" t="inlineStr">
        <is>
          <t>undefined</t>
        </is>
      </c>
      <c r="S3667" t="inlineStr">
        <is>
          <t>7034574663</t>
        </is>
      </c>
    </row>
    <row r="3668" ht="75" customHeight="1">
      <c r="A3668" s="2">
        <f>HYPERLINK("https://camerareadycosmetics.com/products/temptu-pro-sb-12-pc-foundation-starter-set-1-4-oz", "https://camerareadycosmetics.com/products/temptu-pro-sb-12-pc-foundation-starter-set-1-4-oz")</f>
        <v/>
      </c>
      <c r="B3668" s="2">
        <f>HYPERLINK("https://camerareadycosmetics.com/products/temptu-pro-sb-12-pc-foundation-starter-set-1-4-oz", "https://camerareadycosmetics.com/products/temptu-pro-sb-12-pc-foundation-starter-set-1-4-oz")</f>
        <v/>
      </c>
      <c r="C3668" t="inlineStr">
        <is>
          <t>S/B Foundation Starter Set</t>
        </is>
      </c>
      <c r="D3668" t="inlineStr">
        <is>
          <t>STARTER KIT with BRUSH SET (BEIGE) Mineral Makeup Bare Skin Matte Foundation Cover</t>
        </is>
      </c>
      <c r="E3668" s="2">
        <f>HYPERLINK("https://www.amazon.com/STARTER-BRUSH-Mineral-Makeup-Foundation/dp/B00TWXEO3U/ref=sr_1_10?keywords=S%2FB+Foundation+Starter+Set&amp;qid=1695565489&amp;sr=8-10", "https://www.amazon.com/STARTER-BRUSH-Mineral-Makeup-Foundation/dp/B00TWXEO3U/ref=sr_1_10?keywords=S%2FB+Foundation+Starter+Set&amp;qid=1695565489&amp;sr=8-10")</f>
        <v/>
      </c>
      <c r="F3668" t="inlineStr">
        <is>
          <t>B00TWXEO3U</t>
        </is>
      </c>
      <c r="G3668">
        <f>_xlfn.IMAGE("https://camerareadycosmetics.com/cdn/shop/products/starter-aqua-web-800x800-foundation_50x.jpg?v=1689625917")</f>
        <v/>
      </c>
      <c r="H3668">
        <f>_xlfn.IMAGE("https://m.media-amazon.com/images/I/71q0NR7CBLL._AC_UL320_.jpg")</f>
        <v/>
      </c>
      <c r="K3668" t="inlineStr">
        <is>
          <t>96.0</t>
        </is>
      </c>
      <c r="L3668" t="n">
        <v>20.99</v>
      </c>
      <c r="M3668" s="1" t="inlineStr">
        <is>
          <t>-78.14%</t>
        </is>
      </c>
      <c r="N3668" t="n">
        <v>3.8</v>
      </c>
      <c r="O3668" t="n">
        <v>1279</v>
      </c>
      <c r="Q3668" t="inlineStr">
        <is>
          <t>InStock</t>
        </is>
      </c>
      <c r="R3668" t="inlineStr">
        <is>
          <t>undefined</t>
        </is>
      </c>
      <c r="S3668" t="inlineStr">
        <is>
          <t>7034574663</t>
        </is>
      </c>
    </row>
    <row r="3669" ht="75" customHeight="1">
      <c r="A3669" s="2">
        <f>HYPERLINK("https://camerareadycosmetics.com/products/temptu-sb-blush-airbrush-starter-set", "https://camerareadycosmetics.com/products/temptu-sb-blush-airbrush-starter-set")</f>
        <v/>
      </c>
      <c r="B3669" s="2">
        <f>HYPERLINK("https://camerareadycosmetics.com/products/temptu-sb-blush-airbrush-starter-set", "https://camerareadycosmetics.com/products/temptu-sb-blush-airbrush-starter-set")</f>
        <v/>
      </c>
      <c r="C3669" t="inlineStr">
        <is>
          <t>S/B Blush Airbrush Starter Set 1/4 oz</t>
        </is>
      </c>
      <c r="D3669" t="inlineStr">
        <is>
          <t>Luminess Air Basic Airbrush Makeup Kit and 9-Piece Silk 4-In-1 Airbrush Foundation Starter System, Fair Coverage - Quick, Easy and Long Lasting Application - Includes Primer, Blush and Glow</t>
        </is>
      </c>
      <c r="E3669" s="2">
        <f>HYPERLINK("https://www.amazon.com/Luminess-Air-Airbrush-Foundation-Cosmetic/dp/B01C2EH9PU/ref=sr_1_7?keywords=S%2FB+Blush+Airbrush+Starter+Set+1%2F4+oz&amp;qid=1695565761&amp;sr=8-7", "https://www.amazon.com/Luminess-Air-Airbrush-Foundation-Cosmetic/dp/B01C2EH9PU/ref=sr_1_7?keywords=S%2FB+Blush+Airbrush+Starter+Set+1%2F4+oz&amp;qid=1695565761&amp;sr=8-7")</f>
        <v/>
      </c>
      <c r="F3669" t="inlineStr">
        <is>
          <t>B01C2EH9PU</t>
        </is>
      </c>
      <c r="G3669">
        <f>_xlfn.IMAGE("https://camerareadycosmetics.com/cdn/shop/products/sb-blush-swatches-on-light-medium-model.jpg_1_50x.jpg?v=1584660711")</f>
        <v/>
      </c>
      <c r="H3669">
        <f>_xlfn.IMAGE("https://m.media-amazon.com/images/I/71SEqGFL0QL._AC_UL320_.jpg")</f>
        <v/>
      </c>
      <c r="K3669" t="inlineStr">
        <is>
          <t>49.0</t>
        </is>
      </c>
      <c r="L3669" t="n">
        <v>119</v>
      </c>
      <c r="M3669" s="1" t="inlineStr">
        <is>
          <t>142.86%</t>
        </is>
      </c>
      <c r="N3669" t="n">
        <v>3.9</v>
      </c>
      <c r="O3669" t="n">
        <v>2791</v>
      </c>
      <c r="Q3669" t="inlineStr">
        <is>
          <t>InStock</t>
        </is>
      </c>
      <c r="R3669" t="inlineStr">
        <is>
          <t>undefined</t>
        </is>
      </c>
      <c r="S3669" t="inlineStr">
        <is>
          <t>4401201119343</t>
        </is>
      </c>
    </row>
    <row r="3670" ht="75" customHeight="1">
      <c r="A3670" s="2">
        <f>HYPERLINK("https://camerareadycosmetics.com/products/temptu-sb-blush-airbrush-starter-set", "https://camerareadycosmetics.com/products/temptu-sb-blush-airbrush-starter-set")</f>
        <v/>
      </c>
      <c r="B3670" s="2">
        <f>HYPERLINK("https://camerareadycosmetics.com/products/temptu-sb-blush-airbrush-starter-set", "https://camerareadycosmetics.com/products/temptu-sb-blush-airbrush-starter-set")</f>
        <v/>
      </c>
      <c r="C3670" t="inlineStr">
        <is>
          <t>S/B Blush Airbrush Starter Set 1/4 oz</t>
        </is>
      </c>
      <c r="D3670" t="inlineStr">
        <is>
          <t>TEMPTU S/B Airbrush Blush &amp; Highlighter Starter Set: Long-Wear Makeup, Dewy Buildable Formula Brightens Complexion, All Skin Types, 8 Count (Pack of 1)</t>
        </is>
      </c>
      <c r="E3670" s="2">
        <f>HYPERLINK("https://www.amazon.com/Temptu-Blush-Highlighter-Piece-Starter/dp/B0081RZP6I/ref=sr_1_1?keywords=S%2FB+Blush+Airbrush+Starter+Set+1%2F4+oz&amp;qid=1695565761&amp;sr=8-1", "https://www.amazon.com/Temptu-Blush-Highlighter-Piece-Starter/dp/B0081RZP6I/ref=sr_1_1?keywords=S%2FB+Blush+Airbrush+Starter+Set+1%2F4+oz&amp;qid=1695565761&amp;sr=8-1")</f>
        <v/>
      </c>
      <c r="F3670" t="inlineStr">
        <is>
          <t>B0081RZP6I</t>
        </is>
      </c>
      <c r="G3670">
        <f>_xlfn.IMAGE("https://camerareadycosmetics.com/cdn/shop/products/sb-blush-swatches-on-light-medium-model.jpg_1_50x.jpg?v=1584660711")</f>
        <v/>
      </c>
      <c r="H3670">
        <f>_xlfn.IMAGE("https://m.media-amazon.com/images/I/71OmQ-q5Y-L._AC_UL320_.jpg")</f>
        <v/>
      </c>
      <c r="K3670" t="inlineStr">
        <is>
          <t>49.0</t>
        </is>
      </c>
      <c r="L3670" t="n">
        <v>69</v>
      </c>
      <c r="M3670" s="1" t="inlineStr">
        <is>
          <t>40.82%</t>
        </is>
      </c>
      <c r="N3670" t="n">
        <v>4.4</v>
      </c>
      <c r="O3670" t="n">
        <v>38</v>
      </c>
      <c r="Q3670" t="inlineStr">
        <is>
          <t>InStock</t>
        </is>
      </c>
      <c r="R3670" t="inlineStr">
        <is>
          <t>undefined</t>
        </is>
      </c>
      <c r="S3670" t="inlineStr">
        <is>
          <t>4401201119343</t>
        </is>
      </c>
    </row>
    <row r="3671" ht="75" customHeight="1">
      <c r="A3671" s="2">
        <f>HYPERLINK("https://camerareadycosmetics.com/products/temptu-sb-blush-airbrush-starter-set", "https://camerareadycosmetics.com/products/temptu-sb-blush-airbrush-starter-set")</f>
        <v/>
      </c>
      <c r="B3671" s="2">
        <f>HYPERLINK("https://camerareadycosmetics.com/products/temptu-sb-blush-airbrush-starter-set", "https://camerareadycosmetics.com/products/temptu-sb-blush-airbrush-starter-set")</f>
        <v/>
      </c>
      <c r="C3671" t="inlineStr">
        <is>
          <t>S/B Blush Airbrush Starter Set 1/4 oz</t>
        </is>
      </c>
      <c r="D3671" t="inlineStr">
        <is>
          <t>Art of Air Airbrush Makeup - Bottle Choose Color (1/4oz Pink Blush)</t>
        </is>
      </c>
      <c r="E3671" s="2">
        <f>HYPERLINK("https://www.amazon.com/Art-Air-Airbrush-Makeup-Bottle/dp/B00VF59X3E/ref=sr_1_4?keywords=S%2FB+Blush+Airbrush+Starter+Set+1%2F4+oz&amp;qid=1695565761&amp;sr=8-4", "https://www.amazon.com/Art-Air-Airbrush-Makeup-Bottle/dp/B00VF59X3E/ref=sr_1_4?keywords=S%2FB+Blush+Airbrush+Starter+Set+1%2F4+oz&amp;qid=1695565761&amp;sr=8-4")</f>
        <v/>
      </c>
      <c r="F3671" t="inlineStr">
        <is>
          <t>B00VF59X3E</t>
        </is>
      </c>
      <c r="G3671">
        <f>_xlfn.IMAGE("https://camerareadycosmetics.com/cdn/shop/products/sb-blush-swatches-on-light-medium-model.jpg_1_50x.jpg?v=1584660711")</f>
        <v/>
      </c>
      <c r="H3671">
        <f>_xlfn.IMAGE("https://m.media-amazon.com/images/I/51btF1kEg5L._AC_UL320_.jpg")</f>
        <v/>
      </c>
      <c r="K3671" t="inlineStr">
        <is>
          <t>49.0</t>
        </is>
      </c>
      <c r="L3671" t="n">
        <v>9.99</v>
      </c>
      <c r="M3671" s="1" t="inlineStr">
        <is>
          <t>-79.61%</t>
        </is>
      </c>
      <c r="N3671" t="n">
        <v>4</v>
      </c>
      <c r="O3671" t="n">
        <v>2093</v>
      </c>
      <c r="Q3671" t="inlineStr">
        <is>
          <t>InStock</t>
        </is>
      </c>
      <c r="R3671" t="inlineStr">
        <is>
          <t>undefined</t>
        </is>
      </c>
      <c r="S3671" t="inlineStr">
        <is>
          <t>4401201119343</t>
        </is>
      </c>
    </row>
    <row r="3672" ht="75" customHeight="1">
      <c r="A3672" s="2">
        <f>HYPERLINK("https://camerareadycosmetics.com/products/temptu-sb-blush-airbrush-starter-set", "https://camerareadycosmetics.com/products/temptu-sb-blush-airbrush-starter-set")</f>
        <v/>
      </c>
      <c r="B3672" s="2">
        <f>HYPERLINK("https://camerareadycosmetics.com/products/temptu-sb-blush-airbrush-starter-set", "https://camerareadycosmetics.com/products/temptu-sb-blush-airbrush-starter-set")</f>
        <v/>
      </c>
      <c r="C3672" t="inlineStr">
        <is>
          <t>S/B Blush Airbrush Starter Set 1/4 oz</t>
        </is>
      </c>
      <c r="D3672" t="inlineStr">
        <is>
          <t>Art of Air Airbrush Makeup - Bottle Choose Color (1/4oz Pink Blush)</t>
        </is>
      </c>
      <c r="E3672" s="2">
        <f>HYPERLINK("https://www.amazon.com/Art-Air-Airbrush-Makeup-Bottle/dp/B00VF59X3E/ref=sr_1_4?keywords=S%2FB+Blush+Airbrush+Starter+Set+1%2F4+oz&amp;qid=1695565761&amp;sr=8-4", "https://www.amazon.com/Art-Air-Airbrush-Makeup-Bottle/dp/B00VF59X3E/ref=sr_1_4?keywords=S%2FB+Blush+Airbrush+Starter+Set+1%2F4+oz&amp;qid=1695565761&amp;sr=8-4")</f>
        <v/>
      </c>
      <c r="F3672" t="inlineStr">
        <is>
          <t>B00VF59X3E</t>
        </is>
      </c>
      <c r="G3672">
        <f>_xlfn.IMAGE("https://camerareadycosmetics.com/cdn/shop/products/sb-blush-swatches-on-light-medium-model.jpg_1_50x.jpg?v=1584660711")</f>
        <v/>
      </c>
      <c r="H3672">
        <f>_xlfn.IMAGE("https://m.media-amazon.com/images/I/51btF1kEg5L._AC_UL320_.jpg")</f>
        <v/>
      </c>
      <c r="K3672" t="inlineStr">
        <is>
          <t>49.0</t>
        </is>
      </c>
      <c r="L3672" t="n">
        <v>9.99</v>
      </c>
      <c r="M3672" s="1" t="inlineStr">
        <is>
          <t>-79.61%</t>
        </is>
      </c>
      <c r="N3672" t="n">
        <v>4</v>
      </c>
      <c r="O3672" t="n">
        <v>2093</v>
      </c>
      <c r="Q3672" t="inlineStr">
        <is>
          <t>InStock</t>
        </is>
      </c>
      <c r="R3672" t="inlineStr">
        <is>
          <t>undefined</t>
        </is>
      </c>
      <c r="S3672" t="inlineStr">
        <is>
          <t>4401201119343</t>
        </is>
      </c>
    </row>
    <row r="3673" ht="75" customHeight="1">
      <c r="A3673" s="2">
        <f>HYPERLINK("https://camerareadycosmetics.com/products/the-balm-cosmetics-balm-desert-bronzer-blush", "https://camerareadycosmetics.com/products/the-balm-cosmetics-balm-desert-bronzer-blush")</f>
        <v/>
      </c>
      <c r="B3673" s="2">
        <f>HYPERLINK("https://camerareadycosmetics.com/products/the-balm-cosmetics-balm-desert-bronzer-blush", "https://camerareadycosmetics.com/products/the-balm-cosmetics-balm-desert-bronzer-blush")</f>
        <v/>
      </c>
      <c r="C3673" t="inlineStr">
        <is>
          <t>Balm Desert Bronzer/Blush</t>
        </is>
      </c>
      <c r="D3673" t="inlineStr">
        <is>
          <t>theBalm Desert Long-Lasting Bronzer/Blush, Natural Glow, Fade-Resistant</t>
        </is>
      </c>
      <c r="E3673" s="2">
        <f>HYPERLINK("https://www.amazon.com/Desert-Long-Lasting-Bronzer-Natural-Fade-Resistant/dp/B00VK5RMX2/ref=sr_1_1?keywords=Balm+Desert+Bronzer%2FBlush&amp;qid=1695565679&amp;sr=8-1", "https://www.amazon.com/Desert-Long-Lasting-Bronzer-Natural-Fade-Resistant/dp/B00VK5RMX2/ref=sr_1_1?keywords=Balm+Desert+Bronzer%2FBlush&amp;qid=1695565679&amp;sr=8-1")</f>
        <v/>
      </c>
      <c r="F3673" t="inlineStr">
        <is>
          <t>B00VK5RMX2</t>
        </is>
      </c>
      <c r="G3673">
        <f>_xlfn.IMAGE("https://camerareadycosmetics.com/cdn/shop/products/GALLERY_IMG1_1024x1024_e27de16d-3e0e-4894-a0d5-3c9a0a48ede2_50x.jpg?v=1694447009")</f>
        <v/>
      </c>
      <c r="H3673">
        <f>_xlfn.IMAGE("https://m.media-amazon.com/images/I/718vW3e+yPL._AC_UL320_.jpg")</f>
        <v/>
      </c>
      <c r="K3673" t="inlineStr">
        <is>
          <t>21.0</t>
        </is>
      </c>
      <c r="L3673" t="n">
        <v>19.95</v>
      </c>
      <c r="M3673" s="1" t="inlineStr">
        <is>
          <t>-5.00%</t>
        </is>
      </c>
      <c r="N3673" t="n">
        <v>4.6</v>
      </c>
      <c r="O3673" t="n">
        <v>340</v>
      </c>
      <c r="Q3673" t="inlineStr">
        <is>
          <t>InStock</t>
        </is>
      </c>
      <c r="R3673" t="inlineStr">
        <is>
          <t>undefined</t>
        </is>
      </c>
      <c r="S3673" t="inlineStr">
        <is>
          <t>10391636618</t>
        </is>
      </c>
    </row>
    <row r="3674" ht="75" customHeight="1">
      <c r="A3674" s="2">
        <f>HYPERLINK("https://camerareadycosmetics.com/products/the-balm-cosmetics-balm-desert-bronzer-blush", "https://camerareadycosmetics.com/products/the-balm-cosmetics-balm-desert-bronzer-blush")</f>
        <v/>
      </c>
      <c r="B3674" s="2">
        <f>HYPERLINK("https://camerareadycosmetics.com/products/the-balm-cosmetics-balm-desert-bronzer-blush", "https://camerareadycosmetics.com/products/the-balm-cosmetics-balm-desert-bronzer-blush")</f>
        <v/>
      </c>
      <c r="C3674" t="inlineStr">
        <is>
          <t>Balm Desert Bronzer/Blush</t>
        </is>
      </c>
      <c r="D3674" t="inlineStr">
        <is>
          <t>Palladio 2-In-1 Mosaic Blush and Bronzer, Silky Smooth Face Makeup Pressed Powder, Five Color Hues from Shimmering Pinks to Golden Browns, Rich Pigmented Shades, Flawless Finish, Desert Rose, 0.3 Oz</t>
        </is>
      </c>
      <c r="E3674" s="2">
        <f>HYPERLINK("https://www.amazon.com/Palladio-Five-Color-Hues-Shimmering-Pigmented-Flawless/dp/B002NYLLYA/ref=sr_1_2?keywords=Balm+Desert+Bronzer%2FBlush&amp;qid=1695565679&amp;sr=8-2", "https://www.amazon.com/Palladio-Five-Color-Hues-Shimmering-Pigmented-Flawless/dp/B002NYLLYA/ref=sr_1_2?keywords=Balm+Desert+Bronzer%2FBlush&amp;qid=1695565679&amp;sr=8-2")</f>
        <v/>
      </c>
      <c r="F3674" t="inlineStr">
        <is>
          <t>B002NYLLYA</t>
        </is>
      </c>
      <c r="G3674">
        <f>_xlfn.IMAGE("https://camerareadycosmetics.com/cdn/shop/products/GALLERY_IMG1_1024x1024_e27de16d-3e0e-4894-a0d5-3c9a0a48ede2_50x.jpg?v=1694447009")</f>
        <v/>
      </c>
      <c r="H3674">
        <f>_xlfn.IMAGE("https://m.media-amazon.com/images/I/71sH0MyFmkL._AC_UL320_.jpg")</f>
        <v/>
      </c>
      <c r="K3674" t="inlineStr">
        <is>
          <t>21.0</t>
        </is>
      </c>
      <c r="L3674" t="n">
        <v>9.99</v>
      </c>
      <c r="M3674" s="1" t="inlineStr">
        <is>
          <t>-52.43%</t>
        </is>
      </c>
      <c r="N3674" t="n">
        <v>4.3</v>
      </c>
      <c r="O3674" t="n">
        <v>644</v>
      </c>
      <c r="Q3674" t="inlineStr">
        <is>
          <t>InStock</t>
        </is>
      </c>
      <c r="R3674" t="inlineStr">
        <is>
          <t>undefined</t>
        </is>
      </c>
      <c r="S3674" t="inlineStr">
        <is>
          <t>10391636618</t>
        </is>
      </c>
    </row>
    <row r="3675" ht="75" customHeight="1">
      <c r="A3675" s="2">
        <f>HYPERLINK("https://camerareadycosmetics.com/products/the-balm-cosmetics-balm-desert-bronzer-blush", "https://camerareadycosmetics.com/products/the-balm-cosmetics-balm-desert-bronzer-blush")</f>
        <v/>
      </c>
      <c r="B3675" s="2">
        <f>HYPERLINK("https://camerareadycosmetics.com/products/the-balm-cosmetics-balm-desert-bronzer-blush", "https://camerareadycosmetics.com/products/the-balm-cosmetics-balm-desert-bronzer-blush")</f>
        <v/>
      </c>
      <c r="C3675" t="inlineStr">
        <is>
          <t>Balm Desert Bronzer/Blush</t>
        </is>
      </c>
      <c r="D3675" t="inlineStr">
        <is>
          <t>Palladio 2-In-1 Mosaic Blush and Bronzer, Silky Smooth Face Makeup Pressed Powder, Five Color Hues from Shimmering Pinks to Golden Browns, Rich Pigmented Shades, Flawless Finish, Desert Rose, 0.3 Oz</t>
        </is>
      </c>
      <c r="E3675" s="2">
        <f>HYPERLINK("https://www.amazon.com/Palladio-Five-Color-Hues-Shimmering-Pigmented-Flawless/dp/B002NYLLYA/ref=sr_1_2?keywords=Balm+Desert+Bronzer%2FBlush&amp;qid=1695565679&amp;sr=8-2", "https://www.amazon.com/Palladio-Five-Color-Hues-Shimmering-Pigmented-Flawless/dp/B002NYLLYA/ref=sr_1_2?keywords=Balm+Desert+Bronzer%2FBlush&amp;qid=1695565679&amp;sr=8-2")</f>
        <v/>
      </c>
      <c r="F3675" t="inlineStr">
        <is>
          <t>B002NYLLYA</t>
        </is>
      </c>
      <c r="G3675">
        <f>_xlfn.IMAGE("https://camerareadycosmetics.com/cdn/shop/products/GALLERY_IMG1_1024x1024_e27de16d-3e0e-4894-a0d5-3c9a0a48ede2_50x.jpg?v=1694447009")</f>
        <v/>
      </c>
      <c r="H3675">
        <f>_xlfn.IMAGE("https://m.media-amazon.com/images/I/71sH0MyFmkL._AC_UL320_.jpg")</f>
        <v/>
      </c>
      <c r="K3675" t="inlineStr">
        <is>
          <t>21.0</t>
        </is>
      </c>
      <c r="L3675" t="n">
        <v>9.99</v>
      </c>
      <c r="M3675" s="1" t="inlineStr">
        <is>
          <t>-52.43%</t>
        </is>
      </c>
      <c r="N3675" t="n">
        <v>4.3</v>
      </c>
      <c r="O3675" t="n">
        <v>644</v>
      </c>
      <c r="Q3675" t="inlineStr">
        <is>
          <t>InStock</t>
        </is>
      </c>
      <c r="R3675" t="inlineStr">
        <is>
          <t>undefined</t>
        </is>
      </c>
      <c r="S3675" t="inlineStr">
        <is>
          <t>10391636618</t>
        </is>
      </c>
    </row>
    <row r="3676" ht="75" customHeight="1">
      <c r="A3676" s="2">
        <f>HYPERLINK("https://camerareadycosmetics.com/products/the-balm-cosmetics-hot-mama-shadow-blush", "https://camerareadycosmetics.com/products/the-balm-cosmetics-hot-mama-shadow-blush")</f>
        <v/>
      </c>
      <c r="B3676" s="2">
        <f>HYPERLINK("https://camerareadycosmetics.com/products/the-balm-cosmetics-hot-mama-shadow-blush", "https://camerareadycosmetics.com/products/the-balm-cosmetics-hot-mama-shadow-blush")</f>
        <v/>
      </c>
      <c r="C3676" t="inlineStr">
        <is>
          <t>Hot Mama Shadow/Blush</t>
        </is>
      </c>
      <c r="D3676" t="inlineStr">
        <is>
          <t>theBalm Hot Mama! Shadow/Blush, Subtle Highlighter, Travel-Size</t>
        </is>
      </c>
      <c r="E3676" s="2">
        <f>HYPERLINK("https://www.amazon.com/theBalm-Shadow-Subtle-Highlighter-Travel-Size/dp/B07RDP24WY/ref=sr_1_1?keywords=Hot+Mama+Shadow%2FBlush&amp;qid=1695565676&amp;sr=8-1", "https://www.amazon.com/theBalm-Shadow-Subtle-Highlighter-Travel-Size/dp/B07RDP24WY/ref=sr_1_1?keywords=Hot+Mama+Shadow%2FBlush&amp;qid=1695565676&amp;sr=8-1")</f>
        <v/>
      </c>
      <c r="F3676" t="inlineStr">
        <is>
          <t>B07RDP24WY</t>
        </is>
      </c>
      <c r="G3676">
        <f>_xlfn.IMAGE("https://camerareadycosmetics.com/cdn/shop/products/gallery_1_hot-mama_287ae52c-2e68-45ce-b22a-66f720f3b362_1024x1024_1_50x.jpg?v=1694446978")</f>
        <v/>
      </c>
      <c r="H3676">
        <f>_xlfn.IMAGE("https://m.media-amazon.com/images/I/617hEmIeKTL._AC_UL320_.jpg")</f>
        <v/>
      </c>
      <c r="K3676" t="inlineStr">
        <is>
          <t>20.0</t>
        </is>
      </c>
      <c r="L3676" t="n">
        <v>9.5</v>
      </c>
      <c r="M3676" s="1" t="inlineStr">
        <is>
          <t>-52.50%</t>
        </is>
      </c>
      <c r="N3676" t="n">
        <v>4.5</v>
      </c>
      <c r="O3676" t="n">
        <v>275</v>
      </c>
      <c r="Q3676" t="inlineStr">
        <is>
          <t>InStock</t>
        </is>
      </c>
      <c r="R3676" t="inlineStr">
        <is>
          <t>undefined</t>
        </is>
      </c>
      <c r="S3676" t="inlineStr">
        <is>
          <t>10391426186</t>
        </is>
      </c>
    </row>
    <row r="3677" ht="75" customHeight="1">
      <c r="A3677" s="2">
        <f>HYPERLINK("https://camerareadycosmetics.com/products/the-balm-cosmetics-hot-mama-shadow-blush", "https://camerareadycosmetics.com/products/the-balm-cosmetics-hot-mama-shadow-blush")</f>
        <v/>
      </c>
      <c r="B3677" s="2">
        <f>HYPERLINK("https://camerareadycosmetics.com/products/the-balm-cosmetics-hot-mama-shadow-blush", "https://camerareadycosmetics.com/products/the-balm-cosmetics-hot-mama-shadow-blush")</f>
        <v/>
      </c>
      <c r="C3677" t="inlineStr">
        <is>
          <t>Hot Mama Shadow/Blush</t>
        </is>
      </c>
      <c r="D3677" t="inlineStr">
        <is>
          <t>theBalm Hot Mama! Shadow/Blush, Subtle Highlighter, Travel-Size</t>
        </is>
      </c>
      <c r="E3677" s="2">
        <f>HYPERLINK("https://www.amazon.com/theBalm-Shadow-Subtle-Highlighter-Travel-Size/dp/B07RDP24WY/ref=sr_1_1?keywords=Hot+Mama+Shadow%2FBlush&amp;qid=1695565676&amp;sr=8-1", "https://www.amazon.com/theBalm-Shadow-Subtle-Highlighter-Travel-Size/dp/B07RDP24WY/ref=sr_1_1?keywords=Hot+Mama+Shadow%2FBlush&amp;qid=1695565676&amp;sr=8-1")</f>
        <v/>
      </c>
      <c r="F3677" t="inlineStr">
        <is>
          <t>B07RDP24WY</t>
        </is>
      </c>
      <c r="G3677">
        <f>_xlfn.IMAGE("https://camerareadycosmetics.com/cdn/shop/products/gallery_1_hot-mama_287ae52c-2e68-45ce-b22a-66f720f3b362_1024x1024_1_50x.jpg?v=1694446978")</f>
        <v/>
      </c>
      <c r="H3677">
        <f>_xlfn.IMAGE("https://m.media-amazon.com/images/I/617hEmIeKTL._AC_UL320_.jpg")</f>
        <v/>
      </c>
      <c r="K3677" t="inlineStr">
        <is>
          <t>20.0</t>
        </is>
      </c>
      <c r="L3677" t="n">
        <v>9.5</v>
      </c>
      <c r="M3677" s="1" t="inlineStr">
        <is>
          <t>-52.50%</t>
        </is>
      </c>
      <c r="N3677" t="n">
        <v>4.5</v>
      </c>
      <c r="O3677" t="n">
        <v>275</v>
      </c>
      <c r="Q3677" t="inlineStr">
        <is>
          <t>InStock</t>
        </is>
      </c>
      <c r="R3677" t="inlineStr">
        <is>
          <t>undefined</t>
        </is>
      </c>
      <c r="S3677" t="inlineStr">
        <is>
          <t>10391426186</t>
        </is>
      </c>
    </row>
    <row r="3678" ht="75" customHeight="1">
      <c r="A3678" s="2">
        <f>HYPERLINK("https://camerareadycosmetics.com/products/the-balm-cosmetics-mad-lash-mascara", "https://camerareadycosmetics.com/products/the-balm-cosmetics-mad-lash-mascara")</f>
        <v/>
      </c>
      <c r="B3678" s="2">
        <f>HYPERLINK("https://camerareadycosmetics.com/products/the-balm-cosmetics-mad-lash-mascara", "https://camerareadycosmetics.com/products/the-balm-cosmetics-mad-lash-mascara")</f>
        <v/>
      </c>
      <c r="C3678" t="inlineStr">
        <is>
          <t>Mad Lash Mascara</t>
        </is>
      </c>
      <c r="D3678" t="inlineStr">
        <is>
          <t>theBalm Schwing and Mad Lash Liquid Eyeliner and Mascara Kit</t>
        </is>
      </c>
      <c r="E3678" s="2">
        <f>HYPERLINK("https://www.amazon.com/theBalm-Schwing-Liquid-Eyeliner-Mascara/dp/B07D8ZKWVD/ref=sr_1_2?keywords=Mad+Lash+Mascara&amp;qid=1695565671&amp;sr=8-2", "https://www.amazon.com/theBalm-Schwing-Liquid-Eyeliner-Mascara/dp/B07D8ZKWVD/ref=sr_1_2?keywords=Mad+Lash+Mascara&amp;qid=1695565671&amp;sr=8-2")</f>
        <v/>
      </c>
      <c r="F3678" t="inlineStr">
        <is>
          <t>B07D8ZKWVD</t>
        </is>
      </c>
      <c r="G3678">
        <f>_xlfn.IMAGE("https://camerareadycosmetics.com/cdn/shop/products/MAD_LASH_50x.jpg?v=1694446974")</f>
        <v/>
      </c>
      <c r="H3678">
        <f>_xlfn.IMAGE("https://m.media-amazon.com/images/I/619gSdVE-bL._AC_UL320_.jpg")</f>
        <v/>
      </c>
      <c r="K3678" t="inlineStr">
        <is>
          <t>18.0</t>
        </is>
      </c>
      <c r="L3678" t="n">
        <v>24</v>
      </c>
      <c r="M3678" s="1" t="inlineStr">
        <is>
          <t>33.33%</t>
        </is>
      </c>
      <c r="N3678" t="n">
        <v>4.4</v>
      </c>
      <c r="O3678" t="n">
        <v>75</v>
      </c>
      <c r="Q3678" t="inlineStr">
        <is>
          <t>InStock</t>
        </is>
      </c>
      <c r="R3678" t="inlineStr">
        <is>
          <t>undefined</t>
        </is>
      </c>
      <c r="S3678" t="inlineStr">
        <is>
          <t>10391407050</t>
        </is>
      </c>
    </row>
    <row r="3679" ht="75" customHeight="1">
      <c r="A3679" s="2">
        <f>HYPERLINK("https://camerareadycosmetics.com/products/the-balm-cosmetics-mad-lash-mascara", "https://camerareadycosmetics.com/products/the-balm-cosmetics-mad-lash-mascara")</f>
        <v/>
      </c>
      <c r="B3679" s="2">
        <f>HYPERLINK("https://camerareadycosmetics.com/products/the-balm-cosmetics-mad-lash-mascara", "https://camerareadycosmetics.com/products/the-balm-cosmetics-mad-lash-mascara")</f>
        <v/>
      </c>
      <c r="C3679" t="inlineStr">
        <is>
          <t>Mad Lash Mascara</t>
        </is>
      </c>
      <c r="D3679" t="inlineStr">
        <is>
          <t>theBalm Mad Lash Mascara</t>
        </is>
      </c>
      <c r="E3679" s="2">
        <f>HYPERLINK("https://www.amazon.com/theBalm-Mad-Lash-Full-Size/dp/B074WKGXV3/ref=sr_1_1?keywords=Mad+Lash+Mascara&amp;qid=1695565671&amp;sr=8-1", "https://www.amazon.com/theBalm-Mad-Lash-Full-Size/dp/B074WKGXV3/ref=sr_1_1?keywords=Mad+Lash+Mascara&amp;qid=1695565671&amp;sr=8-1")</f>
        <v/>
      </c>
      <c r="F3679" t="inlineStr">
        <is>
          <t>B074WKGXV3</t>
        </is>
      </c>
      <c r="G3679">
        <f>_xlfn.IMAGE("https://camerareadycosmetics.com/cdn/shop/products/MAD_LASH_50x.jpg?v=1694446974")</f>
        <v/>
      </c>
      <c r="H3679">
        <f>_xlfn.IMAGE("https://m.media-amazon.com/images/I/71wMRFD3vGL._AC_UL320_.jpg")</f>
        <v/>
      </c>
      <c r="K3679" t="inlineStr">
        <is>
          <t>18.0</t>
        </is>
      </c>
      <c r="L3679" t="n">
        <v>19</v>
      </c>
      <c r="M3679" s="1" t="inlineStr">
        <is>
          <t>5.56%</t>
        </is>
      </c>
      <c r="N3679" t="n">
        <v>4.3</v>
      </c>
      <c r="O3679" t="n">
        <v>5650</v>
      </c>
      <c r="Q3679" t="inlineStr">
        <is>
          <t>InStock</t>
        </is>
      </c>
      <c r="R3679" t="inlineStr">
        <is>
          <t>undefined</t>
        </is>
      </c>
      <c r="S3679" t="inlineStr">
        <is>
          <t>10391407050</t>
        </is>
      </c>
    </row>
    <row r="3680" ht="75" customHeight="1">
      <c r="A3680" s="2">
        <f>HYPERLINK("https://camerareadycosmetics.com/products/the-balm-meet-matte-hughes-long-lasting-liquid-lipstick", "https://camerareadycosmetics.com/products/the-balm-meet-matte-hughes-long-lasting-liquid-lipstick")</f>
        <v/>
      </c>
      <c r="B3680" s="2">
        <f>HYPERLINK("https://camerareadycosmetics.com/products/the-balm-meet-matte-hughes-long-lasting-liquid-lipstick", "https://camerareadycosmetics.com/products/the-balm-meet-matte-hughes-long-lasting-liquid-lipstick")</f>
        <v/>
      </c>
      <c r="C3680" t="inlineStr">
        <is>
          <t>Meet Matt(e) Hughes Long Lasting Liquid Lipstick</t>
        </is>
      </c>
      <c r="D3680" t="inlineStr">
        <is>
          <t>theBalm Meet Matt(e) Hughes Vol 14 Mini Long-Lasting Liquid Lipsticks, 6 Count</t>
        </is>
      </c>
      <c r="E3680" s="2">
        <f>HYPERLINK("https://www.amazon.com/theBalm-Hughes-Long-Lasting-Liquid-Lipsticks/dp/B08NPX99K5/ref=sr_1_4?keywords=Meet+Matt%28e%29+Hughes+Long+Lasting+Liquid+Lipstick&amp;qid=1695565552&amp;sr=8-4", "https://www.amazon.com/theBalm-Hughes-Long-Lasting-Liquid-Lipsticks/dp/B08NPX99K5/ref=sr_1_4?keywords=Meet+Matt%28e%29+Hughes+Long+Lasting+Liquid+Lipstick&amp;qid=1695565552&amp;sr=8-4")</f>
        <v/>
      </c>
      <c r="F3680" t="inlineStr">
        <is>
          <t>B08NPX99K5</t>
        </is>
      </c>
      <c r="G3680">
        <f>_xlfn.IMAGE("https://camerareadycosmetics.com/cdn/shop/products/sincere_2_50x.jpg?v=1694447129")</f>
        <v/>
      </c>
      <c r="H3680">
        <f>_xlfn.IMAGE("https://m.media-amazon.com/images/I/81Hj6cUZpVS._AC_UL320_.jpg")</f>
        <v/>
      </c>
      <c r="K3680" t="inlineStr">
        <is>
          <t>17.0</t>
        </is>
      </c>
      <c r="L3680" t="n">
        <v>28.69</v>
      </c>
      <c r="M3680" s="1" t="inlineStr">
        <is>
          <t>68.76%</t>
        </is>
      </c>
      <c r="N3680" t="n">
        <v>5</v>
      </c>
      <c r="O3680" t="n">
        <v>6</v>
      </c>
      <c r="Q3680" t="inlineStr">
        <is>
          <t>InStock</t>
        </is>
      </c>
      <c r="R3680" t="inlineStr">
        <is>
          <t>undefined</t>
        </is>
      </c>
      <c r="S3680" t="inlineStr">
        <is>
          <t>10394153098</t>
        </is>
      </c>
    </row>
    <row r="3681" ht="75" customHeight="1">
      <c r="A3681" s="2">
        <f>HYPERLINK("https://camerareadycosmetics.com/products/the-balm-meet-matte-hughes-long-lasting-liquid-lipstick", "https://camerareadycosmetics.com/products/the-balm-meet-matte-hughes-long-lasting-liquid-lipstick")</f>
        <v/>
      </c>
      <c r="B3681" s="2">
        <f>HYPERLINK("https://camerareadycosmetics.com/products/the-balm-meet-matte-hughes-long-lasting-liquid-lipstick", "https://camerareadycosmetics.com/products/the-balm-meet-matte-hughes-long-lasting-liquid-lipstick")</f>
        <v/>
      </c>
      <c r="C3681" t="inlineStr">
        <is>
          <t>Meet Matt(e) Hughes Long Lasting Liquid Lipstick</t>
        </is>
      </c>
      <c r="D3681" t="inlineStr">
        <is>
          <t>theBalm Meet Matt(e) Hughes Vol 5 Mini Long-Lasting Liquid Lipsticks, 6 Count</t>
        </is>
      </c>
      <c r="E3681" s="2">
        <f>HYPERLINK("https://www.amazon.com/theBalm-Meet-Hughes-Liquid-Lipsticks/dp/B08GZC62PK/ref=sr_1_3?keywords=Meet+Matt%28e%29+Hughes+Long+Lasting+Liquid+Lipstick&amp;qid=1695565552&amp;sr=8-3", "https://www.amazon.com/theBalm-Meet-Hughes-Liquid-Lipsticks/dp/B08GZC62PK/ref=sr_1_3?keywords=Meet+Matt%28e%29+Hughes+Long+Lasting+Liquid+Lipstick&amp;qid=1695565552&amp;sr=8-3")</f>
        <v/>
      </c>
      <c r="F3681" t="inlineStr">
        <is>
          <t>B08GZC62PK</t>
        </is>
      </c>
      <c r="G3681">
        <f>_xlfn.IMAGE("https://camerareadycosmetics.com/cdn/shop/products/sincere_2_50x.jpg?v=1694447129")</f>
        <v/>
      </c>
      <c r="H3681">
        <f>_xlfn.IMAGE("https://m.media-amazon.com/images/I/71iU5flK30L._AC_UL320_.jpg")</f>
        <v/>
      </c>
      <c r="K3681" t="inlineStr">
        <is>
          <t>17.0</t>
        </is>
      </c>
      <c r="L3681" t="n">
        <v>27.55</v>
      </c>
      <c r="M3681" s="1" t="inlineStr">
        <is>
          <t>62.06%</t>
        </is>
      </c>
      <c r="N3681" t="n">
        <v>4</v>
      </c>
      <c r="O3681" t="n">
        <v>8</v>
      </c>
      <c r="Q3681" t="inlineStr">
        <is>
          <t>InStock</t>
        </is>
      </c>
      <c r="R3681" t="inlineStr">
        <is>
          <t>undefined</t>
        </is>
      </c>
      <c r="S3681" t="inlineStr">
        <is>
          <t>10394153098</t>
        </is>
      </c>
    </row>
    <row r="3682" ht="75" customHeight="1">
      <c r="A3682" s="2">
        <f>HYPERLINK("https://camerareadycosmetics.com/products/the-balm-meet-matte-hughes-long-lasting-liquid-lipstick", "https://camerareadycosmetics.com/products/the-balm-meet-matte-hughes-long-lasting-liquid-lipstick")</f>
        <v/>
      </c>
      <c r="B3682" s="2">
        <f>HYPERLINK("https://camerareadycosmetics.com/products/the-balm-meet-matte-hughes-long-lasting-liquid-lipstick", "https://camerareadycosmetics.com/products/the-balm-meet-matte-hughes-long-lasting-liquid-lipstick")</f>
        <v/>
      </c>
      <c r="C3682" t="inlineStr">
        <is>
          <t>Meet Matt(e) Hughes Long Lasting Liquid Lipstick</t>
        </is>
      </c>
      <c r="D3682" t="inlineStr">
        <is>
          <t>theBalm Meet Matt(e) Hughes Vol 4 Mini Long-Lasting Liquid Lipsticks, 6 Count</t>
        </is>
      </c>
      <c r="E3682" s="2">
        <f>HYPERLINK("https://www.amazon.com/theBalm-Meet-Hughes-Liquid-Lipsticks/dp/B07VM85L6F/ref=sr_1_5?keywords=Meet+Matt%28e%29+Hughes+Long+Lasting+Liquid+Lipstick&amp;qid=1695565552&amp;sr=8-5", "https://www.amazon.com/theBalm-Meet-Hughes-Liquid-Lipsticks/dp/B07VM85L6F/ref=sr_1_5?keywords=Meet+Matt%28e%29+Hughes+Long+Lasting+Liquid+Lipstick&amp;qid=1695565552&amp;sr=8-5")</f>
        <v/>
      </c>
      <c r="F3682" t="inlineStr">
        <is>
          <t>B07VM85L6F</t>
        </is>
      </c>
      <c r="G3682">
        <f>_xlfn.IMAGE("https://camerareadycosmetics.com/cdn/shop/products/sincere_2_50x.jpg?v=1694447129")</f>
        <v/>
      </c>
      <c r="H3682">
        <f>_xlfn.IMAGE("https://m.media-amazon.com/images/I/51PCej4gnEL._AC_UL320_.jpg")</f>
        <v/>
      </c>
      <c r="K3682" t="inlineStr">
        <is>
          <t>17.0</t>
        </is>
      </c>
      <c r="L3682" t="n">
        <v>27.55</v>
      </c>
      <c r="M3682" s="1" t="inlineStr">
        <is>
          <t>62.06%</t>
        </is>
      </c>
      <c r="N3682" t="n">
        <v>5</v>
      </c>
      <c r="O3682" t="n">
        <v>1</v>
      </c>
      <c r="Q3682" t="inlineStr">
        <is>
          <t>InStock</t>
        </is>
      </c>
      <c r="R3682" t="inlineStr">
        <is>
          <t>undefined</t>
        </is>
      </c>
      <c r="S3682" t="inlineStr">
        <is>
          <t>10394153098</t>
        </is>
      </c>
    </row>
    <row r="3683" ht="75" customHeight="1">
      <c r="A3683" s="2">
        <f>HYPERLINK("https://camerareadycosmetics.com/products/the-balm-meet-matte-hughes-long-lasting-liquid-lipstick", "https://camerareadycosmetics.com/products/the-balm-meet-matte-hughes-long-lasting-liquid-lipstick")</f>
        <v/>
      </c>
      <c r="B3683" s="2">
        <f>HYPERLINK("https://camerareadycosmetics.com/products/the-balm-meet-matte-hughes-long-lasting-liquid-lipstick", "https://camerareadycosmetics.com/products/the-balm-meet-matte-hughes-long-lasting-liquid-lipstick")</f>
        <v/>
      </c>
      <c r="C3683" t="inlineStr">
        <is>
          <t>Meet Matt(e) Hughes Long Lasting Liquid Lipstick</t>
        </is>
      </c>
      <c r="D3683" t="inlineStr">
        <is>
          <t>theBalm MEET MATTE HUGHES® San Francisco - Set of 6 Mini Long-Lasting Liquid Lipsticks, 2.4 fl. oz.</t>
        </is>
      </c>
      <c r="E3683" s="2">
        <f>HYPERLINK("https://www.amazon.com/theBalm-MEET-MATTE-HUGHES%C2%AE-Francisco/dp/B09QB82SK2/ref=sr_1_6?keywords=Meet+Matt%28e%29+Hughes+Long+Lasting+Liquid+Lipstick&amp;qid=1695565552&amp;sr=8-6", "https://www.amazon.com/theBalm-MEET-MATTE-HUGHES%C2%AE-Francisco/dp/B09QB82SK2/ref=sr_1_6?keywords=Meet+Matt%28e%29+Hughes+Long+Lasting+Liquid+Lipstick&amp;qid=1695565552&amp;sr=8-6")</f>
        <v/>
      </c>
      <c r="F3683" t="inlineStr">
        <is>
          <t>B09QB82SK2</t>
        </is>
      </c>
      <c r="G3683">
        <f>_xlfn.IMAGE("https://camerareadycosmetics.com/cdn/shop/products/sincere_2_50x.jpg?v=1694447129")</f>
        <v/>
      </c>
      <c r="H3683">
        <f>_xlfn.IMAGE("https://m.media-amazon.com/images/I/71f5MDMfYBL._AC_UL320_.jpg")</f>
        <v/>
      </c>
      <c r="K3683" t="inlineStr">
        <is>
          <t>17.0</t>
        </is>
      </c>
      <c r="L3683" t="n">
        <v>27.55</v>
      </c>
      <c r="M3683" s="1" t="inlineStr">
        <is>
          <t>62.06%</t>
        </is>
      </c>
      <c r="N3683" t="n">
        <v>4.6</v>
      </c>
      <c r="O3683" t="n">
        <v>8</v>
      </c>
      <c r="Q3683" t="inlineStr">
        <is>
          <t>InStock</t>
        </is>
      </c>
      <c r="R3683" t="inlineStr">
        <is>
          <t>undefined</t>
        </is>
      </c>
      <c r="S3683" t="inlineStr">
        <is>
          <t>10394153098</t>
        </is>
      </c>
    </row>
    <row r="3684" ht="75" customHeight="1">
      <c r="A3684" s="2">
        <f>HYPERLINK("https://camerareadycosmetics.com/products/the-balm-meet-matte-hughes-long-lasting-liquid-lipstick", "https://camerareadycosmetics.com/products/the-balm-meet-matte-hughes-long-lasting-liquid-lipstick")</f>
        <v/>
      </c>
      <c r="B3684" s="2">
        <f>HYPERLINK("https://camerareadycosmetics.com/products/the-balm-meet-matte-hughes-long-lasting-liquid-lipstick", "https://camerareadycosmetics.com/products/the-balm-meet-matte-hughes-long-lasting-liquid-lipstick")</f>
        <v/>
      </c>
      <c r="C3684" t="inlineStr">
        <is>
          <t>Meet Matt(e) Hughes Long Lasting Liquid Lipstick</t>
        </is>
      </c>
      <c r="D3684" t="inlineStr">
        <is>
          <t>theBalm Meet Matte Hughes Nude Mini Liquid Lipstick Set, 0.04 Fl Oz (Pack of 6)</t>
        </is>
      </c>
      <c r="E3684" s="2">
        <f>HYPERLINK("https://www.amazon.com/theBalm-Matte-Hughes-NUDE-Liquid-Lipstick/dp/B07W8VN7B7/ref=sr_1_8?keywords=Meet+Matt%28e%29+Hughes+Long+Lasting+Liquid+Lipstick&amp;qid=1695565552&amp;sr=8-8", "https://www.amazon.com/theBalm-Matte-Hughes-NUDE-Liquid-Lipstick/dp/B07W8VN7B7/ref=sr_1_8?keywords=Meet+Matt%28e%29+Hughes+Long+Lasting+Liquid+Lipstick&amp;qid=1695565552&amp;sr=8-8")</f>
        <v/>
      </c>
      <c r="F3684" t="inlineStr">
        <is>
          <t>B07W8VN7B7</t>
        </is>
      </c>
      <c r="G3684">
        <f>_xlfn.IMAGE("https://camerareadycosmetics.com/cdn/shop/products/sincere_2_50x.jpg?v=1694447129")</f>
        <v/>
      </c>
      <c r="H3684">
        <f>_xlfn.IMAGE("https://m.media-amazon.com/images/I/718LOia4jLL._AC_UL320_.jpg")</f>
        <v/>
      </c>
      <c r="K3684" t="inlineStr">
        <is>
          <t>17.0</t>
        </is>
      </c>
      <c r="L3684" t="n">
        <v>27.55</v>
      </c>
      <c r="M3684" s="1" t="inlineStr">
        <is>
          <t>62.06%</t>
        </is>
      </c>
      <c r="N3684" t="n">
        <v>4.5</v>
      </c>
      <c r="O3684" t="n">
        <v>212</v>
      </c>
      <c r="Q3684" t="inlineStr">
        <is>
          <t>InStock</t>
        </is>
      </c>
      <c r="R3684" t="inlineStr">
        <is>
          <t>undefined</t>
        </is>
      </c>
      <c r="S3684" t="inlineStr">
        <is>
          <t>10394153098</t>
        </is>
      </c>
    </row>
    <row r="3685" ht="75" customHeight="1">
      <c r="A3685" s="2">
        <f>HYPERLINK("https://camerareadycosmetics.com/products/the-balm-meet-matte-hughes-set-of-6-mini-long-lasting-liquid-lipsticks-vol-3", "https://camerareadycosmetics.com/products/the-balm-meet-matte-hughes-set-of-6-mini-long-lasting-liquid-lipsticks-vol-3")</f>
        <v/>
      </c>
      <c r="B3685" s="2">
        <f>HYPERLINK("https://camerareadycosmetics.com/products/the-balm-meet-matte-hughes-set-of-6-mini-long-lasting-liquid-lipsticks-vol-3", "https://camerareadycosmetics.com/products/the-balm-meet-matte-hughes-set-of-6-mini-long-lasting-liquid-lipsticks-vol-3")</f>
        <v/>
      </c>
      <c r="C3685" t="inlineStr">
        <is>
          <t>Meet Matte Hughes 6 Mini Long Lasting Liquid Lipsticks Vol. 3</t>
        </is>
      </c>
      <c r="D3685" t="inlineStr">
        <is>
          <t>theBalm Meet Matt(e) Hughes Vol 14 Mini Long-Lasting Liquid Lipsticks, 6 Count</t>
        </is>
      </c>
      <c r="E3685" s="2">
        <f>HYPERLINK("https://www.amazon.com/theBalm-Hughes-Long-Lasting-Liquid-Lipsticks/dp/B08NPX99K5/ref=sr_1_2?keywords=Meet+Matte+Hughes+6+Mini+Long+Lasting+Liquid+Lipsticks+Vol.+3&amp;qid=1695565572&amp;sr=8-2", "https://www.amazon.com/theBalm-Hughes-Long-Lasting-Liquid-Lipsticks/dp/B08NPX99K5/ref=sr_1_2?keywords=Meet+Matte+Hughes+6+Mini+Long+Lasting+Liquid+Lipsticks+Vol.+3&amp;qid=1695565572&amp;sr=8-2")</f>
        <v/>
      </c>
      <c r="F3685" t="inlineStr">
        <is>
          <t>B08NPX99K5</t>
        </is>
      </c>
      <c r="G3685">
        <f>_xlfn.IMAGE("https://camerareadycosmetics.com/cdn/shop/products/meet-matte-hughes-vol-3_50x.jpg?v=1607788378")</f>
        <v/>
      </c>
      <c r="H3685">
        <f>_xlfn.IMAGE("https://m.media-amazon.com/images/I/81Hj6cUZpVS._AC_UL320_.jpg")</f>
        <v/>
      </c>
      <c r="K3685" t="inlineStr">
        <is>
          <t>29.0</t>
        </is>
      </c>
      <c r="L3685" t="n">
        <v>28.69</v>
      </c>
      <c r="M3685" s="1" t="inlineStr">
        <is>
          <t>-1.07%</t>
        </is>
      </c>
      <c r="N3685" t="n">
        <v>5</v>
      </c>
      <c r="O3685" t="n">
        <v>6</v>
      </c>
      <c r="Q3685" t="inlineStr">
        <is>
          <t>InStock</t>
        </is>
      </c>
      <c r="R3685" t="inlineStr">
        <is>
          <t>undefined</t>
        </is>
      </c>
      <c r="S3685" t="inlineStr">
        <is>
          <t>11897262474</t>
        </is>
      </c>
    </row>
    <row r="3686" ht="75" customHeight="1">
      <c r="A3686" s="2">
        <f>HYPERLINK("https://camerareadycosmetics.com/products/the-balm-meet-matte-hughes-set-of-6-mini-long-lasting-liquid-lipsticks-vol-3", "https://camerareadycosmetics.com/products/the-balm-meet-matte-hughes-set-of-6-mini-long-lasting-liquid-lipsticks-vol-3")</f>
        <v/>
      </c>
      <c r="B3686" s="2">
        <f>HYPERLINK("https://camerareadycosmetics.com/products/the-balm-meet-matte-hughes-set-of-6-mini-long-lasting-liquid-lipsticks-vol-3", "https://camerareadycosmetics.com/products/the-balm-meet-matte-hughes-set-of-6-mini-long-lasting-liquid-lipsticks-vol-3")</f>
        <v/>
      </c>
      <c r="C3686" t="inlineStr">
        <is>
          <t>Meet Matte Hughes 6 Mini Long Lasting Liquid Lipsticks Vol. 3</t>
        </is>
      </c>
      <c r="D3686" t="inlineStr">
        <is>
          <t>theBalm Meet Matt(e) Hughes Vol 5 Mini Long-Lasting Liquid Lipsticks, 6 Count</t>
        </is>
      </c>
      <c r="E3686" s="2">
        <f>HYPERLINK("https://www.amazon.com/theBalm-Meet-Hughes-Liquid-Lipsticks/dp/B08GZC62PK/ref=sr_1_3?keywords=Meet+Matte+Hughes+6+Mini+Long+Lasting+Liquid+Lipsticks+Vol.+3&amp;qid=1695565572&amp;sr=8-3", "https://www.amazon.com/theBalm-Meet-Hughes-Liquid-Lipsticks/dp/B08GZC62PK/ref=sr_1_3?keywords=Meet+Matte+Hughes+6+Mini+Long+Lasting+Liquid+Lipsticks+Vol.+3&amp;qid=1695565572&amp;sr=8-3")</f>
        <v/>
      </c>
      <c r="F3686" t="inlineStr">
        <is>
          <t>B08GZC62PK</t>
        </is>
      </c>
      <c r="G3686">
        <f>_xlfn.IMAGE("https://camerareadycosmetics.com/cdn/shop/products/meet-matte-hughes-vol-3_50x.jpg?v=1607788378")</f>
        <v/>
      </c>
      <c r="H3686">
        <f>_xlfn.IMAGE("https://m.media-amazon.com/images/I/71iU5flK30L._AC_UL320_.jpg")</f>
        <v/>
      </c>
      <c r="K3686" t="inlineStr">
        <is>
          <t>29.0</t>
        </is>
      </c>
      <c r="L3686" t="n">
        <v>27.55</v>
      </c>
      <c r="M3686" s="1" t="inlineStr">
        <is>
          <t>-5.00%</t>
        </is>
      </c>
      <c r="N3686" t="n">
        <v>4</v>
      </c>
      <c r="O3686" t="n">
        <v>8</v>
      </c>
      <c r="Q3686" t="inlineStr">
        <is>
          <t>InStock</t>
        </is>
      </c>
      <c r="R3686" t="inlineStr">
        <is>
          <t>undefined</t>
        </is>
      </c>
      <c r="S3686" t="inlineStr">
        <is>
          <t>11897262474</t>
        </is>
      </c>
    </row>
    <row r="3687" ht="75" customHeight="1">
      <c r="A3687" s="2">
        <f>HYPERLINK("https://camerareadycosmetics.com/products/the-balm-meet-matte-hughes-set-of-6-mini-long-lasting-liquid-lipsticks-vol-3", "https://camerareadycosmetics.com/products/the-balm-meet-matte-hughes-set-of-6-mini-long-lasting-liquid-lipsticks-vol-3")</f>
        <v/>
      </c>
      <c r="B3687" s="2">
        <f>HYPERLINK("https://camerareadycosmetics.com/products/the-balm-meet-matte-hughes-set-of-6-mini-long-lasting-liquid-lipsticks-vol-3", "https://camerareadycosmetics.com/products/the-balm-meet-matte-hughes-set-of-6-mini-long-lasting-liquid-lipsticks-vol-3")</f>
        <v/>
      </c>
      <c r="C3687" t="inlineStr">
        <is>
          <t>Meet Matte Hughes 6 Mini Long Lasting Liquid Lipsticks Vol. 3</t>
        </is>
      </c>
      <c r="D3687" t="inlineStr">
        <is>
          <t>theBalm Meet Matt(e) Hughes Vol 4 Mini Long-Lasting Liquid Lipsticks, 6 Count</t>
        </is>
      </c>
      <c r="E3687" s="2">
        <f>HYPERLINK("https://www.amazon.com/theBalm-Meet-Hughes-Liquid-Lipsticks/dp/B07VM85L6F/ref=sr_1_4?keywords=Meet+Matte+Hughes+6+Mini+Long+Lasting+Liquid+Lipsticks+Vol.+3&amp;qid=1695565572&amp;sr=8-4", "https://www.amazon.com/theBalm-Meet-Hughes-Liquid-Lipsticks/dp/B07VM85L6F/ref=sr_1_4?keywords=Meet+Matte+Hughes+6+Mini+Long+Lasting+Liquid+Lipsticks+Vol.+3&amp;qid=1695565572&amp;sr=8-4")</f>
        <v/>
      </c>
      <c r="F3687" t="inlineStr">
        <is>
          <t>B07VM85L6F</t>
        </is>
      </c>
      <c r="G3687">
        <f>_xlfn.IMAGE("https://camerareadycosmetics.com/cdn/shop/products/meet-matte-hughes-vol-3_50x.jpg?v=1607788378")</f>
        <v/>
      </c>
      <c r="H3687">
        <f>_xlfn.IMAGE("https://m.media-amazon.com/images/I/51PCej4gnEL._AC_UL320_.jpg")</f>
        <v/>
      </c>
      <c r="K3687" t="inlineStr">
        <is>
          <t>29.0</t>
        </is>
      </c>
      <c r="L3687" t="n">
        <v>27.55</v>
      </c>
      <c r="M3687" s="1" t="inlineStr">
        <is>
          <t>-5.00%</t>
        </is>
      </c>
      <c r="N3687" t="n">
        <v>5</v>
      </c>
      <c r="O3687" t="n">
        <v>1</v>
      </c>
      <c r="Q3687" t="inlineStr">
        <is>
          <t>InStock</t>
        </is>
      </c>
      <c r="R3687" t="inlineStr">
        <is>
          <t>undefined</t>
        </is>
      </c>
      <c r="S3687" t="inlineStr">
        <is>
          <t>11897262474</t>
        </is>
      </c>
    </row>
    <row r="3688" ht="75" customHeight="1">
      <c r="A3688" s="2">
        <f>HYPERLINK("https://camerareadycosmetics.com/products/the-balm-meet-matte-hughes-set-of-6-mini-long-lasting-liquid-lipsticks-vol-3", "https://camerareadycosmetics.com/products/the-balm-meet-matte-hughes-set-of-6-mini-long-lasting-liquid-lipsticks-vol-3")</f>
        <v/>
      </c>
      <c r="B3688" s="2">
        <f>HYPERLINK("https://camerareadycosmetics.com/products/the-balm-meet-matte-hughes-set-of-6-mini-long-lasting-liquid-lipsticks-vol-3", "https://camerareadycosmetics.com/products/the-balm-meet-matte-hughes-set-of-6-mini-long-lasting-liquid-lipsticks-vol-3")</f>
        <v/>
      </c>
      <c r="C3688" t="inlineStr">
        <is>
          <t>Meet Matte Hughes 6 Mini Long Lasting Liquid Lipsticks Vol. 3</t>
        </is>
      </c>
      <c r="D3688" t="inlineStr">
        <is>
          <t>theBalm MEET MATTE HUGHES® San Francisco - Set of 6 Mini Long-Lasting Liquid Lipsticks, 2.4 fl. oz.</t>
        </is>
      </c>
      <c r="E3688" s="2">
        <f>HYPERLINK("https://www.amazon.com/theBalm-MEET-MATTE-HUGHES%C2%AE-Francisco/dp/B09QB82SK2/ref=sr_1_5?keywords=Meet+Matte+Hughes+6+Mini+Long+Lasting+Liquid+Lipsticks+Vol.+3&amp;qid=1695565572&amp;sr=8-5", "https://www.amazon.com/theBalm-MEET-MATTE-HUGHES%C2%AE-Francisco/dp/B09QB82SK2/ref=sr_1_5?keywords=Meet+Matte+Hughes+6+Mini+Long+Lasting+Liquid+Lipsticks+Vol.+3&amp;qid=1695565572&amp;sr=8-5")</f>
        <v/>
      </c>
      <c r="F3688" t="inlineStr">
        <is>
          <t>B09QB82SK2</t>
        </is>
      </c>
      <c r="G3688">
        <f>_xlfn.IMAGE("https://camerareadycosmetics.com/cdn/shop/products/meet-matte-hughes-vol-3_50x.jpg?v=1607788378")</f>
        <v/>
      </c>
      <c r="H3688">
        <f>_xlfn.IMAGE("https://m.media-amazon.com/images/I/71f5MDMfYBL._AC_UL320_.jpg")</f>
        <v/>
      </c>
      <c r="K3688" t="inlineStr">
        <is>
          <t>29.0</t>
        </is>
      </c>
      <c r="L3688" t="n">
        <v>27.55</v>
      </c>
      <c r="M3688" s="1" t="inlineStr">
        <is>
          <t>-5.00%</t>
        </is>
      </c>
      <c r="N3688" t="n">
        <v>4.6</v>
      </c>
      <c r="O3688" t="n">
        <v>8</v>
      </c>
      <c r="Q3688" t="inlineStr">
        <is>
          <t>InStock</t>
        </is>
      </c>
      <c r="R3688" t="inlineStr">
        <is>
          <t>undefined</t>
        </is>
      </c>
      <c r="S3688" t="inlineStr">
        <is>
          <t>11897262474</t>
        </is>
      </c>
    </row>
    <row r="3689" ht="75" customHeight="1">
      <c r="A3689" s="2">
        <f>HYPERLINK("https://camerareadycosmetics.com/products/tinge-hydrating-body-tint", "https://camerareadycosmetics.com/products/tinge-hydrating-body-tint")</f>
        <v/>
      </c>
      <c r="B3689" s="2">
        <f>HYPERLINK("https://camerareadycosmetics.com/products/tinge-hydrating-body-tint", "https://camerareadycosmetics.com/products/tinge-hydrating-body-tint")</f>
        <v/>
      </c>
      <c r="C3689" t="inlineStr">
        <is>
          <t>Hydrating Body Tint</t>
        </is>
      </c>
      <c r="D3689" t="inlineStr">
        <is>
          <t>Replenix Hydrating Antioxidant Tinted Mineral Sunscreen with Medical-Grade Zinc, Dermatologist-Developed Oil-Free SPF 50+ for Face &amp; Body (4 fl. oz.)</t>
        </is>
      </c>
      <c r="E3689" s="2">
        <f>HYPERLINK("https://www.amazon.com/Replenix-Antioxidant-Sunscreen-Moisturizer-Plus/dp/B008CPLG94/ref=sr_1_2?keywords=Hydrating+Body+Tint&amp;qid=1695565811&amp;sr=8-2", "https://www.amazon.com/Replenix-Antioxidant-Sunscreen-Moisturizer-Plus/dp/B008CPLG94/ref=sr_1_2?keywords=Hydrating+Body+Tint&amp;qid=1695565811&amp;sr=8-2")</f>
        <v/>
      </c>
      <c r="F3689" t="inlineStr">
        <is>
          <t>B008CPLG94</t>
        </is>
      </c>
      <c r="G3689">
        <f>_xlfn.IMAGE("https://camerareadycosmetics.com/cdn/shop/products/fair-neutral-1_1_50x.jpg?v=1695128484")</f>
        <v/>
      </c>
      <c r="H3689">
        <f>_xlfn.IMAGE("https://m.media-amazon.com/images/I/618R0Ewqp-L._AC_UL320_.jpg")</f>
        <v/>
      </c>
      <c r="K3689" t="inlineStr">
        <is>
          <t>44.0</t>
        </is>
      </c>
      <c r="L3689" t="n">
        <v>49</v>
      </c>
      <c r="M3689" s="1" t="inlineStr">
        <is>
          <t>11.36%</t>
        </is>
      </c>
      <c r="N3689" t="n">
        <v>4.5</v>
      </c>
      <c r="O3689" t="n">
        <v>699</v>
      </c>
      <c r="Q3689" t="inlineStr">
        <is>
          <t>InStock</t>
        </is>
      </c>
      <c r="R3689" t="inlineStr">
        <is>
          <t>44.0</t>
        </is>
      </c>
      <c r="S3689" t="inlineStr">
        <is>
          <t>7609096077497</t>
        </is>
      </c>
    </row>
    <row r="3690" ht="75" customHeight="1">
      <c r="A3690" s="2">
        <f>HYPERLINK("https://camerareadycosmetics.com/products/tinge-hydrating-body-tint", "https://camerareadycosmetics.com/products/tinge-hydrating-body-tint")</f>
        <v/>
      </c>
      <c r="B3690" s="2">
        <f>HYPERLINK("https://camerareadycosmetics.com/products/tinge-hydrating-body-tint", "https://camerareadycosmetics.com/products/tinge-hydrating-body-tint")</f>
        <v/>
      </c>
      <c r="C3690" t="inlineStr">
        <is>
          <t>Hydrating Body Tint</t>
        </is>
      </c>
      <c r="D3690" t="inlineStr">
        <is>
          <t>Hydrating Sunscreen, Face Sunscreen, Sunscreen for Face and Body, Tinted Sunscreen, Mineral Sunscreen, Sunblock, Body &amp; Face Sunscreen Spf 50, Oxide, Titanium Dioxide, Hyaluronic Acid, Vitamin E Sunscreen for All Skin Types (1PCS)</t>
        </is>
      </c>
      <c r="E3690" s="2">
        <f>HYPERLINK("https://www.amazon.com/Hydrating-Sunscreen-Sunblock-Titanium-Hyaluronic/dp/B0CB8DMYHY/ref=sr_1_5?keywords=Hydrating+Body+Tint&amp;qid=1695565811&amp;sr=8-5", "https://www.amazon.com/Hydrating-Sunscreen-Sunblock-Titanium-Hyaluronic/dp/B0CB8DMYHY/ref=sr_1_5?keywords=Hydrating+Body+Tint&amp;qid=1695565811&amp;sr=8-5")</f>
        <v/>
      </c>
      <c r="F3690" t="inlineStr">
        <is>
          <t>B0CB8DMYHY</t>
        </is>
      </c>
      <c r="G3690">
        <f>_xlfn.IMAGE("https://camerareadycosmetics.com/cdn/shop/products/fair-neutral-1_1_50x.jpg?v=1695128484")</f>
        <v/>
      </c>
      <c r="H3690">
        <f>_xlfn.IMAGE("https://m.media-amazon.com/images/I/51LawcY+-0L._AC_UL320_.jpg")</f>
        <v/>
      </c>
      <c r="K3690" t="inlineStr">
        <is>
          <t>44.0</t>
        </is>
      </c>
      <c r="L3690" t="n">
        <v>4.99</v>
      </c>
      <c r="M3690" s="1" t="inlineStr">
        <is>
          <t>-88.66%</t>
        </is>
      </c>
      <c r="N3690" t="n">
        <v>4.5</v>
      </c>
      <c r="O3690" t="n">
        <v>48</v>
      </c>
      <c r="Q3690" t="inlineStr">
        <is>
          <t>InStock</t>
        </is>
      </c>
      <c r="R3690" t="inlineStr">
        <is>
          <t>44.0</t>
        </is>
      </c>
      <c r="S3690" t="inlineStr">
        <is>
          <t>7609096077497</t>
        </is>
      </c>
    </row>
    <row r="3691" ht="75" customHeight="1">
      <c r="A3691" s="2">
        <f>HYPERLINK("https://camerareadycosmetics.com/products/tinge-hydrating-body-tint", "https://camerareadycosmetics.com/products/tinge-hydrating-body-tint")</f>
        <v/>
      </c>
      <c r="B3691" s="2">
        <f>HYPERLINK("https://camerareadycosmetics.com/products/tinge-hydrating-body-tint", "https://camerareadycosmetics.com/products/tinge-hydrating-body-tint")</f>
        <v/>
      </c>
      <c r="C3691" t="inlineStr">
        <is>
          <t>Hydrating Body Tint</t>
        </is>
      </c>
      <c r="D3691" t="inlineStr">
        <is>
          <t>Hydrating Sunscreen, Face Sunscreen, Sunscreen for Face and Body, Tinted Sunscreen, Mineral Sunscreen, Sunblock, Body &amp; Face Sunscreen Spf 50, Oxide, Titanium Dioxide, Hyaluronic Acid, Vitamin E Sunscreen for All Skin Types (1PCS)</t>
        </is>
      </c>
      <c r="E3691" s="2">
        <f>HYPERLINK("https://www.amazon.com/Hydrating-Sunscreen-Sunblock-Titanium-Hyaluronic/dp/B0CB8DMYHY/ref=sr_1_5?keywords=Hydrating+Body+Tint&amp;qid=1695565811&amp;sr=8-5", "https://www.amazon.com/Hydrating-Sunscreen-Sunblock-Titanium-Hyaluronic/dp/B0CB8DMYHY/ref=sr_1_5?keywords=Hydrating+Body+Tint&amp;qid=1695565811&amp;sr=8-5")</f>
        <v/>
      </c>
      <c r="F3691" t="inlineStr">
        <is>
          <t>B0CB8DMYHY</t>
        </is>
      </c>
      <c r="G3691">
        <f>_xlfn.IMAGE("https://camerareadycosmetics.com/cdn/shop/products/fair-neutral-1_1_50x.jpg?v=1695128484")</f>
        <v/>
      </c>
      <c r="H3691">
        <f>_xlfn.IMAGE("https://m.media-amazon.com/images/I/51LawcY+-0L._AC_UL320_.jpg")</f>
        <v/>
      </c>
      <c r="K3691" t="inlineStr">
        <is>
          <t>44.0</t>
        </is>
      </c>
      <c r="L3691" t="n">
        <v>4.99</v>
      </c>
      <c r="M3691" s="1" t="inlineStr">
        <is>
          <t>-88.66%</t>
        </is>
      </c>
      <c r="N3691" t="n">
        <v>4.5</v>
      </c>
      <c r="O3691" t="n">
        <v>48</v>
      </c>
      <c r="Q3691" t="inlineStr">
        <is>
          <t>InStock</t>
        </is>
      </c>
      <c r="R3691" t="inlineStr">
        <is>
          <t>44.0</t>
        </is>
      </c>
      <c r="S3691" t="inlineStr">
        <is>
          <t>7609096077497</t>
        </is>
      </c>
    </row>
    <row r="3692" ht="75" customHeight="1">
      <c r="A3692" s="2">
        <f>HYPERLINK("https://camerareadycosmetics.com/products/true-luscious-angel-eyes-eyeshadow-primer", "https://camerareadycosmetics.com/products/true-luscious-angel-eyes-eyeshadow-primer")</f>
        <v/>
      </c>
      <c r="B3692" s="2">
        <f>HYPERLINK("https://camerareadycosmetics.com/products/true-luscious-angel-eyes-eyeshadow-primer", "https://camerareadycosmetics.com/products/true-luscious-angel-eyes-eyeshadow-primer")</f>
        <v/>
      </c>
      <c r="C3692" t="inlineStr">
        <is>
          <t>Angel Eyes Eyeshadow Primer</t>
        </is>
      </c>
      <c r="D3692" t="inlineStr">
        <is>
          <t>Angel Eyes Eyeshadow Primer/Base – Locks in Eye Makeup &amp; Concealer for up to 16 Hours – 0.33 oz – Medium</t>
        </is>
      </c>
      <c r="E3692" s="2">
        <f>HYPERLINK("https://www.amazon.com/Eyeshadow-Primer-Luscious-Cosmetics-Cruelty/dp/B075GHMY75/ref=sr_1_1?keywords=Angel+Eyes+Eyeshadow+Primer&amp;qid=1695565641&amp;sr=8-1", "https://www.amazon.com/Eyeshadow-Primer-Luscious-Cosmetics-Cruelty/dp/B075GHMY75/ref=sr_1_1?keywords=Angel+Eyes+Eyeshadow+Primer&amp;qid=1695565641&amp;sr=8-1")</f>
        <v/>
      </c>
      <c r="F3692" t="inlineStr">
        <is>
          <t>B075GHMY75</t>
        </is>
      </c>
      <c r="G3692">
        <f>_xlfn.IMAGE("https://camerareadycosmetics.com/cdn/shop/products/true-luscious-angel-eyeshadow-primer-Dark-Nude_50x.jpg?v=1589412986")</f>
        <v/>
      </c>
      <c r="H3692">
        <f>_xlfn.IMAGE("https://m.media-amazon.com/images/I/516Cht673qL._AC_UL320_.jpg")</f>
        <v/>
      </c>
      <c r="K3692" t="inlineStr">
        <is>
          <t>22.0</t>
        </is>
      </c>
      <c r="L3692" t="n">
        <v>22</v>
      </c>
      <c r="M3692" s="1" t="inlineStr">
        <is>
          <t>0.00%</t>
        </is>
      </c>
      <c r="N3692" t="n">
        <v>3.9</v>
      </c>
      <c r="O3692" t="n">
        <v>153</v>
      </c>
      <c r="Q3692" t="inlineStr">
        <is>
          <t>InStock</t>
        </is>
      </c>
      <c r="R3692" t="inlineStr">
        <is>
          <t>undefined</t>
        </is>
      </c>
      <c r="S3692" t="inlineStr">
        <is>
          <t>4455107821679</t>
        </is>
      </c>
    </row>
    <row r="3693" ht="75" customHeight="1">
      <c r="A3693" s="2">
        <f>HYPERLINK("https://camerareadycosmetics.com/products/true-luscious-angel-eyes-eyeshadow-primer", "https://camerareadycosmetics.com/products/true-luscious-angel-eyes-eyeshadow-primer")</f>
        <v/>
      </c>
      <c r="B3693" s="2">
        <f>HYPERLINK("https://camerareadycosmetics.com/products/true-luscious-angel-eyes-eyeshadow-primer", "https://camerareadycosmetics.com/products/true-luscious-angel-eyes-eyeshadow-primer")</f>
        <v/>
      </c>
      <c r="C3693" t="inlineStr">
        <is>
          <t>Angel Eyes Eyeshadow Primer</t>
        </is>
      </c>
      <c r="D3693" t="inlineStr">
        <is>
          <t>Elizabeth Mott Thank Me Later Eye Primer for Long-Lasting Power Grip Eye Makeup, Eyeshadow Base to Control Oil, Prevent Creasing for All-Day Eye Makeup Wear 10g</t>
        </is>
      </c>
      <c r="E3693" s="2">
        <f>HYPERLINK("https://www.amazon.com/Elizabeth-Mott-Long-Lasting-Waterproof-Eyeshadow/dp/B018JDMD4K/ref=sr_1_3?keywords=Angel+Eyes+Eyeshadow+Primer&amp;qid=1695565641&amp;sr=8-3", "https://www.amazon.com/Elizabeth-Mott-Long-Lasting-Waterproof-Eyeshadow/dp/B018JDMD4K/ref=sr_1_3?keywords=Angel+Eyes+Eyeshadow+Primer&amp;qid=1695565641&amp;sr=8-3")</f>
        <v/>
      </c>
      <c r="F3693" t="inlineStr">
        <is>
          <t>B018JDMD4K</t>
        </is>
      </c>
      <c r="G3693">
        <f>_xlfn.IMAGE("https://camerareadycosmetics.com/cdn/shop/products/true-luscious-angel-eyeshadow-primer-Dark-Nude_50x.jpg?v=1589412986")</f>
        <v/>
      </c>
      <c r="H3693">
        <f>_xlfn.IMAGE("https://m.media-amazon.com/images/I/41IcbLGgpFL._AC_UL320_.jpg")</f>
        <v/>
      </c>
      <c r="K3693" t="inlineStr">
        <is>
          <t>22.0</t>
        </is>
      </c>
      <c r="L3693" t="n">
        <v>13.99</v>
      </c>
      <c r="M3693" s="1" t="inlineStr">
        <is>
          <t>-36.41%</t>
        </is>
      </c>
      <c r="N3693" t="n">
        <v>4.4</v>
      </c>
      <c r="O3693" t="n">
        <v>20704</v>
      </c>
      <c r="Q3693" t="inlineStr">
        <is>
          <t>InStock</t>
        </is>
      </c>
      <c r="R3693" t="inlineStr">
        <is>
          <t>undefined</t>
        </is>
      </c>
      <c r="S3693" t="inlineStr">
        <is>
          <t>4455107821679</t>
        </is>
      </c>
    </row>
    <row r="3694" ht="75" customHeight="1">
      <c r="A3694" s="2">
        <f>HYPERLINK("https://camerareadycosmetics.com/products/true-luscious-angel-eyes-eyeshadow-primer", "https://camerareadycosmetics.com/products/true-luscious-angel-eyes-eyeshadow-primer")</f>
        <v/>
      </c>
      <c r="B3694" s="2">
        <f>HYPERLINK("https://camerareadycosmetics.com/products/true-luscious-angel-eyes-eyeshadow-primer", "https://camerareadycosmetics.com/products/true-luscious-angel-eyes-eyeshadow-primer")</f>
        <v/>
      </c>
      <c r="C3694" t="inlineStr">
        <is>
          <t>Angel Eyes Eyeshadow Primer</t>
        </is>
      </c>
      <c r="D3694" t="inlineStr">
        <is>
          <t>Eyeshadow Primer Potion, Original - Award-Winning Nude Eye Primer for Crease-Free Eyeshadow &amp; Makeup Looks - Lasts All Day - Great for Oily Lids</t>
        </is>
      </c>
      <c r="E3694" s="2">
        <f>HYPERLINK("https://www.amazon.com/Travel-Size-Eyeshadow-Primer-Potion/dp/B01H4EX6FA/ref=sr_1_8?keywords=Angel+Eyes+Eyeshadow+Primer&amp;qid=1695565641&amp;sr=8-8", "https://www.amazon.com/Travel-Size-Eyeshadow-Primer-Potion/dp/B01H4EX6FA/ref=sr_1_8?keywords=Angel+Eyes+Eyeshadow+Primer&amp;qid=1695565641&amp;sr=8-8")</f>
        <v/>
      </c>
      <c r="F3694" t="inlineStr">
        <is>
          <t>B01H4EX6FA</t>
        </is>
      </c>
      <c r="G3694">
        <f>_xlfn.IMAGE("https://camerareadycosmetics.com/cdn/shop/products/true-luscious-angel-eyeshadow-primer-Dark-Nude_50x.jpg?v=1589412986")</f>
        <v/>
      </c>
      <c r="H3694">
        <f>_xlfn.IMAGE("https://m.media-amazon.com/images/I/71LFwLgDLHL._AC_UL320_.jpg")</f>
        <v/>
      </c>
      <c r="K3694" t="inlineStr">
        <is>
          <t>22.0</t>
        </is>
      </c>
      <c r="L3694" t="n">
        <v>13.6</v>
      </c>
      <c r="M3694" s="1" t="inlineStr">
        <is>
          <t>-38.18%</t>
        </is>
      </c>
      <c r="N3694" t="n">
        <v>4.6</v>
      </c>
      <c r="O3694" t="n">
        <v>3304</v>
      </c>
      <c r="Q3694" t="inlineStr">
        <is>
          <t>InStock</t>
        </is>
      </c>
      <c r="R3694" t="inlineStr">
        <is>
          <t>undefined</t>
        </is>
      </c>
      <c r="S3694" t="inlineStr">
        <is>
          <t>4455107821679</t>
        </is>
      </c>
    </row>
    <row r="3695" ht="75" customHeight="1">
      <c r="A3695" s="2">
        <f>HYPERLINK("https://camerareadycosmetics.com/products/true-luscious-angel-eyes-eyeshadow-primer", "https://camerareadycosmetics.com/products/true-luscious-angel-eyes-eyeshadow-primer")</f>
        <v/>
      </c>
      <c r="B3695" s="2">
        <f>HYPERLINK("https://camerareadycosmetics.com/products/true-luscious-angel-eyes-eyeshadow-primer", "https://camerareadycosmetics.com/products/true-luscious-angel-eyes-eyeshadow-primer")</f>
        <v/>
      </c>
      <c r="C3695" t="inlineStr">
        <is>
          <t>Angel Eyes Eyeshadow Primer</t>
        </is>
      </c>
      <c r="D3695" t="inlineStr">
        <is>
          <t>FOCALLURE Chameleon Cream Eyeshadow,Intense Color Shifting Creamy Eye Shadows,Highly Pigmented Metallic,Shimmer,Multi-Reflective Finishes,Moody Angel</t>
        </is>
      </c>
      <c r="E3695" s="2">
        <f>HYPERLINK("https://www.amazon.com/FOCALLURE-Chameleon-Eyeshadow-Multi-Reflective-Long-Lasting/dp/B09QYPMTMY/ref=sr_1_7?keywords=Angel+Eyes+Eyeshadow+Primer&amp;qid=1695565641&amp;sr=8-7", "https://www.amazon.com/FOCALLURE-Chameleon-Eyeshadow-Multi-Reflective-Long-Lasting/dp/B09QYPMTMY/ref=sr_1_7?keywords=Angel+Eyes+Eyeshadow+Primer&amp;qid=1695565641&amp;sr=8-7")</f>
        <v/>
      </c>
      <c r="F3695" t="inlineStr">
        <is>
          <t>B09QYPMTMY</t>
        </is>
      </c>
      <c r="G3695">
        <f>_xlfn.IMAGE("https://camerareadycosmetics.com/cdn/shop/products/true-luscious-angel-eyeshadow-primer-Dark-Nude_50x.jpg?v=1589412986")</f>
        <v/>
      </c>
      <c r="H3695">
        <f>_xlfn.IMAGE("https://m.media-amazon.com/images/I/819+1KnCMxL._AC_UL320_.jpg")</f>
        <v/>
      </c>
      <c r="K3695" t="inlineStr">
        <is>
          <t>22.0</t>
        </is>
      </c>
      <c r="L3695" t="n">
        <v>9.949999999999999</v>
      </c>
      <c r="M3695" s="1" t="inlineStr">
        <is>
          <t>-54.77%</t>
        </is>
      </c>
      <c r="N3695" t="n">
        <v>3.7</v>
      </c>
      <c r="O3695" t="n">
        <v>629</v>
      </c>
      <c r="Q3695" t="inlineStr">
        <is>
          <t>InStock</t>
        </is>
      </c>
      <c r="R3695" t="inlineStr">
        <is>
          <t>undefined</t>
        </is>
      </c>
      <c r="S3695" t="inlineStr">
        <is>
          <t>4455107821679</t>
        </is>
      </c>
    </row>
    <row r="3696" ht="75" customHeight="1">
      <c r="A3696" s="2">
        <f>HYPERLINK("https://camerareadycosmetics.com/products/true-luscious-angel-eyes-eyeshadow-primer", "https://camerareadycosmetics.com/products/true-luscious-angel-eyes-eyeshadow-primer")</f>
        <v/>
      </c>
      <c r="B3696" s="2">
        <f>HYPERLINK("https://camerareadycosmetics.com/products/true-luscious-angel-eyes-eyeshadow-primer", "https://camerareadycosmetics.com/products/true-luscious-angel-eyes-eyeshadow-primer")</f>
        <v/>
      </c>
      <c r="C3696" t="inlineStr">
        <is>
          <t>Angel Eyes Eyeshadow Primer</t>
        </is>
      </c>
      <c r="D3696" t="inlineStr">
        <is>
          <t>Milani Eyeshadow Primer - Nude (0.3 Fl. Oz.)</t>
        </is>
      </c>
      <c r="E3696" s="2">
        <f>HYPERLINK("https://www.amazon.com/Milani-Eyeshadow-Primer-Fluid-Ounce/dp/B00DNK6R1U/ref=sr_1_2?keywords=Angel+Eyes+Eyeshadow+Primer&amp;qid=1695565641&amp;sr=8-2", "https://www.amazon.com/Milani-Eyeshadow-Primer-Fluid-Ounce/dp/B00DNK6R1U/ref=sr_1_2?keywords=Angel+Eyes+Eyeshadow+Primer&amp;qid=1695565641&amp;sr=8-2")</f>
        <v/>
      </c>
      <c r="F3696" t="inlineStr">
        <is>
          <t>B00DNK6R1U</t>
        </is>
      </c>
      <c r="G3696">
        <f>_xlfn.IMAGE("https://camerareadycosmetics.com/cdn/shop/products/true-luscious-angel-eyeshadow-primer-Dark-Nude_50x.jpg?v=1589412986")</f>
        <v/>
      </c>
      <c r="H3696">
        <f>_xlfn.IMAGE("https://m.media-amazon.com/images/I/61B2ImhYo4L._AC_UL320_.jpg")</f>
        <v/>
      </c>
      <c r="K3696" t="inlineStr">
        <is>
          <t>22.0</t>
        </is>
      </c>
      <c r="L3696" t="n">
        <v>7.97</v>
      </c>
      <c r="M3696" s="1" t="inlineStr">
        <is>
          <t>-63.77%</t>
        </is>
      </c>
      <c r="N3696" t="n">
        <v>4.3</v>
      </c>
      <c r="O3696" t="n">
        <v>7690</v>
      </c>
      <c r="Q3696" t="inlineStr">
        <is>
          <t>InStock</t>
        </is>
      </c>
      <c r="R3696" t="inlineStr">
        <is>
          <t>undefined</t>
        </is>
      </c>
      <c r="S3696" t="inlineStr">
        <is>
          <t>4455107821679</t>
        </is>
      </c>
    </row>
    <row r="3697" ht="75" customHeight="1">
      <c r="A3697" s="2">
        <f>HYPERLINK("https://camerareadycosmetics.com/products/true-luscious-angel-eyes-eyeshadow-primer", "https://camerareadycosmetics.com/products/true-luscious-angel-eyes-eyeshadow-primer")</f>
        <v/>
      </c>
      <c r="B3697" s="2">
        <f>HYPERLINK("https://camerareadycosmetics.com/products/true-luscious-angel-eyes-eyeshadow-primer", "https://camerareadycosmetics.com/products/true-luscious-angel-eyes-eyeshadow-primer")</f>
        <v/>
      </c>
      <c r="C3697" t="inlineStr">
        <is>
          <t>Angel Eyes Eyeshadow Primer</t>
        </is>
      </c>
      <c r="D3697" t="inlineStr">
        <is>
          <t>Eyeshadow Primer, 24- Hour Long Lasting, Smudge Proof, Waterproof, Eye Base Make Up, Suitable For All Skin Tones / 1 Count, 15 g /</t>
        </is>
      </c>
      <c r="E3697" s="2">
        <f>HYPERLINK("https://www.amazon.com/Eyeshadow-Primer-Lasting-Waterproof-Suitable/dp/B0BPLRKQ79/ref=sr_1_9?keywords=Angel+Eyes+Eyeshadow+Primer&amp;qid=1695565641&amp;sr=8-9", "https://www.amazon.com/Eyeshadow-Primer-Lasting-Waterproof-Suitable/dp/B0BPLRKQ79/ref=sr_1_9?keywords=Angel+Eyes+Eyeshadow+Primer&amp;qid=1695565641&amp;sr=8-9")</f>
        <v/>
      </c>
      <c r="F3697" t="inlineStr">
        <is>
          <t>B0BPLRKQ79</t>
        </is>
      </c>
      <c r="G3697">
        <f>_xlfn.IMAGE("https://camerareadycosmetics.com/cdn/shop/products/true-luscious-angel-eyeshadow-primer-Dark-Nude_50x.jpg?v=1589412986")</f>
        <v/>
      </c>
      <c r="H3697">
        <f>_xlfn.IMAGE("https://m.media-amazon.com/images/I/418a0OLeagL._AC_UL320_.jpg")</f>
        <v/>
      </c>
      <c r="K3697" t="inlineStr">
        <is>
          <t>22.0</t>
        </is>
      </c>
      <c r="L3697" t="n">
        <v>6.99</v>
      </c>
      <c r="M3697" s="1" t="inlineStr">
        <is>
          <t>-68.23%</t>
        </is>
      </c>
      <c r="N3697" t="n">
        <v>4.5</v>
      </c>
      <c r="O3697" t="n">
        <v>29</v>
      </c>
      <c r="Q3697" t="inlineStr">
        <is>
          <t>InStock</t>
        </is>
      </c>
      <c r="R3697" t="inlineStr">
        <is>
          <t>undefined</t>
        </is>
      </c>
      <c r="S3697" t="inlineStr">
        <is>
          <t>4455107821679</t>
        </is>
      </c>
    </row>
    <row r="3698" ht="75" customHeight="1">
      <c r="A3698" s="2">
        <f>HYPERLINK("https://camerareadycosmetics.com/products/true-luscious-angel-eyes-eyeshadow-primer", "https://camerareadycosmetics.com/products/true-luscious-angel-eyes-eyeshadow-primer")</f>
        <v/>
      </c>
      <c r="B3698" s="2">
        <f>HYPERLINK("https://camerareadycosmetics.com/products/true-luscious-angel-eyes-eyeshadow-primer", "https://camerareadycosmetics.com/products/true-luscious-angel-eyes-eyeshadow-primer")</f>
        <v/>
      </c>
      <c r="C3698" t="inlineStr">
        <is>
          <t>Angel Eyes Eyeshadow Primer</t>
        </is>
      </c>
      <c r="D3698" t="inlineStr">
        <is>
          <t>Eyeshadow Primer,Eye Primer,Makeup Primer Long Lasting Cream Eyeshadow Base,Primer Face Makeup,Full Coverage Waterproof Concealer 1 Pens-0.40 fl oz (02_MEDIUM)</t>
        </is>
      </c>
      <c r="E3698" s="2">
        <f>HYPERLINK("https://www.amazon.com/Eyeshadow-Waterproof-Concealer-Pens-0-40-02_MEDIUM/dp/B09N9811N9/ref=sr_1_10?keywords=Angel+Eyes+Eyeshadow+Primer&amp;qid=1695565641&amp;sr=8-10", "https://www.amazon.com/Eyeshadow-Waterproof-Concealer-Pens-0-40-02_MEDIUM/dp/B09N9811N9/ref=sr_1_10?keywords=Angel+Eyes+Eyeshadow+Primer&amp;qid=1695565641&amp;sr=8-10")</f>
        <v/>
      </c>
      <c r="F3698" t="inlineStr">
        <is>
          <t>B09N9811N9</t>
        </is>
      </c>
      <c r="G3698">
        <f>_xlfn.IMAGE("https://camerareadycosmetics.com/cdn/shop/products/true-luscious-angel-eyeshadow-primer-Dark-Nude_50x.jpg?v=1589412986")</f>
        <v/>
      </c>
      <c r="H3698">
        <f>_xlfn.IMAGE("https://m.media-amazon.com/images/I/51hSzRE2dJL._AC_UL320_.jpg")</f>
        <v/>
      </c>
      <c r="K3698" t="inlineStr">
        <is>
          <t>22.0</t>
        </is>
      </c>
      <c r="L3698" t="n">
        <v>6.19</v>
      </c>
      <c r="M3698" s="1" t="inlineStr">
        <is>
          <t>-71.86%</t>
        </is>
      </c>
      <c r="N3698" t="n">
        <v>4.1</v>
      </c>
      <c r="O3698" t="n">
        <v>154</v>
      </c>
      <c r="Q3698" t="inlineStr">
        <is>
          <t>InStock</t>
        </is>
      </c>
      <c r="R3698" t="inlineStr">
        <is>
          <t>undefined</t>
        </is>
      </c>
      <c r="S3698" t="inlineStr">
        <is>
          <t>4455107821679</t>
        </is>
      </c>
    </row>
    <row r="3699" ht="75" customHeight="1">
      <c r="A3699" s="2">
        <f>HYPERLINK("https://camerareadycosmetics.com/products/true-luscious-angel-eyes-eyeshadow-primer", "https://camerareadycosmetics.com/products/true-luscious-angel-eyes-eyeshadow-primer")</f>
        <v/>
      </c>
      <c r="B3699" s="2">
        <f>HYPERLINK("https://camerareadycosmetics.com/products/true-luscious-angel-eyes-eyeshadow-primer", "https://camerareadycosmetics.com/products/true-luscious-angel-eyes-eyeshadow-primer")</f>
        <v/>
      </c>
      <c r="C3699" t="inlineStr">
        <is>
          <t>Angel Eyes Eyeshadow Primer</t>
        </is>
      </c>
      <c r="D3699" t="inlineStr">
        <is>
          <t>Wet n Wild Megalast Eyeshadow Primer</t>
        </is>
      </c>
      <c r="E3699" s="2">
        <f>HYPERLINK("https://www.amazon.com/Wet-Wild-Megalast-Eyeshadow-Primer/dp/B0BQWYLTZX/ref=sr_1_5?keywords=Angel+Eyes+Eyeshadow+Primer&amp;qid=1695565641&amp;sr=8-5", "https://www.amazon.com/Wet-Wild-Megalast-Eyeshadow-Primer/dp/B0BQWYLTZX/ref=sr_1_5?keywords=Angel+Eyes+Eyeshadow+Primer&amp;qid=1695565641&amp;sr=8-5")</f>
        <v/>
      </c>
      <c r="F3699" t="inlineStr">
        <is>
          <t>B0BQWYLTZX</t>
        </is>
      </c>
      <c r="G3699">
        <f>_xlfn.IMAGE("https://camerareadycosmetics.com/cdn/shop/products/true-luscious-angel-eyeshadow-primer-Dark-Nude_50x.jpg?v=1589412986")</f>
        <v/>
      </c>
      <c r="H3699">
        <f>_xlfn.IMAGE("https://m.media-amazon.com/images/I/61ecyLY9J+L._AC_UL320_.jpg")</f>
        <v/>
      </c>
      <c r="K3699" t="inlineStr">
        <is>
          <t>22.0</t>
        </is>
      </c>
      <c r="L3699" t="n">
        <v>4.98</v>
      </c>
      <c r="M3699" s="1" t="inlineStr">
        <is>
          <t>-77.36%</t>
        </is>
      </c>
      <c r="N3699" t="n">
        <v>4.1</v>
      </c>
      <c r="O3699" t="n">
        <v>428</v>
      </c>
      <c r="Q3699" t="inlineStr">
        <is>
          <t>InStock</t>
        </is>
      </c>
      <c r="R3699" t="inlineStr">
        <is>
          <t>undefined</t>
        </is>
      </c>
      <c r="S3699" t="inlineStr">
        <is>
          <t>4455107821679</t>
        </is>
      </c>
    </row>
    <row r="3700" ht="75" customHeight="1">
      <c r="A3700" s="2">
        <f>HYPERLINK("https://camerareadycosmetics.com/products/true-luscious-angel-eyes-eyeshadow-primer", "https://camerareadycosmetics.com/products/true-luscious-angel-eyes-eyeshadow-primer")</f>
        <v/>
      </c>
      <c r="B3700" s="2">
        <f>HYPERLINK("https://camerareadycosmetics.com/products/true-luscious-angel-eyes-eyeshadow-primer", "https://camerareadycosmetics.com/products/true-luscious-angel-eyes-eyeshadow-primer")</f>
        <v/>
      </c>
      <c r="C3700" t="inlineStr">
        <is>
          <t>Angel Eyes Eyeshadow Primer</t>
        </is>
      </c>
      <c r="D3700" t="inlineStr">
        <is>
          <t>FOCALLURE Chameleon Cream Eyeshadow,Intense Color Shifting Creamy Eye Shadows,Highly Pigmented Metallic,Shimmer,Multi-Reflective Finishes,Moody Angel</t>
        </is>
      </c>
      <c r="E3700" s="2">
        <f>HYPERLINK("https://www.amazon.com/FOCALLURE-Chameleon-Eyeshadow-Multi-Reflective-Long-Lasting/dp/B09QYPMTMY/ref=sr_1_7?keywords=Angel+Eyes+Eyeshadow+Primer&amp;qid=1695565641&amp;sr=8-7", "https://www.amazon.com/FOCALLURE-Chameleon-Eyeshadow-Multi-Reflective-Long-Lasting/dp/B09QYPMTMY/ref=sr_1_7?keywords=Angel+Eyes+Eyeshadow+Primer&amp;qid=1695565641&amp;sr=8-7")</f>
        <v/>
      </c>
      <c r="F3700" t="inlineStr">
        <is>
          <t>B09QYPMTMY</t>
        </is>
      </c>
      <c r="G3700">
        <f>_xlfn.IMAGE("https://camerareadycosmetics.com/cdn/shop/products/true-luscious-angel-eyeshadow-primer-Dark-Nude_50x.jpg?v=1589412986")</f>
        <v/>
      </c>
      <c r="H3700">
        <f>_xlfn.IMAGE("https://m.media-amazon.com/images/I/819+1KnCMxL._AC_UL320_.jpg")</f>
        <v/>
      </c>
      <c r="K3700" t="inlineStr">
        <is>
          <t>22.0</t>
        </is>
      </c>
      <c r="L3700" t="n">
        <v>9.949999999999999</v>
      </c>
      <c r="M3700" s="1" t="inlineStr">
        <is>
          <t>-54.77%</t>
        </is>
      </c>
      <c r="N3700" t="n">
        <v>3.7</v>
      </c>
      <c r="O3700" t="n">
        <v>629</v>
      </c>
      <c r="Q3700" t="inlineStr">
        <is>
          <t>InStock</t>
        </is>
      </c>
      <c r="R3700" t="inlineStr">
        <is>
          <t>undefined</t>
        </is>
      </c>
      <c r="S3700" t="inlineStr">
        <is>
          <t>4455107821679</t>
        </is>
      </c>
    </row>
    <row r="3701" ht="75" customHeight="1">
      <c r="A3701" s="2">
        <f>HYPERLINK("https://camerareadycosmetics.com/products/true-luscious-angel-eyes-eyeshadow-primer", "https://camerareadycosmetics.com/products/true-luscious-angel-eyes-eyeshadow-primer")</f>
        <v/>
      </c>
      <c r="B3701" s="2">
        <f>HYPERLINK("https://camerareadycosmetics.com/products/true-luscious-angel-eyes-eyeshadow-primer", "https://camerareadycosmetics.com/products/true-luscious-angel-eyes-eyeshadow-primer")</f>
        <v/>
      </c>
      <c r="C3701" t="inlineStr">
        <is>
          <t>Angel Eyes Eyeshadow Primer</t>
        </is>
      </c>
      <c r="D3701" t="inlineStr">
        <is>
          <t>Milani Eyeshadow Primer - Nude (0.3 Fl. Oz.)</t>
        </is>
      </c>
      <c r="E3701" s="2">
        <f>HYPERLINK("https://www.amazon.com/Milani-Eyeshadow-Primer-Fluid-Ounce/dp/B00DNK6R1U/ref=sr_1_2?keywords=Angel+Eyes+Eyeshadow+Primer&amp;qid=1695565641&amp;sr=8-2", "https://www.amazon.com/Milani-Eyeshadow-Primer-Fluid-Ounce/dp/B00DNK6R1U/ref=sr_1_2?keywords=Angel+Eyes+Eyeshadow+Primer&amp;qid=1695565641&amp;sr=8-2")</f>
        <v/>
      </c>
      <c r="F3701" t="inlineStr">
        <is>
          <t>B00DNK6R1U</t>
        </is>
      </c>
      <c r="G3701">
        <f>_xlfn.IMAGE("https://camerareadycosmetics.com/cdn/shop/products/true-luscious-angel-eyeshadow-primer-Dark-Nude_50x.jpg?v=1589412986")</f>
        <v/>
      </c>
      <c r="H3701">
        <f>_xlfn.IMAGE("https://m.media-amazon.com/images/I/61B2ImhYo4L._AC_UL320_.jpg")</f>
        <v/>
      </c>
      <c r="K3701" t="inlineStr">
        <is>
          <t>22.0</t>
        </is>
      </c>
      <c r="L3701" t="n">
        <v>7.97</v>
      </c>
      <c r="M3701" s="1" t="inlineStr">
        <is>
          <t>-63.77%</t>
        </is>
      </c>
      <c r="N3701" t="n">
        <v>4.3</v>
      </c>
      <c r="O3701" t="n">
        <v>7690</v>
      </c>
      <c r="Q3701" t="inlineStr">
        <is>
          <t>InStock</t>
        </is>
      </c>
      <c r="R3701" t="inlineStr">
        <is>
          <t>undefined</t>
        </is>
      </c>
      <c r="S3701" t="inlineStr">
        <is>
          <t>4455107821679</t>
        </is>
      </c>
    </row>
    <row r="3702" ht="75" customHeight="1">
      <c r="A3702" s="2">
        <f>HYPERLINK("https://camerareadycosmetics.com/products/true-luscious-angel-eyes-eyeshadow-primer", "https://camerareadycosmetics.com/products/true-luscious-angel-eyes-eyeshadow-primer")</f>
        <v/>
      </c>
      <c r="B3702" s="2">
        <f>HYPERLINK("https://camerareadycosmetics.com/products/true-luscious-angel-eyes-eyeshadow-primer", "https://camerareadycosmetics.com/products/true-luscious-angel-eyes-eyeshadow-primer")</f>
        <v/>
      </c>
      <c r="C3702" t="inlineStr">
        <is>
          <t>Angel Eyes Eyeshadow Primer</t>
        </is>
      </c>
      <c r="D3702" t="inlineStr">
        <is>
          <t>Eyeshadow Primer, 24- Hour Long Lasting, Smudge Proof, Waterproof, Eye Base Make Up, Suitable For All Skin Tones / 1 Count, 15 g /</t>
        </is>
      </c>
      <c r="E3702" s="2">
        <f>HYPERLINK("https://www.amazon.com/Eyeshadow-Primer-Lasting-Waterproof-Suitable/dp/B0BPLRKQ79/ref=sr_1_9?keywords=Angel+Eyes+Eyeshadow+Primer&amp;qid=1695565641&amp;sr=8-9", "https://www.amazon.com/Eyeshadow-Primer-Lasting-Waterproof-Suitable/dp/B0BPLRKQ79/ref=sr_1_9?keywords=Angel+Eyes+Eyeshadow+Primer&amp;qid=1695565641&amp;sr=8-9")</f>
        <v/>
      </c>
      <c r="F3702" t="inlineStr">
        <is>
          <t>B0BPLRKQ79</t>
        </is>
      </c>
      <c r="G3702">
        <f>_xlfn.IMAGE("https://camerareadycosmetics.com/cdn/shop/products/true-luscious-angel-eyeshadow-primer-Dark-Nude_50x.jpg?v=1589412986")</f>
        <v/>
      </c>
      <c r="H3702">
        <f>_xlfn.IMAGE("https://m.media-amazon.com/images/I/418a0OLeagL._AC_UL320_.jpg")</f>
        <v/>
      </c>
      <c r="K3702" t="inlineStr">
        <is>
          <t>22.0</t>
        </is>
      </c>
      <c r="L3702" t="n">
        <v>6.99</v>
      </c>
      <c r="M3702" s="1" t="inlineStr">
        <is>
          <t>-68.23%</t>
        </is>
      </c>
      <c r="N3702" t="n">
        <v>4.5</v>
      </c>
      <c r="O3702" t="n">
        <v>29</v>
      </c>
      <c r="Q3702" t="inlineStr">
        <is>
          <t>InStock</t>
        </is>
      </c>
      <c r="R3702" t="inlineStr">
        <is>
          <t>undefined</t>
        </is>
      </c>
      <c r="S3702" t="inlineStr">
        <is>
          <t>4455107821679</t>
        </is>
      </c>
    </row>
    <row r="3703" ht="75" customHeight="1">
      <c r="A3703" s="2">
        <f>HYPERLINK("https://camerareadycosmetics.com/products/true-luscious-angel-eyes-eyeshadow-primer", "https://camerareadycosmetics.com/products/true-luscious-angel-eyes-eyeshadow-primer")</f>
        <v/>
      </c>
      <c r="B3703" s="2">
        <f>HYPERLINK("https://camerareadycosmetics.com/products/true-luscious-angel-eyes-eyeshadow-primer", "https://camerareadycosmetics.com/products/true-luscious-angel-eyes-eyeshadow-primer")</f>
        <v/>
      </c>
      <c r="C3703" t="inlineStr">
        <is>
          <t>Angel Eyes Eyeshadow Primer</t>
        </is>
      </c>
      <c r="D3703" t="inlineStr">
        <is>
          <t>Eyeshadow Primer,Eye Primer,Makeup Primer Long Lasting Cream Eyeshadow Base,Primer Face Makeup,Full Coverage Waterproof Concealer 1 Pens-0.40 fl oz (02_MEDIUM)</t>
        </is>
      </c>
      <c r="E3703" s="2">
        <f>HYPERLINK("https://www.amazon.com/Eyeshadow-Waterproof-Concealer-Pens-0-40-02_MEDIUM/dp/B09N9811N9/ref=sr_1_10?keywords=Angel+Eyes+Eyeshadow+Primer&amp;qid=1695565641&amp;sr=8-10", "https://www.amazon.com/Eyeshadow-Waterproof-Concealer-Pens-0-40-02_MEDIUM/dp/B09N9811N9/ref=sr_1_10?keywords=Angel+Eyes+Eyeshadow+Primer&amp;qid=1695565641&amp;sr=8-10")</f>
        <v/>
      </c>
      <c r="F3703" t="inlineStr">
        <is>
          <t>B09N9811N9</t>
        </is>
      </c>
      <c r="G3703">
        <f>_xlfn.IMAGE("https://camerareadycosmetics.com/cdn/shop/products/true-luscious-angel-eyeshadow-primer-Dark-Nude_50x.jpg?v=1589412986")</f>
        <v/>
      </c>
      <c r="H3703">
        <f>_xlfn.IMAGE("https://m.media-amazon.com/images/I/51hSzRE2dJL._AC_UL320_.jpg")</f>
        <v/>
      </c>
      <c r="K3703" t="inlineStr">
        <is>
          <t>22.0</t>
        </is>
      </c>
      <c r="L3703" t="n">
        <v>6.19</v>
      </c>
      <c r="M3703" s="1" t="inlineStr">
        <is>
          <t>-71.86%</t>
        </is>
      </c>
      <c r="N3703" t="n">
        <v>4.1</v>
      </c>
      <c r="O3703" t="n">
        <v>154</v>
      </c>
      <c r="Q3703" t="inlineStr">
        <is>
          <t>InStock</t>
        </is>
      </c>
      <c r="R3703" t="inlineStr">
        <is>
          <t>undefined</t>
        </is>
      </c>
      <c r="S3703" t="inlineStr">
        <is>
          <t>4455107821679</t>
        </is>
      </c>
    </row>
    <row r="3704" ht="75" customHeight="1">
      <c r="A3704" s="2">
        <f>HYPERLINK("https://camerareadycosmetics.com/products/true-luscious-angel-eyes-eyeshadow-primer", "https://camerareadycosmetics.com/products/true-luscious-angel-eyes-eyeshadow-primer")</f>
        <v/>
      </c>
      <c r="B3704" s="2">
        <f>HYPERLINK("https://camerareadycosmetics.com/products/true-luscious-angel-eyes-eyeshadow-primer", "https://camerareadycosmetics.com/products/true-luscious-angel-eyes-eyeshadow-primer")</f>
        <v/>
      </c>
      <c r="C3704" t="inlineStr">
        <is>
          <t>Angel Eyes Eyeshadow Primer</t>
        </is>
      </c>
      <c r="D3704" t="inlineStr">
        <is>
          <t>Wet n Wild Megalast Eyeshadow Primer</t>
        </is>
      </c>
      <c r="E3704" s="2">
        <f>HYPERLINK("https://www.amazon.com/Wet-Wild-Megalast-Eyeshadow-Primer/dp/B0BQWYLTZX/ref=sr_1_5?keywords=Angel+Eyes+Eyeshadow+Primer&amp;qid=1695565641&amp;sr=8-5", "https://www.amazon.com/Wet-Wild-Megalast-Eyeshadow-Primer/dp/B0BQWYLTZX/ref=sr_1_5?keywords=Angel+Eyes+Eyeshadow+Primer&amp;qid=1695565641&amp;sr=8-5")</f>
        <v/>
      </c>
      <c r="F3704" t="inlineStr">
        <is>
          <t>B0BQWYLTZX</t>
        </is>
      </c>
      <c r="G3704">
        <f>_xlfn.IMAGE("https://camerareadycosmetics.com/cdn/shop/products/true-luscious-angel-eyeshadow-primer-Dark-Nude_50x.jpg?v=1589412986")</f>
        <v/>
      </c>
      <c r="H3704">
        <f>_xlfn.IMAGE("https://m.media-amazon.com/images/I/61ecyLY9J+L._AC_UL320_.jpg")</f>
        <v/>
      </c>
      <c r="K3704" t="inlineStr">
        <is>
          <t>22.0</t>
        </is>
      </c>
      <c r="L3704" t="n">
        <v>4.98</v>
      </c>
      <c r="M3704" s="1" t="inlineStr">
        <is>
          <t>-77.36%</t>
        </is>
      </c>
      <c r="N3704" t="n">
        <v>4.1</v>
      </c>
      <c r="O3704" t="n">
        <v>428</v>
      </c>
      <c r="Q3704" t="inlineStr">
        <is>
          <t>InStock</t>
        </is>
      </c>
      <c r="R3704" t="inlineStr">
        <is>
          <t>undefined</t>
        </is>
      </c>
      <c r="S3704" t="inlineStr">
        <is>
          <t>4455107821679</t>
        </is>
      </c>
    </row>
    <row r="3705" ht="75" customHeight="1">
      <c r="A3705" s="2">
        <f>HYPERLINK("https://camerareadycosmetics.com/products/true-luscious-brow-definer-pencil", "https://camerareadycosmetics.com/products/true-luscious-brow-definer-pencil")</f>
        <v/>
      </c>
      <c r="B3705" s="2">
        <f>HYPERLINK("https://camerareadycosmetics.com/products/true-luscious-brow-definer-pencil", "https://camerareadycosmetics.com/products/true-luscious-brow-definer-pencil")</f>
        <v/>
      </c>
      <c r="C3705" t="inlineStr">
        <is>
          <t>Brow Definer Pencil</t>
        </is>
      </c>
      <c r="D3705" t="inlineStr">
        <is>
          <t>Palladio Brow Definer Retractable Pencil, Triangular Tip Fills Brows for a Natural Look, Tame and Shape Eyebrows with Spoolie Brush, Eyebrow Shaper, Buildable Light to Dark Colors, All Day Wear (Taupe)</t>
        </is>
      </c>
      <c r="E3705" s="2">
        <f>HYPERLINK("https://www.amazon.com/Palladio-Retractable-Triangular-Eyebrows-Buildable/dp/B09PZBTMJ3/ref=sr_1_8?keywords=Brow+Definer+Pencil&amp;qid=1695565852&amp;sr=8-8", "https://www.amazon.com/Palladio-Retractable-Triangular-Eyebrows-Buildable/dp/B09PZBTMJ3/ref=sr_1_8?keywords=Brow+Definer+Pencil&amp;qid=1695565852&amp;sr=8-8")</f>
        <v/>
      </c>
      <c r="F3705" t="inlineStr">
        <is>
          <t>B09PZBTMJ3</t>
        </is>
      </c>
      <c r="G3705">
        <f>_xlfn.IMAGE("https://camerareadycosmetics.com/cdn/shop/products/brow-definer-pencil-taupe-sw_1000x_e4b7e9b7-d71d-4d68-8be4-5ba0bd2d64b4_50x.jpg?v=1646264721")</f>
        <v/>
      </c>
      <c r="H3705">
        <f>_xlfn.IMAGE("https://m.media-amazon.com/images/I/51khCFLti7L._AC_UL320_.jpg")</f>
        <v/>
      </c>
      <c r="K3705" t="inlineStr">
        <is>
          <t>20.0</t>
        </is>
      </c>
      <c r="L3705" t="n">
        <v>8.99</v>
      </c>
      <c r="M3705" s="1" t="inlineStr">
        <is>
          <t>-55.05%</t>
        </is>
      </c>
      <c r="N3705" t="n">
        <v>4.4</v>
      </c>
      <c r="O3705" t="n">
        <v>168</v>
      </c>
      <c r="Q3705" t="inlineStr">
        <is>
          <t>InStock</t>
        </is>
      </c>
      <c r="R3705" t="inlineStr">
        <is>
          <t>undefined</t>
        </is>
      </c>
      <c r="S3705" t="inlineStr">
        <is>
          <t>7245391528121</t>
        </is>
      </c>
    </row>
    <row r="3706" ht="75" customHeight="1">
      <c r="A3706" s="2">
        <f>HYPERLINK("https://camerareadycosmetics.com/products/true-luscious-brow-definer-pencil", "https://camerareadycosmetics.com/products/true-luscious-brow-definer-pencil")</f>
        <v/>
      </c>
      <c r="B3706" s="2">
        <f>HYPERLINK("https://camerareadycosmetics.com/products/true-luscious-brow-definer-pencil", "https://camerareadycosmetics.com/products/true-luscious-brow-definer-pencil")</f>
        <v/>
      </c>
      <c r="C3706" t="inlineStr">
        <is>
          <t>Brow Definer Pencil</t>
        </is>
      </c>
      <c r="D3706" t="inlineStr">
        <is>
          <t>Maybelline New York Total Temptation Eyebrow Definer Pencil, Medium Brown, 1 Count</t>
        </is>
      </c>
      <c r="E3706" s="2">
        <f>HYPERLINK("https://www.amazon.com/Maybelline-Temptation-Eyebrow-Definer-Pencil/dp/B074VGYK4X/ref=sr_1_1?keywords=Brow+Definer+Pencil&amp;qid=1695565852&amp;sr=8-1", "https://www.amazon.com/Maybelline-Temptation-Eyebrow-Definer-Pencil/dp/B074VGYK4X/ref=sr_1_1?keywords=Brow+Definer+Pencil&amp;qid=1695565852&amp;sr=8-1")</f>
        <v/>
      </c>
      <c r="F3706" t="inlineStr">
        <is>
          <t>B074VGYK4X</t>
        </is>
      </c>
      <c r="G3706">
        <f>_xlfn.IMAGE("https://camerareadycosmetics.com/cdn/shop/products/brow-definer-pencil-taupe-sw_1000x_e4b7e9b7-d71d-4d68-8be4-5ba0bd2d64b4_50x.jpg?v=1646264721")</f>
        <v/>
      </c>
      <c r="H3706">
        <f>_xlfn.IMAGE("https://m.media-amazon.com/images/I/71s-Fyb5J3L._AC_UL320_.jpg")</f>
        <v/>
      </c>
      <c r="K3706" t="inlineStr">
        <is>
          <t>20.0</t>
        </is>
      </c>
      <c r="L3706" t="n">
        <v>8.99</v>
      </c>
      <c r="M3706" s="1" t="inlineStr">
        <is>
          <t>-55.05%</t>
        </is>
      </c>
      <c r="N3706" t="n">
        <v>4.5</v>
      </c>
      <c r="O3706" t="n">
        <v>111827</v>
      </c>
      <c r="Q3706" t="inlineStr">
        <is>
          <t>InStock</t>
        </is>
      </c>
      <c r="R3706" t="inlineStr">
        <is>
          <t>undefined</t>
        </is>
      </c>
      <c r="S3706" t="inlineStr">
        <is>
          <t>7245391528121</t>
        </is>
      </c>
    </row>
    <row r="3707" ht="75" customHeight="1">
      <c r="A3707" s="2">
        <f>HYPERLINK("https://camerareadycosmetics.com/products/true-luscious-brow-definer-pencil", "https://camerareadycosmetics.com/products/true-luscious-brow-definer-pencil")</f>
        <v/>
      </c>
      <c r="B3707" s="2">
        <f>HYPERLINK("https://camerareadycosmetics.com/products/true-luscious-brow-definer-pencil", "https://camerareadycosmetics.com/products/true-luscious-brow-definer-pencil")</f>
        <v/>
      </c>
      <c r="C3707" t="inlineStr">
        <is>
          <t>Brow Definer Pencil</t>
        </is>
      </c>
      <c r="D3707" t="inlineStr">
        <is>
          <t>L'Oreal Paris Makeup Brow Stylist Definer Waterproof Eyebrow Pencil, Ultra-Fine Mechanical Pencil, Draws Tiny Brow Hairs and Fills in Sparse Areas and Gaps, Brunette, 0.003 Ounce (1 Count)</t>
        </is>
      </c>
      <c r="E3707" s="2">
        <f>HYPERLINK("https://www.amazon.com/Paris-Stylist-Definer-Waterproof-Brunette/dp/B01643FGDW/ref=sr_1_2?keywords=Brow+Definer+Pencil&amp;qid=1695565852&amp;sr=8-2", "https://www.amazon.com/Paris-Stylist-Definer-Waterproof-Brunette/dp/B01643FGDW/ref=sr_1_2?keywords=Brow+Definer+Pencil&amp;qid=1695565852&amp;sr=8-2")</f>
        <v/>
      </c>
      <c r="F3707" t="inlineStr">
        <is>
          <t>B01643FGDW</t>
        </is>
      </c>
      <c r="G3707">
        <f>_xlfn.IMAGE("https://camerareadycosmetics.com/cdn/shop/products/brow-definer-pencil-taupe-sw_1000x_e4b7e9b7-d71d-4d68-8be4-5ba0bd2d64b4_50x.jpg?v=1646264721")</f>
        <v/>
      </c>
      <c r="H3707">
        <f>_xlfn.IMAGE("https://m.media-amazon.com/images/I/51OJjXse1ML._AC_UL320_.jpg")</f>
        <v/>
      </c>
      <c r="K3707" t="inlineStr">
        <is>
          <t>20.0</t>
        </is>
      </c>
      <c r="L3707" t="n">
        <v>8.470000000000001</v>
      </c>
      <c r="M3707" s="1" t="inlineStr">
        <is>
          <t>-57.65%</t>
        </is>
      </c>
      <c r="N3707" t="n">
        <v>4.5</v>
      </c>
      <c r="O3707" t="n">
        <v>47060</v>
      </c>
      <c r="Q3707" t="inlineStr">
        <is>
          <t>InStock</t>
        </is>
      </c>
      <c r="R3707" t="inlineStr">
        <is>
          <t>undefined</t>
        </is>
      </c>
      <c r="S3707" t="inlineStr">
        <is>
          <t>7245391528121</t>
        </is>
      </c>
    </row>
    <row r="3708" ht="75" customHeight="1">
      <c r="A3708" s="2">
        <f>HYPERLINK("https://camerareadycosmetics.com/products/true-luscious-brow-definer-pencil", "https://camerareadycosmetics.com/products/true-luscious-brow-definer-pencil")</f>
        <v/>
      </c>
      <c r="B3708" s="2">
        <f>HYPERLINK("https://camerareadycosmetics.com/products/true-luscious-brow-definer-pencil", "https://camerareadycosmetics.com/products/true-luscious-brow-definer-pencil")</f>
        <v/>
      </c>
      <c r="C3708" t="inlineStr">
        <is>
          <t>Brow Definer Pencil</t>
        </is>
      </c>
      <c r="D3708" t="inlineStr">
        <is>
          <t>Wet n Wild Ultimate Eyebrow Retractable Definer Pencil, Dark Brown, Dual-Sided, Fine Tip, Shapes, Defines, Fills Brows Makeup</t>
        </is>
      </c>
      <c r="E3708" s="2">
        <f>HYPERLINK("https://www.amazon.com/wet-wild-Ultimate-Brow-Retractable/dp/B0797NNXS7/ref=sr_1_3?keywords=Brow+Definer+Pencil&amp;qid=1695565852&amp;sr=8-3", "https://www.amazon.com/wet-wild-Ultimate-Brow-Retractable/dp/B0797NNXS7/ref=sr_1_3?keywords=Brow+Definer+Pencil&amp;qid=1695565852&amp;sr=8-3")</f>
        <v/>
      </c>
      <c r="F3708" t="inlineStr">
        <is>
          <t>B0797NNXS7</t>
        </is>
      </c>
      <c r="G3708">
        <f>_xlfn.IMAGE("https://camerareadycosmetics.com/cdn/shop/products/brow-definer-pencil-taupe-sw_1000x_e4b7e9b7-d71d-4d68-8be4-5ba0bd2d64b4_50x.jpg?v=1646264721")</f>
        <v/>
      </c>
      <c r="H3708">
        <f>_xlfn.IMAGE("https://m.media-amazon.com/images/I/71c3jOJiqyL._AC_UL320_.jpg")</f>
        <v/>
      </c>
      <c r="K3708" t="inlineStr">
        <is>
          <t>20.0</t>
        </is>
      </c>
      <c r="L3708" t="n">
        <v>3.29</v>
      </c>
      <c r="M3708" s="1" t="inlineStr">
        <is>
          <t>-83.55%</t>
        </is>
      </c>
      <c r="N3708" t="n">
        <v>4.5</v>
      </c>
      <c r="O3708" t="n">
        <v>11833</v>
      </c>
      <c r="Q3708" t="inlineStr">
        <is>
          <t>InStock</t>
        </is>
      </c>
      <c r="R3708" t="inlineStr">
        <is>
          <t>undefined</t>
        </is>
      </c>
      <c r="S3708" t="inlineStr">
        <is>
          <t>7245391528121</t>
        </is>
      </c>
    </row>
    <row r="3709" ht="75" customHeight="1">
      <c r="A3709" s="2">
        <f>HYPERLINK("https://camerareadycosmetics.com/products/true-luscious-brow-definer-pencil", "https://camerareadycosmetics.com/products/true-luscious-brow-definer-pencil")</f>
        <v/>
      </c>
      <c r="B3709" s="2">
        <f>HYPERLINK("https://camerareadycosmetics.com/products/true-luscious-brow-definer-pencil", "https://camerareadycosmetics.com/products/true-luscious-brow-definer-pencil")</f>
        <v/>
      </c>
      <c r="C3709" t="inlineStr">
        <is>
          <t>Brow Definer Pencil</t>
        </is>
      </c>
      <c r="D3709" t="inlineStr">
        <is>
          <t>Palladio Brow Definer Retractable Pencil, Triangular Tip Fills Brows for a Natural Look, Tame and Shape Eyebrows with Spoolie Brush, Eyebrow Shaper, Buildable Light to Dark Colors, All Day Wear (Taupe)</t>
        </is>
      </c>
      <c r="E3709" s="2">
        <f>HYPERLINK("https://www.amazon.com/Palladio-Retractable-Triangular-Eyebrows-Buildable/dp/B09PZBTMJ3/ref=sr_1_8?keywords=Brow+Definer+Pencil&amp;qid=1695565852&amp;sr=8-8", "https://www.amazon.com/Palladio-Retractable-Triangular-Eyebrows-Buildable/dp/B09PZBTMJ3/ref=sr_1_8?keywords=Brow+Definer+Pencil&amp;qid=1695565852&amp;sr=8-8")</f>
        <v/>
      </c>
      <c r="F3709" t="inlineStr">
        <is>
          <t>B09PZBTMJ3</t>
        </is>
      </c>
      <c r="G3709">
        <f>_xlfn.IMAGE("https://camerareadycosmetics.com/cdn/shop/products/brow-definer-pencil-taupe-sw_1000x_e4b7e9b7-d71d-4d68-8be4-5ba0bd2d64b4_50x.jpg?v=1646264721")</f>
        <v/>
      </c>
      <c r="H3709">
        <f>_xlfn.IMAGE("https://m.media-amazon.com/images/I/51khCFLti7L._AC_UL320_.jpg")</f>
        <v/>
      </c>
      <c r="K3709" t="inlineStr">
        <is>
          <t>20.0</t>
        </is>
      </c>
      <c r="L3709" t="n">
        <v>8.99</v>
      </c>
      <c r="M3709" s="1" t="inlineStr">
        <is>
          <t>-55.05%</t>
        </is>
      </c>
      <c r="N3709" t="n">
        <v>4.4</v>
      </c>
      <c r="O3709" t="n">
        <v>168</v>
      </c>
      <c r="Q3709" t="inlineStr">
        <is>
          <t>InStock</t>
        </is>
      </c>
      <c r="R3709" t="inlineStr">
        <is>
          <t>undefined</t>
        </is>
      </c>
      <c r="S3709" t="inlineStr">
        <is>
          <t>7245391528121</t>
        </is>
      </c>
    </row>
    <row r="3710" ht="75" customHeight="1">
      <c r="A3710" s="2">
        <f>HYPERLINK("https://camerareadycosmetics.com/products/true-luscious-brow-definer-pencil", "https://camerareadycosmetics.com/products/true-luscious-brow-definer-pencil")</f>
        <v/>
      </c>
      <c r="B3710" s="2">
        <f>HYPERLINK("https://camerareadycosmetics.com/products/true-luscious-brow-definer-pencil", "https://camerareadycosmetics.com/products/true-luscious-brow-definer-pencil")</f>
        <v/>
      </c>
      <c r="C3710" t="inlineStr">
        <is>
          <t>Brow Definer Pencil</t>
        </is>
      </c>
      <c r="D3710" t="inlineStr">
        <is>
          <t>Maybelline New York Total Temptation Eyebrow Definer Pencil, Medium Brown, 1 Count</t>
        </is>
      </c>
      <c r="E3710" s="2">
        <f>HYPERLINK("https://www.amazon.com/Maybelline-Temptation-Eyebrow-Definer-Pencil/dp/B074VGYK4X/ref=sr_1_1?keywords=Brow+Definer+Pencil&amp;qid=1695565852&amp;sr=8-1", "https://www.amazon.com/Maybelline-Temptation-Eyebrow-Definer-Pencil/dp/B074VGYK4X/ref=sr_1_1?keywords=Brow+Definer+Pencil&amp;qid=1695565852&amp;sr=8-1")</f>
        <v/>
      </c>
      <c r="F3710" t="inlineStr">
        <is>
          <t>B074VGYK4X</t>
        </is>
      </c>
      <c r="G3710">
        <f>_xlfn.IMAGE("https://camerareadycosmetics.com/cdn/shop/products/brow-definer-pencil-taupe-sw_1000x_e4b7e9b7-d71d-4d68-8be4-5ba0bd2d64b4_50x.jpg?v=1646264721")</f>
        <v/>
      </c>
      <c r="H3710">
        <f>_xlfn.IMAGE("https://m.media-amazon.com/images/I/71s-Fyb5J3L._AC_UL320_.jpg")</f>
        <v/>
      </c>
      <c r="K3710" t="inlineStr">
        <is>
          <t>20.0</t>
        </is>
      </c>
      <c r="L3710" t="n">
        <v>8.99</v>
      </c>
      <c r="M3710" s="1" t="inlineStr">
        <is>
          <t>-55.05%</t>
        </is>
      </c>
      <c r="N3710" t="n">
        <v>4.5</v>
      </c>
      <c r="O3710" t="n">
        <v>111827</v>
      </c>
      <c r="Q3710" t="inlineStr">
        <is>
          <t>InStock</t>
        </is>
      </c>
      <c r="R3710" t="inlineStr">
        <is>
          <t>undefined</t>
        </is>
      </c>
      <c r="S3710" t="inlineStr">
        <is>
          <t>7245391528121</t>
        </is>
      </c>
    </row>
    <row r="3711" ht="75" customHeight="1">
      <c r="A3711" s="2">
        <f>HYPERLINK("https://camerareadycosmetics.com/products/true-luscious-brow-definer-pencil", "https://camerareadycosmetics.com/products/true-luscious-brow-definer-pencil")</f>
        <v/>
      </c>
      <c r="B3711" s="2">
        <f>HYPERLINK("https://camerareadycosmetics.com/products/true-luscious-brow-definer-pencil", "https://camerareadycosmetics.com/products/true-luscious-brow-definer-pencil")</f>
        <v/>
      </c>
      <c r="C3711" t="inlineStr">
        <is>
          <t>Brow Definer Pencil</t>
        </is>
      </c>
      <c r="D3711" t="inlineStr">
        <is>
          <t>L'Oreal Paris Makeup Brow Stylist Definer Waterproof Eyebrow Pencil, Ultra-Fine Mechanical Pencil, Draws Tiny Brow Hairs and Fills in Sparse Areas and Gaps, Brunette, 0.003 Ounce (1 Count)</t>
        </is>
      </c>
      <c r="E3711" s="2">
        <f>HYPERLINK("https://www.amazon.com/Paris-Stylist-Definer-Waterproof-Brunette/dp/B01643FGDW/ref=sr_1_2?keywords=Brow+Definer+Pencil&amp;qid=1695565852&amp;sr=8-2", "https://www.amazon.com/Paris-Stylist-Definer-Waterproof-Brunette/dp/B01643FGDW/ref=sr_1_2?keywords=Brow+Definer+Pencil&amp;qid=1695565852&amp;sr=8-2")</f>
        <v/>
      </c>
      <c r="F3711" t="inlineStr">
        <is>
          <t>B01643FGDW</t>
        </is>
      </c>
      <c r="G3711">
        <f>_xlfn.IMAGE("https://camerareadycosmetics.com/cdn/shop/products/brow-definer-pencil-taupe-sw_1000x_e4b7e9b7-d71d-4d68-8be4-5ba0bd2d64b4_50x.jpg?v=1646264721")</f>
        <v/>
      </c>
      <c r="H3711">
        <f>_xlfn.IMAGE("https://m.media-amazon.com/images/I/51OJjXse1ML._AC_UL320_.jpg")</f>
        <v/>
      </c>
      <c r="K3711" t="inlineStr">
        <is>
          <t>20.0</t>
        </is>
      </c>
      <c r="L3711" t="n">
        <v>8.470000000000001</v>
      </c>
      <c r="M3711" s="1" t="inlineStr">
        <is>
          <t>-57.65%</t>
        </is>
      </c>
      <c r="N3711" t="n">
        <v>4.5</v>
      </c>
      <c r="O3711" t="n">
        <v>47060</v>
      </c>
      <c r="Q3711" t="inlineStr">
        <is>
          <t>InStock</t>
        </is>
      </c>
      <c r="R3711" t="inlineStr">
        <is>
          <t>undefined</t>
        </is>
      </c>
      <c r="S3711" t="inlineStr">
        <is>
          <t>7245391528121</t>
        </is>
      </c>
    </row>
    <row r="3712" ht="75" customHeight="1">
      <c r="A3712" s="2">
        <f>HYPERLINK("https://camerareadycosmetics.com/products/true-luscious-brow-definer-pencil", "https://camerareadycosmetics.com/products/true-luscious-brow-definer-pencil")</f>
        <v/>
      </c>
      <c r="B3712" s="2">
        <f>HYPERLINK("https://camerareadycosmetics.com/products/true-luscious-brow-definer-pencil", "https://camerareadycosmetics.com/products/true-luscious-brow-definer-pencil")</f>
        <v/>
      </c>
      <c r="C3712" t="inlineStr">
        <is>
          <t>Brow Definer Pencil</t>
        </is>
      </c>
      <c r="D3712" t="inlineStr">
        <is>
          <t>Wet n Wild Ultimate Eyebrow Retractable Definer Pencil, Dark Brown, Dual-Sided, Fine Tip, Shapes, Defines, Fills Brows Makeup</t>
        </is>
      </c>
      <c r="E3712" s="2">
        <f>HYPERLINK("https://www.amazon.com/wet-wild-Ultimate-Brow-Retractable/dp/B0797NNXS7/ref=sr_1_3?keywords=Brow+Definer+Pencil&amp;qid=1695565852&amp;sr=8-3", "https://www.amazon.com/wet-wild-Ultimate-Brow-Retractable/dp/B0797NNXS7/ref=sr_1_3?keywords=Brow+Definer+Pencil&amp;qid=1695565852&amp;sr=8-3")</f>
        <v/>
      </c>
      <c r="F3712" t="inlineStr">
        <is>
          <t>B0797NNXS7</t>
        </is>
      </c>
      <c r="G3712">
        <f>_xlfn.IMAGE("https://camerareadycosmetics.com/cdn/shop/products/brow-definer-pencil-taupe-sw_1000x_e4b7e9b7-d71d-4d68-8be4-5ba0bd2d64b4_50x.jpg?v=1646264721")</f>
        <v/>
      </c>
      <c r="H3712">
        <f>_xlfn.IMAGE("https://m.media-amazon.com/images/I/71c3jOJiqyL._AC_UL320_.jpg")</f>
        <v/>
      </c>
      <c r="K3712" t="inlineStr">
        <is>
          <t>20.0</t>
        </is>
      </c>
      <c r="L3712" t="n">
        <v>3.29</v>
      </c>
      <c r="M3712" s="1" t="inlineStr">
        <is>
          <t>-83.55%</t>
        </is>
      </c>
      <c r="N3712" t="n">
        <v>4.5</v>
      </c>
      <c r="O3712" t="n">
        <v>11833</v>
      </c>
      <c r="Q3712" t="inlineStr">
        <is>
          <t>InStock</t>
        </is>
      </c>
      <c r="R3712" t="inlineStr">
        <is>
          <t>undefined</t>
        </is>
      </c>
      <c r="S3712" t="inlineStr">
        <is>
          <t>7245391528121</t>
        </is>
      </c>
    </row>
    <row r="3713" ht="75" customHeight="1">
      <c r="A3713" s="2">
        <f>HYPERLINK("https://camerareadycosmetics.com/products/true-luscious-flora-furiosa-eyeshadow-palette", "https://camerareadycosmetics.com/products/true-luscious-flora-furiosa-eyeshadow-palette")</f>
        <v/>
      </c>
      <c r="B3713" s="2">
        <f>HYPERLINK("https://camerareadycosmetics.com/products/true-luscious-flora-furiosa-eyeshadow-palette", "https://camerareadycosmetics.com/products/true-luscious-flora-furiosa-eyeshadow-palette")</f>
        <v/>
      </c>
      <c r="C3713" t="inlineStr">
        <is>
          <t>Flora Furiosa Eyeshadow Palette</t>
        </is>
      </c>
      <c r="D3713" t="inlineStr">
        <is>
          <t>Amorus Flora Eyeshadow Palette</t>
        </is>
      </c>
      <c r="E3713" s="2">
        <f>HYPERLINK("https://www.amazon.com/amorus-Amorus-Flora-Eyeshadow-Palette/dp/B084QCTYXQ/ref=sr_1_9?keywords=Flora+Furiosa+Eyeshadow+Palette&amp;qid=1695565831&amp;sr=8-9", "https://www.amazon.com/amorus-Amorus-Flora-Eyeshadow-Palette/dp/B084QCTYXQ/ref=sr_1_9?keywords=Flora+Furiosa+Eyeshadow+Palette&amp;qid=1695565831&amp;sr=8-9")</f>
        <v/>
      </c>
      <c r="F3713" t="inlineStr">
        <is>
          <t>B084QCTYXQ</t>
        </is>
      </c>
      <c r="G3713">
        <f>_xlfn.IMAGE("https://camerareadycosmetics.com/cdn/shop/products/True-Luscious-Flora-Furiosa-Palette-MAKEUP-PALETTE-MADBUTT-ARTWORK-sw_50x.jpg?v=1646261455")</f>
        <v/>
      </c>
      <c r="H3713">
        <f>_xlfn.IMAGE("https://m.media-amazon.com/images/I/71rFEO9KQIL._AC_UL320_.jpg")</f>
        <v/>
      </c>
      <c r="K3713" t="inlineStr">
        <is>
          <t>48.0</t>
        </is>
      </c>
      <c r="L3713" t="n">
        <v>17.49</v>
      </c>
      <c r="M3713" s="1" t="inlineStr">
        <is>
          <t>-63.56%</t>
        </is>
      </c>
      <c r="N3713" t="n">
        <v>5</v>
      </c>
      <c r="O3713" t="n">
        <v>1</v>
      </c>
      <c r="Q3713" t="inlineStr">
        <is>
          <t>InStock</t>
        </is>
      </c>
      <c r="R3713" t="inlineStr">
        <is>
          <t>undefined</t>
        </is>
      </c>
      <c r="S3713" t="inlineStr">
        <is>
          <t>7245384777913</t>
        </is>
      </c>
    </row>
    <row r="3714" ht="75" customHeight="1">
      <c r="A3714" s="2">
        <f>HYPERLINK("https://camerareadycosmetics.com/products/true-luscious-flora-furiosa-eyeshadow-palette", "https://camerareadycosmetics.com/products/true-luscious-flora-furiosa-eyeshadow-palette")</f>
        <v/>
      </c>
      <c r="B3714" s="2">
        <f>HYPERLINK("https://camerareadycosmetics.com/products/true-luscious-flora-furiosa-eyeshadow-palette", "https://camerareadycosmetics.com/products/true-luscious-flora-furiosa-eyeshadow-palette")</f>
        <v/>
      </c>
      <c r="C3714" t="inlineStr">
        <is>
          <t>Flora Furiosa Eyeshadow Palette</t>
        </is>
      </c>
      <c r="D3714" t="inlineStr">
        <is>
          <t>Amorus Flora Eyeshadow Palette</t>
        </is>
      </c>
      <c r="E3714" s="2">
        <f>HYPERLINK("https://www.amazon.com/amorus-Amorus-Flora-Eyeshadow-Palette/dp/B084QCTYXQ/ref=sr_1_9?keywords=Flora+Furiosa+Eyeshadow+Palette&amp;qid=1695565831&amp;sr=8-9", "https://www.amazon.com/amorus-Amorus-Flora-Eyeshadow-Palette/dp/B084QCTYXQ/ref=sr_1_9?keywords=Flora+Furiosa+Eyeshadow+Palette&amp;qid=1695565831&amp;sr=8-9")</f>
        <v/>
      </c>
      <c r="F3714" t="inlineStr">
        <is>
          <t>B084QCTYXQ</t>
        </is>
      </c>
      <c r="G3714">
        <f>_xlfn.IMAGE("https://camerareadycosmetics.com/cdn/shop/products/True-Luscious-Flora-Furiosa-Palette-MAKEUP-PALETTE-MADBUTT-ARTWORK-sw_50x.jpg?v=1646261455")</f>
        <v/>
      </c>
      <c r="H3714">
        <f>_xlfn.IMAGE("https://m.media-amazon.com/images/I/71rFEO9KQIL._AC_UL320_.jpg")</f>
        <v/>
      </c>
      <c r="K3714" t="inlineStr">
        <is>
          <t>48.0</t>
        </is>
      </c>
      <c r="L3714" t="n">
        <v>17.49</v>
      </c>
      <c r="M3714" s="1" t="inlineStr">
        <is>
          <t>-63.56%</t>
        </is>
      </c>
      <c r="N3714" t="n">
        <v>5</v>
      </c>
      <c r="O3714" t="n">
        <v>1</v>
      </c>
      <c r="Q3714" t="inlineStr">
        <is>
          <t>InStock</t>
        </is>
      </c>
      <c r="R3714" t="inlineStr">
        <is>
          <t>undefined</t>
        </is>
      </c>
      <c r="S3714" t="inlineStr">
        <is>
          <t>7245384777913</t>
        </is>
      </c>
    </row>
    <row r="3715" ht="75" customHeight="1">
      <c r="A3715" s="2">
        <f>HYPERLINK("https://camerareadycosmetics.com/products/true-luscious-lucky-glow-palette", "https://camerareadycosmetics.com/products/true-luscious-lucky-glow-palette")</f>
        <v/>
      </c>
      <c r="B3715" s="2">
        <f>HYPERLINK("https://camerareadycosmetics.com/products/true-luscious-lucky-glow-palette", "https://camerareadycosmetics.com/products/true-luscious-lucky-glow-palette")</f>
        <v/>
      </c>
      <c r="C3715" t="inlineStr">
        <is>
          <t>Lucky Glow Palette</t>
        </is>
      </c>
      <c r="D3715" t="inlineStr">
        <is>
          <t>Lucky Glow Palette by True + Luscious - Talc Free - Vegan, Cruelty Free, Paraben Free. Multi-use Highlighter, Blush &amp; Bronzer - 0.78 oz</t>
        </is>
      </c>
      <c r="E3715" s="2">
        <f>HYPERLINK("https://www.amazon.com/Lucky-Glow-Palette-True-Luscious/dp/B088YPZ72H/ref=sr_1_1?keywords=Lucky+Glow+Palette&amp;qid=1695565822&amp;sr=8-1", "https://www.amazon.com/Lucky-Glow-Palette-True-Luscious/dp/B088YPZ72H/ref=sr_1_1?keywords=Lucky+Glow+Palette&amp;qid=1695565822&amp;sr=8-1")</f>
        <v/>
      </c>
      <c r="F3715" t="inlineStr">
        <is>
          <t>B088YPZ72H</t>
        </is>
      </c>
      <c r="G3715">
        <f>_xlfn.IMAGE("https://camerareadycosmetics.com/cdn/shop/products/7E592A64-8F01-4348-9B8D-051ACD915F1C_1024x1024_85fcf6ec-7e8e-497a-8392-9a0674ffddaa_50x.jpg?v=1589412984")</f>
        <v/>
      </c>
      <c r="H3715">
        <f>_xlfn.IMAGE("https://m.media-amazon.com/images/I/71Xs+jHhsEL._AC_UL320_.jpg")</f>
        <v/>
      </c>
      <c r="K3715" t="inlineStr">
        <is>
          <t>46.0</t>
        </is>
      </c>
      <c r="L3715" t="n">
        <v>32.9</v>
      </c>
      <c r="M3715" s="1" t="inlineStr">
        <is>
          <t>-28.48%</t>
        </is>
      </c>
      <c r="N3715" t="n">
        <v>4.6</v>
      </c>
      <c r="O3715" t="n">
        <v>31</v>
      </c>
      <c r="Q3715" t="inlineStr">
        <is>
          <t>InStock</t>
        </is>
      </c>
      <c r="R3715" t="inlineStr">
        <is>
          <t>undefined</t>
        </is>
      </c>
      <c r="S3715" t="inlineStr">
        <is>
          <t>4454938509423</t>
        </is>
      </c>
    </row>
    <row r="3716" ht="75" customHeight="1">
      <c r="A3716" s="2">
        <f>HYPERLINK("https://camerareadycosmetics.com/products/true-luscious-spellbinder-makeup-setting-mist", "https://camerareadycosmetics.com/products/true-luscious-spellbinder-makeup-setting-mist")</f>
        <v/>
      </c>
      <c r="B3716" s="2">
        <f>HYPERLINK("https://camerareadycosmetics.com/products/true-luscious-spellbinder-makeup-setting-mist", "https://camerareadycosmetics.com/products/true-luscious-spellbinder-makeup-setting-mist")</f>
        <v/>
      </c>
      <c r="C3716" t="inlineStr">
        <is>
          <t>Spellbinder Makeup Setting Mist</t>
        </is>
      </c>
      <c r="D3716" t="inlineStr">
        <is>
          <t>True + Luscious Spellbinder Setting Spray for Makeup – Long Lasting, Locks in Melt-Proof, Smudge-Proof Makeup for up to 16 Hours – 4 oz</t>
        </is>
      </c>
      <c r="E3716" s="2">
        <f>HYPERLINK("https://www.amazon.com/Spellbinder-Makeup-Setting-Luscious-Cosmetics/dp/B07MC2JZ4B/ref=sr_1_3?keywords=Spellbinder+Makeup+Setting+Mist&amp;qid=1695565790&amp;sr=8-3", "https://www.amazon.com/Spellbinder-Makeup-Setting-Luscious-Cosmetics/dp/B07MC2JZ4B/ref=sr_1_3?keywords=Spellbinder+Makeup+Setting+Mist&amp;qid=1695565790&amp;sr=8-3")</f>
        <v/>
      </c>
      <c r="F3716" t="inlineStr">
        <is>
          <t>B07MC2JZ4B</t>
        </is>
      </c>
      <c r="G3716">
        <f>_xlfn.IMAGE("https://camerareadycosmetics.com/cdn/shop/products/true-luscious-makeup-setting-spray-Spellbinde1_1024x1024_d9df4567-abc5-4ab0-8a3b-9dfbe643fc4b_50x.jpg?v=1589412986")</f>
        <v/>
      </c>
      <c r="H3716">
        <f>_xlfn.IMAGE("https://m.media-amazon.com/images/I/61Fj26GaaqL._AC_UL320_.jpg")</f>
        <v/>
      </c>
      <c r="K3716" t="inlineStr">
        <is>
          <t>29.0</t>
        </is>
      </c>
      <c r="L3716" t="n">
        <v>29</v>
      </c>
      <c r="M3716" s="1" t="inlineStr">
        <is>
          <t>0.00%</t>
        </is>
      </c>
      <c r="N3716" t="n">
        <v>4.1</v>
      </c>
      <c r="O3716" t="n">
        <v>42</v>
      </c>
      <c r="Q3716" t="inlineStr">
        <is>
          <t>InStock</t>
        </is>
      </c>
      <c r="R3716" t="inlineStr">
        <is>
          <t>undefined</t>
        </is>
      </c>
      <c r="S3716" t="inlineStr">
        <is>
          <t>4455142621295</t>
        </is>
      </c>
    </row>
    <row r="3717" ht="75" customHeight="1">
      <c r="A3717" s="2">
        <f>HYPERLINK("https://camerareadycosmetics.com/products/true-luscious-spellbinder-makeup-setting-mist", "https://camerareadycosmetics.com/products/true-luscious-spellbinder-makeup-setting-mist")</f>
        <v/>
      </c>
      <c r="B3717" s="2">
        <f>HYPERLINK("https://camerareadycosmetics.com/products/true-luscious-spellbinder-makeup-setting-mist", "https://camerareadycosmetics.com/products/true-luscious-spellbinder-makeup-setting-mist")</f>
        <v/>
      </c>
      <c r="C3717" t="inlineStr">
        <is>
          <t>Spellbinder Makeup Setting Mist</t>
        </is>
      </c>
      <c r="D3717" t="inlineStr">
        <is>
          <t>UCANBE Makeup Setting Spray - Matte Finishing Spray Long Lasting Face Mist, Oil Control Lightweight Hydrate Make Up Spray, 6.7 Fl Oz Large Size</t>
        </is>
      </c>
      <c r="E3717" s="2">
        <f>HYPERLINK("https://www.amazon.com/UCANBE-Makeup-Setting-Spray-Lightweight/dp/B09QGJRZKF/ref=sr_1_7?keywords=Spellbinder+Makeup+Setting+Mist&amp;qid=1695565790&amp;sr=8-7", "https://www.amazon.com/UCANBE-Makeup-Setting-Spray-Lightweight/dp/B09QGJRZKF/ref=sr_1_7?keywords=Spellbinder+Makeup+Setting+Mist&amp;qid=1695565790&amp;sr=8-7")</f>
        <v/>
      </c>
      <c r="F3717" t="inlineStr">
        <is>
          <t>B09QGJRZKF</t>
        </is>
      </c>
      <c r="G3717">
        <f>_xlfn.IMAGE("https://camerareadycosmetics.com/cdn/shop/products/true-luscious-makeup-setting-spray-Spellbinde1_1024x1024_d9df4567-abc5-4ab0-8a3b-9dfbe643fc4b_50x.jpg?v=1589412986")</f>
        <v/>
      </c>
      <c r="H3717">
        <f>_xlfn.IMAGE("https://m.media-amazon.com/images/I/614FGpCr-sL._AC_UL320_.jpg")</f>
        <v/>
      </c>
      <c r="K3717" t="inlineStr">
        <is>
          <t>29.0</t>
        </is>
      </c>
      <c r="L3717" t="n">
        <v>14.99</v>
      </c>
      <c r="M3717" s="1" t="inlineStr">
        <is>
          <t>-48.31%</t>
        </is>
      </c>
      <c r="N3717" t="n">
        <v>4.3</v>
      </c>
      <c r="O3717" t="n">
        <v>1632</v>
      </c>
      <c r="Q3717" t="inlineStr">
        <is>
          <t>InStock</t>
        </is>
      </c>
      <c r="R3717" t="inlineStr">
        <is>
          <t>undefined</t>
        </is>
      </c>
      <c r="S3717" t="inlineStr">
        <is>
          <t>4455142621295</t>
        </is>
      </c>
    </row>
    <row r="3718" ht="75" customHeight="1">
      <c r="A3718" s="2">
        <f>HYPERLINK("https://camerareadycosmetics.com/products/true-luscious-spellbinder-makeup-setting-mist", "https://camerareadycosmetics.com/products/true-luscious-spellbinder-makeup-setting-mist")</f>
        <v/>
      </c>
      <c r="B3718" s="2">
        <f>HYPERLINK("https://camerareadycosmetics.com/products/true-luscious-spellbinder-makeup-setting-mist", "https://camerareadycosmetics.com/products/true-luscious-spellbinder-makeup-setting-mist")</f>
        <v/>
      </c>
      <c r="C3718" t="inlineStr">
        <is>
          <t>Spellbinder Makeup Setting Mist</t>
        </is>
      </c>
      <c r="D3718" t="inlineStr">
        <is>
          <t>AMIIR Lock Makeup Setting Spray Long-Lasting Face Finishing Mist Primer Refreshing Lightweight Hydrating</t>
        </is>
      </c>
      <c r="E3718" s="2">
        <f>HYPERLINK("https://www.amazon.com/AMIIR-Long-Lasting-Finishing-Refreshing-Lightweight/dp/B0B76X21K2/ref=sr_1_6?keywords=Spellbinder+Makeup+Setting+Mist&amp;qid=1695565790&amp;sr=8-6", "https://www.amazon.com/AMIIR-Long-Lasting-Finishing-Refreshing-Lightweight/dp/B0B76X21K2/ref=sr_1_6?keywords=Spellbinder+Makeup+Setting+Mist&amp;qid=1695565790&amp;sr=8-6")</f>
        <v/>
      </c>
      <c r="F3718" t="inlineStr">
        <is>
          <t>B0B76X21K2</t>
        </is>
      </c>
      <c r="G3718">
        <f>_xlfn.IMAGE("https://camerareadycosmetics.com/cdn/shop/products/true-luscious-makeup-setting-spray-Spellbinde1_1024x1024_d9df4567-abc5-4ab0-8a3b-9dfbe643fc4b_50x.jpg?v=1589412986")</f>
        <v/>
      </c>
      <c r="H3718">
        <f>_xlfn.IMAGE("https://m.media-amazon.com/images/I/51Q1I6Um2vL._AC_UL320_.jpg")</f>
        <v/>
      </c>
      <c r="K3718" t="inlineStr">
        <is>
          <t>29.0</t>
        </is>
      </c>
      <c r="L3718" t="n">
        <v>10.99</v>
      </c>
      <c r="M3718" s="1" t="inlineStr">
        <is>
          <t>-62.10%</t>
        </is>
      </c>
      <c r="N3718" t="n">
        <v>4.5</v>
      </c>
      <c r="O3718" t="n">
        <v>30</v>
      </c>
      <c r="Q3718" t="inlineStr">
        <is>
          <t>InStock</t>
        </is>
      </c>
      <c r="R3718" t="inlineStr">
        <is>
          <t>undefined</t>
        </is>
      </c>
      <c r="S3718" t="inlineStr">
        <is>
          <t>4455142621295</t>
        </is>
      </c>
    </row>
    <row r="3719" ht="75" customHeight="1">
      <c r="A3719" s="2">
        <f>HYPERLINK("https://camerareadycosmetics.com/products/true-luscious-spellbinder-makeup-setting-mist", "https://camerareadycosmetics.com/products/true-luscious-spellbinder-makeup-setting-mist")</f>
        <v/>
      </c>
      <c r="B3719" s="2">
        <f>HYPERLINK("https://camerareadycosmetics.com/products/true-luscious-spellbinder-makeup-setting-mist", "https://camerareadycosmetics.com/products/true-luscious-spellbinder-makeup-setting-mist")</f>
        <v/>
      </c>
      <c r="C3719" t="inlineStr">
        <is>
          <t>Spellbinder Makeup Setting Mist</t>
        </is>
      </c>
      <c r="D3719" t="inlineStr">
        <is>
          <t>Revlon Colorstay 24 Hr Lock Setting Mist, Keeps Face Makeup from Melting &amp; Fading, Mattifying, Blurring &amp; Oil Absorbing Face Spray, Transfer-proof &amp; Mask Friendly, 1.9 fl oz.</t>
        </is>
      </c>
      <c r="E3719" s="2">
        <f>HYPERLINK("https://www.amazon.com/Colorstay-Mattifying-Blurring-Absorbing-Transfer-proof/dp/B09JBJSVC5/ref=sr_1_8?keywords=Spellbinder+Makeup+Setting+Mist&amp;qid=1695565790&amp;sr=8-8", "https://www.amazon.com/Colorstay-Mattifying-Blurring-Absorbing-Transfer-proof/dp/B09JBJSVC5/ref=sr_1_8?keywords=Spellbinder+Makeup+Setting+Mist&amp;qid=1695565790&amp;sr=8-8")</f>
        <v/>
      </c>
      <c r="F3719" t="inlineStr">
        <is>
          <t>B09JBJSVC5</t>
        </is>
      </c>
      <c r="G3719">
        <f>_xlfn.IMAGE("https://camerareadycosmetics.com/cdn/shop/products/true-luscious-makeup-setting-spray-Spellbinde1_1024x1024_d9df4567-abc5-4ab0-8a3b-9dfbe643fc4b_50x.jpg?v=1589412986")</f>
        <v/>
      </c>
      <c r="H3719">
        <f>_xlfn.IMAGE("https://m.media-amazon.com/images/I/619EGJOnguL._AC_UL320_.jpg")</f>
        <v/>
      </c>
      <c r="K3719" t="inlineStr">
        <is>
          <t>29.0</t>
        </is>
      </c>
      <c r="L3719" t="n">
        <v>10.99</v>
      </c>
      <c r="M3719" s="1" t="inlineStr">
        <is>
          <t>-62.10%</t>
        </is>
      </c>
      <c r="N3719" t="n">
        <v>4.2</v>
      </c>
      <c r="O3719" t="n">
        <v>2400</v>
      </c>
      <c r="Q3719" t="inlineStr">
        <is>
          <t>InStock</t>
        </is>
      </c>
      <c r="R3719" t="inlineStr">
        <is>
          <t>undefined</t>
        </is>
      </c>
      <c r="S3719" t="inlineStr">
        <is>
          <t>4455142621295</t>
        </is>
      </c>
    </row>
    <row r="3720" ht="75" customHeight="1">
      <c r="A3720" s="2">
        <f>HYPERLINK("https://camerareadycosmetics.com/products/true-luscious-spellbinder-makeup-setting-mist", "https://camerareadycosmetics.com/products/true-luscious-spellbinder-makeup-setting-mist")</f>
        <v/>
      </c>
      <c r="B3720" s="2">
        <f>HYPERLINK("https://camerareadycosmetics.com/products/true-luscious-spellbinder-makeup-setting-mist", "https://camerareadycosmetics.com/products/true-luscious-spellbinder-makeup-setting-mist")</f>
        <v/>
      </c>
      <c r="C3720" t="inlineStr">
        <is>
          <t>Spellbinder Makeup Setting Mist</t>
        </is>
      </c>
      <c r="D3720" t="inlineStr">
        <is>
          <t>e.l.f. Stay All Night Micro-Fine Setting Mist, Hydrating &amp; Refreshing Makeup Setting Spray For 16HR Wear-time, Vegan &amp; Cruelty-Free, 2.7 Fl Oz</t>
        </is>
      </c>
      <c r="E3720" s="2">
        <f>HYPERLINK("https://www.amazon.com/l-f-Night-Micro-Fine-Setting-hours/dp/B08JC4ZJSP/ref=sr_1_5?keywords=Spellbinder+Makeup+Setting+Mist&amp;qid=1695565790&amp;sr=8-5", "https://www.amazon.com/l-f-Night-Micro-Fine-Setting-hours/dp/B08JC4ZJSP/ref=sr_1_5?keywords=Spellbinder+Makeup+Setting+Mist&amp;qid=1695565790&amp;sr=8-5")</f>
        <v/>
      </c>
      <c r="F3720" t="inlineStr">
        <is>
          <t>B08JC4ZJSP</t>
        </is>
      </c>
      <c r="G3720">
        <f>_xlfn.IMAGE("https://camerareadycosmetics.com/cdn/shop/products/true-luscious-makeup-setting-spray-Spellbinde1_1024x1024_d9df4567-abc5-4ab0-8a3b-9dfbe643fc4b_50x.jpg?v=1589412986")</f>
        <v/>
      </c>
      <c r="H3720">
        <f>_xlfn.IMAGE("https://m.media-amazon.com/images/I/61cYXIQlbDL._AC_UL320_.jpg")</f>
        <v/>
      </c>
      <c r="K3720" t="inlineStr">
        <is>
          <t>29.0</t>
        </is>
      </c>
      <c r="L3720" t="n">
        <v>10</v>
      </c>
      <c r="M3720" s="1" t="inlineStr">
        <is>
          <t>-65.52%</t>
        </is>
      </c>
      <c r="N3720" t="n">
        <v>4.6</v>
      </c>
      <c r="O3720" t="n">
        <v>4743</v>
      </c>
      <c r="Q3720" t="inlineStr">
        <is>
          <t>InStock</t>
        </is>
      </c>
      <c r="R3720" t="inlineStr">
        <is>
          <t>undefined</t>
        </is>
      </c>
      <c r="S3720" t="inlineStr">
        <is>
          <t>4455142621295</t>
        </is>
      </c>
    </row>
    <row r="3721" ht="75" customHeight="1">
      <c r="A3721" s="2">
        <f>HYPERLINK("https://camerareadycosmetics.com/products/true-luscious-spellbinder-makeup-setting-mist", "https://camerareadycosmetics.com/products/true-luscious-spellbinder-makeup-setting-mist")</f>
        <v/>
      </c>
      <c r="B3721" s="2">
        <f>HYPERLINK("https://camerareadycosmetics.com/products/true-luscious-spellbinder-makeup-setting-mist", "https://camerareadycosmetics.com/products/true-luscious-spellbinder-makeup-setting-mist")</f>
        <v/>
      </c>
      <c r="C3721" t="inlineStr">
        <is>
          <t>Spellbinder Makeup Setting Mist</t>
        </is>
      </c>
      <c r="D3721" t="inlineStr">
        <is>
          <t>e.l.f. Dewy Coconut Setting Mist, Makeup Setting Spray For Hydrating &amp; Conditioning Skin, Infused With Green Tea, Vegan &amp; Cruelty-Free, 2.7 Fl Oz</t>
        </is>
      </c>
      <c r="E3721" s="2">
        <f>HYPERLINK("https://www.amazon.com/l-f-Coconut-Setting-Hydrates-Conditions/dp/B08T7FGVY9/ref=sr_1_4?keywords=Spellbinder+Makeup+Setting+Mist&amp;qid=1695565790&amp;sr=8-4", "https://www.amazon.com/l-f-Coconut-Setting-Hydrates-Conditions/dp/B08T7FGVY9/ref=sr_1_4?keywords=Spellbinder+Makeup+Setting+Mist&amp;qid=1695565790&amp;sr=8-4")</f>
        <v/>
      </c>
      <c r="F3721" t="inlineStr">
        <is>
          <t>B08T7FGVY9</t>
        </is>
      </c>
      <c r="G3721">
        <f>_xlfn.IMAGE("https://camerareadycosmetics.com/cdn/shop/products/true-luscious-makeup-setting-spray-Spellbinde1_1024x1024_d9df4567-abc5-4ab0-8a3b-9dfbe643fc4b_50x.jpg?v=1589412986")</f>
        <v/>
      </c>
      <c r="H3721">
        <f>_xlfn.IMAGE("https://m.media-amazon.com/images/I/617jc5ZbmqL._AC_UL320_.jpg")</f>
        <v/>
      </c>
      <c r="K3721" t="inlineStr">
        <is>
          <t>29.0</t>
        </is>
      </c>
      <c r="L3721" t="n">
        <v>10</v>
      </c>
      <c r="M3721" s="1" t="inlineStr">
        <is>
          <t>-65.52%</t>
        </is>
      </c>
      <c r="N3721" t="n">
        <v>4.6</v>
      </c>
      <c r="O3721" t="n">
        <v>1583</v>
      </c>
      <c r="Q3721" t="inlineStr">
        <is>
          <t>InStock</t>
        </is>
      </c>
      <c r="R3721" t="inlineStr">
        <is>
          <t>undefined</t>
        </is>
      </c>
      <c r="S3721" t="inlineStr">
        <is>
          <t>4455142621295</t>
        </is>
      </c>
    </row>
    <row r="3722" ht="75" customHeight="1">
      <c r="A3722" s="2">
        <f>HYPERLINK("https://camerareadycosmetics.com/products/true-luscious-spellbinder-makeup-setting-mist", "https://camerareadycosmetics.com/products/true-luscious-spellbinder-makeup-setting-mist")</f>
        <v/>
      </c>
      <c r="B3722" s="2">
        <f>HYPERLINK("https://camerareadycosmetics.com/products/true-luscious-spellbinder-makeup-setting-mist", "https://camerareadycosmetics.com/products/true-luscious-spellbinder-makeup-setting-mist")</f>
        <v/>
      </c>
      <c r="C3722" t="inlineStr">
        <is>
          <t>Spellbinder Makeup Setting Mist</t>
        </is>
      </c>
      <c r="D3722" t="inlineStr">
        <is>
          <t>Ruby Kisses Setting Spray - Ultra-fine mist, Sets makeup, Long-Lasting Formula for a Flawless Finish (Matte)</t>
        </is>
      </c>
      <c r="E3722" s="2">
        <f>HYPERLINK("https://www.amazon.com/Ruby-Kisses-Setting-Spray-Long-Lasting/dp/B0C1562M3T/ref=sr_1_1?keywords=Spellbinder+Makeup+Setting+Mist&amp;qid=1695565790&amp;sr=8-1", "https://www.amazon.com/Ruby-Kisses-Setting-Spray-Long-Lasting/dp/B0C1562M3T/ref=sr_1_1?keywords=Spellbinder+Makeup+Setting+Mist&amp;qid=1695565790&amp;sr=8-1")</f>
        <v/>
      </c>
      <c r="F3722" t="inlineStr">
        <is>
          <t>B0C1562M3T</t>
        </is>
      </c>
      <c r="G3722">
        <f>_xlfn.IMAGE("https://camerareadycosmetics.com/cdn/shop/products/true-luscious-makeup-setting-spray-Spellbinde1_1024x1024_d9df4567-abc5-4ab0-8a3b-9dfbe643fc4b_50x.jpg?v=1589412986")</f>
        <v/>
      </c>
      <c r="H3722">
        <f>_xlfn.IMAGE("https://m.media-amazon.com/images/I/610o6EOKseL._AC_UL320_.jpg")</f>
        <v/>
      </c>
      <c r="K3722" t="inlineStr">
        <is>
          <t>29.0</t>
        </is>
      </c>
      <c r="L3722" t="n">
        <v>6.99</v>
      </c>
      <c r="M3722" s="1" t="inlineStr">
        <is>
          <t>-75.90%</t>
        </is>
      </c>
      <c r="N3722" t="n">
        <v>4.3</v>
      </c>
      <c r="O3722" t="n">
        <v>36</v>
      </c>
      <c r="Q3722" t="inlineStr">
        <is>
          <t>InStock</t>
        </is>
      </c>
      <c r="R3722" t="inlineStr">
        <is>
          <t>undefined</t>
        </is>
      </c>
      <c r="S3722" t="inlineStr">
        <is>
          <t>4455142621295</t>
        </is>
      </c>
    </row>
    <row r="3723" ht="75" customHeight="1">
      <c r="A3723" s="2">
        <f>HYPERLINK("https://camerareadycosmetics.com/products/true-luscious-spellbinder-makeup-setting-mist", "https://camerareadycosmetics.com/products/true-luscious-spellbinder-makeup-setting-mist")</f>
        <v/>
      </c>
      <c r="B3723" s="2">
        <f>HYPERLINK("https://camerareadycosmetics.com/products/true-luscious-spellbinder-makeup-setting-mist", "https://camerareadycosmetics.com/products/true-luscious-spellbinder-makeup-setting-mist")</f>
        <v/>
      </c>
      <c r="C3723" t="inlineStr">
        <is>
          <t>Spellbinder Makeup Setting Mist</t>
        </is>
      </c>
      <c r="D3723" t="inlineStr">
        <is>
          <t>UCANBE Makeup Setting Spray - Matte Finishing Spray Long Lasting Face Mist, Oil Control Lightweight Hydrate Make Up Spray, 6.7 Fl Oz Large Size</t>
        </is>
      </c>
      <c r="E3723" s="2">
        <f>HYPERLINK("https://www.amazon.com/UCANBE-Makeup-Setting-Spray-Lightweight/dp/B09QGJRZKF/ref=sr_1_7?keywords=Spellbinder+Makeup+Setting+Mist&amp;qid=1695565790&amp;sr=8-7", "https://www.amazon.com/UCANBE-Makeup-Setting-Spray-Lightweight/dp/B09QGJRZKF/ref=sr_1_7?keywords=Spellbinder+Makeup+Setting+Mist&amp;qid=1695565790&amp;sr=8-7")</f>
        <v/>
      </c>
      <c r="F3723" t="inlineStr">
        <is>
          <t>B09QGJRZKF</t>
        </is>
      </c>
      <c r="G3723">
        <f>_xlfn.IMAGE("https://camerareadycosmetics.com/cdn/shop/products/true-luscious-makeup-setting-spray-Spellbinde1_1024x1024_d9df4567-abc5-4ab0-8a3b-9dfbe643fc4b_50x.jpg?v=1589412986")</f>
        <v/>
      </c>
      <c r="H3723">
        <f>_xlfn.IMAGE("https://m.media-amazon.com/images/I/614FGpCr-sL._AC_UL320_.jpg")</f>
        <v/>
      </c>
      <c r="K3723" t="inlineStr">
        <is>
          <t>29.0</t>
        </is>
      </c>
      <c r="L3723" t="n">
        <v>14.99</v>
      </c>
      <c r="M3723" s="1" t="inlineStr">
        <is>
          <t>-48.31%</t>
        </is>
      </c>
      <c r="N3723" t="n">
        <v>4.3</v>
      </c>
      <c r="O3723" t="n">
        <v>1632</v>
      </c>
      <c r="Q3723" t="inlineStr">
        <is>
          <t>InStock</t>
        </is>
      </c>
      <c r="R3723" t="inlineStr">
        <is>
          <t>undefined</t>
        </is>
      </c>
      <c r="S3723" t="inlineStr">
        <is>
          <t>4455142621295</t>
        </is>
      </c>
    </row>
    <row r="3724" ht="75" customHeight="1">
      <c r="A3724" s="2">
        <f>HYPERLINK("https://camerareadycosmetics.com/products/true-luscious-spellbinder-makeup-setting-mist", "https://camerareadycosmetics.com/products/true-luscious-spellbinder-makeup-setting-mist")</f>
        <v/>
      </c>
      <c r="B3724" s="2">
        <f>HYPERLINK("https://camerareadycosmetics.com/products/true-luscious-spellbinder-makeup-setting-mist", "https://camerareadycosmetics.com/products/true-luscious-spellbinder-makeup-setting-mist")</f>
        <v/>
      </c>
      <c r="C3724" t="inlineStr">
        <is>
          <t>Spellbinder Makeup Setting Mist</t>
        </is>
      </c>
      <c r="D3724" t="inlineStr">
        <is>
          <t>AMIIR Lock Makeup Setting Spray Long-Lasting Face Finishing Mist Primer Refreshing Lightweight Hydrating</t>
        </is>
      </c>
      <c r="E3724" s="2">
        <f>HYPERLINK("https://www.amazon.com/AMIIR-Long-Lasting-Finishing-Refreshing-Lightweight/dp/B0B76X21K2/ref=sr_1_6?keywords=Spellbinder+Makeup+Setting+Mist&amp;qid=1695565790&amp;sr=8-6", "https://www.amazon.com/AMIIR-Long-Lasting-Finishing-Refreshing-Lightweight/dp/B0B76X21K2/ref=sr_1_6?keywords=Spellbinder+Makeup+Setting+Mist&amp;qid=1695565790&amp;sr=8-6")</f>
        <v/>
      </c>
      <c r="F3724" t="inlineStr">
        <is>
          <t>B0B76X21K2</t>
        </is>
      </c>
      <c r="G3724">
        <f>_xlfn.IMAGE("https://camerareadycosmetics.com/cdn/shop/products/true-luscious-makeup-setting-spray-Spellbinde1_1024x1024_d9df4567-abc5-4ab0-8a3b-9dfbe643fc4b_50x.jpg?v=1589412986")</f>
        <v/>
      </c>
      <c r="H3724">
        <f>_xlfn.IMAGE("https://m.media-amazon.com/images/I/51Q1I6Um2vL._AC_UL320_.jpg")</f>
        <v/>
      </c>
      <c r="K3724" t="inlineStr">
        <is>
          <t>29.0</t>
        </is>
      </c>
      <c r="L3724" t="n">
        <v>10.99</v>
      </c>
      <c r="M3724" s="1" t="inlineStr">
        <is>
          <t>-62.10%</t>
        </is>
      </c>
      <c r="N3724" t="n">
        <v>4.5</v>
      </c>
      <c r="O3724" t="n">
        <v>30</v>
      </c>
      <c r="Q3724" t="inlineStr">
        <is>
          <t>InStock</t>
        </is>
      </c>
      <c r="R3724" t="inlineStr">
        <is>
          <t>undefined</t>
        </is>
      </c>
      <c r="S3724" t="inlineStr">
        <is>
          <t>4455142621295</t>
        </is>
      </c>
    </row>
    <row r="3725" ht="75" customHeight="1">
      <c r="A3725" s="2">
        <f>HYPERLINK("https://camerareadycosmetics.com/products/true-luscious-spellbinder-makeup-setting-mist", "https://camerareadycosmetics.com/products/true-luscious-spellbinder-makeup-setting-mist")</f>
        <v/>
      </c>
      <c r="B3725" s="2">
        <f>HYPERLINK("https://camerareadycosmetics.com/products/true-luscious-spellbinder-makeup-setting-mist", "https://camerareadycosmetics.com/products/true-luscious-spellbinder-makeup-setting-mist")</f>
        <v/>
      </c>
      <c r="C3725" t="inlineStr">
        <is>
          <t>Spellbinder Makeup Setting Mist</t>
        </is>
      </c>
      <c r="D3725" t="inlineStr">
        <is>
          <t>Revlon Colorstay 24 Hr Lock Setting Mist, Keeps Face Makeup from Melting &amp; Fading, Mattifying, Blurring &amp; Oil Absorbing Face Spray, Transfer-proof &amp; Mask Friendly, 1.9 fl oz.</t>
        </is>
      </c>
      <c r="E3725" s="2">
        <f>HYPERLINK("https://www.amazon.com/Colorstay-Mattifying-Blurring-Absorbing-Transfer-proof/dp/B09JBJSVC5/ref=sr_1_8?keywords=Spellbinder+Makeup+Setting+Mist&amp;qid=1695565790&amp;sr=8-8", "https://www.amazon.com/Colorstay-Mattifying-Blurring-Absorbing-Transfer-proof/dp/B09JBJSVC5/ref=sr_1_8?keywords=Spellbinder+Makeup+Setting+Mist&amp;qid=1695565790&amp;sr=8-8")</f>
        <v/>
      </c>
      <c r="F3725" t="inlineStr">
        <is>
          <t>B09JBJSVC5</t>
        </is>
      </c>
      <c r="G3725">
        <f>_xlfn.IMAGE("https://camerareadycosmetics.com/cdn/shop/products/true-luscious-makeup-setting-spray-Spellbinde1_1024x1024_d9df4567-abc5-4ab0-8a3b-9dfbe643fc4b_50x.jpg?v=1589412986")</f>
        <v/>
      </c>
      <c r="H3725">
        <f>_xlfn.IMAGE("https://m.media-amazon.com/images/I/619EGJOnguL._AC_UL320_.jpg")</f>
        <v/>
      </c>
      <c r="K3725" t="inlineStr">
        <is>
          <t>29.0</t>
        </is>
      </c>
      <c r="L3725" t="n">
        <v>10.99</v>
      </c>
      <c r="M3725" s="1" t="inlineStr">
        <is>
          <t>-62.10%</t>
        </is>
      </c>
      <c r="N3725" t="n">
        <v>4.2</v>
      </c>
      <c r="O3725" t="n">
        <v>2400</v>
      </c>
      <c r="Q3725" t="inlineStr">
        <is>
          <t>InStock</t>
        </is>
      </c>
      <c r="R3725" t="inlineStr">
        <is>
          <t>undefined</t>
        </is>
      </c>
      <c r="S3725" t="inlineStr">
        <is>
          <t>4455142621295</t>
        </is>
      </c>
    </row>
    <row r="3726" ht="75" customHeight="1">
      <c r="A3726" s="2">
        <f>HYPERLINK("https://camerareadycosmetics.com/products/true-luscious-spellbinder-makeup-setting-mist", "https://camerareadycosmetics.com/products/true-luscious-spellbinder-makeup-setting-mist")</f>
        <v/>
      </c>
      <c r="B3726" s="2">
        <f>HYPERLINK("https://camerareadycosmetics.com/products/true-luscious-spellbinder-makeup-setting-mist", "https://camerareadycosmetics.com/products/true-luscious-spellbinder-makeup-setting-mist")</f>
        <v/>
      </c>
      <c r="C3726" t="inlineStr">
        <is>
          <t>Spellbinder Makeup Setting Mist</t>
        </is>
      </c>
      <c r="D3726" t="inlineStr">
        <is>
          <t>e.l.f. Stay All Night Micro-Fine Setting Mist, Hydrating &amp; Refreshing Makeup Setting Spray For 16HR Wear-time, Vegan &amp; Cruelty-Free, 2.7 Fl Oz</t>
        </is>
      </c>
      <c r="E3726" s="2">
        <f>HYPERLINK("https://www.amazon.com/l-f-Night-Micro-Fine-Setting-hours/dp/B08JC4ZJSP/ref=sr_1_5?keywords=Spellbinder+Makeup+Setting+Mist&amp;qid=1695565790&amp;sr=8-5", "https://www.amazon.com/l-f-Night-Micro-Fine-Setting-hours/dp/B08JC4ZJSP/ref=sr_1_5?keywords=Spellbinder+Makeup+Setting+Mist&amp;qid=1695565790&amp;sr=8-5")</f>
        <v/>
      </c>
      <c r="F3726" t="inlineStr">
        <is>
          <t>B08JC4ZJSP</t>
        </is>
      </c>
      <c r="G3726">
        <f>_xlfn.IMAGE("https://camerareadycosmetics.com/cdn/shop/products/true-luscious-makeup-setting-spray-Spellbinde1_1024x1024_d9df4567-abc5-4ab0-8a3b-9dfbe643fc4b_50x.jpg?v=1589412986")</f>
        <v/>
      </c>
      <c r="H3726">
        <f>_xlfn.IMAGE("https://m.media-amazon.com/images/I/61cYXIQlbDL._AC_UL320_.jpg")</f>
        <v/>
      </c>
      <c r="K3726" t="inlineStr">
        <is>
          <t>29.0</t>
        </is>
      </c>
      <c r="L3726" t="n">
        <v>10</v>
      </c>
      <c r="M3726" s="1" t="inlineStr">
        <is>
          <t>-65.52%</t>
        </is>
      </c>
      <c r="N3726" t="n">
        <v>4.6</v>
      </c>
      <c r="O3726" t="n">
        <v>4743</v>
      </c>
      <c r="Q3726" t="inlineStr">
        <is>
          <t>InStock</t>
        </is>
      </c>
      <c r="R3726" t="inlineStr">
        <is>
          <t>undefined</t>
        </is>
      </c>
      <c r="S3726" t="inlineStr">
        <is>
          <t>4455142621295</t>
        </is>
      </c>
    </row>
    <row r="3727" ht="75" customHeight="1">
      <c r="A3727" s="2">
        <f>HYPERLINK("https://camerareadycosmetics.com/products/true-luscious-spellbinder-makeup-setting-mist", "https://camerareadycosmetics.com/products/true-luscious-spellbinder-makeup-setting-mist")</f>
        <v/>
      </c>
      <c r="B3727" s="2">
        <f>HYPERLINK("https://camerareadycosmetics.com/products/true-luscious-spellbinder-makeup-setting-mist", "https://camerareadycosmetics.com/products/true-luscious-spellbinder-makeup-setting-mist")</f>
        <v/>
      </c>
      <c r="C3727" t="inlineStr">
        <is>
          <t>Spellbinder Makeup Setting Mist</t>
        </is>
      </c>
      <c r="D3727" t="inlineStr">
        <is>
          <t>e.l.f. Dewy Coconut Setting Mist, Makeup Setting Spray For Hydrating &amp; Conditioning Skin, Infused With Green Tea, Vegan &amp; Cruelty-Free, 2.7 Fl Oz</t>
        </is>
      </c>
      <c r="E3727" s="2">
        <f>HYPERLINK("https://www.amazon.com/l-f-Coconut-Setting-Hydrates-Conditions/dp/B08T7FGVY9/ref=sr_1_4?keywords=Spellbinder+Makeup+Setting+Mist&amp;qid=1695565790&amp;sr=8-4", "https://www.amazon.com/l-f-Coconut-Setting-Hydrates-Conditions/dp/B08T7FGVY9/ref=sr_1_4?keywords=Spellbinder+Makeup+Setting+Mist&amp;qid=1695565790&amp;sr=8-4")</f>
        <v/>
      </c>
      <c r="F3727" t="inlineStr">
        <is>
          <t>B08T7FGVY9</t>
        </is>
      </c>
      <c r="G3727">
        <f>_xlfn.IMAGE("https://camerareadycosmetics.com/cdn/shop/products/true-luscious-makeup-setting-spray-Spellbinde1_1024x1024_d9df4567-abc5-4ab0-8a3b-9dfbe643fc4b_50x.jpg?v=1589412986")</f>
        <v/>
      </c>
      <c r="H3727">
        <f>_xlfn.IMAGE("https://m.media-amazon.com/images/I/617jc5ZbmqL._AC_UL320_.jpg")</f>
        <v/>
      </c>
      <c r="K3727" t="inlineStr">
        <is>
          <t>29.0</t>
        </is>
      </c>
      <c r="L3727" t="n">
        <v>10</v>
      </c>
      <c r="M3727" s="1" t="inlineStr">
        <is>
          <t>-65.52%</t>
        </is>
      </c>
      <c r="N3727" t="n">
        <v>4.6</v>
      </c>
      <c r="O3727" t="n">
        <v>1583</v>
      </c>
      <c r="Q3727" t="inlineStr">
        <is>
          <t>InStock</t>
        </is>
      </c>
      <c r="R3727" t="inlineStr">
        <is>
          <t>undefined</t>
        </is>
      </c>
      <c r="S3727" t="inlineStr">
        <is>
          <t>4455142621295</t>
        </is>
      </c>
    </row>
    <row r="3728" ht="75" customHeight="1">
      <c r="A3728" s="2">
        <f>HYPERLINK("https://camerareadycosmetics.com/products/true-luscious-spellbinder-makeup-setting-mist", "https://camerareadycosmetics.com/products/true-luscious-spellbinder-makeup-setting-mist")</f>
        <v/>
      </c>
      <c r="B3728" s="2">
        <f>HYPERLINK("https://camerareadycosmetics.com/products/true-luscious-spellbinder-makeup-setting-mist", "https://camerareadycosmetics.com/products/true-luscious-spellbinder-makeup-setting-mist")</f>
        <v/>
      </c>
      <c r="C3728" t="inlineStr">
        <is>
          <t>Spellbinder Makeup Setting Mist</t>
        </is>
      </c>
      <c r="D3728" t="inlineStr">
        <is>
          <t>Ruby Kisses Setting Spray - Ultra-fine mist, Sets makeup, Long-Lasting Formula for a Flawless Finish (Matte)</t>
        </is>
      </c>
      <c r="E3728" s="2">
        <f>HYPERLINK("https://www.amazon.com/Ruby-Kisses-Setting-Spray-Long-Lasting/dp/B0C1562M3T/ref=sr_1_1?keywords=Spellbinder+Makeup+Setting+Mist&amp;qid=1695565790&amp;sr=8-1", "https://www.amazon.com/Ruby-Kisses-Setting-Spray-Long-Lasting/dp/B0C1562M3T/ref=sr_1_1?keywords=Spellbinder+Makeup+Setting+Mist&amp;qid=1695565790&amp;sr=8-1")</f>
        <v/>
      </c>
      <c r="F3728" t="inlineStr">
        <is>
          <t>B0C1562M3T</t>
        </is>
      </c>
      <c r="G3728">
        <f>_xlfn.IMAGE("https://camerareadycosmetics.com/cdn/shop/products/true-luscious-makeup-setting-spray-Spellbinde1_1024x1024_d9df4567-abc5-4ab0-8a3b-9dfbe643fc4b_50x.jpg?v=1589412986")</f>
        <v/>
      </c>
      <c r="H3728">
        <f>_xlfn.IMAGE("https://m.media-amazon.com/images/I/610o6EOKseL._AC_UL320_.jpg")</f>
        <v/>
      </c>
      <c r="K3728" t="inlineStr">
        <is>
          <t>29.0</t>
        </is>
      </c>
      <c r="L3728" t="n">
        <v>6.99</v>
      </c>
      <c r="M3728" s="1" t="inlineStr">
        <is>
          <t>-75.90%</t>
        </is>
      </c>
      <c r="N3728" t="n">
        <v>4.3</v>
      </c>
      <c r="O3728" t="n">
        <v>36</v>
      </c>
      <c r="Q3728" t="inlineStr">
        <is>
          <t>InStock</t>
        </is>
      </c>
      <c r="R3728" t="inlineStr">
        <is>
          <t>undefined</t>
        </is>
      </c>
      <c r="S3728" t="inlineStr">
        <is>
          <t>4455142621295</t>
        </is>
      </c>
    </row>
    <row r="3729" ht="75" customHeight="1">
      <c r="A3729" s="2">
        <f>HYPERLINK("https://camerareadycosmetics.com/products/true-luscious-super-moisture-lipstick", "https://camerareadycosmetics.com/products/true-luscious-super-moisture-lipstick")</f>
        <v/>
      </c>
      <c r="B3729" s="2">
        <f>HYPERLINK("https://camerareadycosmetics.com/products/true-luscious-super-moisture-lipstick", "https://camerareadycosmetics.com/products/true-luscious-super-moisture-lipstick")</f>
        <v/>
      </c>
      <c r="C3729" t="inlineStr">
        <is>
          <t>Super Moisture Lipstick</t>
        </is>
      </c>
      <c r="D3729" t="inlineStr">
        <is>
          <t>True + Luscious Super Moisture Lipstick – Clean, Vegan and Cruelty Free – Lasting Hydration for Dry Lips with a Satin Finish – Breathless Pink</t>
        </is>
      </c>
      <c r="E3729" s="2">
        <f>HYPERLINK("https://www.amazon.com/Moisturizing-Lipstick-Luscious-Cosmetics-Cruelty/dp/B0761QPKW5/ref=sr_1_2?keywords=Super+Moisture+Lipstick&amp;qid=1695565708&amp;sr=8-2", "https://www.amazon.com/Moisturizing-Lipstick-Luscious-Cosmetics-Cruelty/dp/B0761QPKW5/ref=sr_1_2?keywords=Super+Moisture+Lipstick&amp;qid=1695565708&amp;sr=8-2")</f>
        <v/>
      </c>
      <c r="F3729" t="inlineStr">
        <is>
          <t>B0761QPKW5</t>
        </is>
      </c>
      <c r="G3729">
        <f>_xlfn.IMAGE("https://camerareadycosmetics.com/cdn/shop/products/Orange-Punch_50x.jpg?v=1609948226")</f>
        <v/>
      </c>
      <c r="H3729">
        <f>_xlfn.IMAGE("https://m.media-amazon.com/images/I/51tG0m6aRsL._AC_UL320_.jpg")</f>
        <v/>
      </c>
      <c r="K3729" t="inlineStr">
        <is>
          <t>22.0</t>
        </is>
      </c>
      <c r="L3729" t="n">
        <v>22</v>
      </c>
      <c r="M3729" s="1" t="inlineStr">
        <is>
          <t>0.00%</t>
        </is>
      </c>
      <c r="N3729" t="n">
        <v>4</v>
      </c>
      <c r="O3729" t="n">
        <v>931</v>
      </c>
      <c r="Q3729" t="inlineStr">
        <is>
          <t>InStock</t>
        </is>
      </c>
      <c r="R3729" t="inlineStr">
        <is>
          <t>undefined</t>
        </is>
      </c>
      <c r="S3729" t="inlineStr">
        <is>
          <t>4456289402991</t>
        </is>
      </c>
    </row>
    <row r="3730" ht="75" customHeight="1">
      <c r="A3730" s="2">
        <f>HYPERLINK("https://camerareadycosmetics.com/products/tweezerman-ingrown-hair-splinter-tweezer", "https://camerareadycosmetics.com/products/tweezerman-ingrown-hair-splinter-tweezer")</f>
        <v/>
      </c>
      <c r="B3730" s="2">
        <f>HYPERLINK("https://camerareadycosmetics.com/products/tweezerman-ingrown-hair-splinter-tweezer", "https://camerareadycosmetics.com/products/tweezerman-ingrown-hair-splinter-tweezer")</f>
        <v/>
      </c>
      <c r="C3730" t="inlineStr">
        <is>
          <t>Ingrown Hair/Splinter Tweezer</t>
        </is>
      </c>
      <c r="D3730" t="inlineStr">
        <is>
          <t>Tweezerman Ingrown Hair Splintertweeze</t>
        </is>
      </c>
      <c r="E3730" s="2">
        <f>HYPERLINK("https://www.amazon.com/Tweezerman-1300-r-Ingrown-Hair-Splintertweeze/dp/B000FFYMYU/ref=sr_1_8?keywords=Ingrown+Hair%2FSplinter+Tweezer&amp;qid=1695565666&amp;sr=8-8", "https://www.amazon.com/Tweezerman-1300-r-Ingrown-Hair-Splintertweeze/dp/B000FFYMYU/ref=sr_1_8?keywords=Ingrown+Hair%2FSplinter+Tweezer&amp;qid=1695565666&amp;sr=8-8")</f>
        <v/>
      </c>
      <c r="F3730" t="inlineStr">
        <is>
          <t>B000FFYMYU</t>
        </is>
      </c>
      <c r="G3730">
        <f>_xlfn.IMAGE("https://camerareadycosmetics.com/cdn/shop/products/ingrown-hair_50x.jpg?v=1506741099")</f>
        <v/>
      </c>
      <c r="H3730">
        <f>_xlfn.IMAGE("https://m.media-amazon.com/images/I/613qpplynrL._AC_UL320_.jpg")</f>
        <v/>
      </c>
      <c r="K3730" t="inlineStr">
        <is>
          <t>18.0</t>
        </is>
      </c>
      <c r="L3730" t="n">
        <v>17.22</v>
      </c>
      <c r="M3730" s="1" t="inlineStr">
        <is>
          <t>-4.33%</t>
        </is>
      </c>
      <c r="N3730" t="n">
        <v>4.4</v>
      </c>
      <c r="O3730" t="n">
        <v>2124</v>
      </c>
      <c r="Q3730" t="inlineStr">
        <is>
          <t>InStock</t>
        </is>
      </c>
      <c r="R3730" t="inlineStr">
        <is>
          <t>undefined</t>
        </is>
      </c>
      <c r="S3730" t="inlineStr">
        <is>
          <t>9564786954</t>
        </is>
      </c>
    </row>
    <row r="3731" ht="75" customHeight="1">
      <c r="A3731" s="2">
        <f>HYPERLINK("https://camerareadycosmetics.com/products/tweezerman-ingrown-hair-splinter-tweezer", "https://camerareadycosmetics.com/products/tweezerman-ingrown-hair-splinter-tweezer")</f>
        <v/>
      </c>
      <c r="B3731" s="2">
        <f>HYPERLINK("https://camerareadycosmetics.com/products/tweezerman-ingrown-hair-splinter-tweezer", "https://camerareadycosmetics.com/products/tweezerman-ingrown-hair-splinter-tweezer")</f>
        <v/>
      </c>
      <c r="C3731" t="inlineStr">
        <is>
          <t>Ingrown Hair/Splinter Tweezer</t>
        </is>
      </c>
      <c r="D3731" t="inlineStr">
        <is>
          <t>Fine Point Tweezers for Women and Men – Splinter Ticks, Facial, Brow and Ingrown Hair Removal–Sharp, Needle Nose, Surgical Tweezers Precision Pluckers best tweezers for chin hair</t>
        </is>
      </c>
      <c r="E3731" s="2">
        <f>HYPERLINK("https://www.amazon.com/Surgical-Tweezers-Ingrown-Hair-Stainless/dp/B00BAYWOFY/ref=sr_1_2?keywords=Ingrown+Hair%2FSplinter+Tweezer&amp;qid=1695565666&amp;sr=8-2", "https://www.amazon.com/Surgical-Tweezers-Ingrown-Hair-Stainless/dp/B00BAYWOFY/ref=sr_1_2?keywords=Ingrown+Hair%2FSplinter+Tweezer&amp;qid=1695565666&amp;sr=8-2")</f>
        <v/>
      </c>
      <c r="F3731" t="inlineStr">
        <is>
          <t>B00BAYWOFY</t>
        </is>
      </c>
      <c r="G3731">
        <f>_xlfn.IMAGE("https://camerareadycosmetics.com/cdn/shop/products/ingrown-hair_50x.jpg?v=1506741099")</f>
        <v/>
      </c>
      <c r="H3731">
        <f>_xlfn.IMAGE("https://m.media-amazon.com/images/I/51Qax6ZNA5L._AC_UL320_.jpg")</f>
        <v/>
      </c>
      <c r="K3731" t="inlineStr">
        <is>
          <t>18.0</t>
        </is>
      </c>
      <c r="L3731" t="n">
        <v>9.99</v>
      </c>
      <c r="M3731" s="1" t="inlineStr">
        <is>
          <t>-44.50%</t>
        </is>
      </c>
      <c r="N3731" t="n">
        <v>4.4</v>
      </c>
      <c r="O3731" t="n">
        <v>18349</v>
      </c>
      <c r="Q3731" t="inlineStr">
        <is>
          <t>InStock</t>
        </is>
      </c>
      <c r="R3731" t="inlineStr">
        <is>
          <t>undefined</t>
        </is>
      </c>
      <c r="S3731" t="inlineStr">
        <is>
          <t>9564786954</t>
        </is>
      </c>
    </row>
    <row r="3732" ht="75" customHeight="1">
      <c r="A3732" s="2">
        <f>HYPERLINK("https://camerareadycosmetics.com/products/tweezerman-ingrown-hair-splinter-tweezer", "https://camerareadycosmetics.com/products/tweezerman-ingrown-hair-splinter-tweezer")</f>
        <v/>
      </c>
      <c r="B3732" s="2">
        <f>HYPERLINK("https://camerareadycosmetics.com/products/tweezerman-ingrown-hair-splinter-tweezer", "https://camerareadycosmetics.com/products/tweezerman-ingrown-hair-splinter-tweezer")</f>
        <v/>
      </c>
      <c r="C3732" t="inlineStr">
        <is>
          <t>Ingrown Hair/Splinter Tweezer</t>
        </is>
      </c>
      <c r="D3732" t="inlineStr">
        <is>
          <t>Tweezer Guru Ingrown Hair Tweezers - Pointed Precision Tweezers for Eyebrows &amp; Ingrown Hair Removal - Blackhead and Splinter Tweezer with Sharp Needle Nose Point (2 Piece Set, Black (Point+Slant))</t>
        </is>
      </c>
      <c r="E3732" s="2">
        <f>HYPERLINK("https://www.amazon.com/Tweezers-Set-TweezerGuru-Stainless-Precision/dp/B071HTGZPD/ref=sr_1_1?keywords=Ingrown+Hair%2FSplinter+Tweezer&amp;qid=1695565666&amp;sr=8-1", "https://www.amazon.com/Tweezers-Set-TweezerGuru-Stainless-Precision/dp/B071HTGZPD/ref=sr_1_1?keywords=Ingrown+Hair%2FSplinter+Tweezer&amp;qid=1695565666&amp;sr=8-1")</f>
        <v/>
      </c>
      <c r="F3732" t="inlineStr">
        <is>
          <t>B071HTGZPD</t>
        </is>
      </c>
      <c r="G3732">
        <f>_xlfn.IMAGE("https://camerareadycosmetics.com/cdn/shop/products/ingrown-hair_50x.jpg?v=1506741099")</f>
        <v/>
      </c>
      <c r="H3732">
        <f>_xlfn.IMAGE("https://m.media-amazon.com/images/I/61JIGiSsP3L._AC_UL320_.jpg")</f>
        <v/>
      </c>
      <c r="K3732" t="inlineStr">
        <is>
          <t>18.0</t>
        </is>
      </c>
      <c r="L3732" t="n">
        <v>9.49</v>
      </c>
      <c r="M3732" s="1" t="inlineStr">
        <is>
          <t>-47.28%</t>
        </is>
      </c>
      <c r="N3732" t="n">
        <v>4.5</v>
      </c>
      <c r="O3732" t="n">
        <v>9083</v>
      </c>
      <c r="Q3732" t="inlineStr">
        <is>
          <t>InStock</t>
        </is>
      </c>
      <c r="R3732" t="inlineStr">
        <is>
          <t>undefined</t>
        </is>
      </c>
      <c r="S3732" t="inlineStr">
        <is>
          <t>9564786954</t>
        </is>
      </c>
    </row>
    <row r="3733" ht="75" customHeight="1">
      <c r="A3733" s="2">
        <f>HYPERLINK("https://camerareadycosmetics.com/products/tweezerman-ingrown-hair-splinter-tweezer", "https://camerareadycosmetics.com/products/tweezerman-ingrown-hair-splinter-tweezer")</f>
        <v/>
      </c>
      <c r="B3733" s="2">
        <f>HYPERLINK("https://camerareadycosmetics.com/products/tweezerman-ingrown-hair-splinter-tweezer", "https://camerareadycosmetics.com/products/tweezerman-ingrown-hair-splinter-tweezer")</f>
        <v/>
      </c>
      <c r="C3733" t="inlineStr">
        <is>
          <t>Ingrown Hair/Splinter Tweezer</t>
        </is>
      </c>
      <c r="D3733" t="inlineStr">
        <is>
          <t>Ingrown Hair Tweezers | Pointed Tip | Precision Stainless Steel | Extra Sharp and Perfectly Aligned for Ingrown Hair Treatment &amp; Splinter Removal For Men and Women | By Tweezees</t>
        </is>
      </c>
      <c r="E3733" s="2">
        <f>HYPERLINK("https://www.amazon.com/Tweezees-Professional-Precision-Stainless-Perfectly/dp/B00PVWRLO0/ref=sr_1_7?keywords=Ingrown+Hair%2FSplinter+Tweezer&amp;qid=1695565666&amp;sr=8-7", "https://www.amazon.com/Tweezees-Professional-Precision-Stainless-Perfectly/dp/B00PVWRLO0/ref=sr_1_7?keywords=Ingrown+Hair%2FSplinter+Tweezer&amp;qid=1695565666&amp;sr=8-7")</f>
        <v/>
      </c>
      <c r="F3733" t="inlineStr">
        <is>
          <t>B00PVWRLO0</t>
        </is>
      </c>
      <c r="G3733">
        <f>_xlfn.IMAGE("https://camerareadycosmetics.com/cdn/shop/products/ingrown-hair_50x.jpg?v=1506741099")</f>
        <v/>
      </c>
      <c r="H3733">
        <f>_xlfn.IMAGE("https://m.media-amazon.com/images/I/61d4db5tiXL._AC_UL320_.jpg")</f>
        <v/>
      </c>
      <c r="K3733" t="inlineStr">
        <is>
          <t>18.0</t>
        </is>
      </c>
      <c r="L3733" t="n">
        <v>9.300000000000001</v>
      </c>
      <c r="M3733" s="1" t="inlineStr">
        <is>
          <t>-48.33%</t>
        </is>
      </c>
      <c r="N3733" t="n">
        <v>4.4</v>
      </c>
      <c r="O3733" t="n">
        <v>1921</v>
      </c>
      <c r="Q3733" t="inlineStr">
        <is>
          <t>InStock</t>
        </is>
      </c>
      <c r="R3733" t="inlineStr">
        <is>
          <t>undefined</t>
        </is>
      </c>
      <c r="S3733" t="inlineStr">
        <is>
          <t>9564786954</t>
        </is>
      </c>
    </row>
    <row r="3734" ht="75" customHeight="1">
      <c r="A3734" s="2">
        <f>HYPERLINK("https://camerareadycosmetics.com/products/tweezerman-ingrown-hair-splinter-tweezer", "https://camerareadycosmetics.com/products/tweezerman-ingrown-hair-splinter-tweezer")</f>
        <v/>
      </c>
      <c r="B3734" s="2">
        <f>HYPERLINK("https://camerareadycosmetics.com/products/tweezerman-ingrown-hair-splinter-tweezer", "https://camerareadycosmetics.com/products/tweezerman-ingrown-hair-splinter-tweezer")</f>
        <v/>
      </c>
      <c r="C3734" t="inlineStr">
        <is>
          <t>Ingrown Hair/Splinter Tweezer</t>
        </is>
      </c>
      <c r="D3734" t="inlineStr">
        <is>
          <t>Super Sharp Pointed Tweezers Precision Fine Point Tip Ingrown Hair Tweezers Kit Best Pointed Tweezers for Women Chin Hair Removal - Extra Thin Tweezers Precision Stainless Facial Hair Remover for Face</t>
        </is>
      </c>
      <c r="E3734" s="2">
        <f>HYPERLINK("https://www.amazon.com/Pointed-Tweezers-Precision-Ingrown-Removal/dp/B09D9N1D22/ref=sr_1_9?keywords=Ingrown+Hair%2FSplinter+Tweezer&amp;qid=1695565666&amp;sr=8-9", "https://www.amazon.com/Pointed-Tweezers-Precision-Ingrown-Removal/dp/B09D9N1D22/ref=sr_1_9?keywords=Ingrown+Hair%2FSplinter+Tweezer&amp;qid=1695565666&amp;sr=8-9")</f>
        <v/>
      </c>
      <c r="F3734" t="inlineStr">
        <is>
          <t>B09D9N1D22</t>
        </is>
      </c>
      <c r="G3734">
        <f>_xlfn.IMAGE("https://camerareadycosmetics.com/cdn/shop/products/ingrown-hair_50x.jpg?v=1506741099")</f>
        <v/>
      </c>
      <c r="H3734">
        <f>_xlfn.IMAGE("https://m.media-amazon.com/images/I/41oTtxIM4BL._AC_UL320_.jpg")</f>
        <v/>
      </c>
      <c r="K3734" t="inlineStr">
        <is>
          <t>18.0</t>
        </is>
      </c>
      <c r="L3734" t="n">
        <v>8.99</v>
      </c>
      <c r="M3734" s="1" t="inlineStr">
        <is>
          <t>-50.06%</t>
        </is>
      </c>
      <c r="N3734" t="n">
        <v>4.6</v>
      </c>
      <c r="O3734" t="n">
        <v>672</v>
      </c>
      <c r="Q3734" t="inlineStr">
        <is>
          <t>InStock</t>
        </is>
      </c>
      <c r="R3734" t="inlineStr">
        <is>
          <t>undefined</t>
        </is>
      </c>
      <c r="S3734" t="inlineStr">
        <is>
          <t>9564786954</t>
        </is>
      </c>
    </row>
    <row r="3735" ht="75" customHeight="1">
      <c r="A3735" s="2">
        <f>HYPERLINK("https://camerareadycosmetics.com/products/tweezerman-ingrown-hair-splinter-tweezer", "https://camerareadycosmetics.com/products/tweezerman-ingrown-hair-splinter-tweezer")</f>
        <v/>
      </c>
      <c r="B3735" s="2">
        <f>HYPERLINK("https://camerareadycosmetics.com/products/tweezerman-ingrown-hair-splinter-tweezer", "https://camerareadycosmetics.com/products/tweezerman-ingrown-hair-splinter-tweezer")</f>
        <v/>
      </c>
      <c r="C3735" t="inlineStr">
        <is>
          <t>Ingrown Hair/Splinter Tweezer</t>
        </is>
      </c>
      <c r="D3735" t="inlineStr">
        <is>
          <t>Tweezer Guru Pointed Tweezers - Sharp Precision Needle Nose Tip, Best Tweezers for Eyebrows and Ingrown Hair, Surgical Pointed for Blackheads &amp; Splinters (Black)</t>
        </is>
      </c>
      <c r="E3735" s="2">
        <f>HYPERLINK("https://www.amazon.com/Tweezers-Ingrown-Hair-TweezerGuru-Professional/dp/B012X2ZNOA/ref=sr_1_3?keywords=Ingrown+Hair%2FSplinter+Tweezer&amp;qid=1695565666&amp;sr=8-3", "https://www.amazon.com/Tweezers-Ingrown-Hair-TweezerGuru-Professional/dp/B012X2ZNOA/ref=sr_1_3?keywords=Ingrown+Hair%2FSplinter+Tweezer&amp;qid=1695565666&amp;sr=8-3")</f>
        <v/>
      </c>
      <c r="F3735" t="inlineStr">
        <is>
          <t>B012X2ZNOA</t>
        </is>
      </c>
      <c r="G3735">
        <f>_xlfn.IMAGE("https://camerareadycosmetics.com/cdn/shop/products/ingrown-hair_50x.jpg?v=1506741099")</f>
        <v/>
      </c>
      <c r="H3735">
        <f>_xlfn.IMAGE("https://m.media-amazon.com/images/I/61rMZ1ku6qS._AC_UL320_.jpg")</f>
        <v/>
      </c>
      <c r="K3735" t="inlineStr">
        <is>
          <t>18.0</t>
        </is>
      </c>
      <c r="L3735" t="n">
        <v>7.49</v>
      </c>
      <c r="M3735" s="1" t="inlineStr">
        <is>
          <t>-58.39%</t>
        </is>
      </c>
      <c r="N3735" t="n">
        <v>4.3</v>
      </c>
      <c r="O3735" t="n">
        <v>10440</v>
      </c>
      <c r="Q3735" t="inlineStr">
        <is>
          <t>InStock</t>
        </is>
      </c>
      <c r="R3735" t="inlineStr">
        <is>
          <t>undefined</t>
        </is>
      </c>
      <c r="S3735" t="inlineStr">
        <is>
          <t>9564786954</t>
        </is>
      </c>
    </row>
    <row r="3736" ht="75" customHeight="1">
      <c r="A3736" s="2">
        <f>HYPERLINK("https://camerareadycosmetics.com/products/tweezerman-ingrown-hair-splinter-tweezer", "https://camerareadycosmetics.com/products/tweezerman-ingrown-hair-splinter-tweezer")</f>
        <v/>
      </c>
      <c r="B3736" s="2">
        <f>HYPERLINK("https://camerareadycosmetics.com/products/tweezerman-ingrown-hair-splinter-tweezer", "https://camerareadycosmetics.com/products/tweezerman-ingrown-hair-splinter-tweezer")</f>
        <v/>
      </c>
      <c r="C3736" t="inlineStr">
        <is>
          <t>Ingrown Hair/Splinter Tweezer</t>
        </is>
      </c>
      <c r="D3736" t="inlineStr">
        <is>
          <t>Tweezer Guru Tweezers for Women - 2pc Slant Pointed Precision Tweezers for Eyebrows &amp; Ingrown Hair Removal - Blackhead and Splinter Tweezer with Sharp Needle Nose Point for Plucking (Black)</t>
        </is>
      </c>
      <c r="E3736" s="2">
        <f>HYPERLINK("https://www.amazon.com/Tweezer-Slant-Eyebrow-Tweezers-Women/dp/B09B188J6H/ref=sr_1_10?keywords=Ingrown+Hair%2FSplinter+Tweezer&amp;qid=1695565666&amp;sr=8-10", "https://www.amazon.com/Tweezer-Slant-Eyebrow-Tweezers-Women/dp/B09B188J6H/ref=sr_1_10?keywords=Ingrown+Hair%2FSplinter+Tweezer&amp;qid=1695565666&amp;sr=8-10")</f>
        <v/>
      </c>
      <c r="F3736" t="inlineStr">
        <is>
          <t>B09B188J6H</t>
        </is>
      </c>
      <c r="G3736">
        <f>_xlfn.IMAGE("https://camerareadycosmetics.com/cdn/shop/products/ingrown-hair_50x.jpg?v=1506741099")</f>
        <v/>
      </c>
      <c r="H3736">
        <f>_xlfn.IMAGE("https://m.media-amazon.com/images/I/71d1QY5YbWL._AC_UL320_.jpg")</f>
        <v/>
      </c>
      <c r="K3736" t="inlineStr">
        <is>
          <t>18.0</t>
        </is>
      </c>
      <c r="L3736" t="n">
        <v>7.25</v>
      </c>
      <c r="M3736" s="1" t="inlineStr">
        <is>
          <t>-59.72%</t>
        </is>
      </c>
      <c r="N3736" t="n">
        <v>4.4</v>
      </c>
      <c r="O3736" t="n">
        <v>59454</v>
      </c>
      <c r="Q3736" t="inlineStr">
        <is>
          <t>InStock</t>
        </is>
      </c>
      <c r="R3736" t="inlineStr">
        <is>
          <t>undefined</t>
        </is>
      </c>
      <c r="S3736" t="inlineStr">
        <is>
          <t>9564786954</t>
        </is>
      </c>
    </row>
    <row r="3737" ht="75" customHeight="1">
      <c r="A3737" s="2">
        <f>HYPERLINK("https://camerareadycosmetics.com/products/tweezerman-ingrown-hair-splinter-tweezer", "https://camerareadycosmetics.com/products/tweezerman-ingrown-hair-splinter-tweezer")</f>
        <v/>
      </c>
      <c r="B3737" s="2">
        <f>HYPERLINK("https://camerareadycosmetics.com/products/tweezerman-ingrown-hair-splinter-tweezer", "https://camerareadycosmetics.com/products/tweezerman-ingrown-hair-splinter-tweezer")</f>
        <v/>
      </c>
      <c r="C3737" t="inlineStr">
        <is>
          <t>Ingrown Hair/Splinter Tweezer</t>
        </is>
      </c>
      <c r="D3737" t="inlineStr">
        <is>
          <t>Ingrown Hair Tweezers | Pointed Tip | Black |Precision Stainless Steel | Extra Sharp and Perfectly Aligned for Ingrown Hair Treatment &amp; Splinter Removal For Men and Women | By Tweezees</t>
        </is>
      </c>
      <c r="E3737" s="2">
        <f>HYPERLINK("https://www.amazon.com/Tweezees-Professional-Precision-Stainless-Perfectly/dp/B01C34RBM0/ref=sr_1_5?keywords=Ingrown+Hair%2FSplinter+Tweezer&amp;qid=1695565666&amp;sr=8-5", "https://www.amazon.com/Tweezees-Professional-Precision-Stainless-Perfectly/dp/B01C34RBM0/ref=sr_1_5?keywords=Ingrown+Hair%2FSplinter+Tweezer&amp;qid=1695565666&amp;sr=8-5")</f>
        <v/>
      </c>
      <c r="F3737" t="inlineStr">
        <is>
          <t>B01C34RBM0</t>
        </is>
      </c>
      <c r="G3737">
        <f>_xlfn.IMAGE("https://camerareadycosmetics.com/cdn/shop/products/ingrown-hair_50x.jpg?v=1506741099")</f>
        <v/>
      </c>
      <c r="H3737">
        <f>_xlfn.IMAGE("https://m.media-amazon.com/images/I/61vUITnqnVL._AC_UL320_.jpg")</f>
        <v/>
      </c>
      <c r="K3737" t="inlineStr">
        <is>
          <t>18.0</t>
        </is>
      </c>
      <c r="L3737" t="n">
        <v>6.23</v>
      </c>
      <c r="M3737" s="1" t="inlineStr">
        <is>
          <t>-65.39%</t>
        </is>
      </c>
      <c r="N3737" t="n">
        <v>4.4</v>
      </c>
      <c r="O3737" t="n">
        <v>893</v>
      </c>
      <c r="Q3737" t="inlineStr">
        <is>
          <t>InStock</t>
        </is>
      </c>
      <c r="R3737" t="inlineStr">
        <is>
          <t>undefined</t>
        </is>
      </c>
      <c r="S3737" t="inlineStr">
        <is>
          <t>9564786954</t>
        </is>
      </c>
    </row>
    <row r="3738" ht="75" customHeight="1">
      <c r="A3738" s="2">
        <f>HYPERLINK("https://camerareadycosmetics.com/products/tweezerman-ingrown-hair-splinter-tweezer", "https://camerareadycosmetics.com/products/tweezerman-ingrown-hair-splinter-tweezer")</f>
        <v/>
      </c>
      <c r="B3738" s="2">
        <f>HYPERLINK("https://camerareadycosmetics.com/products/tweezerman-ingrown-hair-splinter-tweezer", "https://camerareadycosmetics.com/products/tweezerman-ingrown-hair-splinter-tweezer")</f>
        <v/>
      </c>
      <c r="C3738" t="inlineStr">
        <is>
          <t>Ingrown Hair/Splinter Tweezer</t>
        </is>
      </c>
      <c r="D3738" t="inlineStr">
        <is>
          <t>3 Pieces Ingrown Hair Tweezers Stainless Steel Splinter Tweezers Pointed Blackhead Remover Precision Eyebrow Tweezers for Facial Hair, Ingrown Hair, Splinter and Blackhead Remover (Silver)</t>
        </is>
      </c>
      <c r="E3738" s="2">
        <f>HYPERLINK("https://www.amazon.com/Tweezers-Stainless-Splinter-Blackhead-Precision/dp/B08NXJ9R87/ref=sr_1_6?keywords=Ingrown+Hair%2FSplinter+Tweezer&amp;qid=1695565666&amp;sr=8-6", "https://www.amazon.com/Tweezers-Stainless-Splinter-Blackhead-Precision/dp/B08NXJ9R87/ref=sr_1_6?keywords=Ingrown+Hair%2FSplinter+Tweezer&amp;qid=1695565666&amp;sr=8-6")</f>
        <v/>
      </c>
      <c r="F3738" t="inlineStr">
        <is>
          <t>B08NXJ9R87</t>
        </is>
      </c>
      <c r="G3738">
        <f>_xlfn.IMAGE("https://camerareadycosmetics.com/cdn/shop/products/ingrown-hair_50x.jpg?v=1506741099")</f>
        <v/>
      </c>
      <c r="H3738">
        <f>_xlfn.IMAGE("https://m.media-amazon.com/images/I/615Ws8UGawL._AC_UL320_.jpg")</f>
        <v/>
      </c>
      <c r="K3738" t="inlineStr">
        <is>
          <t>18.0</t>
        </is>
      </c>
      <c r="L3738" t="n">
        <v>5.99</v>
      </c>
      <c r="M3738" s="1" t="inlineStr">
        <is>
          <t>-66.72%</t>
        </is>
      </c>
      <c r="N3738" t="n">
        <v>4</v>
      </c>
      <c r="O3738" t="n">
        <v>204</v>
      </c>
      <c r="Q3738" t="inlineStr">
        <is>
          <t>InStock</t>
        </is>
      </c>
      <c r="R3738" t="inlineStr">
        <is>
          <t>undefined</t>
        </is>
      </c>
      <c r="S3738" t="inlineStr">
        <is>
          <t>9564786954</t>
        </is>
      </c>
    </row>
    <row r="3739" ht="75" customHeight="1">
      <c r="A3739" s="2">
        <f>HYPERLINK("https://camerareadycosmetics.com/products/tweezerman-ingrown-hair-splinter-tweezer", "https://camerareadycosmetics.com/products/tweezerman-ingrown-hair-splinter-tweezer")</f>
        <v/>
      </c>
      <c r="B3739" s="2">
        <f>HYPERLINK("https://camerareadycosmetics.com/products/tweezerman-ingrown-hair-splinter-tweezer", "https://camerareadycosmetics.com/products/tweezerman-ingrown-hair-splinter-tweezer")</f>
        <v/>
      </c>
      <c r="C3739" t="inlineStr">
        <is>
          <t>Ingrown Hair/Splinter Tweezer</t>
        </is>
      </c>
      <c r="D3739" t="inlineStr">
        <is>
          <t>Tweezers Set, 4Pcs Tweezers for Women with Travel Leather Case, Professional Stainless Steel Eyebrows Tweezers, Great Precision Tweezers for Ingrown Hair, Facial Hair, Splinter Removal (Multi-Color)</t>
        </is>
      </c>
      <c r="E3739" s="2">
        <f>HYPERLINK("https://www.amazon.com/Tweezers-Set-Professional-Stainless-Multi-Color/dp/B09VX3GKFZ/ref=sr_1_4?keywords=Ingrown+Hair%2FSplinter+Tweezer&amp;qid=1695565666&amp;sr=8-4", "https://www.amazon.com/Tweezers-Set-Professional-Stainless-Multi-Color/dp/B09VX3GKFZ/ref=sr_1_4?keywords=Ingrown+Hair%2FSplinter+Tweezer&amp;qid=1695565666&amp;sr=8-4")</f>
        <v/>
      </c>
      <c r="F3739" t="inlineStr">
        <is>
          <t>B09VX3GKFZ</t>
        </is>
      </c>
      <c r="G3739">
        <f>_xlfn.IMAGE("https://camerareadycosmetics.com/cdn/shop/products/ingrown-hair_50x.jpg?v=1506741099")</f>
        <v/>
      </c>
      <c r="H3739">
        <f>_xlfn.IMAGE("https://m.media-amazon.com/images/I/71fhS2LRcRL._AC_UL320_.jpg")</f>
        <v/>
      </c>
      <c r="K3739" t="inlineStr">
        <is>
          <t>18.0</t>
        </is>
      </c>
      <c r="L3739" t="n">
        <v>4.29</v>
      </c>
      <c r="M3739" s="1" t="inlineStr">
        <is>
          <t>-76.17%</t>
        </is>
      </c>
      <c r="N3739" t="n">
        <v>4.5</v>
      </c>
      <c r="O3739" t="n">
        <v>1931</v>
      </c>
      <c r="Q3739" t="inlineStr">
        <is>
          <t>InStock</t>
        </is>
      </c>
      <c r="R3739" t="inlineStr">
        <is>
          <t>undefined</t>
        </is>
      </c>
      <c r="S3739" t="inlineStr">
        <is>
          <t>9564786954</t>
        </is>
      </c>
    </row>
    <row r="3740" ht="75" customHeight="1">
      <c r="A3740" s="2">
        <f>HYPERLINK("https://camerareadycosmetics.com/products/tweezerman-ingrown-hair-splinter-tweezer", "https://camerareadycosmetics.com/products/tweezerman-ingrown-hair-splinter-tweezer")</f>
        <v/>
      </c>
      <c r="B3740" s="2">
        <f>HYPERLINK("https://camerareadycosmetics.com/products/tweezerman-ingrown-hair-splinter-tweezer", "https://camerareadycosmetics.com/products/tweezerman-ingrown-hair-splinter-tweezer")</f>
        <v/>
      </c>
      <c r="C3740" t="inlineStr">
        <is>
          <t>Ingrown Hair/Splinter Tweezer</t>
        </is>
      </c>
      <c r="D3740" t="inlineStr">
        <is>
          <t>Ingrown Hair Tweezers | Pointed Tip | Precision Stainless Steel | Extra Sharp and Perfectly Aligned for Ingrown Hair Treatment &amp; Splinter Removal For Men and Women | By Tweezees</t>
        </is>
      </c>
      <c r="E3740" s="2">
        <f>HYPERLINK("https://www.amazon.com/Tweezees-Professional-Precision-Stainless-Perfectly/dp/B00PVWRLO0/ref=sr_1_7?keywords=Ingrown+Hair%2FSplinter+Tweezer&amp;qid=1695565666&amp;sr=8-7", "https://www.amazon.com/Tweezees-Professional-Precision-Stainless-Perfectly/dp/B00PVWRLO0/ref=sr_1_7?keywords=Ingrown+Hair%2FSplinter+Tweezer&amp;qid=1695565666&amp;sr=8-7")</f>
        <v/>
      </c>
      <c r="F3740" t="inlineStr">
        <is>
          <t>B00PVWRLO0</t>
        </is>
      </c>
      <c r="G3740">
        <f>_xlfn.IMAGE("https://camerareadycosmetics.com/cdn/shop/products/ingrown-hair_50x.jpg?v=1506741099")</f>
        <v/>
      </c>
      <c r="H3740">
        <f>_xlfn.IMAGE("https://m.media-amazon.com/images/I/61d4db5tiXL._AC_UL320_.jpg")</f>
        <v/>
      </c>
      <c r="K3740" t="inlineStr">
        <is>
          <t>18.0</t>
        </is>
      </c>
      <c r="L3740" t="n">
        <v>9.300000000000001</v>
      </c>
      <c r="M3740" s="1" t="inlineStr">
        <is>
          <t>-48.33%</t>
        </is>
      </c>
      <c r="N3740" t="n">
        <v>4.4</v>
      </c>
      <c r="O3740" t="n">
        <v>1921</v>
      </c>
      <c r="Q3740" t="inlineStr">
        <is>
          <t>InStock</t>
        </is>
      </c>
      <c r="R3740" t="inlineStr">
        <is>
          <t>undefined</t>
        </is>
      </c>
      <c r="S3740" t="inlineStr">
        <is>
          <t>9564786954</t>
        </is>
      </c>
    </row>
    <row r="3741" ht="75" customHeight="1">
      <c r="A3741" s="2">
        <f>HYPERLINK("https://camerareadycosmetics.com/products/tweezerman-ingrown-hair-splinter-tweezer", "https://camerareadycosmetics.com/products/tweezerman-ingrown-hair-splinter-tweezer")</f>
        <v/>
      </c>
      <c r="B3741" s="2">
        <f>HYPERLINK("https://camerareadycosmetics.com/products/tweezerman-ingrown-hair-splinter-tweezer", "https://camerareadycosmetics.com/products/tweezerman-ingrown-hair-splinter-tweezer")</f>
        <v/>
      </c>
      <c r="C3741" t="inlineStr">
        <is>
          <t>Ingrown Hair/Splinter Tweezer</t>
        </is>
      </c>
      <c r="D3741" t="inlineStr">
        <is>
          <t>Super Sharp Pointed Tweezers Precision Fine Point Tip Ingrown Hair Tweezers Kit Best Pointed Tweezers for Women Chin Hair Removal - Extra Thin Tweezers Precision Stainless Facial Hair Remover for Face</t>
        </is>
      </c>
      <c r="E3741" s="2">
        <f>HYPERLINK("https://www.amazon.com/Pointed-Tweezers-Precision-Ingrown-Removal/dp/B09D9N1D22/ref=sr_1_9?keywords=Ingrown+Hair%2FSplinter+Tweezer&amp;qid=1695565666&amp;sr=8-9", "https://www.amazon.com/Pointed-Tweezers-Precision-Ingrown-Removal/dp/B09D9N1D22/ref=sr_1_9?keywords=Ingrown+Hair%2FSplinter+Tweezer&amp;qid=1695565666&amp;sr=8-9")</f>
        <v/>
      </c>
      <c r="F3741" t="inlineStr">
        <is>
          <t>B09D9N1D22</t>
        </is>
      </c>
      <c r="G3741">
        <f>_xlfn.IMAGE("https://camerareadycosmetics.com/cdn/shop/products/ingrown-hair_50x.jpg?v=1506741099")</f>
        <v/>
      </c>
      <c r="H3741">
        <f>_xlfn.IMAGE("https://m.media-amazon.com/images/I/41oTtxIM4BL._AC_UL320_.jpg")</f>
        <v/>
      </c>
      <c r="K3741" t="inlineStr">
        <is>
          <t>18.0</t>
        </is>
      </c>
      <c r="L3741" t="n">
        <v>8.99</v>
      </c>
      <c r="M3741" s="1" t="inlineStr">
        <is>
          <t>-50.06%</t>
        </is>
      </c>
      <c r="N3741" t="n">
        <v>4.6</v>
      </c>
      <c r="O3741" t="n">
        <v>672</v>
      </c>
      <c r="Q3741" t="inlineStr">
        <is>
          <t>InStock</t>
        </is>
      </c>
      <c r="R3741" t="inlineStr">
        <is>
          <t>undefined</t>
        </is>
      </c>
      <c r="S3741" t="inlineStr">
        <is>
          <t>9564786954</t>
        </is>
      </c>
    </row>
    <row r="3742" ht="75" customHeight="1">
      <c r="A3742" s="2">
        <f>HYPERLINK("https://camerareadycosmetics.com/products/tweezerman-ingrown-hair-splinter-tweezer", "https://camerareadycosmetics.com/products/tweezerman-ingrown-hair-splinter-tweezer")</f>
        <v/>
      </c>
      <c r="B3742" s="2">
        <f>HYPERLINK("https://camerareadycosmetics.com/products/tweezerman-ingrown-hair-splinter-tweezer", "https://camerareadycosmetics.com/products/tweezerman-ingrown-hair-splinter-tweezer")</f>
        <v/>
      </c>
      <c r="C3742" t="inlineStr">
        <is>
          <t>Ingrown Hair/Splinter Tweezer</t>
        </is>
      </c>
      <c r="D3742" t="inlineStr">
        <is>
          <t>Tweezer Guru Pointed Tweezers - Sharp Precision Needle Nose Tip, Best Tweezers for Eyebrows and Ingrown Hair, Surgical Pointed for Blackheads &amp; Splinters (Black)</t>
        </is>
      </c>
      <c r="E3742" s="2">
        <f>HYPERLINK("https://www.amazon.com/Tweezers-Ingrown-Hair-TweezerGuru-Professional/dp/B012X2ZNOA/ref=sr_1_3?keywords=Ingrown+Hair%2FSplinter+Tweezer&amp;qid=1695565666&amp;sr=8-3", "https://www.amazon.com/Tweezers-Ingrown-Hair-TweezerGuru-Professional/dp/B012X2ZNOA/ref=sr_1_3?keywords=Ingrown+Hair%2FSplinter+Tweezer&amp;qid=1695565666&amp;sr=8-3")</f>
        <v/>
      </c>
      <c r="F3742" t="inlineStr">
        <is>
          <t>B012X2ZNOA</t>
        </is>
      </c>
      <c r="G3742">
        <f>_xlfn.IMAGE("https://camerareadycosmetics.com/cdn/shop/products/ingrown-hair_50x.jpg?v=1506741099")</f>
        <v/>
      </c>
      <c r="H3742">
        <f>_xlfn.IMAGE("https://m.media-amazon.com/images/I/61rMZ1ku6qS._AC_UL320_.jpg")</f>
        <v/>
      </c>
      <c r="K3742" t="inlineStr">
        <is>
          <t>18.0</t>
        </is>
      </c>
      <c r="L3742" t="n">
        <v>7.49</v>
      </c>
      <c r="M3742" s="1" t="inlineStr">
        <is>
          <t>-58.39%</t>
        </is>
      </c>
      <c r="N3742" t="n">
        <v>4.3</v>
      </c>
      <c r="O3742" t="n">
        <v>10440</v>
      </c>
      <c r="Q3742" t="inlineStr">
        <is>
          <t>InStock</t>
        </is>
      </c>
      <c r="R3742" t="inlineStr">
        <is>
          <t>undefined</t>
        </is>
      </c>
      <c r="S3742" t="inlineStr">
        <is>
          <t>9564786954</t>
        </is>
      </c>
    </row>
    <row r="3743" ht="75" customHeight="1">
      <c r="A3743" s="2">
        <f>HYPERLINK("https://camerareadycosmetics.com/products/tweezerman-ingrown-hair-splinter-tweezer", "https://camerareadycosmetics.com/products/tweezerman-ingrown-hair-splinter-tweezer")</f>
        <v/>
      </c>
      <c r="B3743" s="2">
        <f>HYPERLINK("https://camerareadycosmetics.com/products/tweezerman-ingrown-hair-splinter-tweezer", "https://camerareadycosmetics.com/products/tweezerman-ingrown-hair-splinter-tweezer")</f>
        <v/>
      </c>
      <c r="C3743" t="inlineStr">
        <is>
          <t>Ingrown Hair/Splinter Tweezer</t>
        </is>
      </c>
      <c r="D3743" t="inlineStr">
        <is>
          <t>Tweezer Guru Tweezers for Women - 2pc Slant Pointed Precision Tweezers for Eyebrows &amp; Ingrown Hair Removal - Blackhead and Splinter Tweezer with Sharp Needle Nose Point for Plucking (Black)</t>
        </is>
      </c>
      <c r="E3743" s="2">
        <f>HYPERLINK("https://www.amazon.com/Tweezer-Slant-Eyebrow-Tweezers-Women/dp/B09B188J6H/ref=sr_1_10?keywords=Ingrown+Hair%2FSplinter+Tweezer&amp;qid=1695565666&amp;sr=8-10", "https://www.amazon.com/Tweezer-Slant-Eyebrow-Tweezers-Women/dp/B09B188J6H/ref=sr_1_10?keywords=Ingrown+Hair%2FSplinter+Tweezer&amp;qid=1695565666&amp;sr=8-10")</f>
        <v/>
      </c>
      <c r="F3743" t="inlineStr">
        <is>
          <t>B09B188J6H</t>
        </is>
      </c>
      <c r="G3743">
        <f>_xlfn.IMAGE("https://camerareadycosmetics.com/cdn/shop/products/ingrown-hair_50x.jpg?v=1506741099")</f>
        <v/>
      </c>
      <c r="H3743">
        <f>_xlfn.IMAGE("https://m.media-amazon.com/images/I/71d1QY5YbWL._AC_UL320_.jpg")</f>
        <v/>
      </c>
      <c r="K3743" t="inlineStr">
        <is>
          <t>18.0</t>
        </is>
      </c>
      <c r="L3743" t="n">
        <v>7.25</v>
      </c>
      <c r="M3743" s="1" t="inlineStr">
        <is>
          <t>-59.72%</t>
        </is>
      </c>
      <c r="N3743" t="n">
        <v>4.4</v>
      </c>
      <c r="O3743" t="n">
        <v>59454</v>
      </c>
      <c r="Q3743" t="inlineStr">
        <is>
          <t>InStock</t>
        </is>
      </c>
      <c r="R3743" t="inlineStr">
        <is>
          <t>undefined</t>
        </is>
      </c>
      <c r="S3743" t="inlineStr">
        <is>
          <t>9564786954</t>
        </is>
      </c>
    </row>
    <row r="3744" ht="75" customHeight="1">
      <c r="A3744" s="2">
        <f>HYPERLINK("https://camerareadycosmetics.com/products/tweezerman-ingrown-hair-splinter-tweezer", "https://camerareadycosmetics.com/products/tweezerman-ingrown-hair-splinter-tweezer")</f>
        <v/>
      </c>
      <c r="B3744" s="2">
        <f>HYPERLINK("https://camerareadycosmetics.com/products/tweezerman-ingrown-hair-splinter-tweezer", "https://camerareadycosmetics.com/products/tweezerman-ingrown-hair-splinter-tweezer")</f>
        <v/>
      </c>
      <c r="C3744" t="inlineStr">
        <is>
          <t>Ingrown Hair/Splinter Tweezer</t>
        </is>
      </c>
      <c r="D3744" t="inlineStr">
        <is>
          <t>Ingrown Hair Tweezers | Pointed Tip | Black |Precision Stainless Steel | Extra Sharp and Perfectly Aligned for Ingrown Hair Treatment &amp; Splinter Removal For Men and Women | By Tweezees</t>
        </is>
      </c>
      <c r="E3744" s="2">
        <f>HYPERLINK("https://www.amazon.com/Tweezees-Professional-Precision-Stainless-Perfectly/dp/B01C34RBM0/ref=sr_1_5?keywords=Ingrown+Hair%2FSplinter+Tweezer&amp;qid=1695565666&amp;sr=8-5", "https://www.amazon.com/Tweezees-Professional-Precision-Stainless-Perfectly/dp/B01C34RBM0/ref=sr_1_5?keywords=Ingrown+Hair%2FSplinter+Tweezer&amp;qid=1695565666&amp;sr=8-5")</f>
        <v/>
      </c>
      <c r="F3744" t="inlineStr">
        <is>
          <t>B01C34RBM0</t>
        </is>
      </c>
      <c r="G3744">
        <f>_xlfn.IMAGE("https://camerareadycosmetics.com/cdn/shop/products/ingrown-hair_50x.jpg?v=1506741099")</f>
        <v/>
      </c>
      <c r="H3744">
        <f>_xlfn.IMAGE("https://m.media-amazon.com/images/I/61vUITnqnVL._AC_UL320_.jpg")</f>
        <v/>
      </c>
      <c r="K3744" t="inlineStr">
        <is>
          <t>18.0</t>
        </is>
      </c>
      <c r="L3744" t="n">
        <v>6.23</v>
      </c>
      <c r="M3744" s="1" t="inlineStr">
        <is>
          <t>-65.39%</t>
        </is>
      </c>
      <c r="N3744" t="n">
        <v>4.4</v>
      </c>
      <c r="O3744" t="n">
        <v>893</v>
      </c>
      <c r="Q3744" t="inlineStr">
        <is>
          <t>InStock</t>
        </is>
      </c>
      <c r="R3744" t="inlineStr">
        <is>
          <t>undefined</t>
        </is>
      </c>
      <c r="S3744" t="inlineStr">
        <is>
          <t>9564786954</t>
        </is>
      </c>
    </row>
    <row r="3745" ht="75" customHeight="1">
      <c r="A3745" s="2">
        <f>HYPERLINK("https://camerareadycosmetics.com/products/tweezerman-ingrown-hair-splinter-tweezer", "https://camerareadycosmetics.com/products/tweezerman-ingrown-hair-splinter-tweezer")</f>
        <v/>
      </c>
      <c r="B3745" s="2">
        <f>HYPERLINK("https://camerareadycosmetics.com/products/tweezerman-ingrown-hair-splinter-tweezer", "https://camerareadycosmetics.com/products/tweezerman-ingrown-hair-splinter-tweezer")</f>
        <v/>
      </c>
      <c r="C3745" t="inlineStr">
        <is>
          <t>Ingrown Hair/Splinter Tweezer</t>
        </is>
      </c>
      <c r="D3745" t="inlineStr">
        <is>
          <t>3 Pieces Ingrown Hair Tweezers Stainless Steel Splinter Tweezers Pointed Blackhead Remover Precision Eyebrow Tweezers for Facial Hair, Ingrown Hair, Splinter and Blackhead Remover (Silver)</t>
        </is>
      </c>
      <c r="E3745" s="2">
        <f>HYPERLINK("https://www.amazon.com/Tweezers-Stainless-Splinter-Blackhead-Precision/dp/B08NXJ9R87/ref=sr_1_6?keywords=Ingrown+Hair%2FSplinter+Tweezer&amp;qid=1695565666&amp;sr=8-6", "https://www.amazon.com/Tweezers-Stainless-Splinter-Blackhead-Precision/dp/B08NXJ9R87/ref=sr_1_6?keywords=Ingrown+Hair%2FSplinter+Tweezer&amp;qid=1695565666&amp;sr=8-6")</f>
        <v/>
      </c>
      <c r="F3745" t="inlineStr">
        <is>
          <t>B08NXJ9R87</t>
        </is>
      </c>
      <c r="G3745">
        <f>_xlfn.IMAGE("https://camerareadycosmetics.com/cdn/shop/products/ingrown-hair_50x.jpg?v=1506741099")</f>
        <v/>
      </c>
      <c r="H3745">
        <f>_xlfn.IMAGE("https://m.media-amazon.com/images/I/615Ws8UGawL._AC_UL320_.jpg")</f>
        <v/>
      </c>
      <c r="K3745" t="inlineStr">
        <is>
          <t>18.0</t>
        </is>
      </c>
      <c r="L3745" t="n">
        <v>5.99</v>
      </c>
      <c r="M3745" s="1" t="inlineStr">
        <is>
          <t>-66.72%</t>
        </is>
      </c>
      <c r="N3745" t="n">
        <v>4</v>
      </c>
      <c r="O3745" t="n">
        <v>204</v>
      </c>
      <c r="Q3745" t="inlineStr">
        <is>
          <t>InStock</t>
        </is>
      </c>
      <c r="R3745" t="inlineStr">
        <is>
          <t>undefined</t>
        </is>
      </c>
      <c r="S3745" t="inlineStr">
        <is>
          <t>9564786954</t>
        </is>
      </c>
    </row>
    <row r="3746" ht="75" customHeight="1">
      <c r="A3746" s="2">
        <f>HYPERLINK("https://camerareadycosmetics.com/products/tweezerman-ingrown-hair-splinter-tweezer", "https://camerareadycosmetics.com/products/tweezerman-ingrown-hair-splinter-tweezer")</f>
        <v/>
      </c>
      <c r="B3746" s="2">
        <f>HYPERLINK("https://camerareadycosmetics.com/products/tweezerman-ingrown-hair-splinter-tweezer", "https://camerareadycosmetics.com/products/tweezerman-ingrown-hair-splinter-tweezer")</f>
        <v/>
      </c>
      <c r="C3746" t="inlineStr">
        <is>
          <t>Ingrown Hair/Splinter Tweezer</t>
        </is>
      </c>
      <c r="D3746" t="inlineStr">
        <is>
          <t>Tweezers Set, 4Pcs Tweezers for Women with Travel Leather Case, Professional Stainless Steel Eyebrows Tweezers, Great Precision Tweezers for Ingrown Hair, Facial Hair, Splinter Removal (Multi-Color)</t>
        </is>
      </c>
      <c r="E3746" s="2">
        <f>HYPERLINK("https://www.amazon.com/Tweezers-Set-Professional-Stainless-Multi-Color/dp/B09VX3GKFZ/ref=sr_1_4?keywords=Ingrown+Hair%2FSplinter+Tweezer&amp;qid=1695565666&amp;sr=8-4", "https://www.amazon.com/Tweezers-Set-Professional-Stainless-Multi-Color/dp/B09VX3GKFZ/ref=sr_1_4?keywords=Ingrown+Hair%2FSplinter+Tweezer&amp;qid=1695565666&amp;sr=8-4")</f>
        <v/>
      </c>
      <c r="F3746" t="inlineStr">
        <is>
          <t>B09VX3GKFZ</t>
        </is>
      </c>
      <c r="G3746">
        <f>_xlfn.IMAGE("https://camerareadycosmetics.com/cdn/shop/products/ingrown-hair_50x.jpg?v=1506741099")</f>
        <v/>
      </c>
      <c r="H3746">
        <f>_xlfn.IMAGE("https://m.media-amazon.com/images/I/71fhS2LRcRL._AC_UL320_.jpg")</f>
        <v/>
      </c>
      <c r="K3746" t="inlineStr">
        <is>
          <t>18.0</t>
        </is>
      </c>
      <c r="L3746" t="n">
        <v>4.29</v>
      </c>
      <c r="M3746" s="1" t="inlineStr">
        <is>
          <t>-76.17%</t>
        </is>
      </c>
      <c r="N3746" t="n">
        <v>4.5</v>
      </c>
      <c r="O3746" t="n">
        <v>1931</v>
      </c>
      <c r="Q3746" t="inlineStr">
        <is>
          <t>InStock</t>
        </is>
      </c>
      <c r="R3746" t="inlineStr">
        <is>
          <t>undefined</t>
        </is>
      </c>
      <c r="S3746" t="inlineStr">
        <is>
          <t>9564786954</t>
        </is>
      </c>
    </row>
    <row r="3747" ht="75" customHeight="1">
      <c r="A3747" s="2">
        <f>HYPERLINK("https://camerareadycosmetics.com/products/tweezerman-point-tweezer-classic", "https://camerareadycosmetics.com/products/tweezerman-point-tweezer-classic")</f>
        <v/>
      </c>
      <c r="B3747" s="2">
        <f>HYPERLINK("https://camerareadycosmetics.com/products/tweezerman-point-tweezer-classic", "https://camerareadycosmetics.com/products/tweezerman-point-tweezer-classic")</f>
        <v/>
      </c>
      <c r="C3747" t="inlineStr">
        <is>
          <t>Point Tweezer</t>
        </is>
      </c>
      <c r="D3747" t="inlineStr">
        <is>
          <t>Tweezerman Point Tweezer - Model No. 24-BR, Midnight Sky, 1 Count</t>
        </is>
      </c>
      <c r="E3747" s="2">
        <f>HYPERLINK("https://www.amazon.com/Tweezerman-Point-Tweezer-Midnight-Sky/dp/B000WHWF9A/ref=sr_1_4?keywords=Point+Tweezer&amp;qid=1695565769&amp;sr=8-4", "https://www.amazon.com/Tweezerman-Point-Tweezer-Midnight-Sky/dp/B000WHWF9A/ref=sr_1_4?keywords=Point+Tweezer&amp;qid=1695565769&amp;sr=8-4")</f>
        <v/>
      </c>
      <c r="F3747" t="inlineStr">
        <is>
          <t>B000WHWF9A</t>
        </is>
      </c>
      <c r="G3747">
        <f>_xlfn.IMAGE("https://camerareadycosmetics.com/cdn/shop/products/slcm177cqqo0gtt1nqrn_1_1_50x.jpg?v=1602310041")</f>
        <v/>
      </c>
      <c r="H3747">
        <f>_xlfn.IMAGE("https://m.media-amazon.com/images/I/41yPPfyXKHL._AC_UL320_.jpg")</f>
        <v/>
      </c>
      <c r="K3747" t="inlineStr">
        <is>
          <t>24.5</t>
        </is>
      </c>
      <c r="L3747" t="n">
        <v>15.76</v>
      </c>
      <c r="M3747" s="1" t="inlineStr">
        <is>
          <t>-35.67%</t>
        </is>
      </c>
      <c r="N3747" t="n">
        <v>4.3</v>
      </c>
      <c r="O3747" t="n">
        <v>3371</v>
      </c>
      <c r="Q3747" t="inlineStr">
        <is>
          <t>InStock</t>
        </is>
      </c>
      <c r="R3747" t="inlineStr">
        <is>
          <t>undefined</t>
        </is>
      </c>
      <c r="S3747" t="inlineStr">
        <is>
          <t>9564741642</t>
        </is>
      </c>
    </row>
    <row r="3748" ht="75" customHeight="1">
      <c r="A3748" s="2">
        <f>HYPERLINK("https://camerareadycosmetics.com/products/tweezerman-point-tweezer-classic", "https://camerareadycosmetics.com/products/tweezerman-point-tweezer-classic")</f>
        <v/>
      </c>
      <c r="B3748" s="2">
        <f>HYPERLINK("https://camerareadycosmetics.com/products/tweezerman-point-tweezer-classic", "https://camerareadycosmetics.com/products/tweezerman-point-tweezer-classic")</f>
        <v/>
      </c>
      <c r="C3748" t="inlineStr">
        <is>
          <t>Point Tweezer</t>
        </is>
      </c>
      <c r="D3748" t="inlineStr">
        <is>
          <t>Tweezerman Stainless Steel Point Tweezer in Assorted Colors</t>
        </is>
      </c>
      <c r="E3748" s="2">
        <f>HYPERLINK("https://www.amazon.com/Tweezerman-Stainless-Tweezer-Assorted-Colors/dp/B000782SQY/ref=sr_1_6?keywords=Point+Tweezer&amp;qid=1695565769&amp;sr=8-6", "https://www.amazon.com/Tweezerman-Stainless-Tweezer-Assorted-Colors/dp/B000782SQY/ref=sr_1_6?keywords=Point+Tweezer&amp;qid=1695565769&amp;sr=8-6")</f>
        <v/>
      </c>
      <c r="F3748" t="inlineStr">
        <is>
          <t>B000782SQY</t>
        </is>
      </c>
      <c r="G3748">
        <f>_xlfn.IMAGE("https://camerareadycosmetics.com/cdn/shop/products/slcm177cqqo0gtt1nqrn_1_1_50x.jpg?v=1602310041")</f>
        <v/>
      </c>
      <c r="H3748">
        <f>_xlfn.IMAGE("https://m.media-amazon.com/images/I/619P46bhi3L._AC_UL320_.jpg")</f>
        <v/>
      </c>
      <c r="K3748" t="inlineStr">
        <is>
          <t>24.5</t>
        </is>
      </c>
      <c r="L3748" t="n">
        <v>15.2</v>
      </c>
      <c r="M3748" s="1" t="inlineStr">
        <is>
          <t>-37.96%</t>
        </is>
      </c>
      <c r="N3748" t="n">
        <v>4.4</v>
      </c>
      <c r="O3748" t="n">
        <v>2066</v>
      </c>
      <c r="Q3748" t="inlineStr">
        <is>
          <t>InStock</t>
        </is>
      </c>
      <c r="R3748" t="inlineStr">
        <is>
          <t>undefined</t>
        </is>
      </c>
      <c r="S3748" t="inlineStr">
        <is>
          <t>9564741642</t>
        </is>
      </c>
    </row>
    <row r="3749" ht="75" customHeight="1">
      <c r="A3749" s="2">
        <f>HYPERLINK("https://camerareadycosmetics.com/products/tweezerman-point-tweezer-classic", "https://camerareadycosmetics.com/products/tweezerman-point-tweezer-classic")</f>
        <v/>
      </c>
      <c r="B3749" s="2">
        <f>HYPERLINK("https://camerareadycosmetics.com/products/tweezerman-point-tweezer-classic", "https://camerareadycosmetics.com/products/tweezerman-point-tweezer-classic")</f>
        <v/>
      </c>
      <c r="C3749" t="inlineStr">
        <is>
          <t>Point Tweezer</t>
        </is>
      </c>
      <c r="D3749" t="inlineStr">
        <is>
          <t>By MILLY Pointed Tweezers - Hammer Forged 100% German Steel, Point-Tip Precision Tweezers for Ingrown Hair, Eyebrows, Facial Hair, Splinters, Glass Removal - Perfectly Aligned, Hand-Filed - Silver</t>
        </is>
      </c>
      <c r="E3749" s="2">
        <f>HYPERLINK("https://www.amazon.com/Stainless-Perfectly-Hand-Filed-Precision-Splinters/dp/B07KJL5CVG/ref=sr_1_5?keywords=Point+Tweezer&amp;qid=1695565769&amp;sr=8-5", "https://www.amazon.com/Stainless-Perfectly-Hand-Filed-Precision-Splinters/dp/B07KJL5CVG/ref=sr_1_5?keywords=Point+Tweezer&amp;qid=1695565769&amp;sr=8-5")</f>
        <v/>
      </c>
      <c r="F3749" t="inlineStr">
        <is>
          <t>B07KJL5CVG</t>
        </is>
      </c>
      <c r="G3749">
        <f>_xlfn.IMAGE("https://camerareadycosmetics.com/cdn/shop/products/slcm177cqqo0gtt1nqrn_1_1_50x.jpg?v=1602310041")</f>
        <v/>
      </c>
      <c r="H3749">
        <f>_xlfn.IMAGE("https://m.media-amazon.com/images/I/81x57CjgJaL._AC_UL320_.jpg")</f>
        <v/>
      </c>
      <c r="K3749" t="inlineStr">
        <is>
          <t>24.5</t>
        </is>
      </c>
      <c r="L3749" t="n">
        <v>12.99</v>
      </c>
      <c r="M3749" s="1" t="inlineStr">
        <is>
          <t>-46.98%</t>
        </is>
      </c>
      <c r="N3749" t="n">
        <v>4.6</v>
      </c>
      <c r="O3749" t="n">
        <v>1678</v>
      </c>
      <c r="Q3749" t="inlineStr">
        <is>
          <t>InStock</t>
        </is>
      </c>
      <c r="R3749" t="inlineStr">
        <is>
          <t>undefined</t>
        </is>
      </c>
      <c r="S3749" t="inlineStr">
        <is>
          <t>9564741642</t>
        </is>
      </c>
    </row>
    <row r="3750" ht="75" customHeight="1">
      <c r="A3750" s="2">
        <f>HYPERLINK("https://camerareadycosmetics.com/products/tweezerman-point-tweezer-classic", "https://camerareadycosmetics.com/products/tweezerman-point-tweezer-classic")</f>
        <v/>
      </c>
      <c r="B3750" s="2">
        <f>HYPERLINK("https://camerareadycosmetics.com/products/tweezerman-point-tweezer-classic", "https://camerareadycosmetics.com/products/tweezerman-point-tweezer-classic")</f>
        <v/>
      </c>
      <c r="C3750" t="inlineStr">
        <is>
          <t>Point Tweezer</t>
        </is>
      </c>
      <c r="D3750" t="inlineStr">
        <is>
          <t>Tweezer Guru Pointed Tweezers - Sharp Precision Needle Nose Tip, Best Tweezers for Eyebrows and Ingrown Hair, Surgical Pointed for Blackheads &amp; Splinters (Black)</t>
        </is>
      </c>
      <c r="E3750" s="2">
        <f>HYPERLINK("https://www.amazon.com/Tweezers-Ingrown-Hair-TweezerGuru-Professional/dp/B012X2ZNOA/ref=sr_1_2?keywords=Point+Tweezer&amp;qid=1695565769&amp;sr=8-2", "https://www.amazon.com/Tweezers-Ingrown-Hair-TweezerGuru-Professional/dp/B012X2ZNOA/ref=sr_1_2?keywords=Point+Tweezer&amp;qid=1695565769&amp;sr=8-2")</f>
        <v/>
      </c>
      <c r="F3750" t="inlineStr">
        <is>
          <t>B012X2ZNOA</t>
        </is>
      </c>
      <c r="G3750">
        <f>_xlfn.IMAGE("https://camerareadycosmetics.com/cdn/shop/products/slcm177cqqo0gtt1nqrn_1_1_50x.jpg?v=1602310041")</f>
        <v/>
      </c>
      <c r="H3750">
        <f>_xlfn.IMAGE("https://m.media-amazon.com/images/I/61rMZ1ku6qS._AC_UL320_.jpg")</f>
        <v/>
      </c>
      <c r="K3750" t="inlineStr">
        <is>
          <t>24.5</t>
        </is>
      </c>
      <c r="L3750" t="n">
        <v>7.49</v>
      </c>
      <c r="M3750" s="1" t="inlineStr">
        <is>
          <t>-69.43%</t>
        </is>
      </c>
      <c r="N3750" t="n">
        <v>4.3</v>
      </c>
      <c r="O3750" t="n">
        <v>10440</v>
      </c>
      <c r="Q3750" t="inlineStr">
        <is>
          <t>InStock</t>
        </is>
      </c>
      <c r="R3750" t="inlineStr">
        <is>
          <t>undefined</t>
        </is>
      </c>
      <c r="S3750" t="inlineStr">
        <is>
          <t>9564741642</t>
        </is>
      </c>
    </row>
    <row r="3751" ht="75" customHeight="1">
      <c r="A3751" s="2">
        <f>HYPERLINK("https://camerareadycosmetics.com/products/tweezerman-point-tweezer-classic", "https://camerareadycosmetics.com/products/tweezerman-point-tweezer-classic")</f>
        <v/>
      </c>
      <c r="B3751" s="2">
        <f>HYPERLINK("https://camerareadycosmetics.com/products/tweezerman-point-tweezer-classic", "https://camerareadycosmetics.com/products/tweezerman-point-tweezer-classic")</f>
        <v/>
      </c>
      <c r="C3751" t="inlineStr">
        <is>
          <t>Point Tweezer</t>
        </is>
      </c>
      <c r="D3751" t="inlineStr">
        <is>
          <t>Sally Hansen Stray Hair Beware-Needle Point Tip Tweezer</t>
        </is>
      </c>
      <c r="E3751" s="2">
        <f>HYPERLINK("https://www.amazon.com/Sally-Hansen-Stray-Beware-Needle-Tweezer/dp/B004KS2V9G/ref=sr_1_9?keywords=Point+Tweezer&amp;qid=1695565769&amp;sr=8-9", "https://www.amazon.com/Sally-Hansen-Stray-Beware-Needle-Tweezer/dp/B004KS2V9G/ref=sr_1_9?keywords=Point+Tweezer&amp;qid=1695565769&amp;sr=8-9")</f>
        <v/>
      </c>
      <c r="F3751" t="inlineStr">
        <is>
          <t>B004KS2V9G</t>
        </is>
      </c>
      <c r="G3751">
        <f>_xlfn.IMAGE("https://camerareadycosmetics.com/cdn/shop/products/slcm177cqqo0gtt1nqrn_1_1_50x.jpg?v=1602310041")</f>
        <v/>
      </c>
      <c r="H3751">
        <f>_xlfn.IMAGE("https://m.media-amazon.com/images/I/71FtuyJKGOL._AC_UL320_.jpg")</f>
        <v/>
      </c>
      <c r="K3751" t="inlineStr">
        <is>
          <t>24.5</t>
        </is>
      </c>
      <c r="L3751" t="n">
        <v>7.22</v>
      </c>
      <c r="M3751" s="1" t="inlineStr">
        <is>
          <t>-70.53%</t>
        </is>
      </c>
      <c r="N3751" t="n">
        <v>4.1</v>
      </c>
      <c r="O3751" t="n">
        <v>452</v>
      </c>
      <c r="Q3751" t="inlineStr">
        <is>
          <t>InStock</t>
        </is>
      </c>
      <c r="R3751" t="inlineStr">
        <is>
          <t>undefined</t>
        </is>
      </c>
      <c r="S3751" t="inlineStr">
        <is>
          <t>9564741642</t>
        </is>
      </c>
    </row>
    <row r="3752" ht="75" customHeight="1">
      <c r="A3752" s="2">
        <f>HYPERLINK("https://camerareadycosmetics.com/products/tweezerman-point-tweezer-classic", "https://camerareadycosmetics.com/products/tweezerman-point-tweezer-classic")</f>
        <v/>
      </c>
      <c r="B3752" s="2">
        <f>HYPERLINK("https://camerareadycosmetics.com/products/tweezerman-point-tweezer-classic", "https://camerareadycosmetics.com/products/tweezerman-point-tweezer-classic")</f>
        <v/>
      </c>
      <c r="C3752" t="inlineStr">
        <is>
          <t>Point Tweezer</t>
        </is>
      </c>
      <c r="D3752" t="inlineStr">
        <is>
          <t>3 Pieces Straight Pointed Tip Tweezers Isolating Tweezers Eyelash Extensions Tweezers Lash Tweezers Pointed Blackhead Remover Precision Eyebrow Splinter (Classic Style,5.31 Inch)</t>
        </is>
      </c>
      <c r="E3752" s="2">
        <f>HYPERLINK("https://www.amazon.com/Isolating-Extensions-Individual-Stainless-Blackhead/dp/B08VRMNZZH/ref=sr_1_10?keywords=Point+Tweezer&amp;qid=1695565769&amp;sr=8-10", "https://www.amazon.com/Isolating-Extensions-Individual-Stainless-Blackhead/dp/B08VRMNZZH/ref=sr_1_10?keywords=Point+Tweezer&amp;qid=1695565769&amp;sr=8-10")</f>
        <v/>
      </c>
      <c r="F3752" t="inlineStr">
        <is>
          <t>B08VRMNZZH</t>
        </is>
      </c>
      <c r="G3752">
        <f>_xlfn.IMAGE("https://camerareadycosmetics.com/cdn/shop/products/slcm177cqqo0gtt1nqrn_1_1_50x.jpg?v=1602310041")</f>
        <v/>
      </c>
      <c r="H3752">
        <f>_xlfn.IMAGE("https://m.media-amazon.com/images/I/71CzM-zRwPL._AC_UL320_.jpg")</f>
        <v/>
      </c>
      <c r="K3752" t="inlineStr">
        <is>
          <t>24.5</t>
        </is>
      </c>
      <c r="L3752" t="n">
        <v>5.99</v>
      </c>
      <c r="M3752" s="1" t="inlineStr">
        <is>
          <t>-75.55%</t>
        </is>
      </c>
      <c r="N3752" t="n">
        <v>4.4</v>
      </c>
      <c r="O3752" t="n">
        <v>385</v>
      </c>
      <c r="Q3752" t="inlineStr">
        <is>
          <t>InStock</t>
        </is>
      </c>
      <c r="R3752" t="inlineStr">
        <is>
          <t>undefined</t>
        </is>
      </c>
      <c r="S3752" t="inlineStr">
        <is>
          <t>9564741642</t>
        </is>
      </c>
    </row>
    <row r="3753" ht="75" customHeight="1">
      <c r="A3753" s="2">
        <f>HYPERLINK("https://camerareadycosmetics.com/products/tweezerman-point-tweezer-classic", "https://camerareadycosmetics.com/products/tweezerman-point-tweezer-classic")</f>
        <v/>
      </c>
      <c r="B3753" s="2">
        <f>HYPERLINK("https://camerareadycosmetics.com/products/tweezerman-point-tweezer-classic", "https://camerareadycosmetics.com/products/tweezerman-point-tweezer-classic")</f>
        <v/>
      </c>
      <c r="C3753" t="inlineStr">
        <is>
          <t>Point Tweezer</t>
        </is>
      </c>
      <c r="D3753" t="inlineStr">
        <is>
          <t>DEMI ROSE Pointed Tweezers Precision - 100% Stainless Steel Ingrown Hair Tweezers for Women Facial Hair - Sharp Fine Point Tip Tweezers for Splinter Removal (Pumpkin Orange)</t>
        </is>
      </c>
      <c r="E3753" s="2">
        <f>HYPERLINK("https://www.amazon.com/DEMI-ROSE-Pointed-Tweezers-Precision/dp/B0C65H46R8/ref=sr_1_8?keywords=Point+Tweezer&amp;qid=1695565769&amp;sr=8-8", "https://www.amazon.com/DEMI-ROSE-Pointed-Tweezers-Precision/dp/B0C65H46R8/ref=sr_1_8?keywords=Point+Tweezer&amp;qid=1695565769&amp;sr=8-8")</f>
        <v/>
      </c>
      <c r="F3753" t="inlineStr">
        <is>
          <t>B0C65H46R8</t>
        </is>
      </c>
      <c r="G3753">
        <f>_xlfn.IMAGE("https://camerareadycosmetics.com/cdn/shop/products/slcm177cqqo0gtt1nqrn_1_1_50x.jpg?v=1602310041")</f>
        <v/>
      </c>
      <c r="H3753">
        <f>_xlfn.IMAGE("https://m.media-amazon.com/images/I/61Bs6yU5StL._AC_UL320_.jpg")</f>
        <v/>
      </c>
      <c r="K3753" t="inlineStr">
        <is>
          <t>24.5</t>
        </is>
      </c>
      <c r="L3753" t="n">
        <v>5.99</v>
      </c>
      <c r="M3753" s="1" t="inlineStr">
        <is>
          <t>-75.55%</t>
        </is>
      </c>
      <c r="N3753" t="n">
        <v>4.6</v>
      </c>
      <c r="O3753" t="n">
        <v>51</v>
      </c>
      <c r="Q3753" t="inlineStr">
        <is>
          <t>InStock</t>
        </is>
      </c>
      <c r="R3753" t="inlineStr">
        <is>
          <t>undefined</t>
        </is>
      </c>
      <c r="S3753" t="inlineStr">
        <is>
          <t>9564741642</t>
        </is>
      </c>
    </row>
    <row r="3754" ht="75" customHeight="1">
      <c r="A3754" s="2">
        <f>HYPERLINK("https://camerareadycosmetics.com/products/tweezerman-point-tweezer-classic", "https://camerareadycosmetics.com/products/tweezerman-point-tweezer-classic")</f>
        <v/>
      </c>
      <c r="B3754" s="2">
        <f>HYPERLINK("https://camerareadycosmetics.com/products/tweezerman-point-tweezer-classic", "https://camerareadycosmetics.com/products/tweezerman-point-tweezer-classic")</f>
        <v/>
      </c>
      <c r="C3754" t="inlineStr">
        <is>
          <t>Point Tweezer</t>
        </is>
      </c>
      <c r="D3754" t="inlineStr">
        <is>
          <t>DEMI ROSE Pointed Tweezers Precision - 100% Stainless Steel Ingrown Hair Tweezers for Women Facial Hair - Sharp Fine Point Tip Tweezers for Splinter Removal (Black Coated)</t>
        </is>
      </c>
      <c r="E3754" s="2">
        <f>HYPERLINK("https://www.amazon.com/DEMI-ROSE-Pointed-Tweezers-Precision/dp/B0C4CFKCSG/ref=sr_1_1?keywords=Point+Tweezer&amp;qid=1695565769&amp;sr=8-1", "https://www.amazon.com/DEMI-ROSE-Pointed-Tweezers-Precision/dp/B0C4CFKCSG/ref=sr_1_1?keywords=Point+Tweezer&amp;qid=1695565769&amp;sr=8-1")</f>
        <v/>
      </c>
      <c r="F3754" t="inlineStr">
        <is>
          <t>B0C4CFKCSG</t>
        </is>
      </c>
      <c r="G3754">
        <f>_xlfn.IMAGE("https://camerareadycosmetics.com/cdn/shop/products/slcm177cqqo0gtt1nqrn_1_1_50x.jpg?v=1602310041")</f>
        <v/>
      </c>
      <c r="H3754">
        <f>_xlfn.IMAGE("https://m.media-amazon.com/images/I/61c78GGUcsL._AC_UL320_.jpg")</f>
        <v/>
      </c>
      <c r="K3754" t="inlineStr">
        <is>
          <t>24.5</t>
        </is>
      </c>
      <c r="L3754" t="n">
        <v>5.99</v>
      </c>
      <c r="M3754" s="1" t="inlineStr">
        <is>
          <t>-75.55%</t>
        </is>
      </c>
      <c r="N3754" t="n">
        <v>4.5</v>
      </c>
      <c r="O3754" t="n">
        <v>173</v>
      </c>
      <c r="Q3754" t="inlineStr">
        <is>
          <t>InStock</t>
        </is>
      </c>
      <c r="R3754" t="inlineStr">
        <is>
          <t>undefined</t>
        </is>
      </c>
      <c r="S3754" t="inlineStr">
        <is>
          <t>9564741642</t>
        </is>
      </c>
    </row>
    <row r="3755" ht="75" customHeight="1">
      <c r="A3755" s="2">
        <f>HYPERLINK("https://camerareadycosmetics.com/products/tweezerman-point-tweezer-classic", "https://camerareadycosmetics.com/products/tweezerman-point-tweezer-classic")</f>
        <v/>
      </c>
      <c r="B3755" s="2">
        <f>HYPERLINK("https://camerareadycosmetics.com/products/tweezerman-point-tweezer-classic", "https://camerareadycosmetics.com/products/tweezerman-point-tweezer-classic")</f>
        <v/>
      </c>
      <c r="C3755" t="inlineStr">
        <is>
          <t>Point Tweezer</t>
        </is>
      </c>
      <c r="D3755" t="inlineStr">
        <is>
          <t>Revlon Gold Series Titanium Coated Point Tweezer</t>
        </is>
      </c>
      <c r="E3755" s="2">
        <f>HYPERLINK("https://www.amazon.com/Revlon-Tweezers-Titanium-Coated-Point/dp/B01LWMQ4MN/ref=sr_1_3?keywords=Point+Tweezer&amp;qid=1695565769&amp;sr=8-3", "https://www.amazon.com/Revlon-Tweezers-Titanium-Coated-Point/dp/B01LWMQ4MN/ref=sr_1_3?keywords=Point+Tweezer&amp;qid=1695565769&amp;sr=8-3")</f>
        <v/>
      </c>
      <c r="F3755" t="inlineStr">
        <is>
          <t>B01LWMQ4MN</t>
        </is>
      </c>
      <c r="G3755">
        <f>_xlfn.IMAGE("https://camerareadycosmetics.com/cdn/shop/products/slcm177cqqo0gtt1nqrn_1_1_50x.jpg?v=1602310041")</f>
        <v/>
      </c>
      <c r="H3755">
        <f>_xlfn.IMAGE("https://m.media-amazon.com/images/I/71mmw1K2arL._AC_UL320_.jpg")</f>
        <v/>
      </c>
      <c r="K3755" t="inlineStr">
        <is>
          <t>24.5</t>
        </is>
      </c>
      <c r="L3755" t="n">
        <v>5.59</v>
      </c>
      <c r="M3755" s="1" t="inlineStr">
        <is>
          <t>-77.18%</t>
        </is>
      </c>
      <c r="N3755" t="n">
        <v>3.4</v>
      </c>
      <c r="O3755" t="n">
        <v>622</v>
      </c>
      <c r="Q3755" t="inlineStr">
        <is>
          <t>InStock</t>
        </is>
      </c>
      <c r="R3755" t="inlineStr">
        <is>
          <t>undefined</t>
        </is>
      </c>
      <c r="S3755" t="inlineStr">
        <is>
          <t>9564741642</t>
        </is>
      </c>
    </row>
    <row r="3756" ht="75" customHeight="1">
      <c r="A3756" s="2">
        <f>HYPERLINK("https://camerareadycosmetics.com/products/tweezerman-point-tweezer-classic", "https://camerareadycosmetics.com/products/tweezerman-point-tweezer-classic")</f>
        <v/>
      </c>
      <c r="B3756" s="2">
        <f>HYPERLINK("https://camerareadycosmetics.com/products/tweezerman-point-tweezer-classic", "https://camerareadycosmetics.com/products/tweezerman-point-tweezer-classic")</f>
        <v/>
      </c>
      <c r="C3756" t="inlineStr">
        <is>
          <t>Point Tweezer</t>
        </is>
      </c>
      <c r="D3756" t="inlineStr">
        <is>
          <t>Tweezer Guru Pointed Tweezers - Sharp Precision Needle Nose Tip, Best Tweezers for Eyebrows and Ingrown Hair, Surgical Pointed for Blackheads &amp; Splinters (Black)</t>
        </is>
      </c>
      <c r="E3756" s="2">
        <f>HYPERLINK("https://www.amazon.com/Tweezers-Ingrown-Hair-TweezerGuru-Professional/dp/B012X2ZNOA/ref=sr_1_2?keywords=Point+Tweezer&amp;qid=1695565769&amp;sr=8-2", "https://www.amazon.com/Tweezers-Ingrown-Hair-TweezerGuru-Professional/dp/B012X2ZNOA/ref=sr_1_2?keywords=Point+Tweezer&amp;qid=1695565769&amp;sr=8-2")</f>
        <v/>
      </c>
      <c r="F3756" t="inlineStr">
        <is>
          <t>B012X2ZNOA</t>
        </is>
      </c>
      <c r="G3756">
        <f>_xlfn.IMAGE("https://camerareadycosmetics.com/cdn/shop/products/slcm177cqqo0gtt1nqrn_1_1_50x.jpg?v=1602310041")</f>
        <v/>
      </c>
      <c r="H3756">
        <f>_xlfn.IMAGE("https://m.media-amazon.com/images/I/61rMZ1ku6qS._AC_UL320_.jpg")</f>
        <v/>
      </c>
      <c r="K3756" t="inlineStr">
        <is>
          <t>24.5</t>
        </is>
      </c>
      <c r="L3756" t="n">
        <v>7.49</v>
      </c>
      <c r="M3756" s="1" t="inlineStr">
        <is>
          <t>-69.43%</t>
        </is>
      </c>
      <c r="N3756" t="n">
        <v>4.3</v>
      </c>
      <c r="O3756" t="n">
        <v>10440</v>
      </c>
      <c r="Q3756" t="inlineStr">
        <is>
          <t>InStock</t>
        </is>
      </c>
      <c r="R3756" t="inlineStr">
        <is>
          <t>undefined</t>
        </is>
      </c>
      <c r="S3756" t="inlineStr">
        <is>
          <t>9564741642</t>
        </is>
      </c>
    </row>
    <row r="3757" ht="75" customHeight="1">
      <c r="A3757" s="2">
        <f>HYPERLINK("https://camerareadycosmetics.com/products/tweezerman-point-tweezer-classic", "https://camerareadycosmetics.com/products/tweezerman-point-tweezer-classic")</f>
        <v/>
      </c>
      <c r="B3757" s="2">
        <f>HYPERLINK("https://camerareadycosmetics.com/products/tweezerman-point-tweezer-classic", "https://camerareadycosmetics.com/products/tweezerman-point-tweezer-classic")</f>
        <v/>
      </c>
      <c r="C3757" t="inlineStr">
        <is>
          <t>Point Tweezer</t>
        </is>
      </c>
      <c r="D3757" t="inlineStr">
        <is>
          <t>Sally Hansen Stray Hair Beware-Needle Point Tip Tweezer</t>
        </is>
      </c>
      <c r="E3757" s="2">
        <f>HYPERLINK("https://www.amazon.com/Sally-Hansen-Stray-Beware-Needle-Tweezer/dp/B004KS2V9G/ref=sr_1_9?keywords=Point+Tweezer&amp;qid=1695565769&amp;sr=8-9", "https://www.amazon.com/Sally-Hansen-Stray-Beware-Needle-Tweezer/dp/B004KS2V9G/ref=sr_1_9?keywords=Point+Tweezer&amp;qid=1695565769&amp;sr=8-9")</f>
        <v/>
      </c>
      <c r="F3757" t="inlineStr">
        <is>
          <t>B004KS2V9G</t>
        </is>
      </c>
      <c r="G3757">
        <f>_xlfn.IMAGE("https://camerareadycosmetics.com/cdn/shop/products/slcm177cqqo0gtt1nqrn_1_1_50x.jpg?v=1602310041")</f>
        <v/>
      </c>
      <c r="H3757">
        <f>_xlfn.IMAGE("https://m.media-amazon.com/images/I/71FtuyJKGOL._AC_UL320_.jpg")</f>
        <v/>
      </c>
      <c r="K3757" t="inlineStr">
        <is>
          <t>24.5</t>
        </is>
      </c>
      <c r="L3757" t="n">
        <v>7.22</v>
      </c>
      <c r="M3757" s="1" t="inlineStr">
        <is>
          <t>-70.53%</t>
        </is>
      </c>
      <c r="N3757" t="n">
        <v>4.1</v>
      </c>
      <c r="O3757" t="n">
        <v>452</v>
      </c>
      <c r="Q3757" t="inlineStr">
        <is>
          <t>InStock</t>
        </is>
      </c>
      <c r="R3757" t="inlineStr">
        <is>
          <t>undefined</t>
        </is>
      </c>
      <c r="S3757" t="inlineStr">
        <is>
          <t>9564741642</t>
        </is>
      </c>
    </row>
    <row r="3758" ht="75" customHeight="1">
      <c r="A3758" s="2">
        <f>HYPERLINK("https://camerareadycosmetics.com/products/tweezerman-point-tweezer-classic", "https://camerareadycosmetics.com/products/tweezerman-point-tweezer-classic")</f>
        <v/>
      </c>
      <c r="B3758" s="2">
        <f>HYPERLINK("https://camerareadycosmetics.com/products/tweezerman-point-tweezer-classic", "https://camerareadycosmetics.com/products/tweezerman-point-tweezer-classic")</f>
        <v/>
      </c>
      <c r="C3758" t="inlineStr">
        <is>
          <t>Point Tweezer</t>
        </is>
      </c>
      <c r="D3758" t="inlineStr">
        <is>
          <t>3 Pieces Straight Pointed Tip Tweezers Isolating Tweezers Eyelash Extensions Tweezers Lash Tweezers Pointed Blackhead Remover Precision Eyebrow Splinter (Classic Style,5.31 Inch)</t>
        </is>
      </c>
      <c r="E3758" s="2">
        <f>HYPERLINK("https://www.amazon.com/Isolating-Extensions-Individual-Stainless-Blackhead/dp/B08VRMNZZH/ref=sr_1_10?keywords=Point+Tweezer&amp;qid=1695565769&amp;sr=8-10", "https://www.amazon.com/Isolating-Extensions-Individual-Stainless-Blackhead/dp/B08VRMNZZH/ref=sr_1_10?keywords=Point+Tweezer&amp;qid=1695565769&amp;sr=8-10")</f>
        <v/>
      </c>
      <c r="F3758" t="inlineStr">
        <is>
          <t>B08VRMNZZH</t>
        </is>
      </c>
      <c r="G3758">
        <f>_xlfn.IMAGE("https://camerareadycosmetics.com/cdn/shop/products/slcm177cqqo0gtt1nqrn_1_1_50x.jpg?v=1602310041")</f>
        <v/>
      </c>
      <c r="H3758">
        <f>_xlfn.IMAGE("https://m.media-amazon.com/images/I/71CzM-zRwPL._AC_UL320_.jpg")</f>
        <v/>
      </c>
      <c r="K3758" t="inlineStr">
        <is>
          <t>24.5</t>
        </is>
      </c>
      <c r="L3758" t="n">
        <v>5.99</v>
      </c>
      <c r="M3758" s="1" t="inlineStr">
        <is>
          <t>-75.55%</t>
        </is>
      </c>
      <c r="N3758" t="n">
        <v>4.4</v>
      </c>
      <c r="O3758" t="n">
        <v>385</v>
      </c>
      <c r="Q3758" t="inlineStr">
        <is>
          <t>InStock</t>
        </is>
      </c>
      <c r="R3758" t="inlineStr">
        <is>
          <t>undefined</t>
        </is>
      </c>
      <c r="S3758" t="inlineStr">
        <is>
          <t>9564741642</t>
        </is>
      </c>
    </row>
    <row r="3759" ht="75" customHeight="1">
      <c r="A3759" s="2">
        <f>HYPERLINK("https://camerareadycosmetics.com/products/tweezerman-point-tweezer-classic", "https://camerareadycosmetics.com/products/tweezerman-point-tweezer-classic")</f>
        <v/>
      </c>
      <c r="B3759" s="2">
        <f>HYPERLINK("https://camerareadycosmetics.com/products/tweezerman-point-tweezer-classic", "https://camerareadycosmetics.com/products/tweezerman-point-tweezer-classic")</f>
        <v/>
      </c>
      <c r="C3759" t="inlineStr">
        <is>
          <t>Point Tweezer</t>
        </is>
      </c>
      <c r="D3759" t="inlineStr">
        <is>
          <t>DEMI ROSE Pointed Tweezers Precision - 100% Stainless Steel Ingrown Hair Tweezers for Women Facial Hair - Sharp Fine Point Tip Tweezers for Splinter Removal (Pumpkin Orange)</t>
        </is>
      </c>
      <c r="E3759" s="2">
        <f>HYPERLINK("https://www.amazon.com/DEMI-ROSE-Pointed-Tweezers-Precision/dp/B0C65H46R8/ref=sr_1_8?keywords=Point+Tweezer&amp;qid=1695565769&amp;sr=8-8", "https://www.amazon.com/DEMI-ROSE-Pointed-Tweezers-Precision/dp/B0C65H46R8/ref=sr_1_8?keywords=Point+Tweezer&amp;qid=1695565769&amp;sr=8-8")</f>
        <v/>
      </c>
      <c r="F3759" t="inlineStr">
        <is>
          <t>B0C65H46R8</t>
        </is>
      </c>
      <c r="G3759">
        <f>_xlfn.IMAGE("https://camerareadycosmetics.com/cdn/shop/products/slcm177cqqo0gtt1nqrn_1_1_50x.jpg?v=1602310041")</f>
        <v/>
      </c>
      <c r="H3759">
        <f>_xlfn.IMAGE("https://m.media-amazon.com/images/I/61Bs6yU5StL._AC_UL320_.jpg")</f>
        <v/>
      </c>
      <c r="K3759" t="inlineStr">
        <is>
          <t>24.5</t>
        </is>
      </c>
      <c r="L3759" t="n">
        <v>5.99</v>
      </c>
      <c r="M3759" s="1" t="inlineStr">
        <is>
          <t>-75.55%</t>
        </is>
      </c>
      <c r="N3759" t="n">
        <v>4.6</v>
      </c>
      <c r="O3759" t="n">
        <v>51</v>
      </c>
      <c r="Q3759" t="inlineStr">
        <is>
          <t>InStock</t>
        </is>
      </c>
      <c r="R3759" t="inlineStr">
        <is>
          <t>undefined</t>
        </is>
      </c>
      <c r="S3759" t="inlineStr">
        <is>
          <t>9564741642</t>
        </is>
      </c>
    </row>
    <row r="3760" ht="75" customHeight="1">
      <c r="A3760" s="2">
        <f>HYPERLINK("https://camerareadycosmetics.com/products/tweezerman-point-tweezer-classic", "https://camerareadycosmetics.com/products/tweezerman-point-tweezer-classic")</f>
        <v/>
      </c>
      <c r="B3760" s="2">
        <f>HYPERLINK("https://camerareadycosmetics.com/products/tweezerman-point-tweezer-classic", "https://camerareadycosmetics.com/products/tweezerman-point-tweezer-classic")</f>
        <v/>
      </c>
      <c r="C3760" t="inlineStr">
        <is>
          <t>Point Tweezer</t>
        </is>
      </c>
      <c r="D3760" t="inlineStr">
        <is>
          <t>DEMI ROSE Pointed Tweezers Precision - 100% Stainless Steel Ingrown Hair Tweezers for Women Facial Hair - Sharp Fine Point Tip Tweezers for Splinter Removal (Black Coated)</t>
        </is>
      </c>
      <c r="E3760" s="2">
        <f>HYPERLINK("https://www.amazon.com/DEMI-ROSE-Pointed-Tweezers-Precision/dp/B0C4CFKCSG/ref=sr_1_1?keywords=Point+Tweezer&amp;qid=1695565769&amp;sr=8-1", "https://www.amazon.com/DEMI-ROSE-Pointed-Tweezers-Precision/dp/B0C4CFKCSG/ref=sr_1_1?keywords=Point+Tweezer&amp;qid=1695565769&amp;sr=8-1")</f>
        <v/>
      </c>
      <c r="F3760" t="inlineStr">
        <is>
          <t>B0C4CFKCSG</t>
        </is>
      </c>
      <c r="G3760">
        <f>_xlfn.IMAGE("https://camerareadycosmetics.com/cdn/shop/products/slcm177cqqo0gtt1nqrn_1_1_50x.jpg?v=1602310041")</f>
        <v/>
      </c>
      <c r="H3760">
        <f>_xlfn.IMAGE("https://m.media-amazon.com/images/I/61c78GGUcsL._AC_UL320_.jpg")</f>
        <v/>
      </c>
      <c r="K3760" t="inlineStr">
        <is>
          <t>24.5</t>
        </is>
      </c>
      <c r="L3760" t="n">
        <v>5.99</v>
      </c>
      <c r="M3760" s="1" t="inlineStr">
        <is>
          <t>-75.55%</t>
        </is>
      </c>
      <c r="N3760" t="n">
        <v>4.5</v>
      </c>
      <c r="O3760" t="n">
        <v>173</v>
      </c>
      <c r="Q3760" t="inlineStr">
        <is>
          <t>InStock</t>
        </is>
      </c>
      <c r="R3760" t="inlineStr">
        <is>
          <t>undefined</t>
        </is>
      </c>
      <c r="S3760" t="inlineStr">
        <is>
          <t>9564741642</t>
        </is>
      </c>
    </row>
    <row r="3761" ht="75" customHeight="1">
      <c r="A3761" s="2">
        <f>HYPERLINK("https://camerareadycosmetics.com/products/tweezerman-point-tweezer-classic", "https://camerareadycosmetics.com/products/tweezerman-point-tweezer-classic")</f>
        <v/>
      </c>
      <c r="B3761" s="2">
        <f>HYPERLINK("https://camerareadycosmetics.com/products/tweezerman-point-tweezer-classic", "https://camerareadycosmetics.com/products/tweezerman-point-tweezer-classic")</f>
        <v/>
      </c>
      <c r="C3761" t="inlineStr">
        <is>
          <t>Point Tweezer</t>
        </is>
      </c>
      <c r="D3761" t="inlineStr">
        <is>
          <t>Revlon Gold Series Titanium Coated Point Tweezer</t>
        </is>
      </c>
      <c r="E3761" s="2">
        <f>HYPERLINK("https://www.amazon.com/Revlon-Tweezers-Titanium-Coated-Point/dp/B01LWMQ4MN/ref=sr_1_3?keywords=Point+Tweezer&amp;qid=1695565769&amp;sr=8-3", "https://www.amazon.com/Revlon-Tweezers-Titanium-Coated-Point/dp/B01LWMQ4MN/ref=sr_1_3?keywords=Point+Tweezer&amp;qid=1695565769&amp;sr=8-3")</f>
        <v/>
      </c>
      <c r="F3761" t="inlineStr">
        <is>
          <t>B01LWMQ4MN</t>
        </is>
      </c>
      <c r="G3761">
        <f>_xlfn.IMAGE("https://camerareadycosmetics.com/cdn/shop/products/slcm177cqqo0gtt1nqrn_1_1_50x.jpg?v=1602310041")</f>
        <v/>
      </c>
      <c r="H3761">
        <f>_xlfn.IMAGE("https://m.media-amazon.com/images/I/71mmw1K2arL._AC_UL320_.jpg")</f>
        <v/>
      </c>
      <c r="K3761" t="inlineStr">
        <is>
          <t>24.5</t>
        </is>
      </c>
      <c r="L3761" t="n">
        <v>5.59</v>
      </c>
      <c r="M3761" s="1" t="inlineStr">
        <is>
          <t>-77.18%</t>
        </is>
      </c>
      <c r="N3761" t="n">
        <v>3.4</v>
      </c>
      <c r="O3761" t="n">
        <v>622</v>
      </c>
      <c r="Q3761" t="inlineStr">
        <is>
          <t>InStock</t>
        </is>
      </c>
      <c r="R3761" t="inlineStr">
        <is>
          <t>undefined</t>
        </is>
      </c>
      <c r="S3761" t="inlineStr">
        <is>
          <t>9564741642</t>
        </is>
      </c>
    </row>
    <row r="3762" ht="75" customHeight="1">
      <c r="A3762" s="2">
        <f>HYPERLINK("https://camerareadycosmetics.com/products/tweezerman-rose-gold-slant-tweezer", "https://camerareadycosmetics.com/products/tweezerman-rose-gold-slant-tweezer")</f>
        <v/>
      </c>
      <c r="B3762" s="2">
        <f>HYPERLINK("https://camerareadycosmetics.com/products/tweezerman-rose-gold-slant-tweezer", "https://camerareadycosmetics.com/products/tweezerman-rose-gold-slant-tweezer")</f>
        <v/>
      </c>
      <c r="C3762" t="inlineStr">
        <is>
          <t>Rose Gold Slant Tweezer</t>
        </is>
      </c>
      <c r="D3762" t="inlineStr">
        <is>
          <t>Tweezerman Rose Gold Petite Point and Slant Tweezer Set with Travel Case</t>
        </is>
      </c>
      <c r="E3762" s="2">
        <f>HYPERLINK("https://www.amazon.com/Tweezerman-Petite-Tweeze-Rose-Gold/dp/B07NS6ZTQ4/ref=sr_1_4?keywords=Rose+Gold+Slant+Tweezer&amp;qid=1695565643&amp;sr=8-4", "https://www.amazon.com/Tweezerman-Petite-Tweeze-Rose-Gold/dp/B07NS6ZTQ4/ref=sr_1_4?keywords=Rose+Gold+Slant+Tweezer&amp;qid=1695565643&amp;sr=8-4")</f>
        <v/>
      </c>
      <c r="F3762" t="inlineStr">
        <is>
          <t>B07NS6ZTQ4</t>
        </is>
      </c>
      <c r="G3762">
        <f>_xlfn.IMAGE("https://camerareadycosmetics.com/cdn/shop/products/tweezerman-rose-gold-slant-tweezers-tip_50x.jpg?v=1541118638")</f>
        <v/>
      </c>
      <c r="H3762">
        <f>_xlfn.IMAGE("https://m.media-amazon.com/images/I/51Oun36hRRL._AC_UL320_.jpg")</f>
        <v/>
      </c>
      <c r="K3762" t="inlineStr">
        <is>
          <t>24.0</t>
        </is>
      </c>
      <c r="L3762" t="n">
        <v>25.2</v>
      </c>
      <c r="M3762" s="1" t="inlineStr">
        <is>
          <t>5.00%</t>
        </is>
      </c>
      <c r="N3762" t="n">
        <v>4.6</v>
      </c>
      <c r="O3762" t="n">
        <v>2817</v>
      </c>
      <c r="Q3762" t="inlineStr">
        <is>
          <t>InStock</t>
        </is>
      </c>
      <c r="R3762" t="inlineStr">
        <is>
          <t>undefined</t>
        </is>
      </c>
      <c r="S3762" t="inlineStr">
        <is>
          <t>1828361928815</t>
        </is>
      </c>
    </row>
    <row r="3763" ht="75" customHeight="1">
      <c r="A3763" s="2">
        <f>HYPERLINK("https://camerareadycosmetics.com/products/tweezerman-rose-gold-slant-tweezer", "https://camerareadycosmetics.com/products/tweezerman-rose-gold-slant-tweezer")</f>
        <v/>
      </c>
      <c r="B3763" s="2">
        <f>HYPERLINK("https://camerareadycosmetics.com/products/tweezerman-rose-gold-slant-tweezer", "https://camerareadycosmetics.com/products/tweezerman-rose-gold-slant-tweezer")</f>
        <v/>
      </c>
      <c r="C3763" t="inlineStr">
        <is>
          <t>Rose Gold Slant Tweezer</t>
        </is>
      </c>
      <c r="D3763" t="inlineStr">
        <is>
          <t>Tweezerman Rose Gold Slant Tweezer</t>
        </is>
      </c>
      <c r="E3763" s="2">
        <f>HYPERLINK("https://www.amazon.com/Tweezerman-Rose-Gold-Slant-Tweezer/dp/B0799QV6NX/ref=sr_1_10?keywords=Rose+Gold+Slant+Tweezer&amp;qid=1695565643&amp;sr=8-10", "https://www.amazon.com/Tweezerman-Rose-Gold-Slant-Tweezer/dp/B0799QV6NX/ref=sr_1_10?keywords=Rose+Gold+Slant+Tweezer&amp;qid=1695565643&amp;sr=8-10")</f>
        <v/>
      </c>
      <c r="F3763" t="inlineStr">
        <is>
          <t>B0799QV6NX</t>
        </is>
      </c>
      <c r="G3763">
        <f>_xlfn.IMAGE("https://camerareadycosmetics.com/cdn/shop/products/tweezerman-rose-gold-slant-tweezers-tip_50x.jpg?v=1541118638")</f>
        <v/>
      </c>
      <c r="H3763">
        <f>_xlfn.IMAGE("https://m.media-amazon.com/images/I/71XBOXVl1rL._AC_UL320_.jpg")</f>
        <v/>
      </c>
      <c r="K3763" t="inlineStr">
        <is>
          <t>24.0</t>
        </is>
      </c>
      <c r="L3763" t="n">
        <v>24.95</v>
      </c>
      <c r="M3763" s="1" t="inlineStr">
        <is>
          <t>3.96%</t>
        </is>
      </c>
      <c r="N3763" t="n">
        <v>4.3</v>
      </c>
      <c r="O3763" t="n">
        <v>55</v>
      </c>
      <c r="Q3763" t="inlineStr">
        <is>
          <t>InStock</t>
        </is>
      </c>
      <c r="R3763" t="inlineStr">
        <is>
          <t>undefined</t>
        </is>
      </c>
      <c r="S3763" t="inlineStr">
        <is>
          <t>1828361928815</t>
        </is>
      </c>
    </row>
    <row r="3764" ht="75" customHeight="1">
      <c r="A3764" s="2">
        <f>HYPERLINK("https://camerareadycosmetics.com/products/tweezerman-rose-gold-slant-tweezer", "https://camerareadycosmetics.com/products/tweezerman-rose-gold-slant-tweezer")</f>
        <v/>
      </c>
      <c r="B3764" s="2">
        <f>HYPERLINK("https://camerareadycosmetics.com/products/tweezerman-rose-gold-slant-tweezer", "https://camerareadycosmetics.com/products/tweezerman-rose-gold-slant-tweezer")</f>
        <v/>
      </c>
      <c r="C3764" t="inlineStr">
        <is>
          <t>Rose Gold Slant Tweezer</t>
        </is>
      </c>
      <c r="D3764" t="inlineStr">
        <is>
          <t>Tweezerman Rose Gold Mini Slant Tweezer with Case</t>
        </is>
      </c>
      <c r="E3764" s="2">
        <f>HYPERLINK("https://www.amazon.com/Tweezerman-Rose-Gold-Slant-Tweezer/dp/B083FWFFZ9/ref=sr_1_2?keywords=Rose+Gold+Slant+Tweezer&amp;qid=1695565643&amp;sr=8-2", "https://www.amazon.com/Tweezerman-Rose-Gold-Slant-Tweezer/dp/B083FWFFZ9/ref=sr_1_2?keywords=Rose+Gold+Slant+Tweezer&amp;qid=1695565643&amp;sr=8-2")</f>
        <v/>
      </c>
      <c r="F3764" t="inlineStr">
        <is>
          <t>B083FWFFZ9</t>
        </is>
      </c>
      <c r="G3764">
        <f>_xlfn.IMAGE("https://camerareadycosmetics.com/cdn/shop/products/tweezerman-rose-gold-slant-tweezers-tip_50x.jpg?v=1541118638")</f>
        <v/>
      </c>
      <c r="H3764">
        <f>_xlfn.IMAGE("https://m.media-amazon.com/images/I/81wnKZalZjL._AC_UL320_.jpg")</f>
        <v/>
      </c>
      <c r="K3764" t="inlineStr">
        <is>
          <t>24.0</t>
        </is>
      </c>
      <c r="L3764" t="n">
        <v>17.61</v>
      </c>
      <c r="M3764" s="1" t="inlineStr">
        <is>
          <t>-26.63%</t>
        </is>
      </c>
      <c r="N3764" t="n">
        <v>4.6</v>
      </c>
      <c r="O3764" t="n">
        <v>1446</v>
      </c>
      <c r="Q3764" t="inlineStr">
        <is>
          <t>InStock</t>
        </is>
      </c>
      <c r="R3764" t="inlineStr">
        <is>
          <t>undefined</t>
        </is>
      </c>
      <c r="S3764" t="inlineStr">
        <is>
          <t>1828361928815</t>
        </is>
      </c>
    </row>
    <row r="3765" ht="75" customHeight="1">
      <c r="A3765" s="2">
        <f>HYPERLINK("https://camerareadycosmetics.com/products/tweezerman-rose-gold-slant-tweezer", "https://camerareadycosmetics.com/products/tweezerman-rose-gold-slant-tweezer")</f>
        <v/>
      </c>
      <c r="B3765" s="2">
        <f>HYPERLINK("https://camerareadycosmetics.com/products/tweezerman-rose-gold-slant-tweezer", "https://camerareadycosmetics.com/products/tweezerman-rose-gold-slant-tweezer")</f>
        <v/>
      </c>
      <c r="C3765" t="inlineStr">
        <is>
          <t>Rose Gold Slant Tweezer</t>
        </is>
      </c>
      <c r="D3765" t="inlineStr">
        <is>
          <t>Tweezerman Exclusive Tea Rose Slant Tweezer - Hair Removal Tweezers, Stainless Steel</t>
        </is>
      </c>
      <c r="E3765" s="2">
        <f>HYPERLINK("https://www.amazon.com/Tweezerman-Slant-Tweezer-Dusty-Count/dp/B0823XZ5VZ/ref=sr_1_5?keywords=Rose+Gold+Slant+Tweezer&amp;qid=1695565643&amp;sr=8-5", "https://www.amazon.com/Tweezerman-Slant-Tweezer-Dusty-Count/dp/B0823XZ5VZ/ref=sr_1_5?keywords=Rose+Gold+Slant+Tweezer&amp;qid=1695565643&amp;sr=8-5")</f>
        <v/>
      </c>
      <c r="F3765" t="inlineStr">
        <is>
          <t>B0823XZ5VZ</t>
        </is>
      </c>
      <c r="G3765">
        <f>_xlfn.IMAGE("https://camerareadycosmetics.com/cdn/shop/products/tweezerman-rose-gold-slant-tweezers-tip_50x.jpg?v=1541118638")</f>
        <v/>
      </c>
      <c r="H3765">
        <f>_xlfn.IMAGE("https://m.media-amazon.com/images/I/61MTruBQ+gL._AC_UL320_.jpg")</f>
        <v/>
      </c>
      <c r="K3765" t="inlineStr">
        <is>
          <t>24.0</t>
        </is>
      </c>
      <c r="L3765" t="n">
        <v>17.2</v>
      </c>
      <c r="M3765" s="1" t="inlineStr">
        <is>
          <t>-28.33%</t>
        </is>
      </c>
      <c r="N3765" t="n">
        <v>4.6</v>
      </c>
      <c r="O3765" t="n">
        <v>5210</v>
      </c>
      <c r="Q3765" t="inlineStr">
        <is>
          <t>InStock</t>
        </is>
      </c>
      <c r="R3765" t="inlineStr">
        <is>
          <t>undefined</t>
        </is>
      </c>
      <c r="S3765" t="inlineStr">
        <is>
          <t>1828361928815</t>
        </is>
      </c>
    </row>
    <row r="3766" ht="75" customHeight="1">
      <c r="A3766" s="2">
        <f>HYPERLINK("https://camerareadycosmetics.com/products/tweezerman-rose-gold-slant-tweezer", "https://camerareadycosmetics.com/products/tweezerman-rose-gold-slant-tweezer")</f>
        <v/>
      </c>
      <c r="B3766" s="2">
        <f>HYPERLINK("https://camerareadycosmetics.com/products/tweezerman-rose-gold-slant-tweezer", "https://camerareadycosmetics.com/products/tweezerman-rose-gold-slant-tweezer")</f>
        <v/>
      </c>
      <c r="C3766" t="inlineStr">
        <is>
          <t>Rose Gold Slant Tweezer</t>
        </is>
      </c>
      <c r="D3766" t="inlineStr">
        <is>
          <t>Tweezerman Mini Slant Tweezer Rose Gold - Tweezers for Eyebrows, Travel Tweezers for Eyebrows, Facial Hair, Ingrown Hair (Rose Gold)</t>
        </is>
      </c>
      <c r="E3766" s="2">
        <f>HYPERLINK("https://www.amazon.com/Tweezerman-Stainless-Steel-Slant-Tweezer/dp/B09MV72HG9/ref=sr_1_1?keywords=Rose+Gold+Slant+Tweezer&amp;qid=1695565643&amp;sr=8-1", "https://www.amazon.com/Tweezerman-Stainless-Steel-Slant-Tweezer/dp/B09MV72HG9/ref=sr_1_1?keywords=Rose+Gold+Slant+Tweezer&amp;qid=1695565643&amp;sr=8-1")</f>
        <v/>
      </c>
      <c r="F3766" t="inlineStr">
        <is>
          <t>B09MV72HG9</t>
        </is>
      </c>
      <c r="G3766">
        <f>_xlfn.IMAGE("https://camerareadycosmetics.com/cdn/shop/products/tweezerman-rose-gold-slant-tweezers-tip_50x.jpg?v=1541118638")</f>
        <v/>
      </c>
      <c r="H3766">
        <f>_xlfn.IMAGE("https://m.media-amazon.com/images/I/61g1uldLbaL._AC_UL320_.jpg")</f>
        <v/>
      </c>
      <c r="K3766" t="inlineStr">
        <is>
          <t>24.0</t>
        </is>
      </c>
      <c r="L3766" t="n">
        <v>14.4</v>
      </c>
      <c r="M3766" s="1" t="inlineStr">
        <is>
          <t>-40.00%</t>
        </is>
      </c>
      <c r="N3766" t="n">
        <v>4.5</v>
      </c>
      <c r="O3766" t="n">
        <v>23206</v>
      </c>
      <c r="Q3766" t="inlineStr">
        <is>
          <t>InStock</t>
        </is>
      </c>
      <c r="R3766" t="inlineStr">
        <is>
          <t>undefined</t>
        </is>
      </c>
      <c r="S3766" t="inlineStr">
        <is>
          <t>1828361928815</t>
        </is>
      </c>
    </row>
    <row r="3767" ht="75" customHeight="1">
      <c r="A3767" s="2">
        <f>HYPERLINK("https://camerareadycosmetics.com/products/tweezerman-rose-gold-slant-tweezer", "https://camerareadycosmetics.com/products/tweezerman-rose-gold-slant-tweezer")</f>
        <v/>
      </c>
      <c r="B3767" s="2">
        <f>HYPERLINK("https://camerareadycosmetics.com/products/tweezerman-rose-gold-slant-tweezer", "https://camerareadycosmetics.com/products/tweezerman-rose-gold-slant-tweezer")</f>
        <v/>
      </c>
      <c r="C3767" t="inlineStr">
        <is>
          <t>Rose Gold Slant Tweezer</t>
        </is>
      </c>
      <c r="D3767" t="inlineStr">
        <is>
          <t>German Steel Professional Slanted Tweezers - Hammer Forged 100% Stainless Steel - Hand-Filed and Aligned Slant Tips for Precision - Rose Gold</t>
        </is>
      </c>
      <c r="E3767" s="2">
        <f>HYPERLINK("https://www.amazon.com/Slant-Tweezers-Perfectly-Hand-Filed-Professional/dp/B07VC5913B/ref=sr_1_7?keywords=Rose+Gold+Slant+Tweezer&amp;qid=1695565643&amp;sr=8-7", "https://www.amazon.com/Slant-Tweezers-Perfectly-Hand-Filed-Professional/dp/B07VC5913B/ref=sr_1_7?keywords=Rose+Gold+Slant+Tweezer&amp;qid=1695565643&amp;sr=8-7")</f>
        <v/>
      </c>
      <c r="F3767" t="inlineStr">
        <is>
          <t>B07VC5913B</t>
        </is>
      </c>
      <c r="G3767">
        <f>_xlfn.IMAGE("https://camerareadycosmetics.com/cdn/shop/products/tweezerman-rose-gold-slant-tweezers-tip_50x.jpg?v=1541118638")</f>
        <v/>
      </c>
      <c r="H3767">
        <f>_xlfn.IMAGE("https://m.media-amazon.com/images/I/71FpL3JOaKL._AC_UL320_.jpg")</f>
        <v/>
      </c>
      <c r="K3767" t="inlineStr">
        <is>
          <t>24.0</t>
        </is>
      </c>
      <c r="L3767" t="n">
        <v>11.99</v>
      </c>
      <c r="M3767" s="1" t="inlineStr">
        <is>
          <t>-50.04%</t>
        </is>
      </c>
      <c r="N3767" t="n">
        <v>4.6</v>
      </c>
      <c r="O3767" t="n">
        <v>2240</v>
      </c>
      <c r="Q3767" t="inlineStr">
        <is>
          <t>InStock</t>
        </is>
      </c>
      <c r="R3767" t="inlineStr">
        <is>
          <t>undefined</t>
        </is>
      </c>
      <c r="S3767" t="inlineStr">
        <is>
          <t>1828361928815</t>
        </is>
      </c>
    </row>
    <row r="3768" ht="75" customHeight="1">
      <c r="A3768" s="2">
        <f>HYPERLINK("https://camerareadycosmetics.com/products/tweezerman-rose-gold-slant-tweezer", "https://camerareadycosmetics.com/products/tweezerman-rose-gold-slant-tweezer")</f>
        <v/>
      </c>
      <c r="B3768" s="2">
        <f>HYPERLINK("https://camerareadycosmetics.com/products/tweezerman-rose-gold-slant-tweezer", "https://camerareadycosmetics.com/products/tweezerman-rose-gold-slant-tweezer")</f>
        <v/>
      </c>
      <c r="C3768" t="inlineStr">
        <is>
          <t>Rose Gold Slant Tweezer</t>
        </is>
      </c>
      <c r="D3768" t="inlineStr">
        <is>
          <t>12 Pieces Eyebrow Tweezers Stainless Steel Slant Tip Tweezers Facial Hair Eyebrow Precision Tweezers for Men and Women (Rose Gold)</t>
        </is>
      </c>
      <c r="E3768" s="2">
        <f>HYPERLINK("https://www.amazon.com/Pieces-Tweezers-Stainless-Facial-Eyebrow/dp/B08S6MDTFN/ref=sr_1_3?keywords=Rose+Gold+Slant+Tweezer&amp;qid=1695565643&amp;sr=8-3", "https://www.amazon.com/Pieces-Tweezers-Stainless-Facial-Eyebrow/dp/B08S6MDTFN/ref=sr_1_3?keywords=Rose+Gold+Slant+Tweezer&amp;qid=1695565643&amp;sr=8-3")</f>
        <v/>
      </c>
      <c r="F3768" t="inlineStr">
        <is>
          <t>B08S6MDTFN</t>
        </is>
      </c>
      <c r="G3768">
        <f>_xlfn.IMAGE("https://camerareadycosmetics.com/cdn/shop/products/tweezerman-rose-gold-slant-tweezers-tip_50x.jpg?v=1541118638")</f>
        <v/>
      </c>
      <c r="H3768">
        <f>_xlfn.IMAGE("https://m.media-amazon.com/images/I/81LlnGE5dzL._AC_UL320_.jpg")</f>
        <v/>
      </c>
      <c r="K3768" t="inlineStr">
        <is>
          <t>24.0</t>
        </is>
      </c>
      <c r="L3768" t="n">
        <v>9.789999999999999</v>
      </c>
      <c r="M3768" s="1" t="inlineStr">
        <is>
          <t>-59.21%</t>
        </is>
      </c>
      <c r="N3768" t="n">
        <v>4.4</v>
      </c>
      <c r="O3768" t="n">
        <v>1578</v>
      </c>
      <c r="Q3768" t="inlineStr">
        <is>
          <t>InStock</t>
        </is>
      </c>
      <c r="R3768" t="inlineStr">
        <is>
          <t>undefined</t>
        </is>
      </c>
      <c r="S3768" t="inlineStr">
        <is>
          <t>1828361928815</t>
        </is>
      </c>
    </row>
    <row r="3769" ht="75" customHeight="1">
      <c r="A3769" s="2">
        <f>HYPERLINK("https://camerareadycosmetics.com/products/tweezerman-rose-gold-slant-tweezer", "https://camerareadycosmetics.com/products/tweezerman-rose-gold-slant-tweezer")</f>
        <v/>
      </c>
      <c r="B3769" s="2">
        <f>HYPERLINK("https://camerareadycosmetics.com/products/tweezerman-rose-gold-slant-tweezer", "https://camerareadycosmetics.com/products/tweezerman-rose-gold-slant-tweezer")</f>
        <v/>
      </c>
      <c r="C3769" t="inlineStr">
        <is>
          <t>Rose Gold Slant Tweezer</t>
        </is>
      </c>
      <c r="D3769" t="inlineStr">
        <is>
          <t>Jovitec Fake Eyelashes Applicator Tool, Slant Tip Hair Tweezers, Eyebrow Tweezers Eyebrow Scissors, 4 Pieces with Black Velvet Bag (Rose Gold)</t>
        </is>
      </c>
      <c r="E3769" s="2">
        <f>HYPERLINK("https://www.amazon.com/Jovitec-Eyelashes-Applicator-Tweezers-Scissors/dp/B07DXP2Q6C/ref=sr_1_8?keywords=Rose+Gold+Slant+Tweezer&amp;qid=1695565643&amp;sr=8-8", "https://www.amazon.com/Jovitec-Eyelashes-Applicator-Tweezers-Scissors/dp/B07DXP2Q6C/ref=sr_1_8?keywords=Rose+Gold+Slant+Tweezer&amp;qid=1695565643&amp;sr=8-8")</f>
        <v/>
      </c>
      <c r="F3769" t="inlineStr">
        <is>
          <t>B07DXP2Q6C</t>
        </is>
      </c>
      <c r="G3769">
        <f>_xlfn.IMAGE("https://camerareadycosmetics.com/cdn/shop/products/tweezerman-rose-gold-slant-tweezers-tip_50x.jpg?v=1541118638")</f>
        <v/>
      </c>
      <c r="H3769">
        <f>_xlfn.IMAGE("https://m.media-amazon.com/images/I/71zr3jteUPL._AC_UL320_.jpg")</f>
        <v/>
      </c>
      <c r="K3769" t="inlineStr">
        <is>
          <t>24.0</t>
        </is>
      </c>
      <c r="L3769" t="n">
        <v>8.99</v>
      </c>
      <c r="M3769" s="1" t="inlineStr">
        <is>
          <t>-62.54%</t>
        </is>
      </c>
      <c r="N3769" t="n">
        <v>4.3</v>
      </c>
      <c r="O3769" t="n">
        <v>367</v>
      </c>
      <c r="Q3769" t="inlineStr">
        <is>
          <t>InStock</t>
        </is>
      </c>
      <c r="R3769" t="inlineStr">
        <is>
          <t>undefined</t>
        </is>
      </c>
      <c r="S3769" t="inlineStr">
        <is>
          <t>1828361928815</t>
        </is>
      </c>
    </row>
    <row r="3770" ht="75" customHeight="1">
      <c r="A3770" s="2">
        <f>HYPERLINK("https://camerareadycosmetics.com/products/tweezerman-rose-gold-slant-tweezer", "https://camerareadycosmetics.com/products/tweezerman-rose-gold-slant-tweezer")</f>
        <v/>
      </c>
      <c r="B3770" s="2">
        <f>HYPERLINK("https://camerareadycosmetics.com/products/tweezerman-rose-gold-slant-tweezer", "https://camerareadycosmetics.com/products/tweezerman-rose-gold-slant-tweezer")</f>
        <v/>
      </c>
      <c r="C3770" t="inlineStr">
        <is>
          <t>Rose Gold Slant Tweezer</t>
        </is>
      </c>
      <c r="D3770" t="inlineStr">
        <is>
          <t>Slant Eyebrow Tweezers - Professional Stainless Steel Slant Tip Tweezer - Precision Eyebrow Tweezers for Your Beauty - Rose Gold</t>
        </is>
      </c>
      <c r="E3770" s="2">
        <f>HYPERLINK("https://www.amazon.com/Slant-Eyebrow-Tweezers-Professional-Stainless/dp/B07S1DWWD5/ref=sr_1_6?keywords=Rose+Gold+Slant+Tweezer&amp;qid=1695565643&amp;sr=8-6", "https://www.amazon.com/Slant-Eyebrow-Tweezers-Professional-Stainless/dp/B07S1DWWD5/ref=sr_1_6?keywords=Rose+Gold+Slant+Tweezer&amp;qid=1695565643&amp;sr=8-6")</f>
        <v/>
      </c>
      <c r="F3770" t="inlineStr">
        <is>
          <t>B07S1DWWD5</t>
        </is>
      </c>
      <c r="G3770">
        <f>_xlfn.IMAGE("https://camerareadycosmetics.com/cdn/shop/products/tweezerman-rose-gold-slant-tweezers-tip_50x.jpg?v=1541118638")</f>
        <v/>
      </c>
      <c r="H3770">
        <f>_xlfn.IMAGE("https://m.media-amazon.com/images/I/61oMGVIBEHL._AC_UL320_.jpg")</f>
        <v/>
      </c>
      <c r="K3770" t="inlineStr">
        <is>
          <t>24.0</t>
        </is>
      </c>
      <c r="L3770" t="n">
        <v>4.99</v>
      </c>
      <c r="M3770" s="1" t="inlineStr">
        <is>
          <t>-79.21%</t>
        </is>
      </c>
      <c r="N3770" t="n">
        <v>4.6</v>
      </c>
      <c r="O3770" t="n">
        <v>4518</v>
      </c>
      <c r="Q3770" t="inlineStr">
        <is>
          <t>InStock</t>
        </is>
      </c>
      <c r="R3770" t="inlineStr">
        <is>
          <t>undefined</t>
        </is>
      </c>
      <c r="S3770" t="inlineStr">
        <is>
          <t>1828361928815</t>
        </is>
      </c>
    </row>
    <row r="3771" ht="75" customHeight="1">
      <c r="A3771" s="2">
        <f>HYPERLINK("https://camerareadycosmetics.com/products/tweezerman-rose-gold-slant-tweezer", "https://camerareadycosmetics.com/products/tweezerman-rose-gold-slant-tweezer")</f>
        <v/>
      </c>
      <c r="B3771" s="2">
        <f>HYPERLINK("https://camerareadycosmetics.com/products/tweezerman-rose-gold-slant-tweezer", "https://camerareadycosmetics.com/products/tweezerman-rose-gold-slant-tweezer")</f>
        <v/>
      </c>
      <c r="C3771" t="inlineStr">
        <is>
          <t>Rose Gold Slant Tweezer</t>
        </is>
      </c>
      <c r="D3771" t="inlineStr">
        <is>
          <t>German Steel Professional Slanted Tweezers - Hammer Forged 100% Stainless Steel - Hand-Filed and Aligned Slant Tips for Precision - Rose Gold</t>
        </is>
      </c>
      <c r="E3771" s="2">
        <f>HYPERLINK("https://www.amazon.com/Slant-Tweezers-Perfectly-Hand-Filed-Professional/dp/B07VC5913B/ref=sr_1_7?keywords=Rose+Gold+Slant+Tweezer&amp;qid=1695565643&amp;sr=8-7", "https://www.amazon.com/Slant-Tweezers-Perfectly-Hand-Filed-Professional/dp/B07VC5913B/ref=sr_1_7?keywords=Rose+Gold+Slant+Tweezer&amp;qid=1695565643&amp;sr=8-7")</f>
        <v/>
      </c>
      <c r="F3771" t="inlineStr">
        <is>
          <t>B07VC5913B</t>
        </is>
      </c>
      <c r="G3771">
        <f>_xlfn.IMAGE("https://camerareadycosmetics.com/cdn/shop/products/tweezerman-rose-gold-slant-tweezers-tip_50x.jpg?v=1541118638")</f>
        <v/>
      </c>
      <c r="H3771">
        <f>_xlfn.IMAGE("https://m.media-amazon.com/images/I/71FpL3JOaKL._AC_UL320_.jpg")</f>
        <v/>
      </c>
      <c r="K3771" t="inlineStr">
        <is>
          <t>24.0</t>
        </is>
      </c>
      <c r="L3771" t="n">
        <v>11.99</v>
      </c>
      <c r="M3771" s="1" t="inlineStr">
        <is>
          <t>-50.04%</t>
        </is>
      </c>
      <c r="N3771" t="n">
        <v>4.6</v>
      </c>
      <c r="O3771" t="n">
        <v>2240</v>
      </c>
      <c r="Q3771" t="inlineStr">
        <is>
          <t>InStock</t>
        </is>
      </c>
      <c r="R3771" t="inlineStr">
        <is>
          <t>undefined</t>
        </is>
      </c>
      <c r="S3771" t="inlineStr">
        <is>
          <t>1828361928815</t>
        </is>
      </c>
    </row>
    <row r="3772" ht="75" customHeight="1">
      <c r="A3772" s="2">
        <f>HYPERLINK("https://camerareadycosmetics.com/products/tweezerman-rose-gold-slant-tweezer", "https://camerareadycosmetics.com/products/tweezerman-rose-gold-slant-tweezer")</f>
        <v/>
      </c>
      <c r="B3772" s="2">
        <f>HYPERLINK("https://camerareadycosmetics.com/products/tweezerman-rose-gold-slant-tweezer", "https://camerareadycosmetics.com/products/tweezerman-rose-gold-slant-tweezer")</f>
        <v/>
      </c>
      <c r="C3772" t="inlineStr">
        <is>
          <t>Rose Gold Slant Tweezer</t>
        </is>
      </c>
      <c r="D3772" t="inlineStr">
        <is>
          <t>12 Pieces Eyebrow Tweezers Stainless Steel Slant Tip Tweezers Facial Hair Eyebrow Precision Tweezers for Men and Women (Rose Gold)</t>
        </is>
      </c>
      <c r="E3772" s="2">
        <f>HYPERLINK("https://www.amazon.com/Pieces-Tweezers-Stainless-Facial-Eyebrow/dp/B08S6MDTFN/ref=sr_1_3?keywords=Rose+Gold+Slant+Tweezer&amp;qid=1695565643&amp;sr=8-3", "https://www.amazon.com/Pieces-Tweezers-Stainless-Facial-Eyebrow/dp/B08S6MDTFN/ref=sr_1_3?keywords=Rose+Gold+Slant+Tweezer&amp;qid=1695565643&amp;sr=8-3")</f>
        <v/>
      </c>
      <c r="F3772" t="inlineStr">
        <is>
          <t>B08S6MDTFN</t>
        </is>
      </c>
      <c r="G3772">
        <f>_xlfn.IMAGE("https://camerareadycosmetics.com/cdn/shop/products/tweezerman-rose-gold-slant-tweezers-tip_50x.jpg?v=1541118638")</f>
        <v/>
      </c>
      <c r="H3772">
        <f>_xlfn.IMAGE("https://m.media-amazon.com/images/I/81LlnGE5dzL._AC_UL320_.jpg")</f>
        <v/>
      </c>
      <c r="K3772" t="inlineStr">
        <is>
          <t>24.0</t>
        </is>
      </c>
      <c r="L3772" t="n">
        <v>9.789999999999999</v>
      </c>
      <c r="M3772" s="1" t="inlineStr">
        <is>
          <t>-59.21%</t>
        </is>
      </c>
      <c r="N3772" t="n">
        <v>4.4</v>
      </c>
      <c r="O3772" t="n">
        <v>1578</v>
      </c>
      <c r="Q3772" t="inlineStr">
        <is>
          <t>InStock</t>
        </is>
      </c>
      <c r="R3772" t="inlineStr">
        <is>
          <t>undefined</t>
        </is>
      </c>
      <c r="S3772" t="inlineStr">
        <is>
          <t>1828361928815</t>
        </is>
      </c>
    </row>
    <row r="3773" ht="75" customHeight="1">
      <c r="A3773" s="2">
        <f>HYPERLINK("https://camerareadycosmetics.com/products/tweezerman-rose-gold-slant-tweezer", "https://camerareadycosmetics.com/products/tweezerman-rose-gold-slant-tweezer")</f>
        <v/>
      </c>
      <c r="B3773" s="2">
        <f>HYPERLINK("https://camerareadycosmetics.com/products/tweezerman-rose-gold-slant-tweezer", "https://camerareadycosmetics.com/products/tweezerman-rose-gold-slant-tweezer")</f>
        <v/>
      </c>
      <c r="C3773" t="inlineStr">
        <is>
          <t>Rose Gold Slant Tweezer</t>
        </is>
      </c>
      <c r="D3773" t="inlineStr">
        <is>
          <t>Jovitec Fake Eyelashes Applicator Tool, Slant Tip Hair Tweezers, Eyebrow Tweezers Eyebrow Scissors, 4 Pieces with Black Velvet Bag (Rose Gold)</t>
        </is>
      </c>
      <c r="E3773" s="2">
        <f>HYPERLINK("https://www.amazon.com/Jovitec-Eyelashes-Applicator-Tweezers-Scissors/dp/B07DXP2Q6C/ref=sr_1_8?keywords=Rose+Gold+Slant+Tweezer&amp;qid=1695565643&amp;sr=8-8", "https://www.amazon.com/Jovitec-Eyelashes-Applicator-Tweezers-Scissors/dp/B07DXP2Q6C/ref=sr_1_8?keywords=Rose+Gold+Slant+Tweezer&amp;qid=1695565643&amp;sr=8-8")</f>
        <v/>
      </c>
      <c r="F3773" t="inlineStr">
        <is>
          <t>B07DXP2Q6C</t>
        </is>
      </c>
      <c r="G3773">
        <f>_xlfn.IMAGE("https://camerareadycosmetics.com/cdn/shop/products/tweezerman-rose-gold-slant-tweezers-tip_50x.jpg?v=1541118638")</f>
        <v/>
      </c>
      <c r="H3773">
        <f>_xlfn.IMAGE("https://m.media-amazon.com/images/I/71zr3jteUPL._AC_UL320_.jpg")</f>
        <v/>
      </c>
      <c r="K3773" t="inlineStr">
        <is>
          <t>24.0</t>
        </is>
      </c>
      <c r="L3773" t="n">
        <v>8.99</v>
      </c>
      <c r="M3773" s="1" t="inlineStr">
        <is>
          <t>-62.54%</t>
        </is>
      </c>
      <c r="N3773" t="n">
        <v>4.3</v>
      </c>
      <c r="O3773" t="n">
        <v>367</v>
      </c>
      <c r="Q3773" t="inlineStr">
        <is>
          <t>InStock</t>
        </is>
      </c>
      <c r="R3773" t="inlineStr">
        <is>
          <t>undefined</t>
        </is>
      </c>
      <c r="S3773" t="inlineStr">
        <is>
          <t>1828361928815</t>
        </is>
      </c>
    </row>
    <row r="3774" ht="75" customHeight="1">
      <c r="A3774" s="2">
        <f>HYPERLINK("https://camerareadycosmetics.com/products/tweezerman-rose-gold-slant-tweezer", "https://camerareadycosmetics.com/products/tweezerman-rose-gold-slant-tweezer")</f>
        <v/>
      </c>
      <c r="B3774" s="2">
        <f>HYPERLINK("https://camerareadycosmetics.com/products/tweezerman-rose-gold-slant-tweezer", "https://camerareadycosmetics.com/products/tweezerman-rose-gold-slant-tweezer")</f>
        <v/>
      </c>
      <c r="C3774" t="inlineStr">
        <is>
          <t>Rose Gold Slant Tweezer</t>
        </is>
      </c>
      <c r="D3774" t="inlineStr">
        <is>
          <t>Slant Eyebrow Tweezers - Professional Stainless Steel Slant Tip Tweezer - Precision Eyebrow Tweezers for Your Beauty - Rose Gold</t>
        </is>
      </c>
      <c r="E3774" s="2">
        <f>HYPERLINK("https://www.amazon.com/Slant-Eyebrow-Tweezers-Professional-Stainless/dp/B07S1DWWD5/ref=sr_1_6?keywords=Rose+Gold+Slant+Tweezer&amp;qid=1695565643&amp;sr=8-6", "https://www.amazon.com/Slant-Eyebrow-Tweezers-Professional-Stainless/dp/B07S1DWWD5/ref=sr_1_6?keywords=Rose+Gold+Slant+Tweezer&amp;qid=1695565643&amp;sr=8-6")</f>
        <v/>
      </c>
      <c r="F3774" t="inlineStr">
        <is>
          <t>B07S1DWWD5</t>
        </is>
      </c>
      <c r="G3774">
        <f>_xlfn.IMAGE("https://camerareadycosmetics.com/cdn/shop/products/tweezerman-rose-gold-slant-tweezers-tip_50x.jpg?v=1541118638")</f>
        <v/>
      </c>
      <c r="H3774">
        <f>_xlfn.IMAGE("https://m.media-amazon.com/images/I/61oMGVIBEHL._AC_UL320_.jpg")</f>
        <v/>
      </c>
      <c r="K3774" t="inlineStr">
        <is>
          <t>24.0</t>
        </is>
      </c>
      <c r="L3774" t="n">
        <v>4.99</v>
      </c>
      <c r="M3774" s="1" t="inlineStr">
        <is>
          <t>-79.21%</t>
        </is>
      </c>
      <c r="N3774" t="n">
        <v>4.6</v>
      </c>
      <c r="O3774" t="n">
        <v>4518</v>
      </c>
      <c r="Q3774" t="inlineStr">
        <is>
          <t>InStock</t>
        </is>
      </c>
      <c r="R3774" t="inlineStr">
        <is>
          <t>undefined</t>
        </is>
      </c>
      <c r="S3774" t="inlineStr">
        <is>
          <t>1828361928815</t>
        </is>
      </c>
    </row>
    <row r="3775" ht="75" customHeight="1">
      <c r="A3775" s="2">
        <f>HYPERLINK("https://camerareadycosmetics.com/products/tweezerman-slant-tweezer-classic", "https://camerareadycosmetics.com/products/tweezerman-slant-tweezer-classic")</f>
        <v/>
      </c>
      <c r="B3775" s="2">
        <f>HYPERLINK("https://camerareadycosmetics.com/products/tweezerman-slant-tweezer-classic", "https://camerareadycosmetics.com/products/tweezerman-slant-tweezer-classic")</f>
        <v/>
      </c>
      <c r="C3775" t="inlineStr">
        <is>
          <t>Slant Tweezer Classic</t>
        </is>
      </c>
      <c r="D3775" t="inlineStr">
        <is>
          <t>Rubis Swiss Cross Classic Slant Tweezers 1K101</t>
        </is>
      </c>
      <c r="E3775" s="2">
        <f>HYPERLINK("https://www.amazon.com/Rubis-hair-tweezers-slanted-Swiss/dp/B002UZNLI6/ref=sr_1_9?keywords=Slant+Tweezer+Classic&amp;qid=1695565593&amp;sr=8-9", "https://www.amazon.com/Rubis-hair-tweezers-slanted-Swiss/dp/B002UZNLI6/ref=sr_1_9?keywords=Slant+Tweezer+Classic&amp;qid=1695565593&amp;sr=8-9")</f>
        <v/>
      </c>
      <c r="F3775" t="inlineStr">
        <is>
          <t>B002UZNLI6</t>
        </is>
      </c>
      <c r="G3775">
        <f>_xlfn.IMAGE("https://camerareadycosmetics.com/cdn/shop/files/tweezerman_-_slant_tweezer_classic_dd8d50c1-e99e-40c6-98fd-463525a01a24_50x.jpg?v=1695317819")</f>
        <v/>
      </c>
      <c r="H3775">
        <f>_xlfn.IMAGE("https://m.media-amazon.com/images/I/61zgfhV8wWL._AC_UL320_.jpg")</f>
        <v/>
      </c>
      <c r="K3775" t="inlineStr">
        <is>
          <t>23.0</t>
        </is>
      </c>
      <c r="L3775" t="n">
        <v>33</v>
      </c>
      <c r="M3775" s="1" t="inlineStr">
        <is>
          <t>43.48%</t>
        </is>
      </c>
      <c r="N3775" t="n">
        <v>4.3</v>
      </c>
      <c r="O3775" t="n">
        <v>634</v>
      </c>
      <c r="Q3775" t="inlineStr">
        <is>
          <t>InStock</t>
        </is>
      </c>
      <c r="R3775" t="inlineStr">
        <is>
          <t>undefined</t>
        </is>
      </c>
      <c r="S3775" t="inlineStr">
        <is>
          <t>9564727562</t>
        </is>
      </c>
    </row>
    <row r="3776" ht="75" customHeight="1">
      <c r="A3776" s="2">
        <f>HYPERLINK("https://camerareadycosmetics.com/products/tweezerman-slant-tweezer-classic", "https://camerareadycosmetics.com/products/tweezerman-slant-tweezer-classic")</f>
        <v/>
      </c>
      <c r="B3776" s="2">
        <f>HYPERLINK("https://camerareadycosmetics.com/products/tweezerman-slant-tweezer-classic", "https://camerareadycosmetics.com/products/tweezerman-slant-tweezer-classic")</f>
        <v/>
      </c>
      <c r="C3776" t="inlineStr">
        <is>
          <t>Slant Tweezer Classic</t>
        </is>
      </c>
      <c r="D3776" t="inlineStr">
        <is>
          <t>Zizzili Basics Tweezer Set - Limited Edition Ombre - Classic + Mini Slant - Best Tweezers for Eyebrow, Facial Hair Removal and your Precision Needs</t>
        </is>
      </c>
      <c r="E3776" s="2">
        <f>HYPERLINK("https://www.amazon.com/Zizzili-Basics-Tweezer-Set-Precision/dp/B07GTGZTL6/ref=sr_1_8?keywords=Slant+Tweezer+Classic&amp;qid=1695565593&amp;sr=8-8", "https://www.amazon.com/Zizzili-Basics-Tweezer-Set-Precision/dp/B07GTGZTL6/ref=sr_1_8?keywords=Slant+Tweezer+Classic&amp;qid=1695565593&amp;sr=8-8")</f>
        <v/>
      </c>
      <c r="F3776" t="inlineStr">
        <is>
          <t>B07GTGZTL6</t>
        </is>
      </c>
      <c r="G3776">
        <f>_xlfn.IMAGE("https://camerareadycosmetics.com/cdn/shop/files/tweezerman_-_slant_tweezer_classic_dd8d50c1-e99e-40c6-98fd-463525a01a24_50x.jpg?v=1695317819")</f>
        <v/>
      </c>
      <c r="H3776">
        <f>_xlfn.IMAGE("https://m.media-amazon.com/images/I/81KmelkIoKL._AC_UL320_.jpg")</f>
        <v/>
      </c>
      <c r="K3776" t="inlineStr">
        <is>
          <t>23.0</t>
        </is>
      </c>
      <c r="L3776" t="n">
        <v>20.15</v>
      </c>
      <c r="M3776" s="1" t="inlineStr">
        <is>
          <t>-12.39%</t>
        </is>
      </c>
      <c r="N3776" t="n">
        <v>4.4</v>
      </c>
      <c r="O3776" t="n">
        <v>407</v>
      </c>
      <c r="Q3776" t="inlineStr">
        <is>
          <t>InStock</t>
        </is>
      </c>
      <c r="R3776" t="inlineStr">
        <is>
          <t>undefined</t>
        </is>
      </c>
      <c r="S3776" t="inlineStr">
        <is>
          <t>9564727562</t>
        </is>
      </c>
    </row>
    <row r="3777" ht="75" customHeight="1">
      <c r="A3777" s="2">
        <f>HYPERLINK("https://camerareadycosmetics.com/products/tweezerman-slant-tweezer-classic", "https://camerareadycosmetics.com/products/tweezerman-slant-tweezer-classic")</f>
        <v/>
      </c>
      <c r="B3777" s="2">
        <f>HYPERLINK("https://camerareadycosmetics.com/products/tweezerman-slant-tweezer-classic", "https://camerareadycosmetics.com/products/tweezerman-slant-tweezer-classic")</f>
        <v/>
      </c>
      <c r="C3777" t="inlineStr">
        <is>
          <t>Slant Tweezer Classic</t>
        </is>
      </c>
      <c r="D3777" t="inlineStr">
        <is>
          <t>Tweezerman Stainless Steel Slanted Point Tweezer - Eyebrow Precision Tweezers, Facial And Ingrown Hair Removal (Classic Stainless)</t>
        </is>
      </c>
      <c r="E3777" s="2">
        <f>HYPERLINK("https://www.amazon.com/Tweezerman-Pointed-Slant-Tweezer-1261-R/dp/B000EMYH76/ref=sr_1_7?keywords=Slant+Tweezer+Classic&amp;qid=1695565593&amp;sr=8-7", "https://www.amazon.com/Tweezerman-Pointed-Slant-Tweezer-1261-R/dp/B000EMYH76/ref=sr_1_7?keywords=Slant+Tweezer+Classic&amp;qid=1695565593&amp;sr=8-7")</f>
        <v/>
      </c>
      <c r="F3777" t="inlineStr">
        <is>
          <t>B000EMYH76</t>
        </is>
      </c>
      <c r="G3777">
        <f>_xlfn.IMAGE("https://camerareadycosmetics.com/cdn/shop/files/tweezerman_-_slant_tweezer_classic_dd8d50c1-e99e-40c6-98fd-463525a01a24_50x.jpg?v=1695317819")</f>
        <v/>
      </c>
      <c r="H3777">
        <f>_xlfn.IMAGE("https://m.media-amazon.com/images/I/41zGZG7PeAL._AC_UL320_.jpg")</f>
        <v/>
      </c>
      <c r="K3777" t="inlineStr">
        <is>
          <t>23.0</t>
        </is>
      </c>
      <c r="L3777" t="n">
        <v>15.99</v>
      </c>
      <c r="M3777" s="1" t="inlineStr">
        <is>
          <t>-30.48%</t>
        </is>
      </c>
      <c r="N3777" t="n">
        <v>3.6</v>
      </c>
      <c r="O3777" t="n">
        <v>507</v>
      </c>
      <c r="Q3777" t="inlineStr">
        <is>
          <t>InStock</t>
        </is>
      </c>
      <c r="R3777" t="inlineStr">
        <is>
          <t>undefined</t>
        </is>
      </c>
      <c r="S3777" t="inlineStr">
        <is>
          <t>9564727562</t>
        </is>
      </c>
    </row>
    <row r="3778" ht="75" customHeight="1">
      <c r="A3778" s="2">
        <f>HYPERLINK("https://camerareadycosmetics.com/products/tweezerman-slant-tweezer-classic", "https://camerareadycosmetics.com/products/tweezerman-slant-tweezer-classic")</f>
        <v/>
      </c>
      <c r="B3778" s="2">
        <f>HYPERLINK("https://camerareadycosmetics.com/products/tweezerman-slant-tweezer-classic", "https://camerareadycosmetics.com/products/tweezerman-slant-tweezer-classic")</f>
        <v/>
      </c>
      <c r="C3778" t="inlineStr">
        <is>
          <t>Slant Tweezer Classic</t>
        </is>
      </c>
      <c r="D3778" t="inlineStr">
        <is>
          <t>Staleks Eyebrow Tweezers CLASSIC TC-10/3 (Wide Slant)</t>
        </is>
      </c>
      <c r="E3778" s="2">
        <f>HYPERLINK("https://www.amazon.com/Staleks-Eyebrow-Tweezers-CLASSIC-TC-10/dp/B015DAXLRA/ref=sr_1_10?keywords=Slant+Tweezer+Classic&amp;qid=1695565593&amp;sr=8-10", "https://www.amazon.com/Staleks-Eyebrow-Tweezers-CLASSIC-TC-10/dp/B015DAXLRA/ref=sr_1_10?keywords=Slant+Tweezer+Classic&amp;qid=1695565593&amp;sr=8-10")</f>
        <v/>
      </c>
      <c r="F3778" t="inlineStr">
        <is>
          <t>B015DAXLRA</t>
        </is>
      </c>
      <c r="G3778">
        <f>_xlfn.IMAGE("https://camerareadycosmetics.com/cdn/shop/files/tweezerman_-_slant_tweezer_classic_dd8d50c1-e99e-40c6-98fd-463525a01a24_50x.jpg?v=1695317819")</f>
        <v/>
      </c>
      <c r="H3778">
        <f>_xlfn.IMAGE("https://m.media-amazon.com/images/I/41XgjNLhbLL._AC_UL320_.jpg")</f>
        <v/>
      </c>
      <c r="K3778" t="inlineStr">
        <is>
          <t>23.0</t>
        </is>
      </c>
      <c r="L3778" t="n">
        <v>7.99</v>
      </c>
      <c r="M3778" s="1" t="inlineStr">
        <is>
          <t>-65.26%</t>
        </is>
      </c>
      <c r="N3778" t="n">
        <v>4.2</v>
      </c>
      <c r="O3778" t="n">
        <v>45</v>
      </c>
      <c r="Q3778" t="inlineStr">
        <is>
          <t>InStock</t>
        </is>
      </c>
      <c r="R3778" t="inlineStr">
        <is>
          <t>undefined</t>
        </is>
      </c>
      <c r="S3778" t="inlineStr">
        <is>
          <t>9564727562</t>
        </is>
      </c>
    </row>
    <row r="3779" ht="75" customHeight="1">
      <c r="A3779" s="2">
        <f>HYPERLINK("https://camerareadycosmetics.com/products/tweezerman-slant-tweezer-classic", "https://camerareadycosmetics.com/products/tweezerman-slant-tweezer-classic")</f>
        <v/>
      </c>
      <c r="B3779" s="2">
        <f>HYPERLINK("https://camerareadycosmetics.com/products/tweezerman-slant-tweezer-classic", "https://camerareadycosmetics.com/products/tweezerman-slant-tweezer-classic")</f>
        <v/>
      </c>
      <c r="C3779" t="inlineStr">
        <is>
          <t>Slant Tweezer Classic</t>
        </is>
      </c>
      <c r="D3779" t="inlineStr">
        <is>
          <t>Sally Hansen Beauty Tools, Classic Slant Tweezer</t>
        </is>
      </c>
      <c r="E3779" s="2">
        <f>HYPERLINK("https://www.amazon.com/Sally-Hansen-Beauty-Classic-Tweezer/dp/B00PCN4YH0/ref=sr_1_3?keywords=Slant+Tweezer+Classic&amp;qid=1695565593&amp;sr=8-3", "https://www.amazon.com/Sally-Hansen-Beauty-Classic-Tweezer/dp/B00PCN4YH0/ref=sr_1_3?keywords=Slant+Tweezer+Classic&amp;qid=1695565593&amp;sr=8-3")</f>
        <v/>
      </c>
      <c r="F3779" t="inlineStr">
        <is>
          <t>B00PCN4YH0</t>
        </is>
      </c>
      <c r="G3779">
        <f>_xlfn.IMAGE("https://camerareadycosmetics.com/cdn/shop/files/tweezerman_-_slant_tweezer_classic_dd8d50c1-e99e-40c6-98fd-463525a01a24_50x.jpg?v=1695317819")</f>
        <v/>
      </c>
      <c r="H3779">
        <f>_xlfn.IMAGE("https://m.media-amazon.com/images/I/61dTrooZcEL._AC_UL320_.jpg")</f>
        <v/>
      </c>
      <c r="K3779" t="inlineStr">
        <is>
          <t>23.0</t>
        </is>
      </c>
      <c r="L3779" t="n">
        <v>7.19</v>
      </c>
      <c r="M3779" s="1" t="inlineStr">
        <is>
          <t>-68.74%</t>
        </is>
      </c>
      <c r="N3779" t="n">
        <v>4.1</v>
      </c>
      <c r="O3779" t="n">
        <v>51</v>
      </c>
      <c r="Q3779" t="inlineStr">
        <is>
          <t>InStock</t>
        </is>
      </c>
      <c r="R3779" t="inlineStr">
        <is>
          <t>undefined</t>
        </is>
      </c>
      <c r="S3779" t="inlineStr">
        <is>
          <t>9564727562</t>
        </is>
      </c>
    </row>
    <row r="3780" ht="75" customHeight="1">
      <c r="A3780" s="2">
        <f>HYPERLINK("https://camerareadycosmetics.com/products/tweezerman-slant-tweezer-classic", "https://camerareadycosmetics.com/products/tweezerman-slant-tweezer-classic")</f>
        <v/>
      </c>
      <c r="B3780" s="2">
        <f>HYPERLINK("https://camerareadycosmetics.com/products/tweezerman-slant-tweezer-classic", "https://camerareadycosmetics.com/products/tweezerman-slant-tweezer-classic")</f>
        <v/>
      </c>
      <c r="C3780" t="inlineStr">
        <is>
          <t>Slant Tweezer Classic</t>
        </is>
      </c>
      <c r="D3780" t="inlineStr">
        <is>
          <t>Lepinko 2PCS Slant Tweezers, Classic and Mini Size, Stainless Steel, Precision Eyebrow Plucker for Facial Hair, Ingrown Hair, Splinter Removal and Precise Needs, For Men and Women</t>
        </is>
      </c>
      <c r="E3780" s="2">
        <f>HYPERLINK("https://www.amazon.com/LePinko-Tweezers-Stainless-Precision-Splinter/dp/B085618V19/ref=sr_1_4?keywords=Slant+Tweezer+Classic&amp;qid=1695565593&amp;sr=8-4", "https://www.amazon.com/LePinko-Tweezers-Stainless-Precision-Splinter/dp/B085618V19/ref=sr_1_4?keywords=Slant+Tweezer+Classic&amp;qid=1695565593&amp;sr=8-4")</f>
        <v/>
      </c>
      <c r="F3780" t="inlineStr">
        <is>
          <t>B085618V19</t>
        </is>
      </c>
      <c r="G3780">
        <f>_xlfn.IMAGE("https://camerareadycosmetics.com/cdn/shop/files/tweezerman_-_slant_tweezer_classic_dd8d50c1-e99e-40c6-98fd-463525a01a24_50x.jpg?v=1695317819")</f>
        <v/>
      </c>
      <c r="H3780">
        <f>_xlfn.IMAGE("https://m.media-amazon.com/images/I/61Zir2gQw4L._AC_UL320_.jpg")</f>
        <v/>
      </c>
      <c r="K3780" t="inlineStr">
        <is>
          <t>23.0</t>
        </is>
      </c>
      <c r="L3780" t="n">
        <v>4.99</v>
      </c>
      <c r="M3780" s="1" t="inlineStr">
        <is>
          <t>-78.30%</t>
        </is>
      </c>
      <c r="N3780" t="n">
        <v>4.4</v>
      </c>
      <c r="O3780" t="n">
        <v>477</v>
      </c>
      <c r="Q3780" t="inlineStr">
        <is>
          <t>InStock</t>
        </is>
      </c>
      <c r="R3780" t="inlineStr">
        <is>
          <t>undefined</t>
        </is>
      </c>
      <c r="S3780" t="inlineStr">
        <is>
          <t>9564727562</t>
        </is>
      </c>
    </row>
    <row r="3781" ht="75" customHeight="1">
      <c r="A3781" s="2">
        <f>HYPERLINK("https://camerareadycosmetics.com/products/tweezerman-slant-tweezer-classic", "https://camerareadycosmetics.com/products/tweezerman-slant-tweezer-classic")</f>
        <v/>
      </c>
      <c r="B3781" s="2">
        <f>HYPERLINK("https://camerareadycosmetics.com/products/tweezerman-slant-tweezer-classic", "https://camerareadycosmetics.com/products/tweezerman-slant-tweezer-classic")</f>
        <v/>
      </c>
      <c r="C3781" t="inlineStr">
        <is>
          <t>Slant Tweezer Classic</t>
        </is>
      </c>
      <c r="D3781" t="inlineStr">
        <is>
          <t>Staleks Eyebrow Tweezers CLASSIC TC-10/3 (Wide Slant)</t>
        </is>
      </c>
      <c r="E3781" s="2">
        <f>HYPERLINK("https://www.amazon.com/Staleks-Eyebrow-Tweezers-CLASSIC-TC-10/dp/B015DAXLRA/ref=sr_1_10?keywords=Slant+Tweezer+Classic&amp;qid=1695565593&amp;sr=8-10", "https://www.amazon.com/Staleks-Eyebrow-Tweezers-CLASSIC-TC-10/dp/B015DAXLRA/ref=sr_1_10?keywords=Slant+Tweezer+Classic&amp;qid=1695565593&amp;sr=8-10")</f>
        <v/>
      </c>
      <c r="F3781" t="inlineStr">
        <is>
          <t>B015DAXLRA</t>
        </is>
      </c>
      <c r="G3781">
        <f>_xlfn.IMAGE("https://camerareadycosmetics.com/cdn/shop/files/tweezerman_-_slant_tweezer_classic_dd8d50c1-e99e-40c6-98fd-463525a01a24_50x.jpg?v=1695317819")</f>
        <v/>
      </c>
      <c r="H3781">
        <f>_xlfn.IMAGE("https://m.media-amazon.com/images/I/41XgjNLhbLL._AC_UL320_.jpg")</f>
        <v/>
      </c>
      <c r="K3781" t="inlineStr">
        <is>
          <t>23.0</t>
        </is>
      </c>
      <c r="L3781" t="n">
        <v>7.99</v>
      </c>
      <c r="M3781" s="1" t="inlineStr">
        <is>
          <t>-65.26%</t>
        </is>
      </c>
      <c r="N3781" t="n">
        <v>4.2</v>
      </c>
      <c r="O3781" t="n">
        <v>45</v>
      </c>
      <c r="Q3781" t="inlineStr">
        <is>
          <t>InStock</t>
        </is>
      </c>
      <c r="R3781" t="inlineStr">
        <is>
          <t>undefined</t>
        </is>
      </c>
      <c r="S3781" t="inlineStr">
        <is>
          <t>9564727562</t>
        </is>
      </c>
    </row>
    <row r="3782" ht="75" customHeight="1">
      <c r="A3782" s="2">
        <f>HYPERLINK("https://camerareadycosmetics.com/products/tweezerman-slant-tweezer-classic", "https://camerareadycosmetics.com/products/tweezerman-slant-tweezer-classic")</f>
        <v/>
      </c>
      <c r="B3782" s="2">
        <f>HYPERLINK("https://camerareadycosmetics.com/products/tweezerman-slant-tweezer-classic", "https://camerareadycosmetics.com/products/tweezerman-slant-tweezer-classic")</f>
        <v/>
      </c>
      <c r="C3782" t="inlineStr">
        <is>
          <t>Slant Tweezer Classic</t>
        </is>
      </c>
      <c r="D3782" t="inlineStr">
        <is>
          <t>Sally Hansen Beauty Tools, Classic Slant Tweezer</t>
        </is>
      </c>
      <c r="E3782" s="2">
        <f>HYPERLINK("https://www.amazon.com/Sally-Hansen-Beauty-Classic-Tweezer/dp/B00PCN4YH0/ref=sr_1_3?keywords=Slant+Tweezer+Classic&amp;qid=1695565593&amp;sr=8-3", "https://www.amazon.com/Sally-Hansen-Beauty-Classic-Tweezer/dp/B00PCN4YH0/ref=sr_1_3?keywords=Slant+Tweezer+Classic&amp;qid=1695565593&amp;sr=8-3")</f>
        <v/>
      </c>
      <c r="F3782" t="inlineStr">
        <is>
          <t>B00PCN4YH0</t>
        </is>
      </c>
      <c r="G3782">
        <f>_xlfn.IMAGE("https://camerareadycosmetics.com/cdn/shop/files/tweezerman_-_slant_tweezer_classic_dd8d50c1-e99e-40c6-98fd-463525a01a24_50x.jpg?v=1695317819")</f>
        <v/>
      </c>
      <c r="H3782">
        <f>_xlfn.IMAGE("https://m.media-amazon.com/images/I/61dTrooZcEL._AC_UL320_.jpg")</f>
        <v/>
      </c>
      <c r="K3782" t="inlineStr">
        <is>
          <t>23.0</t>
        </is>
      </c>
      <c r="L3782" t="n">
        <v>7.19</v>
      </c>
      <c r="M3782" s="1" t="inlineStr">
        <is>
          <t>-68.74%</t>
        </is>
      </c>
      <c r="N3782" t="n">
        <v>4.1</v>
      </c>
      <c r="O3782" t="n">
        <v>51</v>
      </c>
      <c r="Q3782" t="inlineStr">
        <is>
          <t>InStock</t>
        </is>
      </c>
      <c r="R3782" t="inlineStr">
        <is>
          <t>undefined</t>
        </is>
      </c>
      <c r="S3782" t="inlineStr">
        <is>
          <t>9564727562</t>
        </is>
      </c>
    </row>
    <row r="3783" ht="75" customHeight="1">
      <c r="A3783" s="2">
        <f>HYPERLINK("https://camerareadycosmetics.com/products/tweezerman-slant-tweezer-classic", "https://camerareadycosmetics.com/products/tweezerman-slant-tweezer-classic")</f>
        <v/>
      </c>
      <c r="B3783" s="2">
        <f>HYPERLINK("https://camerareadycosmetics.com/products/tweezerman-slant-tweezer-classic", "https://camerareadycosmetics.com/products/tweezerman-slant-tweezer-classic")</f>
        <v/>
      </c>
      <c r="C3783" t="inlineStr">
        <is>
          <t>Slant Tweezer Classic</t>
        </is>
      </c>
      <c r="D3783" t="inlineStr">
        <is>
          <t>Lepinko 2PCS Slant Tweezers, Classic and Mini Size, Stainless Steel, Precision Eyebrow Plucker for Facial Hair, Ingrown Hair, Splinter Removal and Precise Needs, For Men and Women</t>
        </is>
      </c>
      <c r="E3783" s="2">
        <f>HYPERLINK("https://www.amazon.com/LePinko-Tweezers-Stainless-Precision-Splinter/dp/B085618V19/ref=sr_1_4?keywords=Slant+Tweezer+Classic&amp;qid=1695565593&amp;sr=8-4", "https://www.amazon.com/LePinko-Tweezers-Stainless-Precision-Splinter/dp/B085618V19/ref=sr_1_4?keywords=Slant+Tweezer+Classic&amp;qid=1695565593&amp;sr=8-4")</f>
        <v/>
      </c>
      <c r="F3783" t="inlineStr">
        <is>
          <t>B085618V19</t>
        </is>
      </c>
      <c r="G3783">
        <f>_xlfn.IMAGE("https://camerareadycosmetics.com/cdn/shop/files/tweezerman_-_slant_tweezer_classic_dd8d50c1-e99e-40c6-98fd-463525a01a24_50x.jpg?v=1695317819")</f>
        <v/>
      </c>
      <c r="H3783">
        <f>_xlfn.IMAGE("https://m.media-amazon.com/images/I/61Zir2gQw4L._AC_UL320_.jpg")</f>
        <v/>
      </c>
      <c r="K3783" t="inlineStr">
        <is>
          <t>23.0</t>
        </is>
      </c>
      <c r="L3783" t="n">
        <v>4.99</v>
      </c>
      <c r="M3783" s="1" t="inlineStr">
        <is>
          <t>-78.30%</t>
        </is>
      </c>
      <c r="N3783" t="n">
        <v>4.4</v>
      </c>
      <c r="O3783" t="n">
        <v>477</v>
      </c>
      <c r="Q3783" t="inlineStr">
        <is>
          <t>InStock</t>
        </is>
      </c>
      <c r="R3783" t="inlineStr">
        <is>
          <t>undefined</t>
        </is>
      </c>
      <c r="S3783" t="inlineStr">
        <is>
          <t>9564727562</t>
        </is>
      </c>
    </row>
    <row r="3784" ht="75" customHeight="1">
      <c r="A3784" s="2">
        <f>HYPERLINK("https://camerareadycosmetics.com/products/tweezerman-stainless-tweezerette-slant", "https://camerareadycosmetics.com/products/tweezerman-stainless-tweezerette-slant")</f>
        <v/>
      </c>
      <c r="B3784" s="2">
        <f>HYPERLINK("https://camerareadycosmetics.com/products/tweezerman-stainless-tweezerette-slant", "https://camerareadycosmetics.com/products/tweezerman-stainless-tweezerette-slant")</f>
        <v/>
      </c>
      <c r="C3784" t="inlineStr">
        <is>
          <t>Stainless Tweezerette Slant</t>
        </is>
      </c>
      <c r="D3784" t="inlineStr">
        <is>
          <t>Tweezerman Slant Tweezerette Stainless Steel</t>
        </is>
      </c>
      <c r="E3784" s="2">
        <f>HYPERLINK("https://www.amazon.com/Tweezerman-Slant-Tweezerette-Stainless-Steel/dp/B000GK9JRY/ref=sr_1_1?keywords=Stainless+Tweezerette+Slant&amp;qid=1695565570&amp;sr=8-1", "https://www.amazon.com/Tweezerman-Slant-Tweezerette-Stainless-Steel/dp/B000GK9JRY/ref=sr_1_1?keywords=Stainless+Tweezerette+Slant&amp;qid=1695565570&amp;sr=8-1")</f>
        <v/>
      </c>
      <c r="F3784" t="inlineStr">
        <is>
          <t>B000GK9JRY</t>
        </is>
      </c>
      <c r="G3784">
        <f>_xlfn.IMAGE("https://camerareadycosmetics.com/cdn/shop/products/stainless-tweezerette-slant_50x.jpg?v=1691124667")</f>
        <v/>
      </c>
      <c r="H3784">
        <f>_xlfn.IMAGE("https://m.media-amazon.com/images/I/519zXncjMtL._AC_UL320_.jpg")</f>
        <v/>
      </c>
      <c r="K3784" t="inlineStr">
        <is>
          <t>9.0</t>
        </is>
      </c>
      <c r="L3784" t="n">
        <v>13.75</v>
      </c>
      <c r="M3784" s="1" t="inlineStr">
        <is>
          <t>52.78%</t>
        </is>
      </c>
      <c r="N3784" t="n">
        <v>4.3</v>
      </c>
      <c r="O3784" t="n">
        <v>2989</v>
      </c>
      <c r="Q3784" t="inlineStr">
        <is>
          <t>InStock</t>
        </is>
      </c>
      <c r="R3784" t="inlineStr">
        <is>
          <t>undefined</t>
        </is>
      </c>
      <c r="S3784" t="inlineStr">
        <is>
          <t>9564697226</t>
        </is>
      </c>
    </row>
    <row r="3785" ht="75" customHeight="1">
      <c r="A3785" s="2">
        <f>HYPERLINK("https://camerareadycosmetics.com/products/viseart-6-blush-hd-palette", "https://camerareadycosmetics.com/products/viseart-6-blush-hd-palette")</f>
        <v/>
      </c>
      <c r="B3785" s="2">
        <f>HYPERLINK("https://camerareadycosmetics.com/products/viseart-6-blush-hd-palette", "https://camerareadycosmetics.com/products/viseart-6-blush-hd-palette")</f>
        <v/>
      </c>
      <c r="C3785" t="inlineStr">
        <is>
          <t>Blush HD Palette</t>
        </is>
      </c>
      <c r="D3785" t="inlineStr">
        <is>
          <t>Graftobian HD Glamour Crème Foundation Palette (Blush) - High Definition 5 Color Makeup Palette, Cream Based Foundation Pink and Red Blush Palette for Cheeks, Full Coverage - For All Skin Shades</t>
        </is>
      </c>
      <c r="E3785" s="2">
        <f>HYPERLINK("https://www.amazon.com/High-Definition-Glamour-Creme-Palette-Blush/dp/B004KTURJQ/ref=sr_1_1?keywords=Blush+HD+Palette&amp;qid=1695565581&amp;sr=8-1", "https://www.amazon.com/High-Definition-Glamour-Creme-Palette-Blush/dp/B004KTURJQ/ref=sr_1_1?keywords=Blush+HD+Palette&amp;qid=1695565581&amp;sr=8-1")</f>
        <v/>
      </c>
      <c r="F3785" t="inlineStr">
        <is>
          <t>B004KTURJQ</t>
        </is>
      </c>
      <c r="G3785">
        <f>_xlfn.IMAGE("https://camerareadycosmetics.com/cdn/shop/products/viseart-PlumBronze_Web_6.4.20_1024x1024_2x_6822cda1-10af-4bd8-810c-4f919c7399dc_50x.jpg?v=1691124238")</f>
        <v/>
      </c>
      <c r="H3785">
        <f>_xlfn.IMAGE("https://m.media-amazon.com/images/I/718NItWYTTL._AC_UL320_.jpg")</f>
        <v/>
      </c>
      <c r="K3785" t="inlineStr">
        <is>
          <t>80.0</t>
        </is>
      </c>
      <c r="L3785" t="n">
        <v>31.5</v>
      </c>
      <c r="M3785" s="1" t="inlineStr">
        <is>
          <t>-60.62%</t>
        </is>
      </c>
      <c r="N3785" t="n">
        <v>4.2</v>
      </c>
      <c r="O3785" t="n">
        <v>577</v>
      </c>
      <c r="Q3785" t="inlineStr">
        <is>
          <t>InStock</t>
        </is>
      </c>
      <c r="R3785" t="inlineStr">
        <is>
          <t>undefined</t>
        </is>
      </c>
      <c r="S3785" t="inlineStr">
        <is>
          <t>9356173386</t>
        </is>
      </c>
    </row>
    <row r="3786" ht="75" customHeight="1">
      <c r="A3786" s="2">
        <f>HYPERLINK("https://camerareadycosmetics.com/products/viseart-6-blush-hd-palette", "https://camerareadycosmetics.com/products/viseart-6-blush-hd-palette")</f>
        <v/>
      </c>
      <c r="B3786" s="2">
        <f>HYPERLINK("https://camerareadycosmetics.com/products/viseart-6-blush-hd-palette", "https://camerareadycosmetics.com/products/viseart-6-blush-hd-palette")</f>
        <v/>
      </c>
      <c r="C3786" t="inlineStr">
        <is>
          <t>Blush HD Palette</t>
        </is>
      </c>
      <c r="D3786" t="inlineStr">
        <is>
          <t>Graftobian HD Glamour Crème Foundation Palette (Blush) - High Definition 5 Color Makeup Palette, Cream Based Foundation Pink and Red Blush Palette for Cheeks, Full Coverage - For All Skin Shades</t>
        </is>
      </c>
      <c r="E3786" s="2">
        <f>HYPERLINK("https://www.amazon.com/High-Definition-Glamour-Creme-Palette-Blush/dp/B004KTURJQ/ref=sr_1_1?keywords=Blush+HD+Palette&amp;qid=1695565581&amp;sr=8-1", "https://www.amazon.com/High-Definition-Glamour-Creme-Palette-Blush/dp/B004KTURJQ/ref=sr_1_1?keywords=Blush+HD+Palette&amp;qid=1695565581&amp;sr=8-1")</f>
        <v/>
      </c>
      <c r="F3786" t="inlineStr">
        <is>
          <t>B004KTURJQ</t>
        </is>
      </c>
      <c r="G3786">
        <f>_xlfn.IMAGE("https://camerareadycosmetics.com/cdn/shop/products/viseart-PlumBronze_Web_6.4.20_1024x1024_2x_6822cda1-10af-4bd8-810c-4f919c7399dc_50x.jpg?v=1691124238")</f>
        <v/>
      </c>
      <c r="H3786">
        <f>_xlfn.IMAGE("https://m.media-amazon.com/images/I/718NItWYTTL._AC_UL320_.jpg")</f>
        <v/>
      </c>
      <c r="K3786" t="inlineStr">
        <is>
          <t>80.0</t>
        </is>
      </c>
      <c r="L3786" t="n">
        <v>31.5</v>
      </c>
      <c r="M3786" s="1" t="inlineStr">
        <is>
          <t>-60.62%</t>
        </is>
      </c>
      <c r="N3786" t="n">
        <v>4.2</v>
      </c>
      <c r="O3786" t="n">
        <v>577</v>
      </c>
      <c r="Q3786" t="inlineStr">
        <is>
          <t>InStock</t>
        </is>
      </c>
      <c r="R3786" t="inlineStr">
        <is>
          <t>undefined</t>
        </is>
      </c>
      <c r="S3786" t="inlineStr">
        <is>
          <t>9356173386</t>
        </is>
      </c>
    </row>
    <row r="3787" ht="75" customHeight="1">
      <c r="A3787" s="2">
        <f>HYPERLINK("https://camerareadycosmetics.com/products/viseart-bijouxette-etendu-eyeshadow-palette", "https://camerareadycosmetics.com/products/viseart-bijouxette-etendu-eyeshadow-palette")</f>
        <v/>
      </c>
      <c r="B3787" s="2">
        <f>HYPERLINK("https://camerareadycosmetics.com/products/viseart-bijouxette-etendu-eyeshadow-palette", "https://camerareadycosmetics.com/products/viseart-bijouxette-etendu-eyeshadow-palette")</f>
        <v/>
      </c>
      <c r="C3787" t="inlineStr">
        <is>
          <t>Bijouxette Étendu Eyeshadow Palette</t>
        </is>
      </c>
      <c r="D3787" t="inlineStr">
        <is>
          <t>Étendu Bijouxette Pigment Palette</t>
        </is>
      </c>
      <c r="E3787" s="2">
        <f>HYPERLINK("https://www.amazon.com/%C3%89tendu-Bijouxette-Pigment-Palette/dp/B09W7JTK44/ref=sr_1_1?keywords=bijoux+%C3%A9tendu+eyeshadow+palette&amp;qid=1695565680&amp;sr=8-1", "https://www.amazon.com/%C3%89tendu-Bijouxette-Pigment-Palette/dp/B09W7JTK44/ref=sr_1_1?keywords=bijoux+%C3%A9tendu+eyeshadow+palette&amp;qid=1695565680&amp;sr=8-1")</f>
        <v/>
      </c>
      <c r="F3787" t="inlineStr">
        <is>
          <t>B09W7JTK44</t>
        </is>
      </c>
      <c r="G3787">
        <f>_xlfn.IMAGE("https://camerareadycosmetics.com/cdn/shop/products/Bijouxettee-viseart-eyeshadow-palette_50x.jpg?v=1688675426")</f>
        <v/>
      </c>
      <c r="H3787">
        <f>_xlfn.IMAGE("https://m.media-amazon.com/images/I/91g9cQ7kGjL._AC_UL320_.jpg")</f>
        <v/>
      </c>
      <c r="K3787" t="inlineStr">
        <is>
          <t>44.0</t>
        </is>
      </c>
      <c r="L3787" t="n">
        <v>44</v>
      </c>
      <c r="M3787" s="1" t="inlineStr">
        <is>
          <t>0.00%</t>
        </is>
      </c>
      <c r="N3787" t="n">
        <v>3.9</v>
      </c>
      <c r="O3787" t="n">
        <v>7</v>
      </c>
      <c r="Q3787" t="inlineStr">
        <is>
          <t>OutOfStock</t>
        </is>
      </c>
      <c r="R3787" t="inlineStr">
        <is>
          <t>44.0</t>
        </is>
      </c>
      <c r="S3787" t="inlineStr">
        <is>
          <t>7038141530297</t>
        </is>
      </c>
    </row>
    <row r="3788" ht="75" customHeight="1">
      <c r="A3788" s="2">
        <f>HYPERLINK("https://camerareadycosmetics.com/products/viseart-dark-edit-eyeshadow-palette", "https://camerareadycosmetics.com/products/viseart-dark-edit-eyeshadow-palette")</f>
        <v/>
      </c>
      <c r="B3788" s="2">
        <f>HYPERLINK("https://camerareadycosmetics.com/products/viseart-dark-edit-eyeshadow-palette", "https://camerareadycosmetics.com/products/viseart-dark-edit-eyeshadow-palette")</f>
        <v/>
      </c>
      <c r="C3788" t="inlineStr">
        <is>
          <t>Dark EDIT Eyeshadow Palette</t>
        </is>
      </c>
      <c r="D3788" t="inlineStr">
        <is>
          <t>Complex Culture - Full Time Eyeshadow Palettes (Edit 2), 0.48 Ounce (Pack of 1), 13.5 grams</t>
        </is>
      </c>
      <c r="E3788" s="2">
        <f>HYPERLINK("https://www.amazon.com/Complex-Culture-Eyeshadow-Palettes-Ounce/dp/B0B7J31ST6/ref=sr_1_5?keywords=Dark+EDIT+Eyeshadow+Palette&amp;qid=1695565628&amp;sr=8-5", "https://www.amazon.com/Complex-Culture-Eyeshadow-Palettes-Ounce/dp/B0B7J31ST6/ref=sr_1_5?keywords=Dark+EDIT+Eyeshadow+Palette&amp;qid=1695565628&amp;sr=8-5")</f>
        <v/>
      </c>
      <c r="F3788" t="inlineStr">
        <is>
          <t>B0B7J31ST6</t>
        </is>
      </c>
      <c r="G3788">
        <f>_xlfn.IMAGE("https://camerareadycosmetics.com/cdn/shop/products/viseart-DarkEdit_Web_2_6.10.20_1024x1024_2x_63d51ad4-39cf-43fd-a0d7-7341882eb649_50x.jpg?v=1688673650")</f>
        <v/>
      </c>
      <c r="H3788">
        <f>_xlfn.IMAGE("https://m.media-amazon.com/images/I/61XDof0hkXL._AC_UL320_.jpg")</f>
        <v/>
      </c>
      <c r="K3788" t="inlineStr">
        <is>
          <t>40.0</t>
        </is>
      </c>
      <c r="L3788" t="n">
        <v>33.96</v>
      </c>
      <c r="M3788" s="1" t="inlineStr">
        <is>
          <t>-15.10%</t>
        </is>
      </c>
      <c r="N3788" t="n">
        <v>5</v>
      </c>
      <c r="O3788" t="n">
        <v>2</v>
      </c>
      <c r="Q3788" t="inlineStr">
        <is>
          <t>InStock</t>
        </is>
      </c>
      <c r="R3788" t="inlineStr">
        <is>
          <t>undefined</t>
        </is>
      </c>
      <c r="S3788" t="inlineStr">
        <is>
          <t>4282201112687</t>
        </is>
      </c>
    </row>
    <row r="3789" ht="75" customHeight="1">
      <c r="A3789" s="2">
        <f>HYPERLINK("https://camerareadycosmetics.com/products/viseart-dark-edit-eyeshadow-palette", "https://camerareadycosmetics.com/products/viseart-dark-edit-eyeshadow-palette")</f>
        <v/>
      </c>
      <c r="B3789" s="2">
        <f>HYPERLINK("https://camerareadycosmetics.com/products/viseart-dark-edit-eyeshadow-palette", "https://camerareadycosmetics.com/products/viseart-dark-edit-eyeshadow-palette")</f>
        <v/>
      </c>
      <c r="C3789" t="inlineStr">
        <is>
          <t>Dark EDIT Eyeshadow Palette</t>
        </is>
      </c>
      <c r="D3789" t="inlineStr">
        <is>
          <t>NYX PROFESSIONAL MAKEUP Mystic Petals Shadow Palette, Eyeshadow Palette - Dark Mystic</t>
        </is>
      </c>
      <c r="E3789" s="2">
        <f>HYPERLINK("https://www.amazon.com/NYX-PROFESSIONAL-MAKEUP-Mystic-Palette/dp/B07S8YV55M/ref=sr_1_7?keywords=Dark+EDIT+Eyeshadow+Palette&amp;qid=1695565628&amp;sr=8-7", "https://www.amazon.com/NYX-PROFESSIONAL-MAKEUP-Mystic-Palette/dp/B07S8YV55M/ref=sr_1_7?keywords=Dark+EDIT+Eyeshadow+Palette&amp;qid=1695565628&amp;sr=8-7")</f>
        <v/>
      </c>
      <c r="F3789" t="inlineStr">
        <is>
          <t>B07S8YV55M</t>
        </is>
      </c>
      <c r="G3789">
        <f>_xlfn.IMAGE("https://camerareadycosmetics.com/cdn/shop/products/viseart-DarkEdit_Web_2_6.10.20_1024x1024_2x_63d51ad4-39cf-43fd-a0d7-7341882eb649_50x.jpg?v=1688673650")</f>
        <v/>
      </c>
      <c r="H3789">
        <f>_xlfn.IMAGE("https://m.media-amazon.com/images/I/61Z28tZ7xFL._AC_UL320_.jpg")</f>
        <v/>
      </c>
      <c r="K3789" t="inlineStr">
        <is>
          <t>40.0</t>
        </is>
      </c>
      <c r="L3789" t="n">
        <v>13.52</v>
      </c>
      <c r="M3789" s="1" t="inlineStr">
        <is>
          <t>-66.20%</t>
        </is>
      </c>
      <c r="N3789" t="n">
        <v>4.4</v>
      </c>
      <c r="O3789" t="n">
        <v>953</v>
      </c>
      <c r="Q3789" t="inlineStr">
        <is>
          <t>InStock</t>
        </is>
      </c>
      <c r="R3789" t="inlineStr">
        <is>
          <t>undefined</t>
        </is>
      </c>
      <c r="S3789" t="inlineStr">
        <is>
          <t>4282201112687</t>
        </is>
      </c>
    </row>
    <row r="3790" ht="75" customHeight="1">
      <c r="A3790" s="2">
        <f>HYPERLINK("https://camerareadycosmetics.com/products/viseart-dark-edit-eyeshadow-palette", "https://camerareadycosmetics.com/products/viseart-dark-edit-eyeshadow-palette")</f>
        <v/>
      </c>
      <c r="B3790" s="2">
        <f>HYPERLINK("https://camerareadycosmetics.com/products/viseart-dark-edit-eyeshadow-palette", "https://camerareadycosmetics.com/products/viseart-dark-edit-eyeshadow-palette")</f>
        <v/>
      </c>
      <c r="C3790" t="inlineStr">
        <is>
          <t>Dark EDIT Eyeshadow Palette</t>
        </is>
      </c>
      <c r="D3790" t="inlineStr">
        <is>
          <t>NYX PROFESSIONAL MAKEUP Mystic Petals Shadow Palette, Eyeshadow Palette - Dark Mystic</t>
        </is>
      </c>
      <c r="E3790" s="2">
        <f>HYPERLINK("https://www.amazon.com/NYX-PROFESSIONAL-MAKEUP-Mystic-Palette/dp/B07S8YV55M/ref=sr_1_7?keywords=Dark+EDIT+Eyeshadow+Palette&amp;qid=1695565628&amp;sr=8-7", "https://www.amazon.com/NYX-PROFESSIONAL-MAKEUP-Mystic-Palette/dp/B07S8YV55M/ref=sr_1_7?keywords=Dark+EDIT+Eyeshadow+Palette&amp;qid=1695565628&amp;sr=8-7")</f>
        <v/>
      </c>
      <c r="F3790" t="inlineStr">
        <is>
          <t>B07S8YV55M</t>
        </is>
      </c>
      <c r="G3790">
        <f>_xlfn.IMAGE("https://camerareadycosmetics.com/cdn/shop/products/viseart-DarkEdit_Web_2_6.10.20_1024x1024_2x_63d51ad4-39cf-43fd-a0d7-7341882eb649_50x.jpg?v=1688673650")</f>
        <v/>
      </c>
      <c r="H3790">
        <f>_xlfn.IMAGE("https://m.media-amazon.com/images/I/61Z28tZ7xFL._AC_UL320_.jpg")</f>
        <v/>
      </c>
      <c r="K3790" t="inlineStr">
        <is>
          <t>40.0</t>
        </is>
      </c>
      <c r="L3790" t="n">
        <v>13.52</v>
      </c>
      <c r="M3790" s="1" t="inlineStr">
        <is>
          <t>-66.20%</t>
        </is>
      </c>
      <c r="N3790" t="n">
        <v>4.4</v>
      </c>
      <c r="O3790" t="n">
        <v>953</v>
      </c>
      <c r="Q3790" t="inlineStr">
        <is>
          <t>InStock</t>
        </is>
      </c>
      <c r="R3790" t="inlineStr">
        <is>
          <t>undefined</t>
        </is>
      </c>
      <c r="S3790" t="inlineStr">
        <is>
          <t>4282201112687</t>
        </is>
      </c>
    </row>
    <row r="3791" ht="75" customHeight="1">
      <c r="A3791" s="2">
        <f>HYPERLINK("https://camerareadycosmetics.com/products/viseart-moisture-boost-lip-shine", "https://camerareadycosmetics.com/products/viseart-moisture-boost-lip-shine")</f>
        <v/>
      </c>
      <c r="B3791" s="2">
        <f>HYPERLINK("https://camerareadycosmetics.com/products/viseart-moisture-boost-lip-shine", "https://camerareadycosmetics.com/products/viseart-moisture-boost-lip-shine")</f>
        <v/>
      </c>
      <c r="C3791" t="inlineStr">
        <is>
          <t>Moisture Boost Oil Lip Shine</t>
        </is>
      </c>
      <c r="D3791" t="inlineStr">
        <is>
          <t>Viseart Moisture Boost Lip Shine Cerise</t>
        </is>
      </c>
      <c r="E3791" s="2">
        <f>HYPERLINK("https://www.amazon.com/Viseart-Paris-Moisture-Boost-Cerise/dp/B09VS7V422/ref=sr_1_6?keywords=Moisture+Boost+Oil+Lip+Shine&amp;qid=1695565614&amp;sr=8-6", "https://www.amazon.com/Viseart-Paris-Moisture-Boost-Cerise/dp/B09VS7V422/ref=sr_1_6?keywords=Moisture+Boost+Oil+Lip+Shine&amp;qid=1695565614&amp;sr=8-6")</f>
        <v/>
      </c>
      <c r="F3791" t="inlineStr">
        <is>
          <t>B09VS7V422</t>
        </is>
      </c>
      <c r="G3791">
        <f>_xlfn.IMAGE("https://camerareadycosmetics.com/cdn/shop/products/MBOLS_Web_Fleur_5.2.20_1024x1024_2x_f5dbc441-b98d-4727-a841-465f078cf4a2_50x.jpg?v=1681410902")</f>
        <v/>
      </c>
      <c r="H3791">
        <f>_xlfn.IMAGE("https://m.media-amazon.com/images/I/613gKAglOqL._AC_UL320_.jpg")</f>
        <v/>
      </c>
      <c r="K3791" t="inlineStr">
        <is>
          <t>15.25</t>
        </is>
      </c>
      <c r="L3791" t="n">
        <v>19</v>
      </c>
      <c r="M3791" s="1" t="inlineStr">
        <is>
          <t>24.59%</t>
        </is>
      </c>
      <c r="N3791" t="n">
        <v>5</v>
      </c>
      <c r="O3791" t="n">
        <v>1</v>
      </c>
      <c r="Q3791" t="inlineStr">
        <is>
          <t>InStock</t>
        </is>
      </c>
      <c r="R3791" t="inlineStr">
        <is>
          <t>19.0</t>
        </is>
      </c>
      <c r="S3791" t="inlineStr">
        <is>
          <t>4374613262447</t>
        </is>
      </c>
    </row>
    <row r="3792" ht="75" customHeight="1">
      <c r="A3792" s="2">
        <f>HYPERLINK("https://camerareadycosmetics.com/products/viseart-moisture-boost-lip-shine", "https://camerareadycosmetics.com/products/viseart-moisture-boost-lip-shine")</f>
        <v/>
      </c>
      <c r="B3792" s="2">
        <f>HYPERLINK("https://camerareadycosmetics.com/products/viseart-moisture-boost-lip-shine", "https://camerareadycosmetics.com/products/viseart-moisture-boost-lip-shine")</f>
        <v/>
      </c>
      <c r="C3792" t="inlineStr">
        <is>
          <t>Moisture Boost Oil Lip Shine</t>
        </is>
      </c>
      <c r="D3792" t="inlineStr">
        <is>
          <t>ARTDECO Hydra Lip Booster - Translucent Mauve - Hydrating Lip Gloss with Boosting Effect - Hint of Color &amp; Beautiful Shine - Non-Sticky Finish - Lip Care - Lip Oil - Makeup - Hyaluron - 0.21 Fl Oz</t>
        </is>
      </c>
      <c r="E3792" s="2">
        <f>HYPERLINK("https://www.amazon.com/ARTDECO-Hydra-Lip-Booster-Translucent/dp/B003HL7FMU/ref=sr_1_2?keywords=Moisture+Boost+Oil+Lip+Shine&amp;qid=1695565614&amp;sr=8-2", "https://www.amazon.com/ARTDECO-Hydra-Lip-Booster-Translucent/dp/B003HL7FMU/ref=sr_1_2?keywords=Moisture+Boost+Oil+Lip+Shine&amp;qid=1695565614&amp;sr=8-2")</f>
        <v/>
      </c>
      <c r="F3792" t="inlineStr">
        <is>
          <t>B003HL7FMU</t>
        </is>
      </c>
      <c r="G3792">
        <f>_xlfn.IMAGE("https://camerareadycosmetics.com/cdn/shop/products/MBOLS_Web_Fleur_5.2.20_1024x1024_2x_f5dbc441-b98d-4727-a841-465f078cf4a2_50x.jpg?v=1681410902")</f>
        <v/>
      </c>
      <c r="H3792">
        <f>_xlfn.IMAGE("https://m.media-amazon.com/images/I/51nd8ZhAJeL._AC_UL320_.jpg")</f>
        <v/>
      </c>
      <c r="K3792" t="inlineStr">
        <is>
          <t>15.25</t>
        </is>
      </c>
      <c r="L3792" t="n">
        <v>14.99</v>
      </c>
      <c r="M3792" s="1" t="inlineStr">
        <is>
          <t>-1.70%</t>
        </is>
      </c>
      <c r="N3792" t="n">
        <v>4.5</v>
      </c>
      <c r="O3792" t="n">
        <v>247</v>
      </c>
      <c r="Q3792" t="inlineStr">
        <is>
          <t>InStock</t>
        </is>
      </c>
      <c r="R3792" t="inlineStr">
        <is>
          <t>19.0</t>
        </is>
      </c>
      <c r="S3792" t="inlineStr">
        <is>
          <t>4374613262447</t>
        </is>
      </c>
    </row>
    <row r="3793" ht="75" customHeight="1">
      <c r="A3793" s="2">
        <f>HYPERLINK("https://camerareadycosmetics.com/products/viseart-paris-edit-eyeshadow-palette", "https://camerareadycosmetics.com/products/viseart-paris-edit-eyeshadow-palette")</f>
        <v/>
      </c>
      <c r="B3793" s="2">
        <f>HYPERLINK("https://camerareadycosmetics.com/products/viseart-paris-edit-eyeshadow-palette", "https://camerareadycosmetics.com/products/viseart-paris-edit-eyeshadow-palette")</f>
        <v/>
      </c>
      <c r="C3793" t="inlineStr">
        <is>
          <t>Paris EDIT Eyeshadow Palette</t>
        </is>
      </c>
      <c r="D3793" t="inlineStr">
        <is>
          <t>essence | Salut Paris Eyeshadow Palette | 9 Blendable Shades | Matte &amp; Shimmer Finishes</t>
        </is>
      </c>
      <c r="E3793" s="2">
        <f>HYPERLINK("https://www.amazon.com/essence-Eyeshadow-Palette-Blendable-Finishes/dp/B07PVSZ1H2/ref=sr_1_5?keywords=Paris+EDIT+Eyeshadow+Palette&amp;qid=1695565559&amp;sr=8-5", "https://www.amazon.com/essence-Eyeshadow-Palette-Blendable-Finishes/dp/B07PVSZ1H2/ref=sr_1_5?keywords=Paris+EDIT+Eyeshadow+Palette&amp;qid=1695565559&amp;sr=8-5")</f>
        <v/>
      </c>
      <c r="F3793" t="inlineStr">
        <is>
          <t>B07PVSZ1H2</t>
        </is>
      </c>
      <c r="G3793">
        <f>_xlfn.IMAGE("https://camerareadycosmetics.com/cdn/shop/products/viseart-ParisEdit_eyeshadow-palette-web_50x.jpg?v=1581285131")</f>
        <v/>
      </c>
      <c r="H3793">
        <f>_xlfn.IMAGE("https://m.media-amazon.com/images/I/81Hs-OWtZwL._AC_UL320_.jpg")</f>
        <v/>
      </c>
      <c r="K3793" t="inlineStr">
        <is>
          <t>40.0</t>
        </is>
      </c>
      <c r="L3793" t="n">
        <v>11.99</v>
      </c>
      <c r="M3793" s="1" t="inlineStr">
        <is>
          <t>-70.02%</t>
        </is>
      </c>
      <c r="N3793" t="n">
        <v>4.4</v>
      </c>
      <c r="O3793" t="n">
        <v>277</v>
      </c>
      <c r="Q3793" t="inlineStr">
        <is>
          <t>OutOfStock</t>
        </is>
      </c>
      <c r="R3793" t="inlineStr">
        <is>
          <t>undefined</t>
        </is>
      </c>
      <c r="S3793" t="inlineStr">
        <is>
          <t>4379091763311</t>
        </is>
      </c>
    </row>
    <row r="3794" ht="75" customHeight="1">
      <c r="A3794" s="2">
        <f>HYPERLINK("https://camerareadycosmetics.com/products/viseart-paris-edit-eyeshadow-palette", "https://camerareadycosmetics.com/products/viseart-paris-edit-eyeshadow-palette")</f>
        <v/>
      </c>
      <c r="B3794" s="2">
        <f>HYPERLINK("https://camerareadycosmetics.com/products/viseart-paris-edit-eyeshadow-palette", "https://camerareadycosmetics.com/products/viseart-paris-edit-eyeshadow-palette")</f>
        <v/>
      </c>
      <c r="C3794" t="inlineStr">
        <is>
          <t>Paris EDIT Eyeshadow Palette</t>
        </is>
      </c>
      <c r="D3794" t="inlineStr">
        <is>
          <t>L'Oreal Paris Colour Riche La Palette Eyeshadow, Nude [111] 0.62 oz</t>
        </is>
      </c>
      <c r="E3794" s="2">
        <f>HYPERLINK("https://www.amazon.com/LOr%C3%A9al-Paris-Makeup-Colour-Palette/dp/B00TQEZAHO/ref=sr_1_2?keywords=Paris+EDIT+Eyeshadow+Palette&amp;qid=1695565559&amp;sr=8-2", "https://www.amazon.com/LOr%C3%A9al-Paris-Makeup-Colour-Palette/dp/B00TQEZAHO/ref=sr_1_2?keywords=Paris+EDIT+Eyeshadow+Palette&amp;qid=1695565559&amp;sr=8-2")</f>
        <v/>
      </c>
      <c r="F3794" t="inlineStr">
        <is>
          <t>B00TQEZAHO</t>
        </is>
      </c>
      <c r="G3794">
        <f>_xlfn.IMAGE("https://camerareadycosmetics.com/cdn/shop/products/viseart-ParisEdit_eyeshadow-palette-web_50x.jpg?v=1581285131")</f>
        <v/>
      </c>
      <c r="H3794">
        <f>_xlfn.IMAGE("https://m.media-amazon.com/images/I/614S2cDXB3L._AC_UL320_.jpg")</f>
        <v/>
      </c>
      <c r="K3794" t="inlineStr">
        <is>
          <t>40.0</t>
        </is>
      </c>
      <c r="L3794" t="n">
        <v>11.98</v>
      </c>
      <c r="M3794" s="1" t="inlineStr">
        <is>
          <t>-70.05%</t>
        </is>
      </c>
      <c r="N3794" t="n">
        <v>4.4</v>
      </c>
      <c r="O3794" t="n">
        <v>997</v>
      </c>
      <c r="Q3794" t="inlineStr">
        <is>
          <t>OutOfStock</t>
        </is>
      </c>
      <c r="R3794" t="inlineStr">
        <is>
          <t>undefined</t>
        </is>
      </c>
      <c r="S3794" t="inlineStr">
        <is>
          <t>4379091763311</t>
        </is>
      </c>
    </row>
    <row r="3795" ht="75" customHeight="1">
      <c r="A3795" s="2">
        <f>HYPERLINK("https://camerareadycosmetics.com/products/viseart-paris-edit-eyeshadow-palette", "https://camerareadycosmetics.com/products/viseart-paris-edit-eyeshadow-palette")</f>
        <v/>
      </c>
      <c r="B3795" s="2">
        <f>HYPERLINK("https://camerareadycosmetics.com/products/viseart-paris-edit-eyeshadow-palette", "https://camerareadycosmetics.com/products/viseart-paris-edit-eyeshadow-palette")</f>
        <v/>
      </c>
      <c r="C3795" t="inlineStr">
        <is>
          <t>Paris EDIT Eyeshadow Palette</t>
        </is>
      </c>
      <c r="D3795" t="inlineStr">
        <is>
          <t>essence | Salut Paris Eyeshadow Palette | 9 Blendable Shades | Matte &amp; Shimmer Finishes</t>
        </is>
      </c>
      <c r="E3795" s="2">
        <f>HYPERLINK("https://www.amazon.com/essence-Eyeshadow-Palette-Blendable-Finishes/dp/B07PVSZ1H2/ref=sr_1_5?keywords=Paris+EDIT+Eyeshadow+Palette&amp;qid=1695565559&amp;sr=8-5", "https://www.amazon.com/essence-Eyeshadow-Palette-Blendable-Finishes/dp/B07PVSZ1H2/ref=sr_1_5?keywords=Paris+EDIT+Eyeshadow+Palette&amp;qid=1695565559&amp;sr=8-5")</f>
        <v/>
      </c>
      <c r="F3795" t="inlineStr">
        <is>
          <t>B07PVSZ1H2</t>
        </is>
      </c>
      <c r="G3795">
        <f>_xlfn.IMAGE("https://camerareadycosmetics.com/cdn/shop/products/viseart-ParisEdit_eyeshadow-palette-web_50x.jpg?v=1581285131")</f>
        <v/>
      </c>
      <c r="H3795">
        <f>_xlfn.IMAGE("https://m.media-amazon.com/images/I/81Hs-OWtZwL._AC_UL320_.jpg")</f>
        <v/>
      </c>
      <c r="K3795" t="inlineStr">
        <is>
          <t>40.0</t>
        </is>
      </c>
      <c r="L3795" t="n">
        <v>11.99</v>
      </c>
      <c r="M3795" s="1" t="inlineStr">
        <is>
          <t>-70.02%</t>
        </is>
      </c>
      <c r="N3795" t="n">
        <v>4.4</v>
      </c>
      <c r="O3795" t="n">
        <v>277</v>
      </c>
      <c r="Q3795" t="inlineStr">
        <is>
          <t>OutOfStock</t>
        </is>
      </c>
      <c r="R3795" t="inlineStr">
        <is>
          <t>undefined</t>
        </is>
      </c>
      <c r="S3795" t="inlineStr">
        <is>
          <t>4379091763311</t>
        </is>
      </c>
    </row>
    <row r="3796" ht="75" customHeight="1">
      <c r="A3796" s="2">
        <f>HYPERLINK("https://camerareadycosmetics.com/products/viseart-paris-edit-eyeshadow-palette", "https://camerareadycosmetics.com/products/viseart-paris-edit-eyeshadow-palette")</f>
        <v/>
      </c>
      <c r="B3796" s="2">
        <f>HYPERLINK("https://camerareadycosmetics.com/products/viseart-paris-edit-eyeshadow-palette", "https://camerareadycosmetics.com/products/viseart-paris-edit-eyeshadow-palette")</f>
        <v/>
      </c>
      <c r="C3796" t="inlineStr">
        <is>
          <t>Paris EDIT Eyeshadow Palette</t>
        </is>
      </c>
      <c r="D3796" t="inlineStr">
        <is>
          <t>L'Oreal Paris Colour Riche La Palette Eyeshadow, Nude [111] 0.62 oz</t>
        </is>
      </c>
      <c r="E3796" s="2">
        <f>HYPERLINK("https://www.amazon.com/LOr%C3%A9al-Paris-Makeup-Colour-Palette/dp/B00TQEZAHO/ref=sr_1_2?keywords=Paris+EDIT+Eyeshadow+Palette&amp;qid=1695565559&amp;sr=8-2", "https://www.amazon.com/LOr%C3%A9al-Paris-Makeup-Colour-Palette/dp/B00TQEZAHO/ref=sr_1_2?keywords=Paris+EDIT+Eyeshadow+Palette&amp;qid=1695565559&amp;sr=8-2")</f>
        <v/>
      </c>
      <c r="F3796" t="inlineStr">
        <is>
          <t>B00TQEZAHO</t>
        </is>
      </c>
      <c r="G3796">
        <f>_xlfn.IMAGE("https://camerareadycosmetics.com/cdn/shop/products/viseart-ParisEdit_eyeshadow-palette-web_50x.jpg?v=1581285131")</f>
        <v/>
      </c>
      <c r="H3796">
        <f>_xlfn.IMAGE("https://m.media-amazon.com/images/I/614S2cDXB3L._AC_UL320_.jpg")</f>
        <v/>
      </c>
      <c r="K3796" t="inlineStr">
        <is>
          <t>40.0</t>
        </is>
      </c>
      <c r="L3796" t="n">
        <v>11.98</v>
      </c>
      <c r="M3796" s="1" t="inlineStr">
        <is>
          <t>-70.05%</t>
        </is>
      </c>
      <c r="N3796" t="n">
        <v>4.4</v>
      </c>
      <c r="O3796" t="n">
        <v>997</v>
      </c>
      <c r="Q3796" t="inlineStr">
        <is>
          <t>OutOfStock</t>
        </is>
      </c>
      <c r="R3796" t="inlineStr">
        <is>
          <t>undefined</t>
        </is>
      </c>
      <c r="S3796" t="inlineStr">
        <is>
          <t>4379091763311</t>
        </is>
      </c>
    </row>
    <row r="3797" ht="75" customHeight="1">
      <c r="A3797" s="2">
        <f>HYPERLINK("https://camerareadycosmetics.com/products/viseart-petites-mattes-milieu-eyeshadow-palette", "https://camerareadycosmetics.com/products/viseart-petites-mattes-milieu-eyeshadow-palette")</f>
        <v/>
      </c>
      <c r="B3797" s="2">
        <f>HYPERLINK("https://camerareadycosmetics.com/products/viseart-petites-mattes-milieu-eyeshadow-palette", "https://camerareadycosmetics.com/products/viseart-petites-mattes-milieu-eyeshadow-palette")</f>
        <v/>
      </c>
      <c r="C3797" t="inlineStr">
        <is>
          <t>Petites Mattes Milieu Eyeshadow Palette</t>
        </is>
      </c>
      <c r="D3797" t="inlineStr">
        <is>
          <t>VISEART PROFESSIONAL MAKE - UP . PARIS PRO Eyeshadow Palette 14 Neutral Mattes Milieu</t>
        </is>
      </c>
      <c r="E3797" s="2">
        <f>HYPERLINK("https://www.amazon.com/Viseart-Shadow-Palette-Neutral-Mattes/dp/B08PDQXZMR/ref=sr_1_fkmr0_1?keywords=Petites+Mattes+Milieu+Eyeshadow+Palette&amp;qid=1695565684&amp;sr=8-1-fkmr0", "https://www.amazon.com/Viseart-Shadow-Palette-Neutral-Mattes/dp/B08PDQXZMR/ref=sr_1_fkmr0_1?keywords=Petites+Mattes+Milieu+Eyeshadow+Palette&amp;qid=1695565684&amp;sr=8-1-fkmr0")</f>
        <v/>
      </c>
      <c r="F3797" t="inlineStr">
        <is>
          <t>B08PDQXZMR</t>
        </is>
      </c>
      <c r="G3797">
        <f>_xlfn.IMAGE("https://camerareadycosmetics.com/cdn/shop/products/PetitesMattesMilieu_Open_Web_2.14.22_1024x1024_2x_5df9c054-5b5f-4638-9f00-fab472ab131b_50x.jpg?v=1688676502")</f>
        <v/>
      </c>
      <c r="H3797">
        <f>_xlfn.IMAGE("https://m.media-amazon.com/images/I/81gY3JjgzoL._AC_UL320_.jpg")</f>
        <v/>
      </c>
      <c r="K3797" t="inlineStr">
        <is>
          <t>40.0</t>
        </is>
      </c>
      <c r="L3797" t="n">
        <v>64.95</v>
      </c>
      <c r="M3797" s="1" t="inlineStr">
        <is>
          <t>62.38%</t>
        </is>
      </c>
      <c r="N3797" t="n">
        <v>4.9</v>
      </c>
      <c r="O3797" t="n">
        <v>15</v>
      </c>
      <c r="Q3797" t="inlineStr">
        <is>
          <t>InStock</t>
        </is>
      </c>
      <c r="R3797" t="inlineStr">
        <is>
          <t>undefined</t>
        </is>
      </c>
      <c r="S3797" t="inlineStr">
        <is>
          <t>7237159452857</t>
        </is>
      </c>
    </row>
    <row r="3798" ht="75" customHeight="1">
      <c r="A3798" s="2">
        <f>HYPERLINK("https://camerareadycosmetics.com/products/viseart-petit-pro-3-palette", "https://camerareadycosmetics.com/products/viseart-petit-pro-3-palette")</f>
        <v/>
      </c>
      <c r="B3798" s="2">
        <f>HYPERLINK("https://camerareadycosmetics.com/products/viseart-petit-pro-3-palette", "https://camerareadycosmetics.com/products/viseart-petit-pro-3-palette")</f>
        <v/>
      </c>
      <c r="C3798" t="inlineStr">
        <is>
          <t>Petit Pro 3 Trois Eyeshadow Palette</t>
        </is>
      </c>
      <c r="D3798" t="inlineStr">
        <is>
          <t>Petit PRO 3 Eyeshadow Palette</t>
        </is>
      </c>
      <c r="E3798" s="2">
        <f>HYPERLINK("https://www.amazon.com/Petit-PRO-3-Eyeshadow-Palette/dp/B09W7C3KYQ/ref=sr_1_1?keywords=Petit+Pro+3+Trois+Eyeshadow+Palette&amp;qid=1695565731&amp;sr=8-1", "https://www.amazon.com/Petit-PRO-3-Eyeshadow-Palette/dp/B09W7C3KYQ/ref=sr_1_1?keywords=Petit+Pro+3+Trois+Eyeshadow+Palette&amp;qid=1695565731&amp;sr=8-1")</f>
        <v/>
      </c>
      <c r="F3798" t="inlineStr">
        <is>
          <t>B09W7C3KYQ</t>
        </is>
      </c>
      <c r="G3798">
        <f>_xlfn.IMAGE("https://camerareadycosmetics.com/cdn/shop/products/Viseart_petit_pro_3b_50x.jpg?v=1551897710")</f>
        <v/>
      </c>
      <c r="H3798">
        <f>_xlfn.IMAGE("https://m.media-amazon.com/images/I/71PGyn5I8KL._AC_UL320_.jpg")</f>
        <v/>
      </c>
      <c r="K3798" t="inlineStr">
        <is>
          <t>30.0</t>
        </is>
      </c>
      <c r="L3798" t="n">
        <v>19.95</v>
      </c>
      <c r="M3798" s="1" t="inlineStr">
        <is>
          <t>-33.50%</t>
        </is>
      </c>
      <c r="N3798" t="n">
        <v>5</v>
      </c>
      <c r="O3798" t="n">
        <v>3</v>
      </c>
      <c r="Q3798" t="inlineStr">
        <is>
          <t>InStock</t>
        </is>
      </c>
      <c r="R3798" t="inlineStr">
        <is>
          <t>undefined</t>
        </is>
      </c>
      <c r="S3798" t="inlineStr">
        <is>
          <t>572749348874</t>
        </is>
      </c>
    </row>
    <row r="3799" ht="75" customHeight="1">
      <c r="A3799" s="2">
        <f>HYPERLINK("https://camerareadycosmetics.com/products/viseart-petit-pro-eyeshadow-palette-midsommer", "https://camerareadycosmetics.com/products/viseart-petit-pro-eyeshadow-palette-midsommer")</f>
        <v/>
      </c>
      <c r="B3799" s="2">
        <f>HYPERLINK("https://camerareadycosmetics.com/products/viseart-petit-pro-eyeshadow-palette-midsommer", "https://camerareadycosmetics.com/products/viseart-petit-pro-eyeshadow-palette-midsommer")</f>
        <v/>
      </c>
      <c r="C3799" t="inlineStr">
        <is>
          <t>Petit Pro Midsommer Eyeshadow Palette</t>
        </is>
      </c>
      <c r="D3799" t="inlineStr">
        <is>
          <t>Petit PRO I Eyeshadow Palette</t>
        </is>
      </c>
      <c r="E3799" s="2">
        <f>HYPERLINK("https://www.amazon.com/Viseart-EyeShadow-Palette-Petit-PRO/dp/B06XY14DM2/ref=sr_1_1?keywords=petit+pro+midsommar+eyeshadow+palette&amp;qid=1695565600&amp;sr=8-1", "https://www.amazon.com/Viseart-EyeShadow-Palette-Petit-PRO/dp/B06XY14DM2/ref=sr_1_1?keywords=petit+pro+midsommar+eyeshadow+palette&amp;qid=1695565600&amp;sr=8-1")</f>
        <v/>
      </c>
      <c r="F3799" t="inlineStr">
        <is>
          <t>B06XY14DM2</t>
        </is>
      </c>
      <c r="G3799">
        <f>_xlfn.IMAGE("https://camerareadycosmetics.com/cdn/shop/files/20_1024x1024_2x_6d6d808c-597c-42c9-9472-6391aac9d8cb_50x.jpg?v=1687203432")</f>
        <v/>
      </c>
      <c r="H3799">
        <f>_xlfn.IMAGE("https://m.media-amazon.com/images/I/61lILKAQjiL._AC_UL320_.jpg")</f>
        <v/>
      </c>
      <c r="K3799" t="inlineStr">
        <is>
          <t>30.0</t>
        </is>
      </c>
      <c r="L3799" t="n">
        <v>19.98</v>
      </c>
      <c r="M3799" s="1" t="inlineStr">
        <is>
          <t>-33.40%</t>
        </is>
      </c>
      <c r="N3799" t="n">
        <v>4.7</v>
      </c>
      <c r="O3799" t="n">
        <v>4</v>
      </c>
      <c r="Q3799" t="inlineStr">
        <is>
          <t>InStock</t>
        </is>
      </c>
      <c r="R3799" t="inlineStr">
        <is>
          <t>undefined</t>
        </is>
      </c>
      <c r="S3799" t="inlineStr">
        <is>
          <t>4517899862127</t>
        </is>
      </c>
    </row>
    <row r="3800" ht="75" customHeight="1">
      <c r="A3800" s="2">
        <f>HYPERLINK("https://camerareadycosmetics.com/products/viseart-petit-pro-eyeshadow-palette-midsommer", "https://camerareadycosmetics.com/products/viseart-petit-pro-eyeshadow-palette-midsommer")</f>
        <v/>
      </c>
      <c r="B3800" s="2">
        <f>HYPERLINK("https://camerareadycosmetics.com/products/viseart-petit-pro-eyeshadow-palette-midsommer", "https://camerareadycosmetics.com/products/viseart-petit-pro-eyeshadow-palette-midsommer")</f>
        <v/>
      </c>
      <c r="C3800" t="inlineStr">
        <is>
          <t>Petit Pro Midsommer Eyeshadow Palette</t>
        </is>
      </c>
      <c r="D3800" t="inlineStr">
        <is>
          <t>Petit PRO 3 Eyeshadow Palette</t>
        </is>
      </c>
      <c r="E3800" s="2">
        <f>HYPERLINK("https://www.amazon.com/Petit-PRO-3-Eyeshadow-Palette/dp/B09W7C3KYQ/ref=sr_1_2?keywords=petit+pro+midsommar+eyeshadow+palette&amp;qid=1695565600&amp;sr=8-2", "https://www.amazon.com/Petit-PRO-3-Eyeshadow-Palette/dp/B09W7C3KYQ/ref=sr_1_2?keywords=petit+pro+midsommar+eyeshadow+palette&amp;qid=1695565600&amp;sr=8-2")</f>
        <v/>
      </c>
      <c r="F3800" t="inlineStr">
        <is>
          <t>B09W7C3KYQ</t>
        </is>
      </c>
      <c r="G3800">
        <f>_xlfn.IMAGE("https://camerareadycosmetics.com/cdn/shop/files/20_1024x1024_2x_6d6d808c-597c-42c9-9472-6391aac9d8cb_50x.jpg?v=1687203432")</f>
        <v/>
      </c>
      <c r="H3800">
        <f>_xlfn.IMAGE("https://m.media-amazon.com/images/I/71PGyn5I8KL._AC_UL320_.jpg")</f>
        <v/>
      </c>
      <c r="K3800" t="inlineStr">
        <is>
          <t>30.0</t>
        </is>
      </c>
      <c r="L3800" t="n">
        <v>19.95</v>
      </c>
      <c r="M3800" s="1" t="inlineStr">
        <is>
          <t>-33.50%</t>
        </is>
      </c>
      <c r="N3800" t="n">
        <v>5</v>
      </c>
      <c r="O3800" t="n">
        <v>3</v>
      </c>
      <c r="Q3800" t="inlineStr">
        <is>
          <t>InStock</t>
        </is>
      </c>
      <c r="R3800" t="inlineStr">
        <is>
          <t>undefined</t>
        </is>
      </c>
      <c r="S3800" t="inlineStr">
        <is>
          <t>4517899862127</t>
        </is>
      </c>
    </row>
    <row r="3801" ht="75" customHeight="1">
      <c r="A3801" s="2">
        <f>HYPERLINK("https://camerareadycosmetics.com/products/viseart-petit-pro-eyeshadow-palette-solstice", "https://camerareadycosmetics.com/products/viseart-petit-pro-eyeshadow-palette-solstice")</f>
        <v/>
      </c>
      <c r="B3801" s="2">
        <f>HYPERLINK("https://camerareadycosmetics.com/products/viseart-petit-pro-eyeshadow-palette-solstice", "https://camerareadycosmetics.com/products/viseart-petit-pro-eyeshadow-palette-solstice")</f>
        <v/>
      </c>
      <c r="C3801" t="inlineStr">
        <is>
          <t>Petit Pro Solstice Eyeshadow Palette</t>
        </is>
      </c>
      <c r="D3801" t="inlineStr">
        <is>
          <t>Petit PRO I Eyeshadow Palette</t>
        </is>
      </c>
      <c r="E3801" s="2">
        <f>HYPERLINK("https://www.amazon.com/Viseart-EyeShadow-Palette-Petit-PRO/dp/B06XY14DM2/ref=sr_1_1?keywords=Petit+Pro+Solstice+Eyeshadow+Palette&amp;qid=1695565608&amp;sr=8-1", "https://www.amazon.com/Viseart-EyeShadow-Palette-Petit-PRO/dp/B06XY14DM2/ref=sr_1_1?keywords=Petit+Pro+Solstice+Eyeshadow+Palette&amp;qid=1695565608&amp;sr=8-1")</f>
        <v/>
      </c>
      <c r="F3801" t="inlineStr">
        <is>
          <t>B06XY14DM2</t>
        </is>
      </c>
      <c r="G3801">
        <f>_xlfn.IMAGE("https://camerareadycosmetics.com/cdn/shop/products/viseart-petite-Solstice_eyeshadow-palette_50x.jpg?v=1688674008")</f>
        <v/>
      </c>
      <c r="H3801">
        <f>_xlfn.IMAGE("https://m.media-amazon.com/images/I/61lILKAQjiL._AC_UL320_.jpg")</f>
        <v/>
      </c>
      <c r="K3801" t="inlineStr">
        <is>
          <t>30.0</t>
        </is>
      </c>
      <c r="L3801" t="n">
        <v>19.98</v>
      </c>
      <c r="M3801" s="1" t="inlineStr">
        <is>
          <t>-33.40%</t>
        </is>
      </c>
      <c r="N3801" t="n">
        <v>4.7</v>
      </c>
      <c r="O3801" t="n">
        <v>4</v>
      </c>
      <c r="Q3801" t="inlineStr">
        <is>
          <t>InStock</t>
        </is>
      </c>
      <c r="R3801" t="inlineStr">
        <is>
          <t>undefined</t>
        </is>
      </c>
      <c r="S3801" t="inlineStr">
        <is>
          <t>4517897764975</t>
        </is>
      </c>
    </row>
    <row r="3802" ht="75" customHeight="1">
      <c r="A3802" s="2">
        <f>HYPERLINK("https://camerareadycosmetics.com/products/viseart-petit-pro-eyeshadow-palette-solstice", "https://camerareadycosmetics.com/products/viseart-petit-pro-eyeshadow-palette-solstice")</f>
        <v/>
      </c>
      <c r="B3802" s="2">
        <f>HYPERLINK("https://camerareadycosmetics.com/products/viseart-petit-pro-eyeshadow-palette-solstice", "https://camerareadycosmetics.com/products/viseart-petit-pro-eyeshadow-palette-solstice")</f>
        <v/>
      </c>
      <c r="C3802" t="inlineStr">
        <is>
          <t>Petit Pro Solstice Eyeshadow Palette</t>
        </is>
      </c>
      <c r="D3802" t="inlineStr">
        <is>
          <t>Petit PRO 3 Eyeshadow Palette</t>
        </is>
      </c>
      <c r="E3802" s="2">
        <f>HYPERLINK("https://www.amazon.com/Petit-PRO-3-Eyeshadow-Palette/dp/B09W7C3KYQ/ref=sr_1_2?keywords=Petit+Pro+Solstice+Eyeshadow+Palette&amp;qid=1695565608&amp;sr=8-2", "https://www.amazon.com/Petit-PRO-3-Eyeshadow-Palette/dp/B09W7C3KYQ/ref=sr_1_2?keywords=Petit+Pro+Solstice+Eyeshadow+Palette&amp;qid=1695565608&amp;sr=8-2")</f>
        <v/>
      </c>
      <c r="F3802" t="inlineStr">
        <is>
          <t>B09W7C3KYQ</t>
        </is>
      </c>
      <c r="G3802">
        <f>_xlfn.IMAGE("https://camerareadycosmetics.com/cdn/shop/products/viseart-petite-Solstice_eyeshadow-palette_50x.jpg?v=1688674008")</f>
        <v/>
      </c>
      <c r="H3802">
        <f>_xlfn.IMAGE("https://m.media-amazon.com/images/I/71PGyn5I8KL._AC_UL320_.jpg")</f>
        <v/>
      </c>
      <c r="K3802" t="inlineStr">
        <is>
          <t>30.0</t>
        </is>
      </c>
      <c r="L3802" t="n">
        <v>19.95</v>
      </c>
      <c r="M3802" s="1" t="inlineStr">
        <is>
          <t>-33.50%</t>
        </is>
      </c>
      <c r="N3802" t="n">
        <v>5</v>
      </c>
      <c r="O3802" t="n">
        <v>3</v>
      </c>
      <c r="Q3802" t="inlineStr">
        <is>
          <t>InStock</t>
        </is>
      </c>
      <c r="R3802" t="inlineStr">
        <is>
          <t>undefined</t>
        </is>
      </c>
      <c r="S3802" t="inlineStr">
        <is>
          <t>4517897764975</t>
        </is>
      </c>
    </row>
    <row r="3803" ht="75" customHeight="1">
      <c r="A3803" s="2">
        <f>HYPERLINK("https://camerareadycosmetics.com/products/viseart-petit-pro-palette", "https://camerareadycosmetics.com/products/viseart-petit-pro-palette")</f>
        <v/>
      </c>
      <c r="B3803" s="2">
        <f>HYPERLINK("https://camerareadycosmetics.com/products/viseart-petit-pro-palette", "https://camerareadycosmetics.com/products/viseart-petit-pro-palette")</f>
        <v/>
      </c>
      <c r="C3803" t="inlineStr">
        <is>
          <t>Petit Pro 1 Eyeshadow Palette</t>
        </is>
      </c>
      <c r="D3803" t="inlineStr">
        <is>
          <t>Petit PRO I Eyeshadow Palette</t>
        </is>
      </c>
      <c r="E3803" s="2">
        <f>HYPERLINK("https://www.amazon.com/Viseart-EyeShadow-Palette-Petit-PRO/dp/B06XY14DM2/ref=sr_1_4?keywords=Petit+Pro+1+Eyeshadow+Palette&amp;qid=1695565580&amp;sr=8-4", "https://www.amazon.com/Viseart-EyeShadow-Palette-Petit-PRO/dp/B06XY14DM2/ref=sr_1_4?keywords=Petit+Pro+1+Eyeshadow+Palette&amp;qid=1695565580&amp;sr=8-4")</f>
        <v/>
      </c>
      <c r="F3803" t="inlineStr">
        <is>
          <t>B06XY14DM2</t>
        </is>
      </c>
      <c r="G3803">
        <f>_xlfn.IMAGE("https://camerareadycosmetics.com/cdn/shop/products/PetitPro1_Web_Swatches_5.9.20_1024x1024_2x_1fa990a5-23bd-4f96-9c33-5b58fe538b88_50x.jpg?v=1686861695")</f>
        <v/>
      </c>
      <c r="H3803">
        <f>_xlfn.IMAGE("https://m.media-amazon.com/images/I/61lILKAQjiL._AC_UL320_.jpg")</f>
        <v/>
      </c>
      <c r="K3803" t="inlineStr">
        <is>
          <t>30.0</t>
        </is>
      </c>
      <c r="L3803" t="n">
        <v>19.98</v>
      </c>
      <c r="M3803" s="1" t="inlineStr">
        <is>
          <t>-33.40%</t>
        </is>
      </c>
      <c r="N3803" t="n">
        <v>4.7</v>
      </c>
      <c r="O3803" t="n">
        <v>4</v>
      </c>
      <c r="Q3803" t="inlineStr">
        <is>
          <t>InStock</t>
        </is>
      </c>
      <c r="R3803" t="inlineStr">
        <is>
          <t>30.0</t>
        </is>
      </c>
      <c r="S3803" t="inlineStr">
        <is>
          <t>9958488202</t>
        </is>
      </c>
    </row>
    <row r="3804" ht="75" customHeight="1">
      <c r="A3804" s="2">
        <f>HYPERLINK("https://camerareadycosmetics.com/products/viseart-petit-pro-palette", "https://camerareadycosmetics.com/products/viseart-petit-pro-palette")</f>
        <v/>
      </c>
      <c r="B3804" s="2">
        <f>HYPERLINK("https://camerareadycosmetics.com/products/viseart-petit-pro-palette", "https://camerareadycosmetics.com/products/viseart-petit-pro-palette")</f>
        <v/>
      </c>
      <c r="C3804" t="inlineStr">
        <is>
          <t>Petit Pro 1 Eyeshadow Palette</t>
        </is>
      </c>
      <c r="D3804" t="inlineStr">
        <is>
          <t>Petit PRO 3 Eyeshadow Palette</t>
        </is>
      </c>
      <c r="E3804" s="2">
        <f>HYPERLINK("https://www.amazon.com/Petit-PRO-3-Eyeshadow-Palette/dp/B09W7C3KYQ/ref=sr_1_1?keywords=Petit+Pro+1+Eyeshadow+Palette&amp;qid=1695565580&amp;sr=8-1", "https://www.amazon.com/Petit-PRO-3-Eyeshadow-Palette/dp/B09W7C3KYQ/ref=sr_1_1?keywords=Petit+Pro+1+Eyeshadow+Palette&amp;qid=1695565580&amp;sr=8-1")</f>
        <v/>
      </c>
      <c r="F3804" t="inlineStr">
        <is>
          <t>B09W7C3KYQ</t>
        </is>
      </c>
      <c r="G3804">
        <f>_xlfn.IMAGE("https://camerareadycosmetics.com/cdn/shop/products/PetitPro1_Web_Swatches_5.9.20_1024x1024_2x_1fa990a5-23bd-4f96-9c33-5b58fe538b88_50x.jpg?v=1686861695")</f>
        <v/>
      </c>
      <c r="H3804">
        <f>_xlfn.IMAGE("https://m.media-amazon.com/images/I/71PGyn5I8KL._AC_UL320_.jpg")</f>
        <v/>
      </c>
      <c r="K3804" t="inlineStr">
        <is>
          <t>30.0</t>
        </is>
      </c>
      <c r="L3804" t="n">
        <v>19.95</v>
      </c>
      <c r="M3804" s="1" t="inlineStr">
        <is>
          <t>-33.50%</t>
        </is>
      </c>
      <c r="N3804" t="n">
        <v>5</v>
      </c>
      <c r="O3804" t="n">
        <v>3</v>
      </c>
      <c r="Q3804" t="inlineStr">
        <is>
          <t>InStock</t>
        </is>
      </c>
      <c r="R3804" t="inlineStr">
        <is>
          <t>30.0</t>
        </is>
      </c>
      <c r="S3804" t="inlineStr">
        <is>
          <t>9958488202</t>
        </is>
      </c>
    </row>
    <row r="3805" ht="75" customHeight="1">
      <c r="A3805" s="2">
        <f>HYPERLINK("https://camerareadycosmetics.com/products/viseart-petit-pro-palette", "https://camerareadycosmetics.com/products/viseart-petit-pro-palette")</f>
        <v/>
      </c>
      <c r="B3805" s="2">
        <f>HYPERLINK("https://camerareadycosmetics.com/products/viseart-petit-pro-palette", "https://camerareadycosmetics.com/products/viseart-petit-pro-palette")</f>
        <v/>
      </c>
      <c r="C3805" t="inlineStr">
        <is>
          <t>Petit Pro 1 Eyeshadow Palette</t>
        </is>
      </c>
      <c r="D3805" t="inlineStr">
        <is>
          <t>Best Pro Eyeshadow Palette Makeup - Matte Shimmer 16 Colors - Highly Pigmented - Professional Nudes Warm Natural Bronze Neutral Smoky Cosmetic Eye Shadows</t>
        </is>
      </c>
      <c r="E3805" s="2">
        <f>HYPERLINK("https://www.amazon.com/Best-Pro-Eyeshadow-Palette-Makeup/dp/B01CNZMMV4/ref=sr_1_7?keywords=Petit+Pro+1+Eyeshadow+Palette&amp;qid=1695565580&amp;sr=8-7", "https://www.amazon.com/Best-Pro-Eyeshadow-Palette-Makeup/dp/B01CNZMMV4/ref=sr_1_7?keywords=Petit+Pro+1+Eyeshadow+Palette&amp;qid=1695565580&amp;sr=8-7")</f>
        <v/>
      </c>
      <c r="F3805" t="inlineStr">
        <is>
          <t>B01CNZMMV4</t>
        </is>
      </c>
      <c r="G3805">
        <f>_xlfn.IMAGE("https://camerareadycosmetics.com/cdn/shop/products/PetitPro1_Web_Swatches_5.9.20_1024x1024_2x_1fa990a5-23bd-4f96-9c33-5b58fe538b88_50x.jpg?v=1686861695")</f>
        <v/>
      </c>
      <c r="H3805">
        <f>_xlfn.IMAGE("https://m.media-amazon.com/images/I/81C5WkU0rEL._AC_UL320_.jpg")</f>
        <v/>
      </c>
      <c r="K3805" t="inlineStr">
        <is>
          <t>30.0</t>
        </is>
      </c>
      <c r="L3805" t="n">
        <v>9.99</v>
      </c>
      <c r="M3805" s="1" t="inlineStr">
        <is>
          <t>-66.70%</t>
        </is>
      </c>
      <c r="N3805" t="n">
        <v>4.4</v>
      </c>
      <c r="O3805" t="n">
        <v>27631</v>
      </c>
      <c r="Q3805" t="inlineStr">
        <is>
          <t>InStock</t>
        </is>
      </c>
      <c r="R3805" t="inlineStr">
        <is>
          <t>30.0</t>
        </is>
      </c>
      <c r="S3805" t="inlineStr">
        <is>
          <t>9958488202</t>
        </is>
      </c>
    </row>
    <row r="3806" ht="75" customHeight="1">
      <c r="A3806" s="2">
        <f>HYPERLINK("https://camerareadycosmetics.com/products/viseart-petit-pro-palette", "https://camerareadycosmetics.com/products/viseart-petit-pro-palette")</f>
        <v/>
      </c>
      <c r="B3806" s="2">
        <f>HYPERLINK("https://camerareadycosmetics.com/products/viseart-petit-pro-palette", "https://camerareadycosmetics.com/products/viseart-petit-pro-palette")</f>
        <v/>
      </c>
      <c r="C3806" t="inlineStr">
        <is>
          <t>Petit Pro 1 Eyeshadow Palette</t>
        </is>
      </c>
      <c r="D3806" t="inlineStr">
        <is>
          <t>BestLand 2 Pack 12 Colors Makeup Nude Colors Eyeshadow Palette Natural Nude Matte Shimmer Glitter Pigment Eye Shadow Pallete Set Waterproof Smokey Professional Beauty Makeup Kit (2 PCS)</t>
        </is>
      </c>
      <c r="E3806" s="2">
        <f>HYPERLINK("https://www.amazon.com/Eyeshadow-Waterproof-Professional-Cosmetic-BESTLAND/dp/B073ZBGLJF/ref=sr_1_9?keywords=Petit+Pro+1+Eyeshadow+Palette&amp;qid=1695565580&amp;sr=8-9", "https://www.amazon.com/Eyeshadow-Waterproof-Professional-Cosmetic-BESTLAND/dp/B073ZBGLJF/ref=sr_1_9?keywords=Petit+Pro+1+Eyeshadow+Palette&amp;qid=1695565580&amp;sr=8-9")</f>
        <v/>
      </c>
      <c r="F3806" t="inlineStr">
        <is>
          <t>B073ZBGLJF</t>
        </is>
      </c>
      <c r="G3806">
        <f>_xlfn.IMAGE("https://camerareadycosmetics.com/cdn/shop/products/PetitPro1_Web_Swatches_5.9.20_1024x1024_2x_1fa990a5-23bd-4f96-9c33-5b58fe538b88_50x.jpg?v=1686861695")</f>
        <v/>
      </c>
      <c r="H3806">
        <f>_xlfn.IMAGE("https://m.media-amazon.com/images/I/61dVjYX+ooL._AC_UL320_.jpg")</f>
        <v/>
      </c>
      <c r="K3806" t="inlineStr">
        <is>
          <t>30.0</t>
        </is>
      </c>
      <c r="L3806" t="n">
        <v>9.99</v>
      </c>
      <c r="M3806" s="1" t="inlineStr">
        <is>
          <t>-66.70%</t>
        </is>
      </c>
      <c r="N3806" t="n">
        <v>4.2</v>
      </c>
      <c r="O3806" t="n">
        <v>12577</v>
      </c>
      <c r="Q3806" t="inlineStr">
        <is>
          <t>InStock</t>
        </is>
      </c>
      <c r="R3806" t="inlineStr">
        <is>
          <t>30.0</t>
        </is>
      </c>
      <c r="S3806" t="inlineStr">
        <is>
          <t>9958488202</t>
        </is>
      </c>
    </row>
    <row r="3807" ht="75" customHeight="1">
      <c r="A3807" s="2">
        <f>HYPERLINK("https://camerareadycosmetics.com/products/viseart-petit-pro-palette", "https://camerareadycosmetics.com/products/viseart-petit-pro-palette")</f>
        <v/>
      </c>
      <c r="B3807" s="2">
        <f>HYPERLINK("https://camerareadycosmetics.com/products/viseart-petit-pro-palette", "https://camerareadycosmetics.com/products/viseart-petit-pro-palette")</f>
        <v/>
      </c>
      <c r="C3807" t="inlineStr">
        <is>
          <t>Petit Pro 1 Eyeshadow Palette</t>
        </is>
      </c>
      <c r="D3807" t="inlineStr">
        <is>
          <t>Matte Eyeshadow Palette Pro 18 Colors Pigmented Shimmer Glitter Eye Shadow Palette, Blendable Long Lasting Waterproof Makeup Cosmetics Halloween Makeup Kit (01# Seductress)</t>
        </is>
      </c>
      <c r="E3807" s="2">
        <f>HYPERLINK("https://www.amazon.com/Eyeshadow-Pigmented-Waterproof-Makeup-Seductress/dp/B07JG4SPLY/ref=sr_1_6?keywords=Petit+Pro+1+Eyeshadow+Palette&amp;qid=1695565580&amp;sr=8-6", "https://www.amazon.com/Eyeshadow-Pigmented-Waterproof-Makeup-Seductress/dp/B07JG4SPLY/ref=sr_1_6?keywords=Petit+Pro+1+Eyeshadow+Palette&amp;qid=1695565580&amp;sr=8-6")</f>
        <v/>
      </c>
      <c r="F3807" t="inlineStr">
        <is>
          <t>B07JG4SPLY</t>
        </is>
      </c>
      <c r="G3807">
        <f>_xlfn.IMAGE("https://camerareadycosmetics.com/cdn/shop/products/PetitPro1_Web_Swatches_5.9.20_1024x1024_2x_1fa990a5-23bd-4f96-9c33-5b58fe538b88_50x.jpg?v=1686861695")</f>
        <v/>
      </c>
      <c r="H3807">
        <f>_xlfn.IMAGE("https://m.media-amazon.com/images/I/71joxgYmuzL._AC_UL320_.jpg")</f>
        <v/>
      </c>
      <c r="K3807" t="inlineStr">
        <is>
          <t>30.0</t>
        </is>
      </c>
      <c r="L3807" t="n">
        <v>7.99</v>
      </c>
      <c r="M3807" s="1" t="inlineStr">
        <is>
          <t>-73.37%</t>
        </is>
      </c>
      <c r="N3807" t="n">
        <v>4.6</v>
      </c>
      <c r="O3807" t="n">
        <v>7292</v>
      </c>
      <c r="Q3807" t="inlineStr">
        <is>
          <t>InStock</t>
        </is>
      </c>
      <c r="R3807" t="inlineStr">
        <is>
          <t>30.0</t>
        </is>
      </c>
      <c r="S3807" t="inlineStr">
        <is>
          <t>9958488202</t>
        </is>
      </c>
    </row>
    <row r="3808" ht="75" customHeight="1">
      <c r="A3808" s="2">
        <f>HYPERLINK("https://camerareadycosmetics.com/products/viseart-petit-pro-palette", "https://camerareadycosmetics.com/products/viseart-petit-pro-palette")</f>
        <v/>
      </c>
      <c r="B3808" s="2">
        <f>HYPERLINK("https://camerareadycosmetics.com/products/viseart-petit-pro-palette", "https://camerareadycosmetics.com/products/viseart-petit-pro-palette")</f>
        <v/>
      </c>
      <c r="C3808" t="inlineStr">
        <is>
          <t>Petit Pro 1 Eyeshadow Palette</t>
        </is>
      </c>
      <c r="D3808" t="inlineStr">
        <is>
          <t>Best Pro Eyeshadow Palette Makeup - Matte Shimmer 16 Colors - Highly Pigmented - Professional Nudes Warm Natural Bronze Neutral Smoky Cosmetic Eye Shadows</t>
        </is>
      </c>
      <c r="E3808" s="2">
        <f>HYPERLINK("https://www.amazon.com/Best-Pro-Eyeshadow-Palette-Makeup/dp/B01CNZMMV4/ref=sr_1_7?keywords=Petit+Pro+1+Eyeshadow+Palette&amp;qid=1695565580&amp;sr=8-7", "https://www.amazon.com/Best-Pro-Eyeshadow-Palette-Makeup/dp/B01CNZMMV4/ref=sr_1_7?keywords=Petit+Pro+1+Eyeshadow+Palette&amp;qid=1695565580&amp;sr=8-7")</f>
        <v/>
      </c>
      <c r="F3808" t="inlineStr">
        <is>
          <t>B01CNZMMV4</t>
        </is>
      </c>
      <c r="G3808">
        <f>_xlfn.IMAGE("https://camerareadycosmetics.com/cdn/shop/products/PetitPro1_Web_Swatches_5.9.20_1024x1024_2x_1fa990a5-23bd-4f96-9c33-5b58fe538b88_50x.jpg?v=1686861695")</f>
        <v/>
      </c>
      <c r="H3808">
        <f>_xlfn.IMAGE("https://m.media-amazon.com/images/I/81C5WkU0rEL._AC_UL320_.jpg")</f>
        <v/>
      </c>
      <c r="K3808" t="inlineStr">
        <is>
          <t>30.0</t>
        </is>
      </c>
      <c r="L3808" t="n">
        <v>9.99</v>
      </c>
      <c r="M3808" s="1" t="inlineStr">
        <is>
          <t>-66.70%</t>
        </is>
      </c>
      <c r="N3808" t="n">
        <v>4.4</v>
      </c>
      <c r="O3808" t="n">
        <v>27631</v>
      </c>
      <c r="Q3808" t="inlineStr">
        <is>
          <t>InStock</t>
        </is>
      </c>
      <c r="R3808" t="inlineStr">
        <is>
          <t>30.0</t>
        </is>
      </c>
      <c r="S3808" t="inlineStr">
        <is>
          <t>9958488202</t>
        </is>
      </c>
    </row>
    <row r="3809" ht="75" customHeight="1">
      <c r="A3809" s="2">
        <f>HYPERLINK("https://camerareadycosmetics.com/products/viseart-petit-pro-palette", "https://camerareadycosmetics.com/products/viseart-petit-pro-palette")</f>
        <v/>
      </c>
      <c r="B3809" s="2">
        <f>HYPERLINK("https://camerareadycosmetics.com/products/viseart-petit-pro-palette", "https://camerareadycosmetics.com/products/viseart-petit-pro-palette")</f>
        <v/>
      </c>
      <c r="C3809" t="inlineStr">
        <is>
          <t>Petit Pro 1 Eyeshadow Palette</t>
        </is>
      </c>
      <c r="D3809" t="inlineStr">
        <is>
          <t>BestLand 2 Pack 12 Colors Makeup Nude Colors Eyeshadow Palette Natural Nude Matte Shimmer Glitter Pigment Eye Shadow Pallete Set Waterproof Smokey Professional Beauty Makeup Kit (2 PCS)</t>
        </is>
      </c>
      <c r="E3809" s="2">
        <f>HYPERLINK("https://www.amazon.com/Eyeshadow-Waterproof-Professional-Cosmetic-BESTLAND/dp/B073ZBGLJF/ref=sr_1_9?keywords=Petit+Pro+1+Eyeshadow+Palette&amp;qid=1695565580&amp;sr=8-9", "https://www.amazon.com/Eyeshadow-Waterproof-Professional-Cosmetic-BESTLAND/dp/B073ZBGLJF/ref=sr_1_9?keywords=Petit+Pro+1+Eyeshadow+Palette&amp;qid=1695565580&amp;sr=8-9")</f>
        <v/>
      </c>
      <c r="F3809" t="inlineStr">
        <is>
          <t>B073ZBGLJF</t>
        </is>
      </c>
      <c r="G3809">
        <f>_xlfn.IMAGE("https://camerareadycosmetics.com/cdn/shop/products/PetitPro1_Web_Swatches_5.9.20_1024x1024_2x_1fa990a5-23bd-4f96-9c33-5b58fe538b88_50x.jpg?v=1686861695")</f>
        <v/>
      </c>
      <c r="H3809">
        <f>_xlfn.IMAGE("https://m.media-amazon.com/images/I/61dVjYX+ooL._AC_UL320_.jpg")</f>
        <v/>
      </c>
      <c r="K3809" t="inlineStr">
        <is>
          <t>30.0</t>
        </is>
      </c>
      <c r="L3809" t="n">
        <v>9.99</v>
      </c>
      <c r="M3809" s="1" t="inlineStr">
        <is>
          <t>-66.70%</t>
        </is>
      </c>
      <c r="N3809" t="n">
        <v>4.2</v>
      </c>
      <c r="O3809" t="n">
        <v>12577</v>
      </c>
      <c r="Q3809" t="inlineStr">
        <is>
          <t>InStock</t>
        </is>
      </c>
      <c r="R3809" t="inlineStr">
        <is>
          <t>30.0</t>
        </is>
      </c>
      <c r="S3809" t="inlineStr">
        <is>
          <t>9958488202</t>
        </is>
      </c>
    </row>
    <row r="3810" ht="75" customHeight="1">
      <c r="A3810" s="2">
        <f>HYPERLINK("https://camerareadycosmetics.com/products/viseart-petit-pro-palette", "https://camerareadycosmetics.com/products/viseart-petit-pro-palette")</f>
        <v/>
      </c>
      <c r="B3810" s="2">
        <f>HYPERLINK("https://camerareadycosmetics.com/products/viseart-petit-pro-palette", "https://camerareadycosmetics.com/products/viseart-petit-pro-palette")</f>
        <v/>
      </c>
      <c r="C3810" t="inlineStr">
        <is>
          <t>Petit Pro 1 Eyeshadow Palette</t>
        </is>
      </c>
      <c r="D3810" t="inlineStr">
        <is>
          <t>Matte Eyeshadow Palette Pro 18 Colors Pigmented Shimmer Glitter Eye Shadow Palette, Blendable Long Lasting Waterproof Makeup Cosmetics Halloween Makeup Kit (01# Seductress)</t>
        </is>
      </c>
      <c r="E3810" s="2">
        <f>HYPERLINK("https://www.amazon.com/Eyeshadow-Pigmented-Waterproof-Makeup-Seductress/dp/B07JG4SPLY/ref=sr_1_6?keywords=Petit+Pro+1+Eyeshadow+Palette&amp;qid=1695565580&amp;sr=8-6", "https://www.amazon.com/Eyeshadow-Pigmented-Waterproof-Makeup-Seductress/dp/B07JG4SPLY/ref=sr_1_6?keywords=Petit+Pro+1+Eyeshadow+Palette&amp;qid=1695565580&amp;sr=8-6")</f>
        <v/>
      </c>
      <c r="F3810" t="inlineStr">
        <is>
          <t>B07JG4SPLY</t>
        </is>
      </c>
      <c r="G3810">
        <f>_xlfn.IMAGE("https://camerareadycosmetics.com/cdn/shop/products/PetitPro1_Web_Swatches_5.9.20_1024x1024_2x_1fa990a5-23bd-4f96-9c33-5b58fe538b88_50x.jpg?v=1686861695")</f>
        <v/>
      </c>
      <c r="H3810">
        <f>_xlfn.IMAGE("https://m.media-amazon.com/images/I/71joxgYmuzL._AC_UL320_.jpg")</f>
        <v/>
      </c>
      <c r="K3810" t="inlineStr">
        <is>
          <t>30.0</t>
        </is>
      </c>
      <c r="L3810" t="n">
        <v>7.99</v>
      </c>
      <c r="M3810" s="1" t="inlineStr">
        <is>
          <t>-73.37%</t>
        </is>
      </c>
      <c r="N3810" t="n">
        <v>4.6</v>
      </c>
      <c r="O3810" t="n">
        <v>7292</v>
      </c>
      <c r="Q3810" t="inlineStr">
        <is>
          <t>InStock</t>
        </is>
      </c>
      <c r="R3810" t="inlineStr">
        <is>
          <t>30.0</t>
        </is>
      </c>
      <c r="S3810" t="inlineStr">
        <is>
          <t>9958488202</t>
        </is>
      </c>
    </row>
    <row r="3811" ht="75" customHeight="1">
      <c r="A3811" s="2">
        <f>HYPERLINK("https://camerareadycosmetics.com/products/viseart-seamless-eye-primer", "https://camerareadycosmetics.com/products/viseart-seamless-eye-primer")</f>
        <v/>
      </c>
      <c r="B3811" s="2">
        <f>HYPERLINK("https://camerareadycosmetics.com/products/viseart-seamless-eye-primer", "https://camerareadycosmetics.com/products/viseart-seamless-eye-primer")</f>
        <v/>
      </c>
      <c r="C3811" t="inlineStr">
        <is>
          <t>Seamless Eye Primer</t>
        </is>
      </c>
      <c r="D3811" t="inlineStr">
        <is>
          <t>Seamless Eye Primer</t>
        </is>
      </c>
      <c r="E3811" s="2">
        <f>HYPERLINK("https://www.amazon.com/Seamless-Eye-Primer/dp/B09ZP5W9S9/ref=sr_1_1?keywords=Seamless+Eye+Primer&amp;qid=1695565532&amp;sr=8-1", "https://www.amazon.com/Seamless-Eye-Primer/dp/B09ZP5W9S9/ref=sr_1_1?keywords=Seamless+Eye+Primer&amp;qid=1695565532&amp;sr=8-1")</f>
        <v/>
      </c>
      <c r="F3811" t="inlineStr">
        <is>
          <t>B09ZP5W9S9</t>
        </is>
      </c>
      <c r="G3811">
        <f>_xlfn.IMAGE("https://camerareadycosmetics.com/cdn/shop/products/viseart-seamless-eye-primer-closed_50x.jpg?v=1520074633")</f>
        <v/>
      </c>
      <c r="H3811">
        <f>_xlfn.IMAGE("https://m.media-amazon.com/images/I/41gBYo+5zdL._AC_UL320_.jpg")</f>
        <v/>
      </c>
      <c r="K3811" t="inlineStr">
        <is>
          <t>24.0</t>
        </is>
      </c>
      <c r="L3811" t="n">
        <v>28.81</v>
      </c>
      <c r="M3811" s="1" t="inlineStr">
        <is>
          <t>20.04%</t>
        </is>
      </c>
      <c r="N3811" t="n">
        <v>3.4</v>
      </c>
      <c r="O3811" t="n">
        <v>9</v>
      </c>
      <c r="Q3811" t="inlineStr">
        <is>
          <t>InStock</t>
        </is>
      </c>
      <c r="R3811" t="inlineStr">
        <is>
          <t>undefined</t>
        </is>
      </c>
      <c r="S3811" t="inlineStr">
        <is>
          <t>516009689098</t>
        </is>
      </c>
    </row>
    <row r="3812" ht="75" customHeight="1">
      <c r="A3812" s="2">
        <f>HYPERLINK("https://camerareadycosmetics.com/products/viseart-seamless-eye-primer", "https://camerareadycosmetics.com/products/viseart-seamless-eye-primer")</f>
        <v/>
      </c>
      <c r="B3812" s="2">
        <f>HYPERLINK("https://camerareadycosmetics.com/products/viseart-seamless-eye-primer", "https://camerareadycosmetics.com/products/viseart-seamless-eye-primer")</f>
        <v/>
      </c>
      <c r="C3812" t="inlineStr">
        <is>
          <t>Seamless Eye Primer</t>
        </is>
      </c>
      <c r="D3812" t="inlineStr">
        <is>
          <t>PUPA Milano Prime Me Eye Primer - Smoothing And Pore-Filling Makeup Base For Eyes - Ultra Soft Texture Grips Onto Skin For Seamless Results - Ideal For All Skin Types - Oil-Free - 001 Nude - 0.14 Oz</t>
        </is>
      </c>
      <c r="E3812" s="2">
        <f>HYPERLINK("https://www.amazon.com/PUPA-Prime-Primer-Product-Cosmetic/dp/B07N31BG5R/ref=sr_1_3?keywords=Seamless+Eye+Primer&amp;qid=1695565532&amp;sr=8-3", "https://www.amazon.com/PUPA-Prime-Primer-Product-Cosmetic/dp/B07N31BG5R/ref=sr_1_3?keywords=Seamless+Eye+Primer&amp;qid=1695565532&amp;sr=8-3")</f>
        <v/>
      </c>
      <c r="F3812" t="inlineStr">
        <is>
          <t>B07N31BG5R</t>
        </is>
      </c>
      <c r="G3812">
        <f>_xlfn.IMAGE("https://camerareadycosmetics.com/cdn/shop/products/viseart-seamless-eye-primer-closed_50x.jpg?v=1520074633")</f>
        <v/>
      </c>
      <c r="H3812">
        <f>_xlfn.IMAGE("https://m.media-amazon.com/images/I/61lpZY7IgGL._AC_UL320_.jpg")</f>
        <v/>
      </c>
      <c r="K3812" t="inlineStr">
        <is>
          <t>24.0</t>
        </is>
      </c>
      <c r="L3812" t="n">
        <v>17.65</v>
      </c>
      <c r="M3812" s="1" t="inlineStr">
        <is>
          <t>-26.46%</t>
        </is>
      </c>
      <c r="N3812" t="n">
        <v>4.2</v>
      </c>
      <c r="O3812" t="n">
        <v>15</v>
      </c>
      <c r="Q3812" t="inlineStr">
        <is>
          <t>InStock</t>
        </is>
      </c>
      <c r="R3812" t="inlineStr">
        <is>
          <t>undefined</t>
        </is>
      </c>
      <c r="S3812" t="inlineStr">
        <is>
          <t>516009689098</t>
        </is>
      </c>
    </row>
    <row r="3813" ht="75" customHeight="1">
      <c r="A3813" s="2">
        <f>HYPERLINK("https://camerareadycosmetics.com/products/west-barn-co-prep-mist", "https://camerareadycosmetics.com/products/west-barn-co-prep-mist")</f>
        <v/>
      </c>
      <c r="B3813" s="2">
        <f>HYPERLINK("https://camerareadycosmetics.com/products/west-barn-co-prep-mist", "https://camerareadycosmetics.com/products/west-barn-co-prep-mist")</f>
        <v/>
      </c>
      <c r="C3813" t="inlineStr">
        <is>
          <t>Prep Mist</t>
        </is>
      </c>
      <c r="D3813" t="inlineStr">
        <is>
          <t>Elishacoy Face Mist Hydrating Spray Kombucha Gyeol Biome Mist - Hydrating &amp; Skin Smoothing Facial Mist Face Spray Makeup Setting Spray Preppy Skin Care Products- Vegan Formula 3.38 fl.oz/100ml</t>
        </is>
      </c>
      <c r="E3813" s="2">
        <f>HYPERLINK("https://www.amazon.com/ELISHACOY-Kombucha-Gyeol-Biome-Mist/dp/B0972S727H/ref=sr_1_9?keywords=Prep+Mist&amp;qid=1695565855&amp;sr=8-9", "https://www.amazon.com/ELISHACOY-Kombucha-Gyeol-Biome-Mist/dp/B0972S727H/ref=sr_1_9?keywords=Prep+Mist&amp;qid=1695565855&amp;sr=8-9")</f>
        <v/>
      </c>
      <c r="F3813" t="inlineStr">
        <is>
          <t>B0972S727H</t>
        </is>
      </c>
      <c r="G3813">
        <f>_xlfn.IMAGE("https://camerareadycosmetics.com/cdn/shop/products/PrepMist_Coconut_50x.jpg?v=1685592457")</f>
        <v/>
      </c>
      <c r="H3813">
        <f>_xlfn.IMAGE("https://m.media-amazon.com/images/I/51ldp8RVQaS._AC_UL320_.jpg")</f>
        <v/>
      </c>
      <c r="K3813" t="inlineStr">
        <is>
          <t>17.0</t>
        </is>
      </c>
      <c r="L3813" t="n">
        <v>23.95</v>
      </c>
      <c r="M3813" s="1" t="inlineStr">
        <is>
          <t>40.88%</t>
        </is>
      </c>
      <c r="N3813" t="n">
        <v>4.6</v>
      </c>
      <c r="O3813" t="n">
        <v>333</v>
      </c>
      <c r="Q3813" t="inlineStr">
        <is>
          <t>InStock</t>
        </is>
      </c>
      <c r="R3813" t="inlineStr">
        <is>
          <t>17.0</t>
        </is>
      </c>
      <c r="S3813" t="inlineStr">
        <is>
          <t>7593563914425</t>
        </is>
      </c>
    </row>
    <row r="3814" ht="75" customHeight="1">
      <c r="A3814" s="2">
        <f>HYPERLINK("https://camerareadycosmetics.com/products/west-barn-co-prep-mist", "https://camerareadycosmetics.com/products/west-barn-co-prep-mist")</f>
        <v/>
      </c>
      <c r="B3814" s="2">
        <f>HYPERLINK("https://camerareadycosmetics.com/products/west-barn-co-prep-mist", "https://camerareadycosmetics.com/products/west-barn-co-prep-mist")</f>
        <v/>
      </c>
      <c r="C3814" t="inlineStr">
        <is>
          <t>Prep Mist</t>
        </is>
      </c>
      <c r="D3814" t="inlineStr">
        <is>
          <t>Mac Prep and Prime Fix Plus Skin Refresher Finishing Mist (Scent Coconut) 3.4 Ounces</t>
        </is>
      </c>
      <c r="E3814" s="2">
        <f>HYPERLINK("https://www.amazon.com/Mac-Prep-Prime-Coconut-100ml/dp/B078QD4R4H/ref=sr_1_10?keywords=Prep+Mist&amp;qid=1695565855&amp;sr=8-10", "https://www.amazon.com/Mac-Prep-Prime-Coconut-100ml/dp/B078QD4R4H/ref=sr_1_10?keywords=Prep+Mist&amp;qid=1695565855&amp;sr=8-10")</f>
        <v/>
      </c>
      <c r="F3814" t="inlineStr">
        <is>
          <t>B078QD4R4H</t>
        </is>
      </c>
      <c r="G3814">
        <f>_xlfn.IMAGE("https://camerareadycosmetics.com/cdn/shop/products/PrepMist_Coconut_50x.jpg?v=1685592457")</f>
        <v/>
      </c>
      <c r="H3814">
        <f>_xlfn.IMAGE("https://m.media-amazon.com/images/I/61bZrrEYIDL._AC_UL320_.jpg")</f>
        <v/>
      </c>
      <c r="K3814" t="inlineStr">
        <is>
          <t>17.0</t>
        </is>
      </c>
      <c r="L3814" t="n">
        <v>21.99</v>
      </c>
      <c r="M3814" s="1" t="inlineStr">
        <is>
          <t>29.35%</t>
        </is>
      </c>
      <c r="N3814" t="n">
        <v>4.6</v>
      </c>
      <c r="O3814" t="n">
        <v>49</v>
      </c>
      <c r="Q3814" t="inlineStr">
        <is>
          <t>InStock</t>
        </is>
      </c>
      <c r="R3814" t="inlineStr">
        <is>
          <t>17.0</t>
        </is>
      </c>
      <c r="S3814" t="inlineStr">
        <is>
          <t>7593563914425</t>
        </is>
      </c>
    </row>
    <row r="3815" ht="75" customHeight="1">
      <c r="A3815" s="2">
        <f>HYPERLINK("https://camerareadycosmetics.com/products/west-barn-co-prep-mist", "https://camerareadycosmetics.com/products/west-barn-co-prep-mist")</f>
        <v/>
      </c>
      <c r="B3815" s="2">
        <f>HYPERLINK("https://camerareadycosmetics.com/products/west-barn-co-prep-mist", "https://camerareadycosmetics.com/products/west-barn-co-prep-mist")</f>
        <v/>
      </c>
      <c r="C3815" t="inlineStr">
        <is>
          <t>Prep Mist</t>
        </is>
      </c>
      <c r="D3815" t="inlineStr">
        <is>
          <t>Cake Beauty Prep Fresh Facial Toning Mist, 4 Ounce</t>
        </is>
      </c>
      <c r="E3815" s="2">
        <f>HYPERLINK("https://www.amazon.com/Cake-Beauty-Fresh-Facial-Toning/dp/B08HP86M6L/ref=sr_1_7?keywords=Prep+Mist&amp;qid=1695565855&amp;sr=8-7", "https://www.amazon.com/Cake-Beauty-Fresh-Facial-Toning/dp/B08HP86M6L/ref=sr_1_7?keywords=Prep+Mist&amp;qid=1695565855&amp;sr=8-7")</f>
        <v/>
      </c>
      <c r="F3815" t="inlineStr">
        <is>
          <t>B08HP86M6L</t>
        </is>
      </c>
      <c r="G3815">
        <f>_xlfn.IMAGE("https://camerareadycosmetics.com/cdn/shop/products/PrepMist_Coconut_50x.jpg?v=1685592457")</f>
        <v/>
      </c>
      <c r="H3815">
        <f>_xlfn.IMAGE("https://m.media-amazon.com/images/I/61-91+3GfpL._AC_UL320_.jpg")</f>
        <v/>
      </c>
      <c r="K3815" t="inlineStr">
        <is>
          <t>17.0</t>
        </is>
      </c>
      <c r="L3815" t="n">
        <v>14.99</v>
      </c>
      <c r="M3815" s="1" t="inlineStr">
        <is>
          <t>-11.82%</t>
        </is>
      </c>
      <c r="N3815" t="n">
        <v>4.1</v>
      </c>
      <c r="O3815" t="n">
        <v>47</v>
      </c>
      <c r="Q3815" t="inlineStr">
        <is>
          <t>InStock</t>
        </is>
      </c>
      <c r="R3815" t="inlineStr">
        <is>
          <t>17.0</t>
        </is>
      </c>
      <c r="S3815" t="inlineStr">
        <is>
          <t>7593563914425</t>
        </is>
      </c>
    </row>
    <row r="3816" ht="75" customHeight="1">
      <c r="A3816" s="2">
        <f>HYPERLINK("https://camerareadycosmetics.com/products/west-barn-co-prep-mist", "https://camerareadycosmetics.com/products/west-barn-co-prep-mist")</f>
        <v/>
      </c>
      <c r="B3816" s="2">
        <f>HYPERLINK("https://camerareadycosmetics.com/products/west-barn-co-prep-mist", "https://camerareadycosmetics.com/products/west-barn-co-prep-mist")</f>
        <v/>
      </c>
      <c r="C3816" t="inlineStr">
        <is>
          <t>Prep Mist</t>
        </is>
      </c>
      <c r="D3816" t="inlineStr">
        <is>
          <t>Physicians Formula Organic Wear Nutrient Mist Facial Spray, Botanical Infused, Dermatologist Approved, Vegan, Gluten Free, Tone, Balance, And Prep Skin</t>
        </is>
      </c>
      <c r="E3816" s="2">
        <f>HYPERLINK("https://www.amazon.com/Physicians-Formula-Organic-Nutrient-Facial/dp/B07Y7NWWSP/ref=sr_1_5?keywords=Prep+Mist&amp;qid=1695565855&amp;sr=8-5", "https://www.amazon.com/Physicians-Formula-Organic-Nutrient-Facial/dp/B07Y7NWWSP/ref=sr_1_5?keywords=Prep+Mist&amp;qid=1695565855&amp;sr=8-5")</f>
        <v/>
      </c>
      <c r="F3816" t="inlineStr">
        <is>
          <t>B07Y7NWWSP</t>
        </is>
      </c>
      <c r="G3816">
        <f>_xlfn.IMAGE("https://camerareadycosmetics.com/cdn/shop/products/PrepMist_Coconut_50x.jpg?v=1685592457")</f>
        <v/>
      </c>
      <c r="H3816">
        <f>_xlfn.IMAGE("https://m.media-amazon.com/images/I/71iNo2cyfhL._AC_UL320_.jpg")</f>
        <v/>
      </c>
      <c r="K3816" t="inlineStr">
        <is>
          <t>17.0</t>
        </is>
      </c>
      <c r="L3816" t="n">
        <v>8.5</v>
      </c>
      <c r="M3816" s="1" t="inlineStr">
        <is>
          <t>-50.00%</t>
        </is>
      </c>
      <c r="N3816" t="n">
        <v>4.3</v>
      </c>
      <c r="O3816" t="n">
        <v>53</v>
      </c>
      <c r="Q3816" t="inlineStr">
        <is>
          <t>InStock</t>
        </is>
      </c>
      <c r="R3816" t="inlineStr">
        <is>
          <t>17.0</t>
        </is>
      </c>
      <c r="S3816" t="inlineStr">
        <is>
          <t>7593563914425</t>
        </is>
      </c>
    </row>
    <row r="3817" ht="75" customHeight="1">
      <c r="A3817" s="2">
        <f>HYPERLINK("https://camerareadycosmetics.com/products/west-barn-co-prep-mist", "https://camerareadycosmetics.com/products/west-barn-co-prep-mist")</f>
        <v/>
      </c>
      <c r="B3817" s="2">
        <f>HYPERLINK("https://camerareadycosmetics.com/products/west-barn-co-prep-mist", "https://camerareadycosmetics.com/products/west-barn-co-prep-mist")</f>
        <v/>
      </c>
      <c r="C3817" t="inlineStr">
        <is>
          <t>Prep Mist</t>
        </is>
      </c>
      <c r="D3817" t="inlineStr">
        <is>
          <t>L'Oreal Paris Makeup LUMI Shake and Glow Dew Mist, Hydrating and Soothing Face Mist, Prep and Set Makeup, Energizes Skin with a Healthy Boost of Hydration, Natural Finish, 1 fl; oz.</t>
        </is>
      </c>
      <c r="E3817" s="2">
        <f>HYPERLINK("https://www.amazon.com/LOreal-Paris-Cosmetics-Match-Shake/dp/B07H9R74LG/ref=sr_1_6?keywords=Prep+Mist&amp;qid=1695565855&amp;sr=8-6", "https://www.amazon.com/LOreal-Paris-Cosmetics-Match-Shake/dp/B07H9R74LG/ref=sr_1_6?keywords=Prep+Mist&amp;qid=1695565855&amp;sr=8-6")</f>
        <v/>
      </c>
      <c r="F3817" t="inlineStr">
        <is>
          <t>B07H9R74LG</t>
        </is>
      </c>
      <c r="G3817">
        <f>_xlfn.IMAGE("https://camerareadycosmetics.com/cdn/shop/products/PrepMist_Coconut_50x.jpg?v=1685592457")</f>
        <v/>
      </c>
      <c r="H3817">
        <f>_xlfn.IMAGE("https://m.media-amazon.com/images/I/71WlBW3XhNL._AC_UL320_.jpg")</f>
        <v/>
      </c>
      <c r="K3817" t="inlineStr">
        <is>
          <t>17.0</t>
        </is>
      </c>
      <c r="L3817" t="n">
        <v>7.9</v>
      </c>
      <c r="M3817" s="1" t="inlineStr">
        <is>
          <t>-53.53%</t>
        </is>
      </c>
      <c r="N3817" t="n">
        <v>4.3</v>
      </c>
      <c r="O3817" t="n">
        <v>2611</v>
      </c>
      <c r="Q3817" t="inlineStr">
        <is>
          <t>InStock</t>
        </is>
      </c>
      <c r="R3817" t="inlineStr">
        <is>
          <t>17.0</t>
        </is>
      </c>
      <c r="S3817" t="inlineStr">
        <is>
          <t>7593563914425</t>
        </is>
      </c>
    </row>
    <row r="3818" ht="75" customHeight="1">
      <c r="A3818" s="2">
        <f>HYPERLINK("https://camerareadycosmetics.com/products/west-barn-co-prep-mist", "https://camerareadycosmetics.com/products/west-barn-co-prep-mist")</f>
        <v/>
      </c>
      <c r="B3818" s="2">
        <f>HYPERLINK("https://camerareadycosmetics.com/products/west-barn-co-prep-mist", "https://camerareadycosmetics.com/products/west-barn-co-prep-mist")</f>
        <v/>
      </c>
      <c r="C3818" t="inlineStr">
        <is>
          <t>Prep Mist</t>
        </is>
      </c>
      <c r="D3818" t="inlineStr">
        <is>
          <t>Revlon PhotoReady Prep Set, Refresh Mist</t>
        </is>
      </c>
      <c r="E3818" s="2">
        <f>HYPERLINK("https://www.amazon.com/Revlon-PhotoReady-Prep-Refresh-Mist/dp/B0759HMSXF/ref=sr_1_3?keywords=Prep+Mist&amp;qid=1695565855&amp;sr=8-3", "https://www.amazon.com/Revlon-PhotoReady-Prep-Refresh-Mist/dp/B0759HMSXF/ref=sr_1_3?keywords=Prep+Mist&amp;qid=1695565855&amp;sr=8-3")</f>
        <v/>
      </c>
      <c r="F3818" t="inlineStr">
        <is>
          <t>B0759HMSXF</t>
        </is>
      </c>
      <c r="G3818">
        <f>_xlfn.IMAGE("https://camerareadycosmetics.com/cdn/shop/products/PrepMist_Coconut_50x.jpg?v=1685592457")</f>
        <v/>
      </c>
      <c r="H3818">
        <f>_xlfn.IMAGE("https://m.media-amazon.com/images/I/71HTe3DVahL._AC_UL320_.jpg")</f>
        <v/>
      </c>
      <c r="K3818" t="inlineStr">
        <is>
          <t>17.0</t>
        </is>
      </c>
      <c r="L3818" t="n">
        <v>6.05</v>
      </c>
      <c r="M3818" s="1" t="inlineStr">
        <is>
          <t>-64.41%</t>
        </is>
      </c>
      <c r="N3818" t="n">
        <v>4.4</v>
      </c>
      <c r="O3818" t="n">
        <v>455</v>
      </c>
      <c r="Q3818" t="inlineStr">
        <is>
          <t>InStock</t>
        </is>
      </c>
      <c r="R3818" t="inlineStr">
        <is>
          <t>17.0</t>
        </is>
      </c>
      <c r="S3818" t="inlineStr">
        <is>
          <t>7593563914425</t>
        </is>
      </c>
    </row>
    <row r="3819" ht="75" customHeight="1">
      <c r="A3819" s="2">
        <f>HYPERLINK("https://camerareadycosmetics.com/products/west-barn-co-prep-mist", "https://camerareadycosmetics.com/products/west-barn-co-prep-mist")</f>
        <v/>
      </c>
      <c r="B3819" s="2">
        <f>HYPERLINK("https://camerareadycosmetics.com/products/west-barn-co-prep-mist", "https://camerareadycosmetics.com/products/west-barn-co-prep-mist")</f>
        <v/>
      </c>
      <c r="C3819" t="inlineStr">
        <is>
          <t>Prep Mist</t>
        </is>
      </c>
      <c r="D3819" t="inlineStr">
        <is>
          <t>Physicians Formula Organic Wear Nutrient Mist Facial Spray, Botanical Infused, Dermatologist Approved, Vegan, Gluten Free, Tone, Balance, And Prep Skin</t>
        </is>
      </c>
      <c r="E3819" s="2">
        <f>HYPERLINK("https://www.amazon.com/Physicians-Formula-Organic-Nutrient-Facial/dp/B07Y7NWWSP/ref=sr_1_5?keywords=Prep+Mist&amp;qid=1695565855&amp;sr=8-5", "https://www.amazon.com/Physicians-Formula-Organic-Nutrient-Facial/dp/B07Y7NWWSP/ref=sr_1_5?keywords=Prep+Mist&amp;qid=1695565855&amp;sr=8-5")</f>
        <v/>
      </c>
      <c r="F3819" t="inlineStr">
        <is>
          <t>B07Y7NWWSP</t>
        </is>
      </c>
      <c r="G3819">
        <f>_xlfn.IMAGE("https://camerareadycosmetics.com/cdn/shop/products/PrepMist_Coconut_50x.jpg?v=1685592457")</f>
        <v/>
      </c>
      <c r="H3819">
        <f>_xlfn.IMAGE("https://m.media-amazon.com/images/I/71iNo2cyfhL._AC_UL320_.jpg")</f>
        <v/>
      </c>
      <c r="K3819" t="inlineStr">
        <is>
          <t>17.0</t>
        </is>
      </c>
      <c r="L3819" t="n">
        <v>8.5</v>
      </c>
      <c r="M3819" s="1" t="inlineStr">
        <is>
          <t>-50.00%</t>
        </is>
      </c>
      <c r="N3819" t="n">
        <v>4.3</v>
      </c>
      <c r="O3819" t="n">
        <v>53</v>
      </c>
      <c r="Q3819" t="inlineStr">
        <is>
          <t>InStock</t>
        </is>
      </c>
      <c r="R3819" t="inlineStr">
        <is>
          <t>17.0</t>
        </is>
      </c>
      <c r="S3819" t="inlineStr">
        <is>
          <t>7593563914425</t>
        </is>
      </c>
    </row>
    <row r="3820" ht="75" customHeight="1">
      <c r="A3820" s="2">
        <f>HYPERLINK("https://camerareadycosmetics.com/products/west-barn-co-prep-mist", "https://camerareadycosmetics.com/products/west-barn-co-prep-mist")</f>
        <v/>
      </c>
      <c r="B3820" s="2">
        <f>HYPERLINK("https://camerareadycosmetics.com/products/west-barn-co-prep-mist", "https://camerareadycosmetics.com/products/west-barn-co-prep-mist")</f>
        <v/>
      </c>
      <c r="C3820" t="inlineStr">
        <is>
          <t>Prep Mist</t>
        </is>
      </c>
      <c r="D3820" t="inlineStr">
        <is>
          <t>L'Oreal Paris Makeup LUMI Shake and Glow Dew Mist, Hydrating and Soothing Face Mist, Prep and Set Makeup, Energizes Skin with a Healthy Boost of Hydration, Natural Finish, 1 fl; oz.</t>
        </is>
      </c>
      <c r="E3820" s="2">
        <f>HYPERLINK("https://www.amazon.com/LOreal-Paris-Cosmetics-Match-Shake/dp/B07H9R74LG/ref=sr_1_6?keywords=Prep+Mist&amp;qid=1695565855&amp;sr=8-6", "https://www.amazon.com/LOreal-Paris-Cosmetics-Match-Shake/dp/B07H9R74LG/ref=sr_1_6?keywords=Prep+Mist&amp;qid=1695565855&amp;sr=8-6")</f>
        <v/>
      </c>
      <c r="F3820" t="inlineStr">
        <is>
          <t>B07H9R74LG</t>
        </is>
      </c>
      <c r="G3820">
        <f>_xlfn.IMAGE("https://camerareadycosmetics.com/cdn/shop/products/PrepMist_Coconut_50x.jpg?v=1685592457")</f>
        <v/>
      </c>
      <c r="H3820">
        <f>_xlfn.IMAGE("https://m.media-amazon.com/images/I/71WlBW3XhNL._AC_UL320_.jpg")</f>
        <v/>
      </c>
      <c r="K3820" t="inlineStr">
        <is>
          <t>17.0</t>
        </is>
      </c>
      <c r="L3820" t="n">
        <v>7.9</v>
      </c>
      <c r="M3820" s="1" t="inlineStr">
        <is>
          <t>-53.53%</t>
        </is>
      </c>
      <c r="N3820" t="n">
        <v>4.3</v>
      </c>
      <c r="O3820" t="n">
        <v>2611</v>
      </c>
      <c r="Q3820" t="inlineStr">
        <is>
          <t>InStock</t>
        </is>
      </c>
      <c r="R3820" t="inlineStr">
        <is>
          <t>17.0</t>
        </is>
      </c>
      <c r="S3820" t="inlineStr">
        <is>
          <t>7593563914425</t>
        </is>
      </c>
    </row>
    <row r="3821" ht="75" customHeight="1">
      <c r="A3821" s="2">
        <f>HYPERLINK("https://camerareadycosmetics.com/products/west-barn-co-prep-mist", "https://camerareadycosmetics.com/products/west-barn-co-prep-mist")</f>
        <v/>
      </c>
      <c r="B3821" s="2">
        <f>HYPERLINK("https://camerareadycosmetics.com/products/west-barn-co-prep-mist", "https://camerareadycosmetics.com/products/west-barn-co-prep-mist")</f>
        <v/>
      </c>
      <c r="C3821" t="inlineStr">
        <is>
          <t>Prep Mist</t>
        </is>
      </c>
      <c r="D3821" t="inlineStr">
        <is>
          <t>Revlon PhotoReady Prep Set, Refresh Mist</t>
        </is>
      </c>
      <c r="E3821" s="2">
        <f>HYPERLINK("https://www.amazon.com/Revlon-PhotoReady-Prep-Refresh-Mist/dp/B0759HMSXF/ref=sr_1_3?keywords=Prep+Mist&amp;qid=1695565855&amp;sr=8-3", "https://www.amazon.com/Revlon-PhotoReady-Prep-Refresh-Mist/dp/B0759HMSXF/ref=sr_1_3?keywords=Prep+Mist&amp;qid=1695565855&amp;sr=8-3")</f>
        <v/>
      </c>
      <c r="F3821" t="inlineStr">
        <is>
          <t>B0759HMSXF</t>
        </is>
      </c>
      <c r="G3821">
        <f>_xlfn.IMAGE("https://camerareadycosmetics.com/cdn/shop/products/PrepMist_Coconut_50x.jpg?v=1685592457")</f>
        <v/>
      </c>
      <c r="H3821">
        <f>_xlfn.IMAGE("https://m.media-amazon.com/images/I/71HTe3DVahL._AC_UL320_.jpg")</f>
        <v/>
      </c>
      <c r="K3821" t="inlineStr">
        <is>
          <t>17.0</t>
        </is>
      </c>
      <c r="L3821" t="n">
        <v>6.05</v>
      </c>
      <c r="M3821" s="1" t="inlineStr">
        <is>
          <t>-64.41%</t>
        </is>
      </c>
      <c r="N3821" t="n">
        <v>4.4</v>
      </c>
      <c r="O3821" t="n">
        <v>455</v>
      </c>
      <c r="Q3821" t="inlineStr">
        <is>
          <t>InStock</t>
        </is>
      </c>
      <c r="R3821" t="inlineStr">
        <is>
          <t>17.0</t>
        </is>
      </c>
      <c r="S3821" t="inlineStr">
        <is>
          <t>7593563914425</t>
        </is>
      </c>
    </row>
    <row r="3822" ht="75" customHeight="1">
      <c r="A3822" s="2">
        <f>HYPERLINK("https://camerareadycosmetics.com/products/west-barn-co-soap-brows-extra-strong", "https://camerareadycosmetics.com/products/west-barn-co-soap-brows-extra-strong")</f>
        <v/>
      </c>
      <c r="B3822" s="2">
        <f>HYPERLINK("https://camerareadycosmetics.com/products/west-barn-co-soap-brows-extra-strong", "https://camerareadycosmetics.com/products/west-barn-co-soap-brows-extra-strong")</f>
        <v/>
      </c>
      <c r="C3822" t="inlineStr">
        <is>
          <t>Soap Brows Extra Strong</t>
        </is>
      </c>
      <c r="D3822" t="inlineStr">
        <is>
          <t>Brow Freeze, Eyebrow Soap Wax, Styling Gel, Long Lasting Waterproof 4D Brow Freeze Wax, Strong Lamination Effect, Eyebrow Make Up Gel for Natural, Fluffy and Feathery Brows</t>
        </is>
      </c>
      <c r="E3822" s="2">
        <f>HYPERLINK("https://www.amazon.com/Maiwenn-Eyebrow-Waterproof-Lamination-Feathery/dp/B0BTFZV58D/ref=sr_1_4?keywords=Soap+Brows+Extra+Strong&amp;qid=1695565740&amp;sr=8-4", "https://www.amazon.com/Maiwenn-Eyebrow-Waterproof-Lamination-Feathery/dp/B0BTFZV58D/ref=sr_1_4?keywords=Soap+Brows+Extra+Strong&amp;qid=1695565740&amp;sr=8-4")</f>
        <v/>
      </c>
      <c r="F3822" t="inlineStr">
        <is>
          <t>B0BTFZV58D</t>
        </is>
      </c>
      <c r="G3822">
        <f>_xlfn.IMAGE("https://camerareadycosmetics.com/cdn/shop/files/soap_brows_extra_strong_closed_50x.jpg?v=1685571417")</f>
        <v/>
      </c>
      <c r="H3822">
        <f>_xlfn.IMAGE("https://m.media-amazon.com/images/I/61LHAFsFxsL._AC_UL320_.jpg")</f>
        <v/>
      </c>
      <c r="K3822" t="inlineStr">
        <is>
          <t>17.0</t>
        </is>
      </c>
      <c r="L3822" t="n">
        <v>9.99</v>
      </c>
      <c r="M3822" s="1" t="inlineStr">
        <is>
          <t>-41.24%</t>
        </is>
      </c>
      <c r="N3822" t="n">
        <v>4</v>
      </c>
      <c r="O3822" t="n">
        <v>18</v>
      </c>
      <c r="Q3822" t="inlineStr">
        <is>
          <t>InStock</t>
        </is>
      </c>
      <c r="R3822" t="inlineStr">
        <is>
          <t>undefined</t>
        </is>
      </c>
      <c r="S3822" t="inlineStr">
        <is>
          <t>7593538486457</t>
        </is>
      </c>
    </row>
    <row r="3823" ht="75" customHeight="1">
      <c r="A3823" s="2">
        <f>HYPERLINK("https://camerareadycosmetics.com/products/west-barn-co-the-brow-brush", "https://camerareadycosmetics.com/products/west-barn-co-the-brow-brush")</f>
        <v/>
      </c>
      <c r="B3823" s="2">
        <f>HYPERLINK("https://camerareadycosmetics.com/products/west-barn-co-the-brow-brush", "https://camerareadycosmetics.com/products/west-barn-co-the-brow-brush")</f>
        <v/>
      </c>
      <c r="C3823" t="inlineStr">
        <is>
          <t>The Brow Brush</t>
        </is>
      </c>
      <c r="D3823" t="inlineStr">
        <is>
          <t>Ultra-Thin Eyebrow Brush Set - Raffaello 3Pcs Angled Precision Eyeliner Makeup Brushes, Cruelty-Free Synthetic Bristles Slanted Eyeshadow Eye Brow Tinting Kit (Black)</t>
        </is>
      </c>
      <c r="E3823" s="2">
        <f>HYPERLINK("https://www.amazon.com/Ultra-Thin-Eyebrow-Brush-Set-Cruelty-Free/dp/B09TR6C3VP/ref=sr_1_9?keywords=The+Brow+Brush&amp;qid=1695565835&amp;sr=8-9", "https://www.amazon.com/Ultra-Thin-Eyebrow-Brush-Set-Cruelty-Free/dp/B09TR6C3VP/ref=sr_1_9?keywords=The+Brow+Brush&amp;qid=1695565835&amp;sr=8-9")</f>
        <v/>
      </c>
      <c r="F3823" t="inlineStr">
        <is>
          <t>B09TR6C3VP</t>
        </is>
      </c>
      <c r="G3823">
        <f>_xlfn.IMAGE("https://camerareadycosmetics.com/cdn/shop/files/BrowBrush_V2_1_1_50x.jpg?v=1687879306")</f>
        <v/>
      </c>
      <c r="H3823">
        <f>_xlfn.IMAGE("https://m.media-amazon.com/images/I/51Y6ZTsogEL._AC_UL320_.jpg")</f>
        <v/>
      </c>
      <c r="K3823" t="inlineStr">
        <is>
          <t>18.0</t>
        </is>
      </c>
      <c r="L3823" t="n">
        <v>8.99</v>
      </c>
      <c r="M3823" s="1" t="inlineStr">
        <is>
          <t>-50.06%</t>
        </is>
      </c>
      <c r="N3823" t="n">
        <v>4.4</v>
      </c>
      <c r="O3823" t="n">
        <v>350</v>
      </c>
      <c r="Q3823" t="inlineStr">
        <is>
          <t>InStock</t>
        </is>
      </c>
      <c r="R3823" t="inlineStr">
        <is>
          <t>undefined</t>
        </is>
      </c>
      <c r="S3823" t="inlineStr">
        <is>
          <t>7597881393337</t>
        </is>
      </c>
    </row>
    <row r="3824" ht="75" customHeight="1">
      <c r="A3824" s="2">
        <f>HYPERLINK("https://camerareadycosmetics.com/products/west-barn-co-the-brow-brush", "https://camerareadycosmetics.com/products/west-barn-co-the-brow-brush")</f>
        <v/>
      </c>
      <c r="B3824" s="2">
        <f>HYPERLINK("https://camerareadycosmetics.com/products/west-barn-co-the-brow-brush", "https://camerareadycosmetics.com/products/west-barn-co-the-brow-brush")</f>
        <v/>
      </c>
      <c r="C3824" t="inlineStr">
        <is>
          <t>The Brow Brush</t>
        </is>
      </c>
      <c r="D3824" t="inlineStr">
        <is>
          <t>Ultra-Thin Eyebrow Brush Set - Raffaello 3Pcs Angled Precision Eyeliner Makeup Brushes, Cruelty-Free Synthetic Bristles Slanted Eyeshadow Eye Brow Tinting Kit (Black)</t>
        </is>
      </c>
      <c r="E3824" s="2">
        <f>HYPERLINK("https://www.amazon.com/Ultra-Thin-Eyebrow-Brush-Set-Cruelty-Free/dp/B09TR6C3VP/ref=sr_1_9?keywords=The+Brow+Brush&amp;qid=1695565835&amp;sr=8-9", "https://www.amazon.com/Ultra-Thin-Eyebrow-Brush-Set-Cruelty-Free/dp/B09TR6C3VP/ref=sr_1_9?keywords=The+Brow+Brush&amp;qid=1695565835&amp;sr=8-9")</f>
        <v/>
      </c>
      <c r="F3824" t="inlineStr">
        <is>
          <t>B09TR6C3VP</t>
        </is>
      </c>
      <c r="G3824">
        <f>_xlfn.IMAGE("https://camerareadycosmetics.com/cdn/shop/files/BrowBrush_V2_1_1_50x.jpg?v=1687879306")</f>
        <v/>
      </c>
      <c r="H3824">
        <f>_xlfn.IMAGE("https://m.media-amazon.com/images/I/51Y6ZTsogEL._AC_UL320_.jpg")</f>
        <v/>
      </c>
      <c r="K3824" t="inlineStr">
        <is>
          <t>18.0</t>
        </is>
      </c>
      <c r="L3824" t="n">
        <v>8.99</v>
      </c>
      <c r="M3824" s="1" t="inlineStr">
        <is>
          <t>-50.06%</t>
        </is>
      </c>
      <c r="N3824" t="n">
        <v>4.4</v>
      </c>
      <c r="O3824" t="n">
        <v>350</v>
      </c>
      <c r="Q3824" t="inlineStr">
        <is>
          <t>InStock</t>
        </is>
      </c>
      <c r="R3824" t="inlineStr">
        <is>
          <t>undefined</t>
        </is>
      </c>
      <c r="S3824" t="inlineStr">
        <is>
          <t>7597881393337</t>
        </is>
      </c>
    </row>
    <row r="3825" ht="75" customHeight="1">
      <c r="A3825" s="2">
        <f>HYPERLINK("https://camerareadycosmetics.com/products/west-barn-co-the-brow-pen", "https://camerareadycosmetics.com/products/west-barn-co-the-brow-pen")</f>
        <v/>
      </c>
      <c r="B3825" s="2">
        <f>HYPERLINK("https://camerareadycosmetics.com/products/west-barn-co-the-brow-pen", "https://camerareadycosmetics.com/products/west-barn-co-the-brow-pen")</f>
        <v/>
      </c>
      <c r="C3825" t="inlineStr">
        <is>
          <t>The Brow Pen</t>
        </is>
      </c>
      <c r="D3825" t="inlineStr">
        <is>
          <t>Ardell Beauty Stroke a Brow Feathering Pen, Dark Brown</t>
        </is>
      </c>
      <c r="E3825" s="2">
        <f>HYPERLINK("https://www.amazon.com/Ardell-Dark-Brown-Brow-Feathering/dp/B072Q5CHVV/ref=sr_1_5?keywords=The+Brow+Pen&amp;qid=1695565746&amp;sr=8-5", "https://www.amazon.com/Ardell-Dark-Brown-Brow-Feathering/dp/B072Q5CHVV/ref=sr_1_5?keywords=The+Brow+Pen&amp;qid=1695565746&amp;sr=8-5")</f>
        <v/>
      </c>
      <c r="F3825" t="inlineStr">
        <is>
          <t>B072Q5CHVV</t>
        </is>
      </c>
      <c r="G3825">
        <f>_xlfn.IMAGE("https://camerareadycosmetics.com/cdn/shop/files/west-barn-co-the-brow-pen-arm-swatch_1_50x.jpg?v=1685505975")</f>
        <v/>
      </c>
      <c r="H3825">
        <f>_xlfn.IMAGE("https://m.media-amazon.com/images/I/51NIGBSNHRL._AC_UL320_.jpg")</f>
        <v/>
      </c>
      <c r="K3825" t="inlineStr">
        <is>
          <t>20.0</t>
        </is>
      </c>
      <c r="L3825" t="n">
        <v>4.77</v>
      </c>
      <c r="M3825" s="1" t="inlineStr">
        <is>
          <t>-76.15%</t>
        </is>
      </c>
      <c r="N3825" t="n">
        <v>3.7</v>
      </c>
      <c r="O3825" t="n">
        <v>2368</v>
      </c>
      <c r="Q3825" t="inlineStr">
        <is>
          <t>InStock</t>
        </is>
      </c>
      <c r="R3825" t="inlineStr">
        <is>
          <t>undefined</t>
        </is>
      </c>
      <c r="S3825" t="inlineStr">
        <is>
          <t>7593465086137</t>
        </is>
      </c>
    </row>
    <row r="3826" ht="75" customHeight="1">
      <c r="A3826" s="2">
        <f>HYPERLINK("https://camerareadycosmetics.com/products/west-barn-co-the-brow-pen", "https://camerareadycosmetics.com/products/west-barn-co-the-brow-pen")</f>
        <v/>
      </c>
      <c r="B3826" s="2">
        <f>HYPERLINK("https://camerareadycosmetics.com/products/west-barn-co-the-brow-pen", "https://camerareadycosmetics.com/products/west-barn-co-the-brow-pen")</f>
        <v/>
      </c>
      <c r="C3826" t="inlineStr">
        <is>
          <t>The Brow Pen</t>
        </is>
      </c>
      <c r="D3826" t="inlineStr">
        <is>
          <t>Ardell Beauty Stroke a Brow Feathering Pen, Dark Brown</t>
        </is>
      </c>
      <c r="E3826" s="2">
        <f>HYPERLINK("https://www.amazon.com/Ardell-Dark-Brown-Brow-Feathering/dp/B072Q5CHVV/ref=sr_1_5?keywords=The+Brow+Pen&amp;qid=1695565746&amp;sr=8-5", "https://www.amazon.com/Ardell-Dark-Brown-Brow-Feathering/dp/B072Q5CHVV/ref=sr_1_5?keywords=The+Brow+Pen&amp;qid=1695565746&amp;sr=8-5")</f>
        <v/>
      </c>
      <c r="F3826" t="inlineStr">
        <is>
          <t>B072Q5CHVV</t>
        </is>
      </c>
      <c r="G3826">
        <f>_xlfn.IMAGE("https://camerareadycosmetics.com/cdn/shop/files/west-barn-co-the-brow-pen-arm-swatch_1_50x.jpg?v=1685505975")</f>
        <v/>
      </c>
      <c r="H3826">
        <f>_xlfn.IMAGE("https://m.media-amazon.com/images/I/51NIGBSNHRL._AC_UL320_.jpg")</f>
        <v/>
      </c>
      <c r="K3826" t="inlineStr">
        <is>
          <t>20.0</t>
        </is>
      </c>
      <c r="L3826" t="n">
        <v>4.77</v>
      </c>
      <c r="M3826" s="1" t="inlineStr">
        <is>
          <t>-76.15%</t>
        </is>
      </c>
      <c r="N3826" t="n">
        <v>3.7</v>
      </c>
      <c r="O3826" t="n">
        <v>2368</v>
      </c>
      <c r="Q3826" t="inlineStr">
        <is>
          <t>InStock</t>
        </is>
      </c>
      <c r="R3826" t="inlineStr">
        <is>
          <t>undefined</t>
        </is>
      </c>
      <c r="S3826" t="inlineStr">
        <is>
          <t>7593465086137</t>
        </is>
      </c>
    </row>
    <row r="3827" ht="75" customHeight="1">
      <c r="A3827" s="2">
        <f>HYPERLINK("https://camerareadycosmetics.com/products/william-tuttle-blush", "https://camerareadycosmetics.com/products/william-tuttle-blush")</f>
        <v/>
      </c>
      <c r="B3827" s="2">
        <f>HYPERLINK("https://camerareadycosmetics.com/products/william-tuttle-blush", "https://camerareadycosmetics.com/products/william-tuttle-blush")</f>
        <v/>
      </c>
      <c r="C3827" t="inlineStr">
        <is>
          <t>Blush</t>
        </is>
      </c>
      <c r="D3827" t="inlineStr">
        <is>
          <t>e.l.f. Halo Glow Blush Beauty Wand, Liquid Blush Wand For Radiant, Flushed Cheeks, Infused With Squalane, Vegan &amp; Cruelty-free, Rosé You Slay</t>
        </is>
      </c>
      <c r="E3827" s="2">
        <f>HYPERLINK("https://www.amazon.com/l-f-Radiant-Flushed-Squalane-Cruelty-free/dp/B0C7SGCC2Z/ref=sr_1_10?keywords=Blush&amp;qid=1695565495&amp;sr=8-10", "https://www.amazon.com/l-f-Radiant-Flushed-Squalane-Cruelty-free/dp/B0C7SGCC2Z/ref=sr_1_10?keywords=Blush&amp;qid=1695565495&amp;sr=8-10")</f>
        <v/>
      </c>
      <c r="F3827" t="inlineStr">
        <is>
          <t>B0C7SGCC2Z</t>
        </is>
      </c>
      <c r="G3827">
        <f>_xlfn.IMAGE("https://camerareadycosmetics.com/cdn/shop/products/wt_small_k-blusher_50x.jpg?v=1540429465")</f>
        <v/>
      </c>
      <c r="H3827">
        <f>_xlfn.IMAGE("https://m.media-amazon.com/images/I/61g27Gze+oL._AC_UL320_.jpg")</f>
        <v/>
      </c>
      <c r="K3827" t="inlineStr">
        <is>
          <t>7.5</t>
        </is>
      </c>
      <c r="L3827" t="n">
        <v>9</v>
      </c>
      <c r="M3827" s="1" t="inlineStr">
        <is>
          <t>20.00%</t>
        </is>
      </c>
      <c r="N3827" t="n">
        <v>4.4</v>
      </c>
      <c r="O3827" t="n">
        <v>407</v>
      </c>
      <c r="Q3827" t="inlineStr">
        <is>
          <t>InStock</t>
        </is>
      </c>
      <c r="R3827" t="inlineStr">
        <is>
          <t>undefined</t>
        </is>
      </c>
      <c r="S3827" t="inlineStr">
        <is>
          <t>1768628093039</t>
        </is>
      </c>
    </row>
    <row r="3828" ht="75" customHeight="1">
      <c r="A3828" s="2">
        <f>HYPERLINK("https://camerareadycosmetics.com/products/william-tuttle-blush", "https://camerareadycosmetics.com/products/william-tuttle-blush")</f>
        <v/>
      </c>
      <c r="B3828" s="2">
        <f>HYPERLINK("https://camerareadycosmetics.com/products/william-tuttle-blush", "https://camerareadycosmetics.com/products/william-tuttle-blush")</f>
        <v/>
      </c>
      <c r="C3828" t="inlineStr">
        <is>
          <t>Blush</t>
        </is>
      </c>
      <c r="D3828" t="inlineStr">
        <is>
          <t>Multi-Use Makeup Blush Stick,Beauty Solid Moisturizer Stick,Waterproof Natural Nude Makeup,Tinted Solid Moisturizer Stick for Eyes Lips Cheek(Shy Pink)</t>
        </is>
      </c>
      <c r="E3828" s="2">
        <f>HYPERLINK("https://www.amazon.com/Multi-Use-Makeup-Moisturizer-Waterproof-Natural/dp/B0C77NQ5FF/ref=sr_1_9?keywords=Blush&amp;qid=1695565495&amp;sr=8-9", "https://www.amazon.com/Multi-Use-Makeup-Moisturizer-Waterproof-Natural/dp/B0C77NQ5FF/ref=sr_1_9?keywords=Blush&amp;qid=1695565495&amp;sr=8-9")</f>
        <v/>
      </c>
      <c r="F3828" t="inlineStr">
        <is>
          <t>B0C77NQ5FF</t>
        </is>
      </c>
      <c r="G3828">
        <f>_xlfn.IMAGE("https://camerareadycosmetics.com/cdn/shop/products/wt_small_k-blusher_50x.jpg?v=1540429465")</f>
        <v/>
      </c>
      <c r="H3828">
        <f>_xlfn.IMAGE("https://m.media-amazon.com/images/I/61uxlt6L5KL._AC_UL320_.jpg")</f>
        <v/>
      </c>
      <c r="K3828" t="inlineStr">
        <is>
          <t>7.5</t>
        </is>
      </c>
      <c r="L3828" t="n">
        <v>8.99</v>
      </c>
      <c r="M3828" s="1" t="inlineStr">
        <is>
          <t>19.87%</t>
        </is>
      </c>
      <c r="N3828" t="n">
        <v>4.3</v>
      </c>
      <c r="O3828" t="n">
        <v>126</v>
      </c>
      <c r="Q3828" t="inlineStr">
        <is>
          <t>InStock</t>
        </is>
      </c>
      <c r="R3828" t="inlineStr">
        <is>
          <t>undefined</t>
        </is>
      </c>
      <c r="S3828" t="inlineStr">
        <is>
          <t>1768628093039</t>
        </is>
      </c>
    </row>
    <row r="3829" ht="75" customHeight="1">
      <c r="A3829" s="2">
        <f>HYPERLINK("https://camerareadycosmetics.com/products/william-tuttle-blush", "https://camerareadycosmetics.com/products/william-tuttle-blush")</f>
        <v/>
      </c>
      <c r="B3829" s="2">
        <f>HYPERLINK("https://camerareadycosmetics.com/products/william-tuttle-blush", "https://camerareadycosmetics.com/products/william-tuttle-blush")</f>
        <v/>
      </c>
      <c r="C3829" t="inlineStr">
        <is>
          <t>Blush</t>
        </is>
      </c>
      <c r="D3829" t="inlineStr">
        <is>
          <t>Milani Baked Blush - Petal Primavera (0.12 Ounce) Cruelty-Free Powder Blush - Shape, Contour &amp; Highlight Face for a Shimmery or Matte Finish</t>
        </is>
      </c>
      <c r="E3829" s="2">
        <f>HYPERLINK("https://www.amazon.com/Milani-Baked-Blush-Primavera-Cruelty-Free/dp/B07PNCB73M/ref=sr_1_4?keywords=Blush&amp;qid=1695565495&amp;sr=8-4", "https://www.amazon.com/Milani-Baked-Blush-Primavera-Cruelty-Free/dp/B07PNCB73M/ref=sr_1_4?keywords=Blush&amp;qid=1695565495&amp;sr=8-4")</f>
        <v/>
      </c>
      <c r="F3829" t="inlineStr">
        <is>
          <t>B07PNCB73M</t>
        </is>
      </c>
      <c r="G3829">
        <f>_xlfn.IMAGE("https://camerareadycosmetics.com/cdn/shop/products/wt_small_k-blusher_50x.jpg?v=1540429465")</f>
        <v/>
      </c>
      <c r="H3829">
        <f>_xlfn.IMAGE("https://m.media-amazon.com/images/I/71MA9ELdqVL._AC_UL320_.jpg")</f>
        <v/>
      </c>
      <c r="K3829" t="inlineStr">
        <is>
          <t>7.5</t>
        </is>
      </c>
      <c r="L3829" t="n">
        <v>8.970000000000001</v>
      </c>
      <c r="M3829" s="1" t="inlineStr">
        <is>
          <t>19.60%</t>
        </is>
      </c>
      <c r="N3829" t="n">
        <v>4.5</v>
      </c>
      <c r="O3829" t="n">
        <v>36221</v>
      </c>
      <c r="Q3829" t="inlineStr">
        <is>
          <t>InStock</t>
        </is>
      </c>
      <c r="R3829" t="inlineStr">
        <is>
          <t>undefined</t>
        </is>
      </c>
      <c r="S3829" t="inlineStr">
        <is>
          <t>1768628093039</t>
        </is>
      </c>
    </row>
    <row r="3830" ht="75" customHeight="1">
      <c r="A3830" s="2">
        <f>HYPERLINK("https://camerareadycosmetics.com/products/william-tuttle-blush", "https://camerareadycosmetics.com/products/william-tuttle-blush")</f>
        <v/>
      </c>
      <c r="B3830" s="2">
        <f>HYPERLINK("https://camerareadycosmetics.com/products/william-tuttle-blush", "https://camerareadycosmetics.com/products/william-tuttle-blush")</f>
        <v/>
      </c>
      <c r="C3830" t="inlineStr">
        <is>
          <t>Blush</t>
        </is>
      </c>
      <c r="D3830" t="inlineStr">
        <is>
          <t>L’Oréal Paris True Match Super-Blendable Blush, Spiced Plum, 0.21 oz.</t>
        </is>
      </c>
      <c r="E3830" s="2">
        <f>HYPERLINK("https://www.amazon.com/LOr%C3%A9al-Paris-Match-Super-Blendable-Spiced/dp/B001KYVP6S/ref=sr_1_7?keywords=Blush&amp;qid=1695565495&amp;sr=8-7", "https://www.amazon.com/LOr%C3%A9al-Paris-Match-Super-Blendable-Spiced/dp/B001KYVP6S/ref=sr_1_7?keywords=Blush&amp;qid=1695565495&amp;sr=8-7")</f>
        <v/>
      </c>
      <c r="F3830" t="inlineStr">
        <is>
          <t>B001KYVP6S</t>
        </is>
      </c>
      <c r="G3830">
        <f>_xlfn.IMAGE("https://camerareadycosmetics.com/cdn/shop/products/wt_small_k-blusher_50x.jpg?v=1540429465")</f>
        <v/>
      </c>
      <c r="H3830">
        <f>_xlfn.IMAGE("https://m.media-amazon.com/images/I/91LKsDLdtCL._AC_UL320_.jpg")</f>
        <v/>
      </c>
      <c r="K3830" t="inlineStr">
        <is>
          <t>7.5</t>
        </is>
      </c>
      <c r="L3830" t="n">
        <v>7.51</v>
      </c>
      <c r="M3830" s="1" t="inlineStr">
        <is>
          <t>0.13%</t>
        </is>
      </c>
      <c r="N3830" t="n">
        <v>4.5</v>
      </c>
      <c r="O3830" t="n">
        <v>9892</v>
      </c>
      <c r="Q3830" t="inlineStr">
        <is>
          <t>InStock</t>
        </is>
      </c>
      <c r="R3830" t="inlineStr">
        <is>
          <t>undefined</t>
        </is>
      </c>
      <c r="S3830" t="inlineStr">
        <is>
          <t>1768628093039</t>
        </is>
      </c>
    </row>
    <row r="3831" ht="75" customHeight="1">
      <c r="A3831" s="2">
        <f>HYPERLINK("https://camerareadycosmetics.com/products/william-tuttle-blush", "https://camerareadycosmetics.com/products/william-tuttle-blush")</f>
        <v/>
      </c>
      <c r="B3831" s="2">
        <f>HYPERLINK("https://camerareadycosmetics.com/products/william-tuttle-blush", "https://camerareadycosmetics.com/products/william-tuttle-blush")</f>
        <v/>
      </c>
      <c r="C3831" t="inlineStr">
        <is>
          <t>Blush</t>
        </is>
      </c>
      <c r="D3831" t="inlineStr">
        <is>
          <t>SHEGLAM Color Bloom Liquid Blush Makeup for Cheeks Matte Finish - Love Cake</t>
        </is>
      </c>
      <c r="E3831" s="2">
        <f>HYPERLINK("https://www.amazon.com/SHEGLAM-Liquid-Makeup-Cheeks-Finish/dp/B0BHFBBH25/ref=sr_1_5?keywords=Blush&amp;qid=1695565495&amp;sr=8-5", "https://www.amazon.com/SHEGLAM-Liquid-Makeup-Cheeks-Finish/dp/B0BHFBBH25/ref=sr_1_5?keywords=Blush&amp;qid=1695565495&amp;sr=8-5")</f>
        <v/>
      </c>
      <c r="F3831" t="inlineStr">
        <is>
          <t>B0BHFBBH25</t>
        </is>
      </c>
      <c r="G3831">
        <f>_xlfn.IMAGE("https://camerareadycosmetics.com/cdn/shop/products/wt_small_k-blusher_50x.jpg?v=1540429465")</f>
        <v/>
      </c>
      <c r="H3831">
        <f>_xlfn.IMAGE("https://m.media-amazon.com/images/I/41e5ZzLrkLL._AC_UL320_.jpg")</f>
        <v/>
      </c>
      <c r="K3831" t="inlineStr">
        <is>
          <t>7.5</t>
        </is>
      </c>
      <c r="L3831" t="n">
        <v>6.99</v>
      </c>
      <c r="M3831" s="1" t="inlineStr">
        <is>
          <t>-6.80%</t>
        </is>
      </c>
      <c r="N3831" t="n">
        <v>4.6</v>
      </c>
      <c r="O3831" t="n">
        <v>1032</v>
      </c>
      <c r="Q3831" t="inlineStr">
        <is>
          <t>InStock</t>
        </is>
      </c>
      <c r="R3831" t="inlineStr">
        <is>
          <t>undefined</t>
        </is>
      </c>
      <c r="S3831" t="inlineStr">
        <is>
          <t>1768628093039</t>
        </is>
      </c>
    </row>
    <row r="3832" ht="75" customHeight="1">
      <c r="A3832" s="2">
        <f>HYPERLINK("https://camerareadycosmetics.com/products/william-tuttle-blush", "https://camerareadycosmetics.com/products/william-tuttle-blush")</f>
        <v/>
      </c>
      <c r="B3832" s="2">
        <f>HYPERLINK("https://camerareadycosmetics.com/products/william-tuttle-blush", "https://camerareadycosmetics.com/products/william-tuttle-blush")</f>
        <v/>
      </c>
      <c r="C3832" t="inlineStr">
        <is>
          <t>Blush</t>
        </is>
      </c>
      <c r="D3832" t="inlineStr">
        <is>
          <t>Danvisit Liquid Blush, Soft Cream Blush Makeup, Weightless, Long-Lasting, Moisturizing, Natural-Looking, Skin Tint Blush Makeup, (2#)</t>
        </is>
      </c>
      <c r="E3832" s="2">
        <f>HYPERLINK("https://www.amazon.com/Danvisit-Weightless-Long-Lasting-Moisturizing-Natural-Looking/dp/B0C49FW1GM/ref=sr_1_8?keywords=Blush&amp;qid=1695565495&amp;sr=8-8", "https://www.amazon.com/Danvisit-Weightless-Long-Lasting-Moisturizing-Natural-Looking/dp/B0C49FW1GM/ref=sr_1_8?keywords=Blush&amp;qid=1695565495&amp;sr=8-8")</f>
        <v/>
      </c>
      <c r="F3832" t="inlineStr">
        <is>
          <t>B0C49FW1GM</t>
        </is>
      </c>
      <c r="G3832">
        <f>_xlfn.IMAGE("https://camerareadycosmetics.com/cdn/shop/products/wt_small_k-blusher_50x.jpg?v=1540429465")</f>
        <v/>
      </c>
      <c r="H3832">
        <f>_xlfn.IMAGE("https://m.media-amazon.com/images/I/61iELzEl0uL._AC_UL320_.jpg")</f>
        <v/>
      </c>
      <c r="K3832" t="inlineStr">
        <is>
          <t>7.5</t>
        </is>
      </c>
      <c r="L3832" t="n">
        <v>4.99</v>
      </c>
      <c r="M3832" s="1" t="inlineStr">
        <is>
          <t>-33.47%</t>
        </is>
      </c>
      <c r="N3832" t="n">
        <v>4.8</v>
      </c>
      <c r="O3832" t="n">
        <v>212</v>
      </c>
      <c r="Q3832" t="inlineStr">
        <is>
          <t>InStock</t>
        </is>
      </c>
      <c r="R3832" t="inlineStr">
        <is>
          <t>undefined</t>
        </is>
      </c>
      <c r="S3832" t="inlineStr">
        <is>
          <t>1768628093039</t>
        </is>
      </c>
    </row>
    <row r="3833" ht="75" customHeight="1">
      <c r="A3833" s="2">
        <f>HYPERLINK("https://camerareadycosmetics.com/products/william-tuttle-blush", "https://camerareadycosmetics.com/products/william-tuttle-blush")</f>
        <v/>
      </c>
      <c r="B3833" s="2">
        <f>HYPERLINK("https://camerareadycosmetics.com/products/william-tuttle-blush", "https://camerareadycosmetics.com/products/william-tuttle-blush")</f>
        <v/>
      </c>
      <c r="C3833" t="inlineStr">
        <is>
          <t>Blush</t>
        </is>
      </c>
      <c r="D3833" t="inlineStr">
        <is>
          <t>COVERGIRL Cheekers Blendable Powder Blush Deep Plum, .12 oz (packaging may vary), 1 Count</t>
        </is>
      </c>
      <c r="E3833" s="2">
        <f>HYPERLINK("https://www.amazon.com/COVERGIRL-Blendable-Deep-Plum-packaging/dp/B000ORMOYY/ref=sr_1_6?keywords=Blush&amp;qid=1695565495&amp;sr=8-6", "https://www.amazon.com/COVERGIRL-Blendable-Deep-Plum-packaging/dp/B000ORMOYY/ref=sr_1_6?keywords=Blush&amp;qid=1695565495&amp;sr=8-6")</f>
        <v/>
      </c>
      <c r="F3833" t="inlineStr">
        <is>
          <t>B000ORMOYY</t>
        </is>
      </c>
      <c r="G3833">
        <f>_xlfn.IMAGE("https://camerareadycosmetics.com/cdn/shop/products/wt_small_k-blusher_50x.jpg?v=1540429465")</f>
        <v/>
      </c>
      <c r="H3833">
        <f>_xlfn.IMAGE("https://m.media-amazon.com/images/I/81-z3MmnKcL._AC_UL320_.jpg")</f>
        <v/>
      </c>
      <c r="K3833" t="inlineStr">
        <is>
          <t>7.5</t>
        </is>
      </c>
      <c r="L3833" t="n">
        <v>4.66</v>
      </c>
      <c r="M3833" s="1" t="inlineStr">
        <is>
          <t>-37.87%</t>
        </is>
      </c>
      <c r="N3833" t="n">
        <v>4.6</v>
      </c>
      <c r="O3833" t="n">
        <v>15664</v>
      </c>
      <c r="Q3833" t="inlineStr">
        <is>
          <t>InStock</t>
        </is>
      </c>
      <c r="R3833" t="inlineStr">
        <is>
          <t>undefined</t>
        </is>
      </c>
      <c r="S3833" t="inlineStr">
        <is>
          <t>1768628093039</t>
        </is>
      </c>
    </row>
    <row r="3834" ht="75" customHeight="1">
      <c r="A3834" s="2">
        <f>HYPERLINK("https://camerareadycosmetics.com/products/william-tuttle-blush", "https://camerareadycosmetics.com/products/william-tuttle-blush")</f>
        <v/>
      </c>
      <c r="B3834" s="2">
        <f>HYPERLINK("https://camerareadycosmetics.com/products/william-tuttle-blush", "https://camerareadycosmetics.com/products/william-tuttle-blush")</f>
        <v/>
      </c>
      <c r="C3834" t="inlineStr">
        <is>
          <t>Blush</t>
        </is>
      </c>
      <c r="D3834" t="inlineStr">
        <is>
          <t>Maybelline Fit Me Powder Blush, Lightweight, Smooth, Blendable, Long-lasting All-Day Face Enhancing Makeup Color, Rose, 1 Count</t>
        </is>
      </c>
      <c r="E3834" s="2">
        <f>HYPERLINK("https://www.amazon.com/Maybelline-Lightweight-Blendable-Long-lasting-Enhancing/dp/B06XF14MCP/ref=sr_1_1?keywords=Blush&amp;qid=1695565495&amp;sr=8-1", "https://www.amazon.com/Maybelline-Lightweight-Blendable-Long-lasting-Enhancing/dp/B06XF14MCP/ref=sr_1_1?keywords=Blush&amp;qid=1695565495&amp;sr=8-1")</f>
        <v/>
      </c>
      <c r="F3834" t="inlineStr">
        <is>
          <t>B06XF14MCP</t>
        </is>
      </c>
      <c r="G3834">
        <f>_xlfn.IMAGE("https://camerareadycosmetics.com/cdn/shop/products/wt_small_k-blusher_50x.jpg?v=1540429465")</f>
        <v/>
      </c>
      <c r="H3834">
        <f>_xlfn.IMAGE("https://m.media-amazon.com/images/I/71wAoBimuxL._AC_UL320_.jpg")</f>
        <v/>
      </c>
      <c r="K3834" t="inlineStr">
        <is>
          <t>7.5</t>
        </is>
      </c>
      <c r="L3834" t="n">
        <v>4.3</v>
      </c>
      <c r="M3834" s="1" t="inlineStr">
        <is>
          <t>-42.67%</t>
        </is>
      </c>
      <c r="N3834" t="n">
        <v>4.4</v>
      </c>
      <c r="O3834" t="n">
        <v>27858</v>
      </c>
      <c r="Q3834" t="inlineStr">
        <is>
          <t>InStock</t>
        </is>
      </c>
      <c r="R3834" t="inlineStr">
        <is>
          <t>undefined</t>
        </is>
      </c>
      <c r="S3834" t="inlineStr">
        <is>
          <t>1768628093039</t>
        </is>
      </c>
    </row>
    <row r="3835" ht="75" customHeight="1">
      <c r="A3835" s="2">
        <f>HYPERLINK("https://camerareadycosmetics.com/products/william-tuttle-blush", "https://camerareadycosmetics.com/products/william-tuttle-blush")</f>
        <v/>
      </c>
      <c r="B3835" s="2">
        <f>HYPERLINK("https://camerareadycosmetics.com/products/william-tuttle-blush", "https://camerareadycosmetics.com/products/william-tuttle-blush")</f>
        <v/>
      </c>
      <c r="C3835" t="inlineStr">
        <is>
          <t>Blush</t>
        </is>
      </c>
      <c r="D3835" t="inlineStr">
        <is>
          <t>Wet n Wild Color Icon Blush Powder Makeup, Pearlescent Pink | Matte Natural Glow | Moisturizing Jojoba Oil</t>
        </is>
      </c>
      <c r="E3835" s="2">
        <f>HYPERLINK("https://www.amazon.com/wild-Color-Powder-Blush-Pearlescent/dp/B082YPZMT6/ref=sr_1_2?keywords=Blush&amp;qid=1695565495&amp;rdc=1&amp;sr=8-2", "https://www.amazon.com/wild-Color-Powder-Blush-Pearlescent/dp/B082YPZMT6/ref=sr_1_2?keywords=Blush&amp;qid=1695565495&amp;rdc=1&amp;sr=8-2")</f>
        <v/>
      </c>
      <c r="F3835" t="inlineStr">
        <is>
          <t>B082YPZMT6</t>
        </is>
      </c>
      <c r="G3835">
        <f>_xlfn.IMAGE("https://camerareadycosmetics.com/cdn/shop/products/wt_small_k-blusher_50x.jpg?v=1540429465")</f>
        <v/>
      </c>
      <c r="H3835">
        <f>_xlfn.IMAGE("https://m.media-amazon.com/images/I/81EACUwSbFL._AC_UL320_.jpg")</f>
        <v/>
      </c>
      <c r="K3835" t="inlineStr">
        <is>
          <t>7.5</t>
        </is>
      </c>
      <c r="L3835" t="n">
        <v>3.24</v>
      </c>
      <c r="M3835" s="1" t="inlineStr">
        <is>
          <t>-56.80%</t>
        </is>
      </c>
      <c r="N3835" t="n">
        <v>4.3</v>
      </c>
      <c r="O3835" t="n">
        <v>12670</v>
      </c>
      <c r="Q3835" t="inlineStr">
        <is>
          <t>InStock</t>
        </is>
      </c>
      <c r="R3835" t="inlineStr">
        <is>
          <t>undefined</t>
        </is>
      </c>
      <c r="S3835" t="inlineStr">
        <is>
          <t>1768628093039</t>
        </is>
      </c>
    </row>
    <row r="3836" ht="75" customHeight="1">
      <c r="A3836" s="2">
        <f>HYPERLINK("https://camerareadycosmetics.com/products/william-tuttle-blush", "https://camerareadycosmetics.com/products/william-tuttle-blush")</f>
        <v/>
      </c>
      <c r="B3836" s="2">
        <f>HYPERLINK("https://camerareadycosmetics.com/products/william-tuttle-blush", "https://camerareadycosmetics.com/products/william-tuttle-blush")</f>
        <v/>
      </c>
      <c r="C3836" t="inlineStr">
        <is>
          <t>Blush</t>
        </is>
      </c>
      <c r="D3836" t="inlineStr">
        <is>
          <t>Wet n Wild Color Icon Blush Powder Makeup, Pearlescent Pink | Matte Natural Glow | Moisturizing Jojoba Oil</t>
        </is>
      </c>
      <c r="E3836" s="2">
        <f>HYPERLINK("https://www.amazon.com/wild-Color-Powder-Blush-Pearlescent/dp/B082YPZMT6/ref=sr_1_2?keywords=Blush&amp;qid=1695565495&amp;rdc=1&amp;sr=8-2", "https://www.amazon.com/wild-Color-Powder-Blush-Pearlescent/dp/B082YPZMT6/ref=sr_1_2?keywords=Blush&amp;qid=1695565495&amp;rdc=1&amp;sr=8-2")</f>
        <v/>
      </c>
      <c r="F3836" t="inlineStr">
        <is>
          <t>B082YPZMT6</t>
        </is>
      </c>
      <c r="G3836">
        <f>_xlfn.IMAGE("https://camerareadycosmetics.com/cdn/shop/products/wt_small_k-blusher_50x.jpg?v=1540429465")</f>
        <v/>
      </c>
      <c r="H3836">
        <f>_xlfn.IMAGE("https://m.media-amazon.com/images/I/81EACUwSbFL._AC_UL320_.jpg")</f>
        <v/>
      </c>
      <c r="K3836" t="inlineStr">
        <is>
          <t>7.5</t>
        </is>
      </c>
      <c r="L3836" t="n">
        <v>3.24</v>
      </c>
      <c r="M3836" s="1" t="inlineStr">
        <is>
          <t>-56.80%</t>
        </is>
      </c>
      <c r="N3836" t="n">
        <v>4.3</v>
      </c>
      <c r="O3836" t="n">
        <v>12670</v>
      </c>
      <c r="Q3836" t="inlineStr">
        <is>
          <t>InStock</t>
        </is>
      </c>
      <c r="R3836" t="inlineStr">
        <is>
          <t>undefined</t>
        </is>
      </c>
      <c r="S3836" t="inlineStr">
        <is>
          <t>1768628093039</t>
        </is>
      </c>
    </row>
    <row r="3837" ht="75" customHeight="1">
      <c r="A3837" s="2">
        <f>HYPERLINK("https://camerareadycosmetics.com/products/william-tuttle-creme-foundation", "https://camerareadycosmetics.com/products/william-tuttle-creme-foundation")</f>
        <v/>
      </c>
      <c r="B3837" s="2">
        <f>HYPERLINK("https://camerareadycosmetics.com/products/william-tuttle-creme-foundation", "https://camerareadycosmetics.com/products/william-tuttle-creme-foundation")</f>
        <v/>
      </c>
      <c r="C3837" t="inlineStr">
        <is>
          <t>Creme Foundation</t>
        </is>
      </c>
      <c r="D3837" t="inlineStr">
        <is>
          <t>Oil Free Creme Foundation, Tan, NET WT. 10 g / 0.3 oz.</t>
        </is>
      </c>
      <c r="E3837" s="2">
        <f>HYPERLINK("https://www.amazon.com/EDDIE-FUNKHOUSER-Free-Creme-Foundation/dp/B00INZP5JA/ref=sr_1_6?keywords=Creme+Foundation&amp;qid=1695565425&amp;sr=8-6", "https://www.amazon.com/EDDIE-FUNKHOUSER-Free-Creme-Foundation/dp/B00INZP5JA/ref=sr_1_6?keywords=Creme+Foundation&amp;qid=1695565425&amp;sr=8-6")</f>
        <v/>
      </c>
      <c r="F3837" t="inlineStr">
        <is>
          <t>B00INZP5JA</t>
        </is>
      </c>
      <c r="G3837">
        <f>_xlfn.IMAGE("https://camerareadycosmetics.com/cdn/shop/products/William-Tuttle-Creme-Foundation_50x.jpg?v=1653433266")</f>
        <v/>
      </c>
      <c r="H3837">
        <f>_xlfn.IMAGE("https://m.media-amazon.com/images/I/51qcISqY1NL._AC_UL320_.jpg")</f>
        <v/>
      </c>
      <c r="K3837" t="inlineStr">
        <is>
          <t>15.0</t>
        </is>
      </c>
      <c r="L3837" t="n">
        <v>14.49</v>
      </c>
      <c r="M3837" s="1" t="inlineStr">
        <is>
          <t>-3.40%</t>
        </is>
      </c>
      <c r="N3837" t="n">
        <v>4.4</v>
      </c>
      <c r="O3837" t="n">
        <v>31</v>
      </c>
      <c r="Q3837" t="inlineStr">
        <is>
          <t>InStock</t>
        </is>
      </c>
      <c r="R3837" t="inlineStr">
        <is>
          <t>undefined</t>
        </is>
      </c>
      <c r="S3837" t="inlineStr">
        <is>
          <t>1734134464623</t>
        </is>
      </c>
    </row>
    <row r="3838" ht="75" customHeight="1">
      <c r="A3838" s="2">
        <f>HYPERLINK("https://camerareadycosmetics.com/products/william-tuttle-creme-foundation", "https://camerareadycosmetics.com/products/william-tuttle-creme-foundation")</f>
        <v/>
      </c>
      <c r="B3838" s="2">
        <f>HYPERLINK("https://camerareadycosmetics.com/products/william-tuttle-creme-foundation", "https://camerareadycosmetics.com/products/william-tuttle-creme-foundation")</f>
        <v/>
      </c>
      <c r="C3838" t="inlineStr">
        <is>
          <t>Creme Foundation</t>
        </is>
      </c>
      <c r="D3838" t="inlineStr">
        <is>
          <t>Revlon PhotoReady Candid Glow Moisture Glow Anti-Pollution Foundation with Vitamin E &amp; Prickly Pear Oil,Anti-Blue Light Ingredients,without Parabens,Pthalates,and Fragrances,Creme Brulee,0.75 oz</t>
        </is>
      </c>
      <c r="E3838" s="2">
        <f>HYPERLINK("https://www.amazon.com/PhotoReady-Anti-Pollution-Foundation-Ingredients-Fragrances/dp/B07XTRXQW9/ref=sr_1_10?keywords=Creme+Foundation&amp;qid=1695565425&amp;sr=8-10", "https://www.amazon.com/PhotoReady-Anti-Pollution-Foundation-Ingredients-Fragrances/dp/B07XTRXQW9/ref=sr_1_10?keywords=Creme+Foundation&amp;qid=1695565425&amp;sr=8-10")</f>
        <v/>
      </c>
      <c r="F3838" t="inlineStr">
        <is>
          <t>B07XTRXQW9</t>
        </is>
      </c>
      <c r="G3838">
        <f>_xlfn.IMAGE("https://camerareadycosmetics.com/cdn/shop/products/William-Tuttle-Creme-Foundation_50x.jpg?v=1653433266")</f>
        <v/>
      </c>
      <c r="H3838">
        <f>_xlfn.IMAGE("https://m.media-amazon.com/images/I/71mxcZYFdtS._AC_UL320_.jpg")</f>
        <v/>
      </c>
      <c r="K3838" t="inlineStr">
        <is>
          <t>15.0</t>
        </is>
      </c>
      <c r="L3838" t="n">
        <v>7.74</v>
      </c>
      <c r="M3838" s="1" t="inlineStr">
        <is>
          <t>-48.40%</t>
        </is>
      </c>
      <c r="N3838" t="n">
        <v>4.3</v>
      </c>
      <c r="O3838" t="n">
        <v>2746</v>
      </c>
      <c r="Q3838" t="inlineStr">
        <is>
          <t>InStock</t>
        </is>
      </c>
      <c r="R3838" t="inlineStr">
        <is>
          <t>undefined</t>
        </is>
      </c>
      <c r="S3838" t="inlineStr">
        <is>
          <t>1734134464623</t>
        </is>
      </c>
    </row>
    <row r="3839" ht="75" customHeight="1">
      <c r="A3839" s="2">
        <f>HYPERLINK("https://camerareadycosmetics.com/products/william-tuttle-creme-foundation", "https://camerareadycosmetics.com/products/william-tuttle-creme-foundation")</f>
        <v/>
      </c>
      <c r="B3839" s="2">
        <f>HYPERLINK("https://camerareadycosmetics.com/products/william-tuttle-creme-foundation", "https://camerareadycosmetics.com/products/william-tuttle-creme-foundation")</f>
        <v/>
      </c>
      <c r="C3839" t="inlineStr">
        <is>
          <t>Creme Foundation</t>
        </is>
      </c>
      <c r="D3839" t="inlineStr">
        <is>
          <t>L’Oréal Paris Infallible Total Cover Foundation, Creme Cafe, 1 fl; oz.</t>
        </is>
      </c>
      <c r="E3839" s="2">
        <f>HYPERLINK("https://www.amazon.com/LOr%C3%A9al-Paris-Infallible-Total-Foundation/dp/B01LXPFE67/ref=sr_1_8?keywords=Creme+Foundation&amp;qid=1695565425&amp;sr=8-8", "https://www.amazon.com/LOr%C3%A9al-Paris-Infallible-Total-Foundation/dp/B01LXPFE67/ref=sr_1_8?keywords=Creme+Foundation&amp;qid=1695565425&amp;sr=8-8")</f>
        <v/>
      </c>
      <c r="F3839" t="inlineStr">
        <is>
          <t>B01LXPFE67</t>
        </is>
      </c>
      <c r="G3839">
        <f>_xlfn.IMAGE("https://camerareadycosmetics.com/cdn/shop/products/William-Tuttle-Creme-Foundation_50x.jpg?v=1653433266")</f>
        <v/>
      </c>
      <c r="H3839">
        <f>_xlfn.IMAGE("https://m.media-amazon.com/images/I/71CcJjeNS9L._AC_UL320_.jpg")</f>
        <v/>
      </c>
      <c r="K3839" t="inlineStr">
        <is>
          <t>15.0</t>
        </is>
      </c>
      <c r="L3839" t="n">
        <v>6.4</v>
      </c>
      <c r="M3839" s="1" t="inlineStr">
        <is>
          <t>-57.33%</t>
        </is>
      </c>
      <c r="N3839" t="n">
        <v>4.6</v>
      </c>
      <c r="O3839" t="n">
        <v>7057</v>
      </c>
      <c r="Q3839" t="inlineStr">
        <is>
          <t>InStock</t>
        </is>
      </c>
      <c r="R3839" t="inlineStr">
        <is>
          <t>undefined</t>
        </is>
      </c>
      <c r="S3839" t="inlineStr">
        <is>
          <t>1734134464623</t>
        </is>
      </c>
    </row>
    <row r="3840" ht="75" customHeight="1">
      <c r="A3840" s="2">
        <f>HYPERLINK("https://camerareadycosmetics.com/products/william-tuttle-creme-foundation", "https://camerareadycosmetics.com/products/william-tuttle-creme-foundation")</f>
        <v/>
      </c>
      <c r="B3840" s="2">
        <f>HYPERLINK("https://camerareadycosmetics.com/products/william-tuttle-creme-foundation", "https://camerareadycosmetics.com/products/william-tuttle-creme-foundation")</f>
        <v/>
      </c>
      <c r="C3840" t="inlineStr">
        <is>
          <t>Creme Foundation</t>
        </is>
      </c>
      <c r="D3840" t="inlineStr">
        <is>
          <t>Revlon PhotoReady Candid Glow Moisture Glow Anti-Pollution Foundation with Vitamin E &amp; Prickly Pear Oil,Anti-Blue Light Ingredients,without Parabens,Pthalates,and Fragrances,Creme Brulee,0.75 oz</t>
        </is>
      </c>
      <c r="E3840" s="2">
        <f>HYPERLINK("https://www.amazon.com/PhotoReady-Anti-Pollution-Foundation-Ingredients-Fragrances/dp/B07XTRXQW9/ref=sr_1_10?keywords=Creme+Foundation&amp;qid=1695565425&amp;sr=8-10", "https://www.amazon.com/PhotoReady-Anti-Pollution-Foundation-Ingredients-Fragrances/dp/B07XTRXQW9/ref=sr_1_10?keywords=Creme+Foundation&amp;qid=1695565425&amp;sr=8-10")</f>
        <v/>
      </c>
      <c r="F3840" t="inlineStr">
        <is>
          <t>B07XTRXQW9</t>
        </is>
      </c>
      <c r="G3840">
        <f>_xlfn.IMAGE("https://camerareadycosmetics.com/cdn/shop/products/William-Tuttle-Creme-Foundation_50x.jpg?v=1653433266")</f>
        <v/>
      </c>
      <c r="H3840">
        <f>_xlfn.IMAGE("https://m.media-amazon.com/images/I/71mxcZYFdtS._AC_UL320_.jpg")</f>
        <v/>
      </c>
      <c r="K3840" t="inlineStr">
        <is>
          <t>15.0</t>
        </is>
      </c>
      <c r="L3840" t="n">
        <v>7.74</v>
      </c>
      <c r="M3840" s="1" t="inlineStr">
        <is>
          <t>-48.40%</t>
        </is>
      </c>
      <c r="N3840" t="n">
        <v>4.3</v>
      </c>
      <c r="O3840" t="n">
        <v>2746</v>
      </c>
      <c r="Q3840" t="inlineStr">
        <is>
          <t>InStock</t>
        </is>
      </c>
      <c r="R3840" t="inlineStr">
        <is>
          <t>undefined</t>
        </is>
      </c>
      <c r="S3840" t="inlineStr">
        <is>
          <t>1734134464623</t>
        </is>
      </c>
    </row>
    <row r="3841" ht="75" customHeight="1">
      <c r="A3841" s="2">
        <f>HYPERLINK("https://camerareadycosmetics.com/products/william-tuttle-creme-foundation", "https://camerareadycosmetics.com/products/william-tuttle-creme-foundation")</f>
        <v/>
      </c>
      <c r="B3841" s="2">
        <f>HYPERLINK("https://camerareadycosmetics.com/products/william-tuttle-creme-foundation", "https://camerareadycosmetics.com/products/william-tuttle-creme-foundation")</f>
        <v/>
      </c>
      <c r="C3841" t="inlineStr">
        <is>
          <t>Creme Foundation</t>
        </is>
      </c>
      <c r="D3841" t="inlineStr">
        <is>
          <t>L’Oréal Paris Infallible Total Cover Foundation, Creme Cafe, 1 fl; oz.</t>
        </is>
      </c>
      <c r="E3841" s="2">
        <f>HYPERLINK("https://www.amazon.com/LOr%C3%A9al-Paris-Infallible-Total-Foundation/dp/B01LXPFE67/ref=sr_1_8?keywords=Creme+Foundation&amp;qid=1695565425&amp;sr=8-8", "https://www.amazon.com/LOr%C3%A9al-Paris-Infallible-Total-Foundation/dp/B01LXPFE67/ref=sr_1_8?keywords=Creme+Foundation&amp;qid=1695565425&amp;sr=8-8")</f>
        <v/>
      </c>
      <c r="F3841" t="inlineStr">
        <is>
          <t>B01LXPFE67</t>
        </is>
      </c>
      <c r="G3841">
        <f>_xlfn.IMAGE("https://camerareadycosmetics.com/cdn/shop/products/William-Tuttle-Creme-Foundation_50x.jpg?v=1653433266")</f>
        <v/>
      </c>
      <c r="H3841">
        <f>_xlfn.IMAGE("https://m.media-amazon.com/images/I/71CcJjeNS9L._AC_UL320_.jpg")</f>
        <v/>
      </c>
      <c r="K3841" t="inlineStr">
        <is>
          <t>15.0</t>
        </is>
      </c>
      <c r="L3841" t="n">
        <v>6.4</v>
      </c>
      <c r="M3841" s="1" t="inlineStr">
        <is>
          <t>-57.33%</t>
        </is>
      </c>
      <c r="N3841" t="n">
        <v>4.6</v>
      </c>
      <c r="O3841" t="n">
        <v>7057</v>
      </c>
      <c r="Q3841" t="inlineStr">
        <is>
          <t>InStock</t>
        </is>
      </c>
      <c r="R3841" t="inlineStr">
        <is>
          <t>undefined</t>
        </is>
      </c>
      <c r="S3841" t="inlineStr">
        <is>
          <t>1734134464623</t>
        </is>
      </c>
    </row>
    <row r="3842" ht="75" customHeight="1">
      <c r="A3842" s="2">
        <f>HYPERLINK("https://camerareadycosmetics.com/products/william-tuttle-hi-lite", "https://camerareadycosmetics.com/products/william-tuttle-hi-lite")</f>
        <v/>
      </c>
      <c r="B3842" s="2">
        <f>HYPERLINK("https://camerareadycosmetics.com/products/william-tuttle-hi-lite", "https://camerareadycosmetics.com/products/william-tuttle-hi-lite")</f>
        <v/>
      </c>
      <c r="C3842" t="inlineStr">
        <is>
          <t>Hi-Lite</t>
        </is>
      </c>
      <c r="D3842" t="inlineStr">
        <is>
          <t>Hi-Lite Wraps 4 x 16, 250 Sheets Per Box</t>
        </is>
      </c>
      <c r="E3842" s="2">
        <f>HYPERLINK("https://www.amazon.com/Hi-Lite-Wraps-250-Sheets-Box/dp/B0741LL169/ref=sr_1_3?keywords=Hi-Lite&amp;qid=1695565571&amp;sr=8-3", "https://www.amazon.com/Hi-Lite-Wraps-250-Sheets-Box/dp/B0741LL169/ref=sr_1_3?keywords=Hi-Lite&amp;qid=1695565571&amp;sr=8-3")</f>
        <v/>
      </c>
      <c r="F3842" t="inlineStr">
        <is>
          <t>B0741LL169</t>
        </is>
      </c>
      <c r="G3842">
        <f>_xlfn.IMAGE("https://camerareadycosmetics.com/cdn/shop/products/wt_small_hi-lite_50x.jpg?v=1540429481")</f>
        <v/>
      </c>
      <c r="H3842">
        <f>_xlfn.IMAGE("https://m.media-amazon.com/images/I/61kn7B5OeNL._AC_UL320_.jpg")</f>
        <v/>
      </c>
      <c r="K3842" t="inlineStr">
        <is>
          <t>7.5</t>
        </is>
      </c>
      <c r="L3842" t="n">
        <v>28.99</v>
      </c>
      <c r="M3842" s="1" t="inlineStr">
        <is>
          <t>286.53%</t>
        </is>
      </c>
      <c r="N3842" t="n">
        <v>4.8</v>
      </c>
      <c r="O3842" t="n">
        <v>9</v>
      </c>
      <c r="Q3842" t="inlineStr">
        <is>
          <t>InStock</t>
        </is>
      </c>
      <c r="R3842" t="inlineStr">
        <is>
          <t>undefined</t>
        </is>
      </c>
      <c r="S3842" t="inlineStr">
        <is>
          <t>1768615477359</t>
        </is>
      </c>
    </row>
    <row r="3843" ht="75" customHeight="1">
      <c r="A3843" s="2">
        <f>HYPERLINK("https://camerareadycosmetics.com/products/william-tuttle-hi-lite", "https://camerareadycosmetics.com/products/william-tuttle-hi-lite")</f>
        <v/>
      </c>
      <c r="B3843" s="2">
        <f>HYPERLINK("https://camerareadycosmetics.com/products/william-tuttle-hi-lite", "https://camerareadycosmetics.com/products/william-tuttle-hi-lite")</f>
        <v/>
      </c>
      <c r="C3843" t="inlineStr">
        <is>
          <t>Hi-Lite</t>
        </is>
      </c>
      <c r="D3843" t="inlineStr">
        <is>
          <t>Hi-Lite Wraps 4 x 10, 250 Sheets Per Box</t>
        </is>
      </c>
      <c r="E3843" s="2">
        <f>HYPERLINK("https://www.amazon.com/Hi-Lite-Wraps-250-Sheets-Box/dp/B0741MPYYK/ref=sr_1_8?keywords=Hi-Lite&amp;qid=1695565571&amp;sr=8-8", "https://www.amazon.com/Hi-Lite-Wraps-250-Sheets-Box/dp/B0741MPYYK/ref=sr_1_8?keywords=Hi-Lite&amp;qid=1695565571&amp;sr=8-8")</f>
        <v/>
      </c>
      <c r="F3843" t="inlineStr">
        <is>
          <t>B0741MPYYK</t>
        </is>
      </c>
      <c r="G3843">
        <f>_xlfn.IMAGE("https://camerareadycosmetics.com/cdn/shop/products/wt_small_hi-lite_50x.jpg?v=1540429481")</f>
        <v/>
      </c>
      <c r="H3843">
        <f>_xlfn.IMAGE("https://m.media-amazon.com/images/I/61xnvF2Y1ZL._AC_UL320_.jpg")</f>
        <v/>
      </c>
      <c r="K3843" t="inlineStr">
        <is>
          <t>7.5</t>
        </is>
      </c>
      <c r="L3843" t="n">
        <v>19.99</v>
      </c>
      <c r="M3843" s="1" t="inlineStr">
        <is>
          <t>166.53%</t>
        </is>
      </c>
      <c r="N3843" t="n">
        <v>3.8</v>
      </c>
      <c r="O3843" t="n">
        <v>12</v>
      </c>
      <c r="Q3843" t="inlineStr">
        <is>
          <t>InStock</t>
        </is>
      </c>
      <c r="R3843" t="inlineStr">
        <is>
          <t>undefined</t>
        </is>
      </c>
      <c r="S3843" t="inlineStr">
        <is>
          <t>1768615477359</t>
        </is>
      </c>
    </row>
    <row r="3844" ht="75" customHeight="1">
      <c r="A3844" s="2">
        <f>HYPERLINK("https://camerareadycosmetics.com/products/william-tuttle-hi-lite", "https://camerareadycosmetics.com/products/william-tuttle-hi-lite")</f>
        <v/>
      </c>
      <c r="B3844" s="2">
        <f>HYPERLINK("https://camerareadycosmetics.com/products/william-tuttle-hi-lite", "https://camerareadycosmetics.com/products/william-tuttle-hi-lite")</f>
        <v/>
      </c>
      <c r="C3844" t="inlineStr">
        <is>
          <t>Hi-Lite</t>
        </is>
      </c>
      <c r="D3844" t="inlineStr">
        <is>
          <t>W. R. Rayson Hi-Lite Helper Boards</t>
        </is>
      </c>
      <c r="E3844" s="2">
        <f>HYPERLINK("https://www.amazon.com/W-R-Rayson-Hi-Lite-Helper/dp/B003XW2GC2/ref=sr_1_10?keywords=Hi-Lite&amp;qid=1695565571&amp;sr=8-10", "https://www.amazon.com/W-R-Rayson-Hi-Lite-Helper/dp/B003XW2GC2/ref=sr_1_10?keywords=Hi-Lite&amp;qid=1695565571&amp;sr=8-10")</f>
        <v/>
      </c>
      <c r="F3844" t="inlineStr">
        <is>
          <t>B003XW2GC2</t>
        </is>
      </c>
      <c r="G3844">
        <f>_xlfn.IMAGE("https://camerareadycosmetics.com/cdn/shop/products/wt_small_hi-lite_50x.jpg?v=1540429481")</f>
        <v/>
      </c>
      <c r="H3844">
        <f>_xlfn.IMAGE("https://m.media-amazon.com/images/I/51hkRmOjhcL._AC_UL320_.jpg")</f>
        <v/>
      </c>
      <c r="K3844" t="inlineStr">
        <is>
          <t>7.5</t>
        </is>
      </c>
      <c r="L3844" t="n">
        <v>16.99</v>
      </c>
      <c r="M3844" s="1" t="inlineStr">
        <is>
          <t>126.53%</t>
        </is>
      </c>
      <c r="N3844" t="n">
        <v>4.4</v>
      </c>
      <c r="O3844" t="n">
        <v>204</v>
      </c>
      <c r="Q3844" t="inlineStr">
        <is>
          <t>InStock</t>
        </is>
      </c>
      <c r="R3844" t="inlineStr">
        <is>
          <t>undefined</t>
        </is>
      </c>
      <c r="S3844" t="inlineStr">
        <is>
          <t>1768615477359</t>
        </is>
      </c>
    </row>
    <row r="3845" ht="75" customHeight="1">
      <c r="A3845" s="2">
        <f>HYPERLINK("https://camerareadycosmetics.com/products/william-tuttle-hi-lite", "https://camerareadycosmetics.com/products/william-tuttle-hi-lite")</f>
        <v/>
      </c>
      <c r="B3845" s="2">
        <f>HYPERLINK("https://camerareadycosmetics.com/products/william-tuttle-hi-lite", "https://camerareadycosmetics.com/products/william-tuttle-hi-lite")</f>
        <v/>
      </c>
      <c r="C3845" t="inlineStr">
        <is>
          <t>Hi-Lite</t>
        </is>
      </c>
      <c r="D3845" t="inlineStr">
        <is>
          <t>SafetyPUP XD Lite Dog Vest. Coverage to Mid Back. Reflective Hi Visibility Blaze Orange Fluorescent Fabric Helps to Keep Them in Sight and Safe On and Off Leash.</t>
        </is>
      </c>
      <c r="E3845" s="2">
        <f>HYPERLINK("https://www.amazon.com/SafetyPUP-XD-Visibility-Reflective-Climates/dp/B089DKDFTD/ref=sr_1_2?keywords=Hi-Lite&amp;qid=1695565571&amp;sr=8-2", "https://www.amazon.com/SafetyPUP-XD-Visibility-Reflective-Climates/dp/B089DKDFTD/ref=sr_1_2?keywords=Hi-Lite&amp;qid=1695565571&amp;sr=8-2")</f>
        <v/>
      </c>
      <c r="F3845" t="inlineStr">
        <is>
          <t>B089DKDFTD</t>
        </is>
      </c>
      <c r="G3845">
        <f>_xlfn.IMAGE("https://camerareadycosmetics.com/cdn/shop/products/wt_small_hi-lite_50x.jpg?v=1540429481")</f>
        <v/>
      </c>
      <c r="H3845">
        <f>_xlfn.IMAGE("https://m.media-amazon.com/images/I/71d3FOfwIBL._AC_UL320_.jpg")</f>
        <v/>
      </c>
      <c r="K3845" t="inlineStr">
        <is>
          <t>7.5</t>
        </is>
      </c>
      <c r="L3845" t="n">
        <v>16.95</v>
      </c>
      <c r="M3845" s="1" t="inlineStr">
        <is>
          <t>126.00%</t>
        </is>
      </c>
      <c r="N3845" t="n">
        <v>4.6</v>
      </c>
      <c r="O3845" t="n">
        <v>360</v>
      </c>
      <c r="Q3845" t="inlineStr">
        <is>
          <t>InStock</t>
        </is>
      </c>
      <c r="R3845" t="inlineStr">
        <is>
          <t>undefined</t>
        </is>
      </c>
      <c r="S3845" t="inlineStr">
        <is>
          <t>1768615477359</t>
        </is>
      </c>
    </row>
    <row r="3846" ht="75" customHeight="1">
      <c r="A3846" s="2">
        <f>HYPERLINK("https://camerareadycosmetics.com/products/william-tuttle-hi-lite", "https://camerareadycosmetics.com/products/william-tuttle-hi-lite")</f>
        <v/>
      </c>
      <c r="B3846" s="2">
        <f>HYPERLINK("https://camerareadycosmetics.com/products/william-tuttle-hi-lite", "https://camerareadycosmetics.com/products/william-tuttle-hi-lite")</f>
        <v/>
      </c>
      <c r="C3846" t="inlineStr">
        <is>
          <t>Hi-Lite</t>
        </is>
      </c>
      <c r="D3846" t="inlineStr">
        <is>
          <t>HI-LITES Christmas Edition Special Effect Light Changing/Light Diffraction Glasses - SNOWMAN Effect Lenses - Designer Style</t>
        </is>
      </c>
      <c r="E3846" s="2">
        <f>HYPERLINK("https://www.amazon.com/HI-LITES-Christmas-Diffraction-Glasses-Hologram/dp/B0B5NKSZCV/ref=sr_1_7?keywords=Hi-Lite&amp;qid=1695565571&amp;sr=8-7", "https://www.amazon.com/HI-LITES-Christmas-Diffraction-Glasses-Hologram/dp/B0B5NKSZCV/ref=sr_1_7?keywords=Hi-Lite&amp;qid=1695565571&amp;sr=8-7")</f>
        <v/>
      </c>
      <c r="F3846" t="inlineStr">
        <is>
          <t>B0B5NKSZCV</t>
        </is>
      </c>
      <c r="G3846">
        <f>_xlfn.IMAGE("https://camerareadycosmetics.com/cdn/shop/products/wt_small_hi-lite_50x.jpg?v=1540429481")</f>
        <v/>
      </c>
      <c r="H3846">
        <f>_xlfn.IMAGE("https://m.media-amazon.com/images/I/71Jwxhd5DuL._AC_UL320_.jpg")</f>
        <v/>
      </c>
      <c r="K3846" t="inlineStr">
        <is>
          <t>7.5</t>
        </is>
      </c>
      <c r="L3846" t="n">
        <v>14.95</v>
      </c>
      <c r="M3846" s="1" t="inlineStr">
        <is>
          <t>99.33%</t>
        </is>
      </c>
      <c r="N3846" t="n">
        <v>5</v>
      </c>
      <c r="O3846" t="n">
        <v>5</v>
      </c>
      <c r="Q3846" t="inlineStr">
        <is>
          <t>InStock</t>
        </is>
      </c>
      <c r="R3846" t="inlineStr">
        <is>
          <t>undefined</t>
        </is>
      </c>
      <c r="S3846" t="inlineStr">
        <is>
          <t>1768615477359</t>
        </is>
      </c>
    </row>
    <row r="3847" ht="75" customHeight="1">
      <c r="A3847" s="2">
        <f>HYPERLINK("https://camerareadycosmetics.com/products/william-tuttle-hi-lite", "https://camerareadycosmetics.com/products/william-tuttle-hi-lite")</f>
        <v/>
      </c>
      <c r="B3847" s="2">
        <f>HYPERLINK("https://camerareadycosmetics.com/products/william-tuttle-hi-lite", "https://camerareadycosmetics.com/products/william-tuttle-hi-lite")</f>
        <v/>
      </c>
      <c r="C3847" t="inlineStr">
        <is>
          <t>Hi-Lite</t>
        </is>
      </c>
      <c r="D3847" t="inlineStr">
        <is>
          <t>Tripp Lite Universal Reversible USB 2.0 Hi-Speed Cable (Reversible A to Reversible A M/M) 10-ft.(UR020-010)</t>
        </is>
      </c>
      <c r="E3847" s="2">
        <f>HYPERLINK("https://www.amazon.com/Tripp-Lite-Universal-Reversible-UR020-010/dp/B00EIDU3D4/ref=sr_1_9?keywords=Hi-Lite&amp;qid=1695565571&amp;sr=8-9", "https://www.amazon.com/Tripp-Lite-Universal-Reversible-UR020-010/dp/B00EIDU3D4/ref=sr_1_9?keywords=Hi-Lite&amp;qid=1695565571&amp;sr=8-9")</f>
        <v/>
      </c>
      <c r="F3847" t="inlineStr">
        <is>
          <t>B00EIDU3D4</t>
        </is>
      </c>
      <c r="G3847">
        <f>_xlfn.IMAGE("https://camerareadycosmetics.com/cdn/shop/products/wt_small_hi-lite_50x.jpg?v=1540429481")</f>
        <v/>
      </c>
      <c r="H3847">
        <f>_xlfn.IMAGE("https://m.media-amazon.com/images/I/71aTHOmXl1L._AC_UL320_.jpg")</f>
        <v/>
      </c>
      <c r="K3847" t="inlineStr">
        <is>
          <t>7.5</t>
        </is>
      </c>
      <c r="L3847" t="n">
        <v>11.09</v>
      </c>
      <c r="M3847" s="1" t="inlineStr">
        <is>
          <t>47.87%</t>
        </is>
      </c>
      <c r="N3847" t="n">
        <v>4.5</v>
      </c>
      <c r="O3847" t="n">
        <v>11</v>
      </c>
      <c r="Q3847" t="inlineStr">
        <is>
          <t>InStock</t>
        </is>
      </c>
      <c r="R3847" t="inlineStr">
        <is>
          <t>undefined</t>
        </is>
      </c>
      <c r="S3847" t="inlineStr">
        <is>
          <t>1768615477359</t>
        </is>
      </c>
    </row>
    <row r="3848" ht="75" customHeight="1">
      <c r="A3848" s="2">
        <f>HYPERLINK("https://camerareadycosmetics.com/products/william-tuttle-hi-lite", "https://camerareadycosmetics.com/products/william-tuttle-hi-lite")</f>
        <v/>
      </c>
      <c r="B3848" s="2">
        <f>HYPERLINK("https://camerareadycosmetics.com/products/william-tuttle-hi-lite", "https://camerareadycosmetics.com/products/william-tuttle-hi-lite")</f>
        <v/>
      </c>
      <c r="C3848" t="inlineStr">
        <is>
          <t>Hi-Lite</t>
        </is>
      </c>
      <c r="D3848" t="inlineStr">
        <is>
          <t>HI-LITES Fun Color Glasses &amp; Frames - Therapy/Chromotherapy Glasses and Lens - Light Changing Chakra Balance Glasses - Transparent/Clear Frame with Rose Lens - Designer Style</t>
        </is>
      </c>
      <c r="E3848" s="2">
        <f>HYPERLINK("https://www.amazon.com/HI-LITES-Color-Glasses-Frames-Chromotherapy/dp/B0B2385RYJ/ref=sr_1_4?keywords=Hi-Lite&amp;qid=1695565571&amp;sr=8-4", "https://www.amazon.com/HI-LITES-Color-Glasses-Frames-Chromotherapy/dp/B0B2385RYJ/ref=sr_1_4?keywords=Hi-Lite&amp;qid=1695565571&amp;sr=8-4")</f>
        <v/>
      </c>
      <c r="F3848" t="inlineStr">
        <is>
          <t>B0B2385RYJ</t>
        </is>
      </c>
      <c r="G3848">
        <f>_xlfn.IMAGE("https://camerareadycosmetics.com/cdn/shop/products/wt_small_hi-lite_50x.jpg?v=1540429481")</f>
        <v/>
      </c>
      <c r="H3848">
        <f>_xlfn.IMAGE("https://m.media-amazon.com/images/I/51bhBY-x9kL._AC_UL320_.jpg")</f>
        <v/>
      </c>
      <c r="K3848" t="inlineStr">
        <is>
          <t>7.5</t>
        </is>
      </c>
      <c r="L3848" t="n">
        <v>10.95</v>
      </c>
      <c r="M3848" s="1" t="inlineStr">
        <is>
          <t>46.00%</t>
        </is>
      </c>
      <c r="N3848" t="n">
        <v>4.5</v>
      </c>
      <c r="O3848" t="n">
        <v>26</v>
      </c>
      <c r="Q3848" t="inlineStr">
        <is>
          <t>InStock</t>
        </is>
      </c>
      <c r="R3848" t="inlineStr">
        <is>
          <t>undefined</t>
        </is>
      </c>
      <c r="S3848" t="inlineStr">
        <is>
          <t>1768615477359</t>
        </is>
      </c>
    </row>
    <row r="3849" ht="75" customHeight="1">
      <c r="A3849" s="2">
        <f>HYPERLINK("https://camerareadycosmetics.com/products/william-tuttle-hi-lite", "https://camerareadycosmetics.com/products/william-tuttle-hi-lite")</f>
        <v/>
      </c>
      <c r="B3849" s="2">
        <f>HYPERLINK("https://camerareadycosmetics.com/products/william-tuttle-hi-lite", "https://camerareadycosmetics.com/products/william-tuttle-hi-lite")</f>
        <v/>
      </c>
      <c r="C3849" t="inlineStr">
        <is>
          <t>Hi-Lite</t>
        </is>
      </c>
      <c r="D3849" t="inlineStr">
        <is>
          <t>Hi-Lite Pastel Highlighters for Bible - Aesthetic Highlighters with Soft Chiseled Tip - No Bleed Highlighter Pens for Planner, Notes, Books - Desk, Office, Journaling Supplies - 6-Pack Assorted Colors</t>
        </is>
      </c>
      <c r="E3849" s="2">
        <f>HYPERLINK("https://www.amazon.com/Hi-Lite-Pastel-Highlighters-Bible-Highlighter/dp/B0BQTQDH1B/ref=sr_1_1?keywords=Hi-Lite&amp;qid=1695565571&amp;sr=8-1", "https://www.amazon.com/Hi-Lite-Pastel-Highlighters-Bible-Highlighter/dp/B0BQTQDH1B/ref=sr_1_1?keywords=Hi-Lite&amp;qid=1695565571&amp;sr=8-1")</f>
        <v/>
      </c>
      <c r="F3849" t="inlineStr">
        <is>
          <t>B0BQTQDH1B</t>
        </is>
      </c>
      <c r="G3849">
        <f>_xlfn.IMAGE("https://camerareadycosmetics.com/cdn/shop/products/wt_small_hi-lite_50x.jpg?v=1540429481")</f>
        <v/>
      </c>
      <c r="H3849">
        <f>_xlfn.IMAGE("https://m.media-amazon.com/images/I/61d4gIlITUL._AC_UL320_.jpg")</f>
        <v/>
      </c>
      <c r="K3849" t="inlineStr">
        <is>
          <t>7.5</t>
        </is>
      </c>
      <c r="L3849" t="n">
        <v>5.99</v>
      </c>
      <c r="M3849" s="1" t="inlineStr">
        <is>
          <t>-20.13%</t>
        </is>
      </c>
      <c r="N3849" t="n">
        <v>4.2</v>
      </c>
      <c r="O3849" t="n">
        <v>14</v>
      </c>
      <c r="Q3849" t="inlineStr">
        <is>
          <t>InStock</t>
        </is>
      </c>
      <c r="R3849" t="inlineStr">
        <is>
          <t>undefined</t>
        </is>
      </c>
      <c r="S3849" t="inlineStr">
        <is>
          <t>1768615477359</t>
        </is>
      </c>
    </row>
    <row r="3850" ht="75" customHeight="1">
      <c r="A3850" s="2">
        <f>HYPERLINK("https://camerareadycosmetics.com/products/william-tuttle-shading", "https://camerareadycosmetics.com/products/william-tuttle-shading")</f>
        <v/>
      </c>
      <c r="B3850" s="2">
        <f>HYPERLINK("https://camerareadycosmetics.com/products/william-tuttle-shading", "https://camerareadycosmetics.com/products/william-tuttle-shading")</f>
        <v/>
      </c>
      <c r="C3850" t="inlineStr">
        <is>
          <t>Shading</t>
        </is>
      </c>
      <c r="D3850" t="inlineStr">
        <is>
          <t>I'M MEME I'm Multi Stick Duo | Shading and Highligthing Stick for Face | Easy Blending Matte Finish Formula Suitable for Beginners</t>
        </is>
      </c>
      <c r="E3850" s="2">
        <f>HYPERLINK("https://www.amazon.com/IM-MEME-Highligthing-Blending-Beginners/dp/B0B7KQZFML/ref=sr_1_5?keywords=Shading&amp;qid=1695565552&amp;sr=8-5", "https://www.amazon.com/IM-MEME-Highligthing-Blending-Beginners/dp/B0B7KQZFML/ref=sr_1_5?keywords=Shading&amp;qid=1695565552&amp;sr=8-5")</f>
        <v/>
      </c>
      <c r="F3850" t="inlineStr">
        <is>
          <t>B0B7KQZFML</t>
        </is>
      </c>
      <c r="G3850">
        <f>_xlfn.IMAGE("https://camerareadycosmetics.com/cdn/shop/products/william-tuttle_small_overview_taupe_50x.jpg?v=1540429487")</f>
        <v/>
      </c>
      <c r="H3850">
        <f>_xlfn.IMAGE("https://m.media-amazon.com/images/I/712M2Ub+g7L._AC_UL320_.jpg")</f>
        <v/>
      </c>
      <c r="K3850" t="inlineStr">
        <is>
          <t>7.5</t>
        </is>
      </c>
      <c r="L3850" t="n">
        <v>24</v>
      </c>
      <c r="M3850" s="1" t="inlineStr">
        <is>
          <t>220.00%</t>
        </is>
      </c>
      <c r="N3850" t="n">
        <v>4.3</v>
      </c>
      <c r="O3850" t="n">
        <v>276</v>
      </c>
      <c r="Q3850" t="inlineStr">
        <is>
          <t>InStock</t>
        </is>
      </c>
      <c r="R3850" t="inlineStr">
        <is>
          <t>undefined</t>
        </is>
      </c>
      <c r="S3850" t="inlineStr">
        <is>
          <t>1768631631983</t>
        </is>
      </c>
    </row>
    <row r="3851" ht="75" customHeight="1">
      <c r="A3851" s="2">
        <f>HYPERLINK("https://camerareadycosmetics.com/products/william-tuttle-shading", "https://camerareadycosmetics.com/products/william-tuttle-shading")</f>
        <v/>
      </c>
      <c r="B3851" s="2">
        <f>HYPERLINK("https://camerareadycosmetics.com/products/william-tuttle-shading", "https://camerareadycosmetics.com/products/william-tuttle-shading")</f>
        <v/>
      </c>
      <c r="C3851" t="inlineStr">
        <is>
          <t>Shading</t>
        </is>
      </c>
      <c r="D3851" t="inlineStr">
        <is>
          <t>Too Cool for School - Artclass by Rodin Shading Master</t>
        </is>
      </c>
      <c r="E3851" s="2">
        <f>HYPERLINK("https://www.amazon.com/Too-Cool-School-Artclass-Shading/dp/B0983DSC5C/ref=sr_1_1?keywords=Shading&amp;qid=1695565552&amp;sr=8-1", "https://www.amazon.com/Too-Cool-School-Artclass-Shading/dp/B0983DSC5C/ref=sr_1_1?keywords=Shading&amp;qid=1695565552&amp;sr=8-1")</f>
        <v/>
      </c>
      <c r="F3851" t="inlineStr">
        <is>
          <t>B0983DSC5C</t>
        </is>
      </c>
      <c r="G3851">
        <f>_xlfn.IMAGE("https://camerareadycosmetics.com/cdn/shop/products/william-tuttle_small_overview_taupe_50x.jpg?v=1540429487")</f>
        <v/>
      </c>
      <c r="H3851">
        <f>_xlfn.IMAGE("https://m.media-amazon.com/images/I/612gcEgRULL._AC_UL320_.jpg")</f>
        <v/>
      </c>
      <c r="K3851" t="inlineStr">
        <is>
          <t>7.5</t>
        </is>
      </c>
      <c r="L3851" t="n">
        <v>22</v>
      </c>
      <c r="M3851" s="1" t="inlineStr">
        <is>
          <t>193.33%</t>
        </is>
      </c>
      <c r="N3851" t="n">
        <v>4.2</v>
      </c>
      <c r="O3851" t="n">
        <v>1807</v>
      </c>
      <c r="Q3851" t="inlineStr">
        <is>
          <t>InStock</t>
        </is>
      </c>
      <c r="R3851" t="inlineStr">
        <is>
          <t>undefined</t>
        </is>
      </c>
      <c r="S3851" t="inlineStr">
        <is>
          <t>1768631631983</t>
        </is>
      </c>
    </row>
    <row r="3852" ht="75" customHeight="1">
      <c r="A3852" s="2">
        <f>HYPERLINK("https://camerareadycosmetics.com/products/william-tuttle-shading", "https://camerareadycosmetics.com/products/william-tuttle-shading")</f>
        <v/>
      </c>
      <c r="B3852" s="2">
        <f>HYPERLINK("https://camerareadycosmetics.com/products/william-tuttle-shading", "https://camerareadycosmetics.com/products/william-tuttle-shading")</f>
        <v/>
      </c>
      <c r="C3852" t="inlineStr">
        <is>
          <t>Shading</t>
        </is>
      </c>
      <c r="D3852" t="inlineStr">
        <is>
          <t>winemana 40% Black Shade Cloth, 10 x 12 FT Durable Mesh Tarp with Grommets, Resistant Garden Sun Shade Netting, Shading Antifreezing for Pergola, Greenhouse, Plants Growing, Chicken Coop</t>
        </is>
      </c>
      <c r="E3852" s="2">
        <f>HYPERLINK("https://www.amazon.com/winemana-Buttonhole-Resistant-Greenhouse-Swimming/dp/B08QZG9YCR/ref=sr_1_9?keywords=Shading&amp;qid=1695565552&amp;sr=8-9", "https://www.amazon.com/winemana-Buttonhole-Resistant-Greenhouse-Swimming/dp/B08QZG9YCR/ref=sr_1_9?keywords=Shading&amp;qid=1695565552&amp;sr=8-9")</f>
        <v/>
      </c>
      <c r="F3852" t="inlineStr">
        <is>
          <t>B08QZG9YCR</t>
        </is>
      </c>
      <c r="G3852">
        <f>_xlfn.IMAGE("https://camerareadycosmetics.com/cdn/shop/products/william-tuttle_small_overview_taupe_50x.jpg?v=1540429487")</f>
        <v/>
      </c>
      <c r="H3852">
        <f>_xlfn.IMAGE("https://m.media-amazon.com/images/I/81j+SXcoEbL._AC_UL320_.jpg")</f>
        <v/>
      </c>
      <c r="K3852" t="inlineStr">
        <is>
          <t>7.5</t>
        </is>
      </c>
      <c r="L3852" t="n">
        <v>21.99</v>
      </c>
      <c r="M3852" s="1" t="inlineStr">
        <is>
          <t>193.20%</t>
        </is>
      </c>
      <c r="N3852" t="n">
        <v>4.2</v>
      </c>
      <c r="O3852" t="n">
        <v>3021</v>
      </c>
      <c r="Q3852" t="inlineStr">
        <is>
          <t>InStock</t>
        </is>
      </c>
      <c r="R3852" t="inlineStr">
        <is>
          <t>undefined</t>
        </is>
      </c>
      <c r="S3852" t="inlineStr">
        <is>
          <t>1768631631983</t>
        </is>
      </c>
    </row>
    <row r="3853" ht="75" customHeight="1">
      <c r="A3853" s="2">
        <f>HYPERLINK("https://camerareadycosmetics.com/products/william-tuttle-shading", "https://camerareadycosmetics.com/products/william-tuttle-shading")</f>
        <v/>
      </c>
      <c r="B3853" s="2">
        <f>HYPERLINK("https://camerareadycosmetics.com/products/william-tuttle-shading", "https://camerareadycosmetics.com/products/william-tuttle-shading")</f>
        <v/>
      </c>
      <c r="C3853" t="inlineStr">
        <is>
          <t>Shading</t>
        </is>
      </c>
      <c r="D3853" t="inlineStr">
        <is>
          <t>[Too Cool for School] ArtClass by Rodin Shading | Korean Contour Palette | Bronzer Face Powder | #2 Modern [Cool Tone]</t>
        </is>
      </c>
      <c r="E3853" s="2">
        <f>HYPERLINK("https://www.amazon.com/Too-Cool-School-ArtClass-Shading/dp/B097NQJSZP/ref=sr_1_2?keywords=Shading&amp;qid=1695565552&amp;sr=8-2", "https://www.amazon.com/Too-Cool-School-ArtClass-Shading/dp/B097NQJSZP/ref=sr_1_2?keywords=Shading&amp;qid=1695565552&amp;sr=8-2")</f>
        <v/>
      </c>
      <c r="F3853" t="inlineStr">
        <is>
          <t>B097NQJSZP</t>
        </is>
      </c>
      <c r="G3853">
        <f>_xlfn.IMAGE("https://camerareadycosmetics.com/cdn/shop/products/william-tuttle_small_overview_taupe_50x.jpg?v=1540429487")</f>
        <v/>
      </c>
      <c r="H3853">
        <f>_xlfn.IMAGE("https://m.media-amazon.com/images/I/61DwGP8N3hL._AC_UL320_.jpg")</f>
        <v/>
      </c>
      <c r="K3853" t="inlineStr">
        <is>
          <t>7.5</t>
        </is>
      </c>
      <c r="L3853" t="n">
        <v>16.2</v>
      </c>
      <c r="M3853" s="1" t="inlineStr">
        <is>
          <t>116.00%</t>
        </is>
      </c>
      <c r="N3853" t="n">
        <v>4.5</v>
      </c>
      <c r="O3853" t="n">
        <v>420</v>
      </c>
      <c r="Q3853" t="inlineStr">
        <is>
          <t>InStock</t>
        </is>
      </c>
      <c r="R3853" t="inlineStr">
        <is>
          <t>undefined</t>
        </is>
      </c>
      <c r="S3853" t="inlineStr">
        <is>
          <t>1768631631983</t>
        </is>
      </c>
    </row>
    <row r="3854" ht="75" customHeight="1">
      <c r="A3854" s="2">
        <f>HYPERLINK("https://camerareadycosmetics.com/products/william-tuttle-shading", "https://camerareadycosmetics.com/products/william-tuttle-shading")</f>
        <v/>
      </c>
      <c r="B3854" s="2">
        <f>HYPERLINK("https://camerareadycosmetics.com/products/william-tuttle-shading", "https://camerareadycosmetics.com/products/william-tuttle-shading")</f>
        <v/>
      </c>
      <c r="C3854" t="inlineStr">
        <is>
          <t>Shading</t>
        </is>
      </c>
      <c r="D3854" t="inlineStr">
        <is>
          <t>rom&amp;nd Better Than Shape Bronzer, 01. OAT GRAIN, Contour Palette Powder, Smooth, Velvety Texture, Natural Look, Sculpted Face, Light to Dark, Matte Bronzer, Highly Pigmented, Long-Lasting, Facial Shading Makeup</t>
        </is>
      </c>
      <c r="E3854" s="2">
        <f>HYPERLINK("https://www.amazon.com/rom-Bronzer-Sculpted-Pigmented-Long-Lasting/dp/B085YC9FTJ/ref=sr_1_6?keywords=Shading&amp;qid=1695565552&amp;sr=8-6", "https://www.amazon.com/rom-Bronzer-Sculpted-Pigmented-Long-Lasting/dp/B085YC9FTJ/ref=sr_1_6?keywords=Shading&amp;qid=1695565552&amp;sr=8-6")</f>
        <v/>
      </c>
      <c r="F3854" t="inlineStr">
        <is>
          <t>B085YC9FTJ</t>
        </is>
      </c>
      <c r="G3854">
        <f>_xlfn.IMAGE("https://camerareadycosmetics.com/cdn/shop/products/william-tuttle_small_overview_taupe_50x.jpg?v=1540429487")</f>
        <v/>
      </c>
      <c r="H3854">
        <f>_xlfn.IMAGE("https://m.media-amazon.com/images/I/612fxUK5EAL._AC_UL320_.jpg")</f>
        <v/>
      </c>
      <c r="K3854" t="inlineStr">
        <is>
          <t>7.5</t>
        </is>
      </c>
      <c r="L3854" t="n">
        <v>14</v>
      </c>
      <c r="M3854" s="1" t="inlineStr">
        <is>
          <t>86.67%</t>
        </is>
      </c>
      <c r="N3854" t="n">
        <v>4.3</v>
      </c>
      <c r="O3854" t="n">
        <v>99</v>
      </c>
      <c r="Q3854" t="inlineStr">
        <is>
          <t>InStock</t>
        </is>
      </c>
      <c r="R3854" t="inlineStr">
        <is>
          <t>undefined</t>
        </is>
      </c>
      <c r="S3854" t="inlineStr">
        <is>
          <t>1768631631983</t>
        </is>
      </c>
    </row>
    <row r="3855" ht="75" customHeight="1">
      <c r="A3855" s="2">
        <f>HYPERLINK("https://camerareadycosmetics.com/products/william-tuttle-shading", "https://camerareadycosmetics.com/products/william-tuttle-shading")</f>
        <v/>
      </c>
      <c r="B3855" s="2">
        <f>HYPERLINK("https://camerareadycosmetics.com/products/william-tuttle-shading", "https://camerareadycosmetics.com/products/william-tuttle-shading")</f>
        <v/>
      </c>
      <c r="C3855" t="inlineStr">
        <is>
          <t>Shading</t>
        </is>
      </c>
      <c r="D3855" t="inlineStr">
        <is>
          <t>8 Colors Face Matte Blush Palette Shading Blusher with Brush - Buildable Facial Cheek Blusher Contour Bronzing Pressed Powder Makeup Pallet Women Gift Set (01 Matte)</t>
        </is>
      </c>
      <c r="E3855" s="2">
        <f>HYPERLINK("https://www.amazon.com/UCANBE-Colors-Palette-Shading-Blusher/dp/B09J51W17H/ref=sr_1_8?keywords=Shading&amp;qid=1695565552&amp;sr=8-8", "https://www.amazon.com/UCANBE-Colors-Palette-Shading-Blusher/dp/B09J51W17H/ref=sr_1_8?keywords=Shading&amp;qid=1695565552&amp;sr=8-8")</f>
        <v/>
      </c>
      <c r="F3855" t="inlineStr">
        <is>
          <t>B09J51W17H</t>
        </is>
      </c>
      <c r="G3855">
        <f>_xlfn.IMAGE("https://camerareadycosmetics.com/cdn/shop/products/william-tuttle_small_overview_taupe_50x.jpg?v=1540429487")</f>
        <v/>
      </c>
      <c r="H3855">
        <f>_xlfn.IMAGE("https://m.media-amazon.com/images/I/71I1MutiLwL._AC_UL320_.jpg")</f>
        <v/>
      </c>
      <c r="K3855" t="inlineStr">
        <is>
          <t>7.5</t>
        </is>
      </c>
      <c r="L3855" t="n">
        <v>9.99</v>
      </c>
      <c r="M3855" s="1" t="inlineStr">
        <is>
          <t>33.20%</t>
        </is>
      </c>
      <c r="N3855" t="n">
        <v>4.4</v>
      </c>
      <c r="O3855" t="n">
        <v>513</v>
      </c>
      <c r="Q3855" t="inlineStr">
        <is>
          <t>InStock</t>
        </is>
      </c>
      <c r="R3855" t="inlineStr">
        <is>
          <t>undefined</t>
        </is>
      </c>
      <c r="S3855" t="inlineStr">
        <is>
          <t>1768631631983</t>
        </is>
      </c>
    </row>
    <row r="3856" ht="75" customHeight="1">
      <c r="A3856" s="2">
        <f>HYPERLINK("https://camerareadycosmetics.com/products/william-tuttle-shading", "https://camerareadycosmetics.com/products/william-tuttle-shading")</f>
        <v/>
      </c>
      <c r="B3856" s="2">
        <f>HYPERLINK("https://camerareadycosmetics.com/products/william-tuttle-shading", "https://camerareadycosmetics.com/products/william-tuttle-shading")</f>
        <v/>
      </c>
      <c r="C3856" t="inlineStr">
        <is>
          <t>Shading</t>
        </is>
      </c>
      <c r="D3856" t="inlineStr">
        <is>
          <t>HEXZE Contour Powder Palette Face Sculpting Shading Powders Matte Highlighter Brightening Sleek Pigment Hydrating Bronzer</t>
        </is>
      </c>
      <c r="E3856" s="2">
        <f>HYPERLINK("https://www.amazon.com/HEXZE-Sculpting-Highlighter-Brightening-Hydrating/dp/B0B1HWNYQQ/ref=sr_1_4?keywords=Shading&amp;qid=1695565552&amp;sr=8-4", "https://www.amazon.com/HEXZE-Sculpting-Highlighter-Brightening-Hydrating/dp/B0B1HWNYQQ/ref=sr_1_4?keywords=Shading&amp;qid=1695565552&amp;sr=8-4")</f>
        <v/>
      </c>
      <c r="F3856" t="inlineStr">
        <is>
          <t>B0B1HWNYQQ</t>
        </is>
      </c>
      <c r="G3856">
        <f>_xlfn.IMAGE("https://camerareadycosmetics.com/cdn/shop/products/william-tuttle_small_overview_taupe_50x.jpg?v=1540429487")</f>
        <v/>
      </c>
      <c r="H3856">
        <f>_xlfn.IMAGE("https://m.media-amazon.com/images/I/61AUKsz6irL._AC_UL320_.jpg")</f>
        <v/>
      </c>
      <c r="K3856" t="inlineStr">
        <is>
          <t>7.5</t>
        </is>
      </c>
      <c r="L3856" t="n">
        <v>9.99</v>
      </c>
      <c r="M3856" s="1" t="inlineStr">
        <is>
          <t>33.20%</t>
        </is>
      </c>
      <c r="N3856" t="n">
        <v>4.1</v>
      </c>
      <c r="O3856" t="n">
        <v>18</v>
      </c>
      <c r="Q3856" t="inlineStr">
        <is>
          <t>InStock</t>
        </is>
      </c>
      <c r="R3856" t="inlineStr">
        <is>
          <t>undefined</t>
        </is>
      </c>
      <c r="S3856" t="inlineStr">
        <is>
          <t>1768631631983</t>
        </is>
      </c>
    </row>
    <row r="3857" ht="75" customHeight="1">
      <c r="A3857" s="2">
        <f>HYPERLINK("https://camerareadycosmetics.com/products/william-tuttle-shading", "https://camerareadycosmetics.com/products/william-tuttle-shading")</f>
        <v/>
      </c>
      <c r="B3857" s="2">
        <f>HYPERLINK("https://camerareadycosmetics.com/products/william-tuttle-shading", "https://camerareadycosmetics.com/products/william-tuttle-shading")</f>
        <v/>
      </c>
      <c r="C3857" t="inlineStr">
        <is>
          <t>Shading</t>
        </is>
      </c>
      <c r="D3857" t="inlineStr">
        <is>
          <t>UCANBE Contour Highlighter Powder Makeup Palette - 8 Color Smoothly Illuminating and Sculpting Your V Face,Waterproof Long Lasting Professional Versatile Face Shading Set</t>
        </is>
      </c>
      <c r="E3857" s="2">
        <f>HYPERLINK("https://www.amazon.com/UCANBE-Contour-Highlighter-Powder-Palette/dp/B0BKW1YKZV/ref=sr_1_10?keywords=Shading&amp;qid=1695565552&amp;sr=8-10", "https://www.amazon.com/UCANBE-Contour-Highlighter-Powder-Palette/dp/B0BKW1YKZV/ref=sr_1_10?keywords=Shading&amp;qid=1695565552&amp;sr=8-10")</f>
        <v/>
      </c>
      <c r="F3857" t="inlineStr">
        <is>
          <t>B0BKW1YKZV</t>
        </is>
      </c>
      <c r="G3857">
        <f>_xlfn.IMAGE("https://camerareadycosmetics.com/cdn/shop/products/william-tuttle_small_overview_taupe_50x.jpg?v=1540429487")</f>
        <v/>
      </c>
      <c r="H3857">
        <f>_xlfn.IMAGE("https://m.media-amazon.com/images/I/717tGreSUDL._AC_UL320_.jpg")</f>
        <v/>
      </c>
      <c r="K3857" t="inlineStr">
        <is>
          <t>7.5</t>
        </is>
      </c>
      <c r="L3857" t="n">
        <v>9.99</v>
      </c>
      <c r="M3857" s="1" t="inlineStr">
        <is>
          <t>33.20%</t>
        </is>
      </c>
      <c r="N3857" t="n">
        <v>4.4</v>
      </c>
      <c r="O3857" t="n">
        <v>249</v>
      </c>
      <c r="Q3857" t="inlineStr">
        <is>
          <t>InStock</t>
        </is>
      </c>
      <c r="R3857" t="inlineStr">
        <is>
          <t>undefined</t>
        </is>
      </c>
      <c r="S3857" t="inlineStr">
        <is>
          <t>1768631631983</t>
        </is>
      </c>
    </row>
    <row r="3858" ht="75" customHeight="1">
      <c r="A3858" s="2">
        <f>HYPERLINK("https://camerareadycosmetics.com/products/william-tuttle-shading", "https://camerareadycosmetics.com/products/william-tuttle-shading")</f>
        <v/>
      </c>
      <c r="B3858" s="2">
        <f>HYPERLINK("https://camerareadycosmetics.com/products/william-tuttle-shading", "https://camerareadycosmetics.com/products/william-tuttle-shading")</f>
        <v/>
      </c>
      <c r="C3858" t="inlineStr">
        <is>
          <t>Shading</t>
        </is>
      </c>
      <c r="D3858" t="inlineStr">
        <is>
          <t>Highlight Contour Stick, 2 in 1 Makeup Shading Stick, Face Highlighters Sticks, Concealer Contour Highlighter Stick,Cruelty Free Makeup,double-end face concealer contouring sticks cream (02)</t>
        </is>
      </c>
      <c r="E3858" s="2">
        <f>HYPERLINK("https://www.amazon.com/Highlight-Highlighters-Highlighter-double-end-contouring/dp/B09NJP6RDT/ref=sr_1_7?keywords=Shading&amp;qid=1695565552&amp;sr=8-7", "https://www.amazon.com/Highlight-Highlighters-Highlighter-double-end-contouring/dp/B09NJP6RDT/ref=sr_1_7?keywords=Shading&amp;qid=1695565552&amp;sr=8-7")</f>
        <v/>
      </c>
      <c r="F3858" t="inlineStr">
        <is>
          <t>B09NJP6RDT</t>
        </is>
      </c>
      <c r="G3858">
        <f>_xlfn.IMAGE("https://camerareadycosmetics.com/cdn/shop/products/william-tuttle_small_overview_taupe_50x.jpg?v=1540429487")</f>
        <v/>
      </c>
      <c r="H3858">
        <f>_xlfn.IMAGE("https://m.media-amazon.com/images/I/71KArFVIJdL._AC_UL320_.jpg")</f>
        <v/>
      </c>
      <c r="K3858" t="inlineStr">
        <is>
          <t>7.5</t>
        </is>
      </c>
      <c r="L3858" t="n">
        <v>6.99</v>
      </c>
      <c r="M3858" s="1" t="inlineStr">
        <is>
          <t>-6.80%</t>
        </is>
      </c>
      <c r="N3858" t="n">
        <v>3.8</v>
      </c>
      <c r="O3858" t="n">
        <v>325</v>
      </c>
      <c r="Q3858" t="inlineStr">
        <is>
          <t>InStock</t>
        </is>
      </c>
      <c r="R3858" t="inlineStr">
        <is>
          <t>undefined</t>
        </is>
      </c>
      <c r="S3858" t="inlineStr">
        <is>
          <t>1768631631983</t>
        </is>
      </c>
    </row>
    <row r="3859" ht="75" customHeight="1">
      <c r="A3859" s="2">
        <f>HYPERLINK("https://camerareadycosmetics.com/products/william-tuttle-shading", "https://camerareadycosmetics.com/products/william-tuttle-shading")</f>
        <v/>
      </c>
      <c r="B3859" s="2">
        <f>HYPERLINK("https://camerareadycosmetics.com/products/william-tuttle-shading", "https://camerareadycosmetics.com/products/william-tuttle-shading")</f>
        <v/>
      </c>
      <c r="C3859" t="inlineStr">
        <is>
          <t>Shading</t>
        </is>
      </c>
      <c r="D3859" t="inlineStr">
        <is>
          <t>Mr. Pen- Blending Stump, 14 Pack with Art Eraser, Blending Stumps for Drawing, Shading Pencils for Sketching, Blending Pencil, Blending Sticks for Drawing, Blending Tool, Blending Tools for Drawing</t>
        </is>
      </c>
      <c r="E3859" s="2">
        <f>HYPERLINK("https://www.amazon.com/Mr-Blending-Drawing-Shading-Sketching/dp/B08FHJ22V3/ref=sr_1_3?keywords=Shading&amp;qid=1695565552&amp;sr=8-3", "https://www.amazon.com/Mr-Blending-Drawing-Shading-Sketching/dp/B08FHJ22V3/ref=sr_1_3?keywords=Shading&amp;qid=1695565552&amp;sr=8-3")</f>
        <v/>
      </c>
      <c r="F3859" t="inlineStr">
        <is>
          <t>B08FHJ22V3</t>
        </is>
      </c>
      <c r="G3859">
        <f>_xlfn.IMAGE("https://camerareadycosmetics.com/cdn/shop/products/william-tuttle_small_overview_taupe_50x.jpg?v=1540429487")</f>
        <v/>
      </c>
      <c r="H3859">
        <f>_xlfn.IMAGE("https://m.media-amazon.com/images/I/81T9N30wumL._AC_UL320_.jpg")</f>
        <v/>
      </c>
      <c r="K3859" t="inlineStr">
        <is>
          <t>7.5</t>
        </is>
      </c>
      <c r="L3859" t="n">
        <v>5.85</v>
      </c>
      <c r="M3859" s="1" t="inlineStr">
        <is>
          <t>-22.00%</t>
        </is>
      </c>
      <c r="N3859" t="n">
        <v>4.7</v>
      </c>
      <c r="O3859" t="n">
        <v>2489</v>
      </c>
      <c r="Q3859" t="inlineStr">
        <is>
          <t>InStock</t>
        </is>
      </c>
      <c r="R3859" t="inlineStr">
        <is>
          <t>undefined</t>
        </is>
      </c>
      <c r="S3859" t="inlineStr">
        <is>
          <t>1768631631983</t>
        </is>
      </c>
    </row>
    <row r="3860" ht="75" customHeight="1">
      <c r="A3860" s="2">
        <f>HYPERLINK("https://camerareadycosmetics.com/products/william-tuttle-translucent-powder", "https://camerareadycosmetics.com/products/william-tuttle-translucent-powder")</f>
        <v/>
      </c>
      <c r="B3860" s="2">
        <f>HYPERLINK("https://camerareadycosmetics.com/products/william-tuttle-translucent-powder", "https://camerareadycosmetics.com/products/william-tuttle-translucent-powder")</f>
        <v/>
      </c>
      <c r="C3860" t="inlineStr">
        <is>
          <t>Translucent Powder</t>
        </is>
      </c>
      <c r="D3860" t="inlineStr">
        <is>
          <t>LAURA GELLER NEW YORK Matte Maker Pressed Setting Powder - Translucent - Setting Powder &amp; Finishing Powder - Oil-Control - Filter-Like Matte Finish - All Skin Types</t>
        </is>
      </c>
      <c r="E3860" s="2" t="n"/>
      <c r="F3860" t="inlineStr">
        <is>
          <t>B0CB6YR1FM</t>
        </is>
      </c>
      <c r="G3860">
        <f>_xlfn.IMAGE("https://camerareadycosmetics.com/cdn/shop/products/william-tuttle_extrafinetranslucent-powder_50x.jpg?v=1540273099")</f>
        <v/>
      </c>
      <c r="H3860">
        <f>_xlfn.IMAGE("https://m.media-amazon.com/images/I/71pMmfLeelL._AC_UL320_.jpg")</f>
        <v/>
      </c>
      <c r="K3860" t="inlineStr">
        <is>
          <t>6.0</t>
        </is>
      </c>
      <c r="L3860" t="n">
        <v>27</v>
      </c>
      <c r="M3860" s="1" t="inlineStr">
        <is>
          <t>350.00%</t>
        </is>
      </c>
      <c r="N3860" t="n">
        <v>4.9</v>
      </c>
      <c r="O3860" t="n">
        <v>52</v>
      </c>
      <c r="Q3860" t="inlineStr">
        <is>
          <t>InStock</t>
        </is>
      </c>
      <c r="R3860" t="inlineStr">
        <is>
          <t>undefined</t>
        </is>
      </c>
      <c r="S3860" t="inlineStr">
        <is>
          <t>1764355178607</t>
        </is>
      </c>
    </row>
    <row r="3861" ht="75" customHeight="1">
      <c r="A3861" s="2">
        <f>HYPERLINK("https://camerareadycosmetics.com/products/william-tuttle-translucent-powder", "https://camerareadycosmetics.com/products/william-tuttle-translucent-powder")</f>
        <v/>
      </c>
      <c r="B3861" s="2">
        <f>HYPERLINK("https://camerareadycosmetics.com/products/william-tuttle-translucent-powder", "https://camerareadycosmetics.com/products/william-tuttle-translucent-powder")</f>
        <v/>
      </c>
      <c r="C3861" t="inlineStr">
        <is>
          <t>Translucent Powder</t>
        </is>
      </c>
      <c r="D3861" t="inlineStr">
        <is>
          <t>Airspun Loose Powder Translucent</t>
        </is>
      </c>
      <c r="E3861" s="2">
        <f>HYPERLINK("https://www.amazon.com/Airspun-Loose-Powder-Translucent/dp/B0BDW1MN6Y/ref=sr_1_5?keywords=Translucent+Powder&amp;qid=1695565550&amp;sr=8-5", "https://www.amazon.com/Airspun-Loose-Powder-Translucent/dp/B0BDW1MN6Y/ref=sr_1_5?keywords=Translucent+Powder&amp;qid=1695565550&amp;sr=8-5")</f>
        <v/>
      </c>
      <c r="F3861" t="inlineStr">
        <is>
          <t>B0BDW1MN6Y</t>
        </is>
      </c>
      <c r="G3861">
        <f>_xlfn.IMAGE("https://camerareadycosmetics.com/cdn/shop/products/william-tuttle_extrafinetranslucent-powder_50x.jpg?v=1540273099")</f>
        <v/>
      </c>
      <c r="H3861">
        <f>_xlfn.IMAGE("https://m.media-amazon.com/images/I/71LmPo4Zt5L._AC_UL320_.jpg")</f>
        <v/>
      </c>
      <c r="K3861" t="inlineStr">
        <is>
          <t>6.0</t>
        </is>
      </c>
      <c r="L3861" t="n">
        <v>6.99</v>
      </c>
      <c r="M3861" s="1" t="inlineStr">
        <is>
          <t>16.50%</t>
        </is>
      </c>
      <c r="N3861" t="n">
        <v>4.5</v>
      </c>
      <c r="O3861" t="n">
        <v>3218</v>
      </c>
      <c r="Q3861" t="inlineStr">
        <is>
          <t>InStock</t>
        </is>
      </c>
      <c r="R3861" t="inlineStr">
        <is>
          <t>undefined</t>
        </is>
      </c>
      <c r="S3861" t="inlineStr">
        <is>
          <t>1764355178607</t>
        </is>
      </c>
    </row>
    <row r="3862" ht="75" customHeight="1">
      <c r="A3862" s="2">
        <f>HYPERLINK("https://camerareadycosmetics.com/products/william-tuttle-translucent-powder", "https://camerareadycosmetics.com/products/william-tuttle-translucent-powder")</f>
        <v/>
      </c>
      <c r="B3862" s="2">
        <f>HYPERLINK("https://camerareadycosmetics.com/products/william-tuttle-translucent-powder", "https://camerareadycosmetics.com/products/william-tuttle-translucent-powder")</f>
        <v/>
      </c>
      <c r="C3862" t="inlineStr">
        <is>
          <t>Translucent Powder</t>
        </is>
      </c>
      <c r="D3862" t="inlineStr">
        <is>
          <t>Maybelline New York Fit Me Matte + Poreless Pressed Face Powder Makeup &amp; Setting Powder, Translucent, 1 Count</t>
        </is>
      </c>
      <c r="E3862" s="2">
        <f>HYPERLINK("https://www.amazon.com/Maybelline-New-York-Poreless-Translucent/dp/B00PFCSNWA/ref=sr_1_7?keywords=Translucent+Powder&amp;qid=1695565550&amp;sr=8-7", "https://www.amazon.com/Maybelline-New-York-Poreless-Translucent/dp/B00PFCSNWA/ref=sr_1_7?keywords=Translucent+Powder&amp;qid=1695565550&amp;sr=8-7")</f>
        <v/>
      </c>
      <c r="F3862" t="inlineStr">
        <is>
          <t>B00PFCSNWA</t>
        </is>
      </c>
      <c r="G3862">
        <f>_xlfn.IMAGE("https://camerareadycosmetics.com/cdn/shop/products/william-tuttle_extrafinetranslucent-powder_50x.jpg?v=1540273099")</f>
        <v/>
      </c>
      <c r="H3862">
        <f>_xlfn.IMAGE("https://m.media-amazon.com/images/I/81GXjEwGRPL._AC_UL320_.jpg")</f>
        <v/>
      </c>
      <c r="K3862" t="inlineStr">
        <is>
          <t>6.0</t>
        </is>
      </c>
      <c r="L3862" t="n">
        <v>6.94</v>
      </c>
      <c r="M3862" s="1" t="inlineStr">
        <is>
          <t>15.67%</t>
        </is>
      </c>
      <c r="N3862" t="n">
        <v>4.6</v>
      </c>
      <c r="O3862" t="n">
        <v>66784</v>
      </c>
      <c r="Q3862" t="inlineStr">
        <is>
          <t>InStock</t>
        </is>
      </c>
      <c r="R3862" t="inlineStr">
        <is>
          <t>undefined</t>
        </is>
      </c>
      <c r="S3862" t="inlineStr">
        <is>
          <t>1764355178607</t>
        </is>
      </c>
    </row>
    <row r="3863" ht="75" customHeight="1">
      <c r="A3863" s="2">
        <f>HYPERLINK("https://camerareadycosmetics.com/products/william-tuttle-translucent-powder", "https://camerareadycosmetics.com/products/william-tuttle-translucent-powder")</f>
        <v/>
      </c>
      <c r="B3863" s="2">
        <f>HYPERLINK("https://camerareadycosmetics.com/products/william-tuttle-translucent-powder", "https://camerareadycosmetics.com/products/william-tuttle-translucent-powder")</f>
        <v/>
      </c>
      <c r="C3863" t="inlineStr">
        <is>
          <t>Translucent Powder</t>
        </is>
      </c>
      <c r="D3863" t="inlineStr">
        <is>
          <t>COVERGIRL Clean Invisible Loose Powder - Loose Powder, Setting Powder, Vegan Formula - Translucent Medium, 20g (0.7 oz)</t>
        </is>
      </c>
      <c r="E3863" s="2" t="n"/>
      <c r="F3863" t="inlineStr">
        <is>
          <t>B0BBSMWHWH</t>
        </is>
      </c>
      <c r="G3863">
        <f>_xlfn.IMAGE("https://camerareadycosmetics.com/cdn/shop/products/william-tuttle_extrafinetranslucent-powder_50x.jpg?v=1540273099")</f>
        <v/>
      </c>
      <c r="H3863">
        <f>_xlfn.IMAGE("https://m.media-amazon.com/images/I/71ZLq8K26VL._AC_UL320_.jpg")</f>
        <v/>
      </c>
      <c r="K3863" t="inlineStr">
        <is>
          <t>6.0</t>
        </is>
      </c>
      <c r="L3863" t="n">
        <v>6.38</v>
      </c>
      <c r="M3863" s="1" t="inlineStr">
        <is>
          <t>6.33%</t>
        </is>
      </c>
      <c r="N3863" t="n">
        <v>4.4</v>
      </c>
      <c r="O3863" t="n">
        <v>581</v>
      </c>
      <c r="Q3863" t="inlineStr">
        <is>
          <t>InStock</t>
        </is>
      </c>
      <c r="R3863" t="inlineStr">
        <is>
          <t>undefined</t>
        </is>
      </c>
      <c r="S3863" t="inlineStr">
        <is>
          <t>1764355178607</t>
        </is>
      </c>
    </row>
    <row r="3864" ht="75" customHeight="1">
      <c r="A3864" s="2">
        <f>HYPERLINK("https://faoschwarz.com/products/0-694025908", "https://faoschwarz.com/products/0-694025908")</f>
        <v/>
      </c>
      <c r="B3864" s="2">
        <f>HYPERLINK("https://faoschwarz.com/products/0-694025908", "https://faoschwarz.com/products/0-694025908")</f>
        <v/>
      </c>
      <c r="C3864" t="inlineStr">
        <is>
          <t>Duel Blast Laser Tag Game</t>
        </is>
      </c>
      <c r="D3864" t="inlineStr">
        <is>
          <t>NERF Laser Strike 2 Player Laser Tag Game Pack Complete with 2 300ft Range Blasters, 2 Target Vests &amp; 2 Holsters - Indoor or Outdoor Play Arcade Games, Toys for Kids &amp; Family</t>
        </is>
      </c>
      <c r="E3864" s="2">
        <f>HYPERLINK("https://www.amazon.com/EastPoint-Sports-Laser-Strike-Player/dp/B09GL6228P/ref=sr_1_2?keywords=Duel+Blast+Laser+Tag+Game&amp;qid=1695565974&amp;sr=8-2", "https://www.amazon.com/EastPoint-Sports-Laser-Strike-Player/dp/B09GL6228P/ref=sr_1_2?keywords=Duel+Blast+Laser+Tag+Game&amp;qid=1695565974&amp;sr=8-2")</f>
        <v/>
      </c>
      <c r="F3864" t="inlineStr">
        <is>
          <t>B09GL6228P</t>
        </is>
      </c>
      <c r="G3864">
        <f>_xlfn.IMAGE("https://faoschwarz.com/cdn/shop/products/fao-schwarz-electronics-toy-laser-tag-shooting-game-circular-vest-28342399270999_1080x.jpg?v=1656107917")</f>
        <v/>
      </c>
      <c r="H3864">
        <f>_xlfn.IMAGE("https://m.media-amazon.com/images/I/81Hl5YEuAzL._AC_UL320_.jpg")</f>
        <v/>
      </c>
      <c r="K3864" t="inlineStr">
        <is>
          <t>40.0</t>
        </is>
      </c>
      <c r="L3864" t="n">
        <v>26.06</v>
      </c>
      <c r="M3864" s="1" t="inlineStr">
        <is>
          <t>-34.85%</t>
        </is>
      </c>
      <c r="N3864" t="n">
        <v>3.9</v>
      </c>
      <c r="O3864" t="n">
        <v>24</v>
      </c>
      <c r="Q3864" t="inlineStr">
        <is>
          <t>InStock</t>
        </is>
      </c>
      <c r="R3864" t="inlineStr">
        <is>
          <t>undefined</t>
        </is>
      </c>
      <c r="S3864" t="inlineStr">
        <is>
          <t>6540654215255</t>
        </is>
      </c>
    </row>
    <row r="3865" ht="75" customHeight="1">
      <c r="A3865" s="2">
        <f>HYPERLINK("https://faoschwarz.com/products/0-694025908", "https://faoschwarz.com/products/0-694025908")</f>
        <v/>
      </c>
      <c r="B3865" s="2">
        <f>HYPERLINK("https://faoschwarz.com/products/0-694025908", "https://faoschwarz.com/products/0-694025908")</f>
        <v/>
      </c>
      <c r="C3865" t="inlineStr">
        <is>
          <t>Duel Blast Laser Tag Game</t>
        </is>
      </c>
      <c r="D3865" t="inlineStr">
        <is>
          <t>NERF Laser Strike 2 Player Laser Tag Game Pack Complete with 2 300ft Range Blasters, 2 Target Vests &amp; 2 Holsters - Indoor or Outdoor Play Arcade Games, Toys for Kids &amp; Family</t>
        </is>
      </c>
      <c r="E3865" s="2">
        <f>HYPERLINK("https://www.amazon.com/EastPoint-Sports-Laser-Strike-Player/dp/B09GL6228P/ref=sr_1_2?keywords=Duel+Blast+Laser+Tag+Game&amp;qid=1695565974&amp;sr=8-2", "https://www.amazon.com/EastPoint-Sports-Laser-Strike-Player/dp/B09GL6228P/ref=sr_1_2?keywords=Duel+Blast+Laser+Tag+Game&amp;qid=1695565974&amp;sr=8-2")</f>
        <v/>
      </c>
      <c r="F3865" t="inlineStr">
        <is>
          <t>B09GL6228P</t>
        </is>
      </c>
      <c r="G3865">
        <f>_xlfn.IMAGE("https://faoschwarz.com/cdn/shop/products/fao-schwarz-electronics-toy-laser-tag-shooting-game-circular-vest-28342399270999_1080x.jpg?v=1656107917")</f>
        <v/>
      </c>
      <c r="H3865">
        <f>_xlfn.IMAGE("https://m.media-amazon.com/images/I/81Hl5YEuAzL._AC_UL320_.jpg")</f>
        <v/>
      </c>
      <c r="K3865" t="inlineStr">
        <is>
          <t>40.0</t>
        </is>
      </c>
      <c r="L3865" t="n">
        <v>26.06</v>
      </c>
      <c r="M3865" s="1" t="inlineStr">
        <is>
          <t>-34.85%</t>
        </is>
      </c>
      <c r="N3865" t="n">
        <v>3.9</v>
      </c>
      <c r="O3865" t="n">
        <v>24</v>
      </c>
      <c r="Q3865" t="inlineStr">
        <is>
          <t>InStock</t>
        </is>
      </c>
      <c r="R3865" t="inlineStr">
        <is>
          <t>undefined</t>
        </is>
      </c>
      <c r="S3865" t="inlineStr">
        <is>
          <t>6540654215255</t>
        </is>
      </c>
    </row>
    <row r="3866" ht="75" customHeight="1">
      <c r="A3866" s="2">
        <f>HYPERLINK("https://faoschwarz.com/products/15-inch-magnetic-bottle-cap-target-game", "https://faoschwarz.com/products/15-inch-magnetic-bottle-cap-target-game")</f>
        <v/>
      </c>
      <c r="B3866" s="2">
        <f>HYPERLINK("https://faoschwarz.com/products/15-inch-magnetic-bottle-cap-target-game", "https://faoschwarz.com/products/15-inch-magnetic-bottle-cap-target-game")</f>
        <v/>
      </c>
      <c r="C3866" t="inlineStr">
        <is>
          <t>15 Inch Magnetic Bottle Cap Target Game</t>
        </is>
      </c>
      <c r="D3866" t="inlineStr">
        <is>
          <t>True Bullseye Magnetic Bottle Cap Target, Built-In Kickstand Tabletop Drinking Game for Adults, Tailgating, Black</t>
        </is>
      </c>
      <c r="E3866" s="2">
        <f>HYPERLINK("https://www.amazon.com/True-2213-Bullseye-Magnetic-Bottle/dp/B01MTEV06P/ref=sr_1_1?keywords=15+Inch+Magnetic+Bottle+Cap+Target+Game&amp;qid=1695565989&amp;sr=8-1", "https://www.amazon.com/True-2213-Bullseye-Magnetic-Bottle/dp/B01MTEV06P/ref=sr_1_1?keywords=15+Inch+Magnetic+Bottle+Cap+Target+Game&amp;qid=1695565989&amp;sr=8-1")</f>
        <v/>
      </c>
      <c r="F3866" t="inlineStr">
        <is>
          <t>B01MTEV06P</t>
        </is>
      </c>
      <c r="G3866">
        <f>_xlfn.IMAGE("https://faoschwarz.com/cdn/shop/products/sharper-image-games-15-inch-magnetic-bottle-cap-target-game-28290305458263_1080x.jpg?v=1656221916")</f>
        <v/>
      </c>
      <c r="H3866">
        <f>_xlfn.IMAGE("https://m.media-amazon.com/images/I/71CNR-BF1DL._AC_UL320_.jpg")</f>
        <v/>
      </c>
      <c r="K3866" t="inlineStr">
        <is>
          <t>30.0</t>
        </is>
      </c>
      <c r="L3866" t="n">
        <v>15.6</v>
      </c>
      <c r="M3866" s="1" t="inlineStr">
        <is>
          <t>-48.00%</t>
        </is>
      </c>
      <c r="N3866" t="n">
        <v>3.4</v>
      </c>
      <c r="O3866" t="n">
        <v>23</v>
      </c>
      <c r="Q3866" t="inlineStr">
        <is>
          <t>InStock</t>
        </is>
      </c>
      <c r="R3866" t="inlineStr">
        <is>
          <t>undefined</t>
        </is>
      </c>
      <c r="S3866" t="inlineStr">
        <is>
          <t>1398247424087</t>
        </is>
      </c>
    </row>
    <row r="3867" ht="75" customHeight="1">
      <c r="A3867" s="2">
        <f>HYPERLINK("https://faoschwarz.com/products/15-inch-magnetic-bottle-cap-target-game", "https://faoschwarz.com/products/15-inch-magnetic-bottle-cap-target-game")</f>
        <v/>
      </c>
      <c r="B3867" s="2">
        <f>HYPERLINK("https://faoschwarz.com/products/15-inch-magnetic-bottle-cap-target-game", "https://faoschwarz.com/products/15-inch-magnetic-bottle-cap-target-game")</f>
        <v/>
      </c>
      <c r="C3867" t="inlineStr">
        <is>
          <t>15 Inch Magnetic Bottle Cap Target Game</t>
        </is>
      </c>
      <c r="D3867" t="inlineStr">
        <is>
          <t>True Bullseye Magnetic Bottle Cap Target, Built-In Kickstand Tabletop Drinking Game for Adults, Tailgating, Black</t>
        </is>
      </c>
      <c r="E3867" s="2">
        <f>HYPERLINK("https://www.amazon.com/True-2213-Bullseye-Magnetic-Bottle/dp/B01MTEV06P/ref=sr_1_1?keywords=15+Inch+Magnetic+Bottle+Cap+Target+Game&amp;qid=1695565989&amp;sr=8-1", "https://www.amazon.com/True-2213-Bullseye-Magnetic-Bottle/dp/B01MTEV06P/ref=sr_1_1?keywords=15+Inch+Magnetic+Bottle+Cap+Target+Game&amp;qid=1695565989&amp;sr=8-1")</f>
        <v/>
      </c>
      <c r="F3867" t="inlineStr">
        <is>
          <t>B01MTEV06P</t>
        </is>
      </c>
      <c r="G3867">
        <f>_xlfn.IMAGE("https://faoschwarz.com/cdn/shop/products/sharper-image-games-15-inch-magnetic-bottle-cap-target-game-28290305458263_1080x.jpg?v=1656221916")</f>
        <v/>
      </c>
      <c r="H3867">
        <f>_xlfn.IMAGE("https://m.media-amazon.com/images/I/71CNR-BF1DL._AC_UL320_.jpg")</f>
        <v/>
      </c>
      <c r="K3867" t="inlineStr">
        <is>
          <t>30.0</t>
        </is>
      </c>
      <c r="L3867" t="n">
        <v>15.6</v>
      </c>
      <c r="M3867" s="1" t="inlineStr">
        <is>
          <t>-48.00%</t>
        </is>
      </c>
      <c r="N3867" t="n">
        <v>3.4</v>
      </c>
      <c r="O3867" t="n">
        <v>23</v>
      </c>
      <c r="Q3867" t="inlineStr">
        <is>
          <t>InStock</t>
        </is>
      </c>
      <c r="R3867" t="inlineStr">
        <is>
          <t>undefined</t>
        </is>
      </c>
      <c r="S3867" t="inlineStr">
        <is>
          <t>1398247424087</t>
        </is>
      </c>
    </row>
    <row r="3868" ht="75" customHeight="1">
      <c r="A3868" s="2">
        <f>HYPERLINK("https://faoschwarz.com/products/24-piece-magnetic-tile-building-blocks-set", "https://faoschwarz.com/products/24-piece-magnetic-tile-building-blocks-set")</f>
        <v/>
      </c>
      <c r="B3868" s="2">
        <f>HYPERLINK("https://faoschwarz.com/products/24-piece-magnetic-tile-building-blocks-set", "https://faoschwarz.com/products/24-piece-magnetic-tile-building-blocks-set")</f>
        <v/>
      </c>
      <c r="C3868" t="inlineStr">
        <is>
          <t>24-Piece Magnetic Tile Building Blocks Set</t>
        </is>
      </c>
      <c r="D3868" t="inlineStr">
        <is>
          <t>208-Piece Magnetic Building Tiles Set, Stem Magnetic Building Blocks, Extra Strong and Safe Magnets, Stem Toys, Magnetic Blocks, Educational Toys for Children Ages 3+ Years</t>
        </is>
      </c>
      <c r="E3868" s="2">
        <f>HYPERLINK("https://www.amazon.com/MagVision-Piece-Magnetic-Building-Tiles/dp/B08FP98HBB/ref=sr_1_7?keywords=24-Piece+Magnetic+Tile+Building+Blocks+Set&amp;qid=1695565933&amp;sr=8-7", "https://www.amazon.com/MagVision-Piece-Magnetic-Building-Tiles/dp/B08FP98HBB/ref=sr_1_7?keywords=24-Piece+Magnetic+Tile+Building+Blocks+Set&amp;qid=1695565933&amp;sr=8-7")</f>
        <v/>
      </c>
      <c r="F3868" t="inlineStr">
        <is>
          <t>B08FP98HBB</t>
        </is>
      </c>
      <c r="G3868">
        <f>_xlfn.IMAGE("https://faoschwarz.com/cdn/shop/products/discovery-mindblown-stem-24-piece-magnetic-tile-building-blocks-set-28497936580695_1080x.jpg?v=1656039903")</f>
        <v/>
      </c>
      <c r="H3868">
        <f>_xlfn.IMAGE("https://m.media-amazon.com/images/I/5110mND+kgL._AC_UL320_.jpg")</f>
        <v/>
      </c>
      <c r="K3868" t="inlineStr">
        <is>
          <t>25.0</t>
        </is>
      </c>
      <c r="L3868" t="n">
        <v>78.8</v>
      </c>
      <c r="M3868" s="1" t="inlineStr">
        <is>
          <t>215.20%</t>
        </is>
      </c>
      <c r="N3868" t="n">
        <v>4.8</v>
      </c>
      <c r="O3868" t="n">
        <v>30</v>
      </c>
      <c r="Q3868" t="inlineStr">
        <is>
          <t>InStock</t>
        </is>
      </c>
      <c r="R3868" t="inlineStr">
        <is>
          <t>30.0</t>
        </is>
      </c>
      <c r="S3868" t="inlineStr">
        <is>
          <t>6627542761559</t>
        </is>
      </c>
    </row>
    <row r="3869" ht="75" customHeight="1">
      <c r="A3869" s="2">
        <f>HYPERLINK("https://faoschwarz.com/products/24-piece-magnetic-tile-building-blocks-set", "https://faoschwarz.com/products/24-piece-magnetic-tile-building-blocks-set")</f>
        <v/>
      </c>
      <c r="B3869" s="2">
        <f>HYPERLINK("https://faoschwarz.com/products/24-piece-magnetic-tile-building-blocks-set", "https://faoschwarz.com/products/24-piece-magnetic-tile-building-blocks-set")</f>
        <v/>
      </c>
      <c r="C3869" t="inlineStr">
        <is>
          <t>24-Piece Magnetic Tile Building Blocks Set</t>
        </is>
      </c>
      <c r="D3869" t="inlineStr">
        <is>
          <t>Playmags 100-Piece Magnetic Tiles Building Blocks Set, 3D Magnet Tiles for Kids Boys Girls, Educational STEM Toys for Toddlers…</t>
        </is>
      </c>
      <c r="E3869" s="2">
        <f>HYPERLINK("https://www.amazon.com/Playmags-100-Piece-Super-Set/dp/B00EUBD14C/ref=sr_1_1?keywords=24-Piece+Magnetic+Tile+Building+Blocks+Set&amp;qid=1695565933&amp;sr=8-1", "https://www.amazon.com/Playmags-100-Piece-Super-Set/dp/B00EUBD14C/ref=sr_1_1?keywords=24-Piece+Magnetic+Tile+Building+Blocks+Set&amp;qid=1695565933&amp;sr=8-1")</f>
        <v/>
      </c>
      <c r="F3869" t="inlineStr">
        <is>
          <t>B00EUBD14C</t>
        </is>
      </c>
      <c r="G3869">
        <f>_xlfn.IMAGE("https://faoschwarz.com/cdn/shop/products/discovery-mindblown-stem-24-piece-magnetic-tile-building-blocks-set-28497936580695_1080x.jpg?v=1656039903")</f>
        <v/>
      </c>
      <c r="H3869">
        <f>_xlfn.IMAGE("https://m.media-amazon.com/images/I/81ZZy1eGa+L._AC_UL320_.jpg")</f>
        <v/>
      </c>
      <c r="K3869" t="inlineStr">
        <is>
          <t>25.0</t>
        </is>
      </c>
      <c r="L3869" t="n">
        <v>49.99</v>
      </c>
      <c r="M3869" s="1" t="inlineStr">
        <is>
          <t>99.96%</t>
        </is>
      </c>
      <c r="N3869" t="n">
        <v>4.8</v>
      </c>
      <c r="O3869" t="n">
        <v>9924</v>
      </c>
      <c r="Q3869" t="inlineStr">
        <is>
          <t>InStock</t>
        </is>
      </c>
      <c r="R3869" t="inlineStr">
        <is>
          <t>30.0</t>
        </is>
      </c>
      <c r="S3869" t="inlineStr">
        <is>
          <t>6627542761559</t>
        </is>
      </c>
    </row>
    <row r="3870" ht="75" customHeight="1">
      <c r="A3870" s="2">
        <f>HYPERLINK("https://faoschwarz.com/products/24-piece-magnetic-tile-building-blocks-set", "https://faoschwarz.com/products/24-piece-magnetic-tile-building-blocks-set")</f>
        <v/>
      </c>
      <c r="B3870" s="2">
        <f>HYPERLINK("https://faoschwarz.com/products/24-piece-magnetic-tile-building-blocks-set", "https://faoschwarz.com/products/24-piece-magnetic-tile-building-blocks-set")</f>
        <v/>
      </c>
      <c r="C3870" t="inlineStr">
        <is>
          <t>24-Piece Magnetic Tile Building Blocks Set</t>
        </is>
      </c>
      <c r="D3870" t="inlineStr">
        <is>
          <t>Magnetic Tiles Building Blocks Toys for Kids, 136 Pieces 3D Creative Castle Construction Magnetic Stacking Set Preschool Intelligence STEM Toys for Girls Boys Age 3years and Up (Macaron Color)</t>
        </is>
      </c>
      <c r="E3870" s="2">
        <f>HYPERLINK("https://www.amazon.com/Magnetic-Building-Construction-Preschool-Intelligence/dp/B08M3LL4BZ/ref=sr_1_5?keywords=24-Piece+Magnetic+Tile+Building+Blocks+Set&amp;qid=1695565933&amp;sr=8-5", "https://www.amazon.com/Magnetic-Building-Construction-Preschool-Intelligence/dp/B08M3LL4BZ/ref=sr_1_5?keywords=24-Piece+Magnetic+Tile+Building+Blocks+Set&amp;qid=1695565933&amp;sr=8-5")</f>
        <v/>
      </c>
      <c r="F3870" t="inlineStr">
        <is>
          <t>B08M3LL4BZ</t>
        </is>
      </c>
      <c r="G3870">
        <f>_xlfn.IMAGE("https://faoschwarz.com/cdn/shop/products/discovery-mindblown-stem-24-piece-magnetic-tile-building-blocks-set-28497936580695_1080x.jpg?v=1656039903")</f>
        <v/>
      </c>
      <c r="H3870">
        <f>_xlfn.IMAGE("https://m.media-amazon.com/images/I/81Yr+4wnIuL._AC_UL320_.jpg")</f>
        <v/>
      </c>
      <c r="K3870" t="inlineStr">
        <is>
          <t>25.0</t>
        </is>
      </c>
      <c r="L3870" t="n">
        <v>39.99</v>
      </c>
      <c r="M3870" s="1" t="inlineStr">
        <is>
          <t>59.96%</t>
        </is>
      </c>
      <c r="N3870" t="n">
        <v>4.5</v>
      </c>
      <c r="O3870" t="n">
        <v>443</v>
      </c>
      <c r="Q3870" t="inlineStr">
        <is>
          <t>InStock</t>
        </is>
      </c>
      <c r="R3870" t="inlineStr">
        <is>
          <t>30.0</t>
        </is>
      </c>
      <c r="S3870" t="inlineStr">
        <is>
          <t>6627542761559</t>
        </is>
      </c>
    </row>
    <row r="3871" ht="75" customHeight="1">
      <c r="A3871" s="2">
        <f>HYPERLINK("https://faoschwarz.com/products/24-piece-magnetic-tile-building-blocks-set", "https://faoschwarz.com/products/24-piece-magnetic-tile-building-blocks-set")</f>
        <v/>
      </c>
      <c r="B3871" s="2">
        <f>HYPERLINK("https://faoschwarz.com/products/24-piece-magnetic-tile-building-blocks-set", "https://faoschwarz.com/products/24-piece-magnetic-tile-building-blocks-set")</f>
        <v/>
      </c>
      <c r="C3871" t="inlineStr">
        <is>
          <t>24-Piece Magnetic Tile Building Blocks Set</t>
        </is>
      </c>
      <c r="D3871" t="inlineStr">
        <is>
          <t>HOH Magnetic Tiles 100 Piece Colorful Magnetic Blocks Set with car, Unique Clear 3D Intelligence Toy for 3+ Years Old Boys and Girls Construction Preschool Magnets for Kids</t>
        </is>
      </c>
      <c r="E3871" s="2">
        <f>HYPERLINK("https://www.amazon.com/Magnetic-Colorful-Intelligence-Construction-Preschool/dp/B0CF8PWLRQ/ref=sr_1_10?keywords=24-Piece+Magnetic+Tile+Building+Blocks+Set&amp;qid=1695565933&amp;sr=8-10", "https://www.amazon.com/Magnetic-Colorful-Intelligence-Construction-Preschool/dp/B0CF8PWLRQ/ref=sr_1_10?keywords=24-Piece+Magnetic+Tile+Building+Blocks+Set&amp;qid=1695565933&amp;sr=8-10")</f>
        <v/>
      </c>
      <c r="F3871" t="inlineStr">
        <is>
          <t>B0CF8PWLRQ</t>
        </is>
      </c>
      <c r="G3871">
        <f>_xlfn.IMAGE("https://faoschwarz.com/cdn/shop/products/discovery-mindblown-stem-24-piece-magnetic-tile-building-blocks-set-28497936580695_1080x.jpg?v=1656039903")</f>
        <v/>
      </c>
      <c r="H3871">
        <f>_xlfn.IMAGE("https://m.media-amazon.com/images/I/818b4H+aNRL._AC_UL320_.jpg")</f>
        <v/>
      </c>
      <c r="K3871" t="inlineStr">
        <is>
          <t>25.0</t>
        </is>
      </c>
      <c r="L3871" t="n">
        <v>39.99</v>
      </c>
      <c r="M3871" s="1" t="inlineStr">
        <is>
          <t>59.96%</t>
        </is>
      </c>
      <c r="N3871" t="n">
        <v>5</v>
      </c>
      <c r="O3871" t="n">
        <v>1</v>
      </c>
      <c r="Q3871" t="inlineStr">
        <is>
          <t>InStock</t>
        </is>
      </c>
      <c r="R3871" t="inlineStr">
        <is>
          <t>30.0</t>
        </is>
      </c>
      <c r="S3871" t="inlineStr">
        <is>
          <t>6627542761559</t>
        </is>
      </c>
    </row>
    <row r="3872" ht="75" customHeight="1">
      <c r="A3872" s="2">
        <f>HYPERLINK("https://faoschwarz.com/products/24-piece-magnetic-tile-building-blocks-set", "https://faoschwarz.com/products/24-piece-magnetic-tile-building-blocks-set")</f>
        <v/>
      </c>
      <c r="B3872" s="2">
        <f>HYPERLINK("https://faoschwarz.com/products/24-piece-magnetic-tile-building-blocks-set", "https://faoschwarz.com/products/24-piece-magnetic-tile-building-blocks-set")</f>
        <v/>
      </c>
      <c r="C3872" t="inlineStr">
        <is>
          <t>24-Piece Magnetic Tile Building Blocks Set</t>
        </is>
      </c>
      <c r="D3872" t="inlineStr">
        <is>
          <t>60-Piece Extra Strong Magnetic Tiles Set - Magnets for Kids, 3D Tile Assorted Shapes &amp; Colors, STEM Learning Toys for Ages 3+, Ideal Gift for Creative &amp; Educational Play, Building Blocks</t>
        </is>
      </c>
      <c r="E3872" s="2">
        <f>HYPERLINK("https://www.amazon.com/Magnet-Build-Magnetic-Building-Educational/dp/B07F3GPVKY/ref=sr_1_4?keywords=24-Piece+Magnetic+Tile+Building+Blocks+Set&amp;qid=1695565933&amp;sr=8-4", "https://www.amazon.com/Magnet-Build-Magnetic-Building-Educational/dp/B07F3GPVKY/ref=sr_1_4?keywords=24-Piece+Magnetic+Tile+Building+Blocks+Set&amp;qid=1695565933&amp;sr=8-4")</f>
        <v/>
      </c>
      <c r="F3872" t="inlineStr">
        <is>
          <t>B07F3GPVKY</t>
        </is>
      </c>
      <c r="G3872">
        <f>_xlfn.IMAGE("https://faoschwarz.com/cdn/shop/products/discovery-mindblown-stem-24-piece-magnetic-tile-building-blocks-set-28497936580695_1080x.jpg?v=1656039903")</f>
        <v/>
      </c>
      <c r="H3872">
        <f>_xlfn.IMAGE("https://m.media-amazon.com/images/I/71iI+lCROoL._AC_UL320_.jpg")</f>
        <v/>
      </c>
      <c r="K3872" t="inlineStr">
        <is>
          <t>25.0</t>
        </is>
      </c>
      <c r="L3872" t="n">
        <v>29.84</v>
      </c>
      <c r="M3872" s="1" t="inlineStr">
        <is>
          <t>19.36%</t>
        </is>
      </c>
      <c r="N3872" t="n">
        <v>4.9</v>
      </c>
      <c r="O3872" t="n">
        <v>3204</v>
      </c>
      <c r="Q3872" t="inlineStr">
        <is>
          <t>InStock</t>
        </is>
      </c>
      <c r="R3872" t="inlineStr">
        <is>
          <t>30.0</t>
        </is>
      </c>
      <c r="S3872" t="inlineStr">
        <is>
          <t>6627542761559</t>
        </is>
      </c>
    </row>
    <row r="3873" ht="75" customHeight="1">
      <c r="A3873" s="2">
        <f>HYPERLINK("https://faoschwarz.com/products/24-piece-magnetic-tile-building-blocks-set", "https://faoschwarz.com/products/24-piece-magnetic-tile-building-blocks-set")</f>
        <v/>
      </c>
      <c r="B3873" s="2">
        <f>HYPERLINK("https://faoschwarz.com/products/24-piece-magnetic-tile-building-blocks-set", "https://faoschwarz.com/products/24-piece-magnetic-tile-building-blocks-set")</f>
        <v/>
      </c>
      <c r="C3873" t="inlineStr">
        <is>
          <t>24-Piece Magnetic Tile Building Blocks Set</t>
        </is>
      </c>
      <c r="D3873" t="inlineStr">
        <is>
          <t>Discovery Kids 50-Piece 3D Magnetic Tile Set in 6 Colors, Construction Building Block Creativity Kit, Kids Educational Learning STEM Toy, Engineering Development Activity, Ages 5+</t>
        </is>
      </c>
      <c r="E3873" s="2">
        <f>HYPERLINK("https://www.amazon.com/Discovery-Kids-Construction-Creativity-Preschool/dp/B077J6XXKN/ref=sr_1_3?keywords=24-Piece+Magnetic+Tile+Building+Blocks+Set&amp;qid=1695565933&amp;sr=8-3", "https://www.amazon.com/Discovery-Kids-Construction-Creativity-Preschool/dp/B077J6XXKN/ref=sr_1_3?keywords=24-Piece+Magnetic+Tile+Building+Blocks+Set&amp;qid=1695565933&amp;sr=8-3")</f>
        <v/>
      </c>
      <c r="F3873" t="inlineStr">
        <is>
          <t>B077J6XXKN</t>
        </is>
      </c>
      <c r="G3873">
        <f>_xlfn.IMAGE("https://faoschwarz.com/cdn/shop/products/discovery-mindblown-stem-24-piece-magnetic-tile-building-blocks-set-28497936580695_1080x.jpg?v=1656039903")</f>
        <v/>
      </c>
      <c r="H3873">
        <f>_xlfn.IMAGE("https://m.media-amazon.com/images/I/61qlGlG+U2L._AC_UL320_.jpg")</f>
        <v/>
      </c>
      <c r="K3873" t="inlineStr">
        <is>
          <t>25.0</t>
        </is>
      </c>
      <c r="L3873" t="n">
        <v>27.99</v>
      </c>
      <c r="M3873" s="1" t="inlineStr">
        <is>
          <t>11.96%</t>
        </is>
      </c>
      <c r="N3873" t="n">
        <v>4.9</v>
      </c>
      <c r="O3873" t="n">
        <v>2921</v>
      </c>
      <c r="Q3873" t="inlineStr">
        <is>
          <t>InStock</t>
        </is>
      </c>
      <c r="R3873" t="inlineStr">
        <is>
          <t>30.0</t>
        </is>
      </c>
      <c r="S3873" t="inlineStr">
        <is>
          <t>6627542761559</t>
        </is>
      </c>
    </row>
    <row r="3874" ht="75" customHeight="1">
      <c r="A3874" s="2">
        <f>HYPERLINK("https://faoschwarz.com/products/24-piece-magnetic-tile-building-blocks-set", "https://faoschwarz.com/products/24-piece-magnetic-tile-building-blocks-set")</f>
        <v/>
      </c>
      <c r="B3874" s="2">
        <f>HYPERLINK("https://faoschwarz.com/products/24-piece-magnetic-tile-building-blocks-set", "https://faoschwarz.com/products/24-piece-magnetic-tile-building-blocks-set")</f>
        <v/>
      </c>
      <c r="C3874" t="inlineStr">
        <is>
          <t>24-Piece Magnetic Tile Building Blocks Set</t>
        </is>
      </c>
      <c r="D3874" t="inlineStr">
        <is>
          <t>Shapemags 24 Piece Set Magnet Building Tiles Magnetic Blocks - Windows and Doors Accessories Building Kit, Award Winning STEM Toy, Educational 3D Construction Blocks Set</t>
        </is>
      </c>
      <c r="E3874" s="2">
        <f>HYPERLINK("https://www.amazon.com/Magnetic-Stick-Stack-Winning-Magnets/dp/B00GPWI0EK/ref=sr_1_2?keywords=24-Piece+Magnetic+Tile+Building+Blocks+Set&amp;qid=1695565933&amp;sr=8-2", "https://www.amazon.com/Magnetic-Stick-Stack-Winning-Magnets/dp/B00GPWI0EK/ref=sr_1_2?keywords=24-Piece+Magnetic+Tile+Building+Blocks+Set&amp;qid=1695565933&amp;sr=8-2")</f>
        <v/>
      </c>
      <c r="F3874" t="inlineStr">
        <is>
          <t>B00GPWI0EK</t>
        </is>
      </c>
      <c r="G3874">
        <f>_xlfn.IMAGE("https://faoschwarz.com/cdn/shop/products/discovery-mindblown-stem-24-piece-magnetic-tile-building-blocks-set-28497936580695_1080x.jpg?v=1656039903")</f>
        <v/>
      </c>
      <c r="H3874">
        <f>_xlfn.IMAGE("https://m.media-amazon.com/images/I/811ZLt9xblS._AC_UL320_.jpg")</f>
        <v/>
      </c>
      <c r="K3874" t="inlineStr">
        <is>
          <t>25.0</t>
        </is>
      </c>
      <c r="L3874" t="n">
        <v>15.99</v>
      </c>
      <c r="M3874" s="1" t="inlineStr">
        <is>
          <t>-36.04%</t>
        </is>
      </c>
      <c r="N3874" t="n">
        <v>4.7</v>
      </c>
      <c r="O3874" t="n">
        <v>408</v>
      </c>
      <c r="Q3874" t="inlineStr">
        <is>
          <t>InStock</t>
        </is>
      </c>
      <c r="R3874" t="inlineStr">
        <is>
          <t>30.0</t>
        </is>
      </c>
      <c r="S3874" t="inlineStr">
        <is>
          <t>6627542761559</t>
        </is>
      </c>
    </row>
    <row r="3875" ht="75" customHeight="1">
      <c r="A3875" s="2">
        <f>HYPERLINK("https://faoschwarz.com/products/24-piece-magnetic-tile-building-blocks-set", "https://faoschwarz.com/products/24-piece-magnetic-tile-building-blocks-set")</f>
        <v/>
      </c>
      <c r="B3875" s="2">
        <f>HYPERLINK("https://faoschwarz.com/products/24-piece-magnetic-tile-building-blocks-set", "https://faoschwarz.com/products/24-piece-magnetic-tile-building-blocks-set")</f>
        <v/>
      </c>
      <c r="C3875" t="inlineStr">
        <is>
          <t>24-Piece Magnetic Tile Building Blocks Set</t>
        </is>
      </c>
      <c r="D3875" t="inlineStr">
        <is>
          <t>dreambuilderToy 42 Piece Magnetic Tiles, Magnet Building Blocks, STEM Educational Construction Kit，3D Magnetic Toys, Birthday Gift for Boys and Girls (42 Pieces</t>
        </is>
      </c>
      <c r="E3875" s="2">
        <f>HYPERLINK("https://www.amazon.com/dreambuilderToy-Magnetic-Preschool-Educational-Construction/dp/B0878C9D4X/ref=sr_1_9?keywords=24-Piece+Magnetic+Tile+Building+Blocks+Set&amp;qid=1695565933&amp;sr=8-9", "https://www.amazon.com/dreambuilderToy-Magnetic-Preschool-Educational-Construction/dp/B0878C9D4X/ref=sr_1_9?keywords=24-Piece+Magnetic+Tile+Building+Blocks+Set&amp;qid=1695565933&amp;sr=8-9")</f>
        <v/>
      </c>
      <c r="F3875" t="inlineStr">
        <is>
          <t>B0878C9D4X</t>
        </is>
      </c>
      <c r="G3875">
        <f>_xlfn.IMAGE("https://faoschwarz.com/cdn/shop/products/discovery-mindblown-stem-24-piece-magnetic-tile-building-blocks-set-28497936580695_1080x.jpg?v=1656039903")</f>
        <v/>
      </c>
      <c r="H3875">
        <f>_xlfn.IMAGE("https://m.media-amazon.com/images/I/914hAhbPIkL._AC_UL320_.jpg")</f>
        <v/>
      </c>
      <c r="K3875" t="inlineStr">
        <is>
          <t>25.0</t>
        </is>
      </c>
      <c r="L3875" t="n">
        <v>14.99</v>
      </c>
      <c r="M3875" s="1" t="inlineStr">
        <is>
          <t>-40.04%</t>
        </is>
      </c>
      <c r="N3875" t="n">
        <v>4.8</v>
      </c>
      <c r="O3875" t="n">
        <v>247</v>
      </c>
      <c r="Q3875" t="inlineStr">
        <is>
          <t>InStock</t>
        </is>
      </c>
      <c r="R3875" t="inlineStr">
        <is>
          <t>30.0</t>
        </is>
      </c>
      <c r="S3875" t="inlineStr">
        <is>
          <t>6627542761559</t>
        </is>
      </c>
    </row>
    <row r="3876" ht="75" customHeight="1">
      <c r="A3876" s="2">
        <f>HYPERLINK("https://faoschwarz.com/products/24-piece-magnetic-tile-building-blocks-set", "https://faoschwarz.com/products/24-piece-magnetic-tile-building-blocks-set")</f>
        <v/>
      </c>
      <c r="B3876" s="2">
        <f>HYPERLINK("https://faoschwarz.com/products/24-piece-magnetic-tile-building-blocks-set", "https://faoschwarz.com/products/24-piece-magnetic-tile-building-blocks-set")</f>
        <v/>
      </c>
      <c r="C3876" t="inlineStr">
        <is>
          <t>24-Piece Magnetic Tile Building Blocks Set</t>
        </is>
      </c>
      <c r="D3876" t="inlineStr">
        <is>
          <t>24 Piece Plus Magnetic Board Starter Set, Stem Magnetic Building Blocks, Extra Strong and Safe Magnets, Stem Toys, Magnetic Blocks, Educational Toys for Children Ages 3+ Years</t>
        </is>
      </c>
      <c r="E3876" s="2">
        <f>HYPERLINK("https://www.amazon.com/MagVision-Piece-Magnetic-Building-Tiles/dp/B08FPDZ93H/ref=sr_1_6?keywords=24-Piece+Magnetic+Tile+Building+Blocks+Set&amp;qid=1695565933&amp;sr=8-6", "https://www.amazon.com/MagVision-Piece-Magnetic-Building-Tiles/dp/B08FPDZ93H/ref=sr_1_6?keywords=24-Piece+Magnetic+Tile+Building+Blocks+Set&amp;qid=1695565933&amp;sr=8-6")</f>
        <v/>
      </c>
      <c r="F3876" t="inlineStr">
        <is>
          <t>B08FPDZ93H</t>
        </is>
      </c>
      <c r="G3876">
        <f>_xlfn.IMAGE("https://faoschwarz.com/cdn/shop/products/discovery-mindblown-stem-24-piece-magnetic-tile-building-blocks-set-28497936580695_1080x.jpg?v=1656039903")</f>
        <v/>
      </c>
      <c r="H3876">
        <f>_xlfn.IMAGE("https://m.media-amazon.com/images/I/61NQNh8lETL._AC_UL320_.jpg")</f>
        <v/>
      </c>
      <c r="K3876" t="inlineStr">
        <is>
          <t>25.0</t>
        </is>
      </c>
      <c r="L3876" t="n">
        <v>14.8</v>
      </c>
      <c r="M3876" s="1" t="inlineStr">
        <is>
          <t>-40.80%</t>
        </is>
      </c>
      <c r="N3876" t="n">
        <v>4</v>
      </c>
      <c r="O3876" t="n">
        <v>16</v>
      </c>
      <c r="Q3876" t="inlineStr">
        <is>
          <t>InStock</t>
        </is>
      </c>
      <c r="R3876" t="inlineStr">
        <is>
          <t>30.0</t>
        </is>
      </c>
      <c r="S3876" t="inlineStr">
        <is>
          <t>6627542761559</t>
        </is>
      </c>
    </row>
    <row r="3877" ht="75" customHeight="1">
      <c r="A3877" s="2">
        <f>HYPERLINK("https://faoschwarz.com/products/2-player-laser-tag-attack-pack", "https://faoschwarz.com/products/2-player-laser-tag-attack-pack")</f>
        <v/>
      </c>
      <c r="B3877" s="2">
        <f>HYPERLINK("https://faoschwarz.com/products/2-player-laser-tag-attack-pack", "https://faoschwarz.com/products/2-player-laser-tag-attack-pack")</f>
        <v/>
      </c>
      <c r="C3877" t="inlineStr">
        <is>
          <t>2-Player Laser Tag Attack Pack</t>
        </is>
      </c>
      <c r="D3877" t="inlineStr">
        <is>
          <t>NERF Laser Strike 2 Player Laser Tag Game Pack Complete with 2 300ft Range Blasters, 2 Target Vests &amp; 2 Holsters - Indoor or Outdoor Play Arcade Games, Toys for Kids &amp; Family</t>
        </is>
      </c>
      <c r="E3877" s="2">
        <f>HYPERLINK("https://www.amazon.com/EastPoint-Sports-Laser-Strike-Player/dp/B09GL6228P/ref=sr_1_4?keywords=2-Player+Laser+Tag+Attack+Pack&amp;qid=1695566000&amp;sr=8-4", "https://www.amazon.com/EastPoint-Sports-Laser-Strike-Player/dp/B09GL6228P/ref=sr_1_4?keywords=2-Player+Laser+Tag+Attack+Pack&amp;qid=1695566000&amp;sr=8-4")</f>
        <v/>
      </c>
      <c r="F3877" t="inlineStr">
        <is>
          <t>B09GL6228P</t>
        </is>
      </c>
      <c r="G3877">
        <f>_xlfn.IMAGE("https://faoschwarz.com/cdn/shop/products/sharper-image-electronics-2-player-laser-tag-attack-pack-29392072179799_1080x.jpg?v=1660920374")</f>
        <v/>
      </c>
      <c r="H3877">
        <f>_xlfn.IMAGE("https://m.media-amazon.com/images/I/81Hl5YEuAzL._AC_UL320_.jpg")</f>
        <v/>
      </c>
      <c r="K3877" t="inlineStr">
        <is>
          <t>50.0</t>
        </is>
      </c>
      <c r="L3877" t="n">
        <v>26.06</v>
      </c>
      <c r="M3877" s="1" t="inlineStr">
        <is>
          <t>-47.88%</t>
        </is>
      </c>
      <c r="N3877" t="n">
        <v>3.9</v>
      </c>
      <c r="O3877" t="n">
        <v>24</v>
      </c>
      <c r="Q3877" t="inlineStr">
        <is>
          <t>InStock</t>
        </is>
      </c>
      <c r="R3877" t="inlineStr">
        <is>
          <t>undefined</t>
        </is>
      </c>
      <c r="S3877" t="inlineStr">
        <is>
          <t>6796448301143</t>
        </is>
      </c>
    </row>
    <row r="3878" ht="75" customHeight="1">
      <c r="A3878" s="2">
        <f>HYPERLINK("https://faoschwarz.com/products/2-player-laser-tag-attack-pack", "https://faoschwarz.com/products/2-player-laser-tag-attack-pack")</f>
        <v/>
      </c>
      <c r="B3878" s="2">
        <f>HYPERLINK("https://faoschwarz.com/products/2-player-laser-tag-attack-pack", "https://faoschwarz.com/products/2-player-laser-tag-attack-pack")</f>
        <v/>
      </c>
      <c r="C3878" t="inlineStr">
        <is>
          <t>2-Player Laser Tag Attack Pack</t>
        </is>
      </c>
      <c r="D3878" t="inlineStr">
        <is>
          <t>NERF Laser Strike 2 Player Laser Tag Game Pack Complete with 2 300ft Range Blasters, 2 Target Vests &amp; 2 Holsters - Indoor or Outdoor Play Arcade Games, Toys for Kids &amp; Family</t>
        </is>
      </c>
      <c r="E3878" s="2">
        <f>HYPERLINK("https://www.amazon.com/EastPoint-Sports-Laser-Strike-Player/dp/B09GL6228P/ref=sr_1_4?keywords=2-Player+Laser+Tag+Attack+Pack&amp;qid=1695566000&amp;sr=8-4", "https://www.amazon.com/EastPoint-Sports-Laser-Strike-Player/dp/B09GL6228P/ref=sr_1_4?keywords=2-Player+Laser+Tag+Attack+Pack&amp;qid=1695566000&amp;sr=8-4")</f>
        <v/>
      </c>
      <c r="F3878" t="inlineStr">
        <is>
          <t>B09GL6228P</t>
        </is>
      </c>
      <c r="G3878">
        <f>_xlfn.IMAGE("https://faoschwarz.com/cdn/shop/products/sharper-image-electronics-2-player-laser-tag-attack-pack-29392072179799_1080x.jpg?v=1660920374")</f>
        <v/>
      </c>
      <c r="H3878">
        <f>_xlfn.IMAGE("https://m.media-amazon.com/images/I/81Hl5YEuAzL._AC_UL320_.jpg")</f>
        <v/>
      </c>
      <c r="K3878" t="inlineStr">
        <is>
          <t>50.0</t>
        </is>
      </c>
      <c r="L3878" t="n">
        <v>26.06</v>
      </c>
      <c r="M3878" s="1" t="inlineStr">
        <is>
          <t>-47.88%</t>
        </is>
      </c>
      <c r="N3878" t="n">
        <v>3.9</v>
      </c>
      <c r="O3878" t="n">
        <v>24</v>
      </c>
      <c r="Q3878" t="inlineStr">
        <is>
          <t>InStock</t>
        </is>
      </c>
      <c r="R3878" t="inlineStr">
        <is>
          <t>undefined</t>
        </is>
      </c>
      <c r="S3878" t="inlineStr">
        <is>
          <t>6796448301143</t>
        </is>
      </c>
    </row>
    <row r="3879" ht="75" customHeight="1">
      <c r="A3879" s="2">
        <f>HYPERLINK("https://faoschwarz.com/products/3d-empire-state-night-puzzle", "https://faoschwarz.com/products/3d-empire-state-night-puzzle")</f>
        <v/>
      </c>
      <c r="B3879" s="2">
        <f>HYPERLINK("https://faoschwarz.com/products/3d-empire-state-night-puzzle", "https://faoschwarz.com/products/3d-empire-state-night-puzzle")</f>
        <v/>
      </c>
      <c r="C3879" t="inlineStr">
        <is>
          <t>3D Empire State Night Puzzle</t>
        </is>
      </c>
      <c r="D3879" t="inlineStr">
        <is>
          <t>Ravensburger Empire State Building - Night Edition - 3D Puzzle (216-Piece) with Amazon Basics AAA Batteries Bundle</t>
        </is>
      </c>
      <c r="E3879" s="2">
        <f>HYPERLINK("https://www.amazon.com/Ravensburger-Empire-State-Building-AmazonBasics/dp/B017KMVQYE/ref=sr_1_2?keywords=3D+Empire+State+Night+Puzzle&amp;qid=1695566012&amp;sr=8-2", "https://www.amazon.com/Ravensburger-Empire-State-Building-AmazonBasics/dp/B017KMVQYE/ref=sr_1_2?keywords=3D+Empire+State+Night+Puzzle&amp;qid=1695566012&amp;sr=8-2")</f>
        <v/>
      </c>
      <c r="F3879" t="inlineStr">
        <is>
          <t>B017KMVQYE</t>
        </is>
      </c>
      <c r="G3879">
        <f>_xlfn.IMAGE("https://faoschwarz.com/cdn/shop/products/ravensburger-puzzles-3d-empire-state-night-puzzle-29344432619607_1080x.jpg?v=1659570702")</f>
        <v/>
      </c>
      <c r="H3879">
        <f>_xlfn.IMAGE("https://m.media-amazon.com/images/I/61PdsVUEd-L._AC_UL320_.jpg")</f>
        <v/>
      </c>
      <c r="K3879" t="inlineStr">
        <is>
          <t>45.0</t>
        </is>
      </c>
      <c r="L3879" t="n">
        <v>45.79</v>
      </c>
      <c r="M3879" s="1" t="inlineStr">
        <is>
          <t>1.76%</t>
        </is>
      </c>
      <c r="N3879" t="n">
        <v>4.4</v>
      </c>
      <c r="O3879" t="n">
        <v>3</v>
      </c>
      <c r="Q3879" t="inlineStr">
        <is>
          <t>InStock</t>
        </is>
      </c>
      <c r="R3879" t="inlineStr">
        <is>
          <t>undefined</t>
        </is>
      </c>
      <c r="S3879" t="inlineStr">
        <is>
          <t>6788592304215</t>
        </is>
      </c>
    </row>
    <row r="3880" ht="75" customHeight="1">
      <c r="A3880" s="2">
        <f>HYPERLINK("https://faoschwarz.com/products/3d-empire-state-night-puzzle", "https://faoschwarz.com/products/3d-empire-state-night-puzzle")</f>
        <v/>
      </c>
      <c r="B3880" s="2">
        <f>HYPERLINK("https://faoschwarz.com/products/3d-empire-state-night-puzzle", "https://faoschwarz.com/products/3d-empire-state-night-puzzle")</f>
        <v/>
      </c>
      <c r="C3880" t="inlineStr">
        <is>
          <t>3D Empire State Night Puzzle</t>
        </is>
      </c>
      <c r="D3880" t="inlineStr">
        <is>
          <t>Ravensburger Empire State Building - Night Edition - 216 Piece 3D Jigsaw Puzzle for Kids and Adults - Easy Click Technology Means Pieces Fit Together Perfectly</t>
        </is>
      </c>
      <c r="E3880" s="2">
        <f>HYPERLINK("https://www.amazon.com/Ravensburger-Empire-State-Building-Technology/dp/B00CFV24TC/ref=sr_1_1?keywords=3D+Empire+State+Night+Puzzle&amp;qid=1695566012&amp;sr=8-1", "https://www.amazon.com/Ravensburger-Empire-State-Building-Technology/dp/B00CFV24TC/ref=sr_1_1?keywords=3D+Empire+State+Night+Puzzle&amp;qid=1695566012&amp;sr=8-1")</f>
        <v/>
      </c>
      <c r="F3880" t="inlineStr">
        <is>
          <t>B00CFV24TC</t>
        </is>
      </c>
      <c r="G3880">
        <f>_xlfn.IMAGE("https://faoschwarz.com/cdn/shop/products/ravensburger-puzzles-3d-empire-state-night-puzzle-29344432619607_1080x.jpg?v=1659570702")</f>
        <v/>
      </c>
      <c r="H3880">
        <f>_xlfn.IMAGE("https://m.media-amazon.com/images/I/81pr1Lu00rL._AC_UL320_.jpg")</f>
        <v/>
      </c>
      <c r="K3880" t="inlineStr">
        <is>
          <t>45.0</t>
        </is>
      </c>
      <c r="L3880" t="n">
        <v>38.62</v>
      </c>
      <c r="M3880" s="1" t="inlineStr">
        <is>
          <t>-14.18%</t>
        </is>
      </c>
      <c r="N3880" t="n">
        <v>4.5</v>
      </c>
      <c r="O3880" t="n">
        <v>5524</v>
      </c>
      <c r="Q3880" t="inlineStr">
        <is>
          <t>InStock</t>
        </is>
      </c>
      <c r="R3880" t="inlineStr">
        <is>
          <t>undefined</t>
        </is>
      </c>
      <c r="S3880" t="inlineStr">
        <is>
          <t>6788592304215</t>
        </is>
      </c>
    </row>
    <row r="3881" ht="75" customHeight="1">
      <c r="A3881" s="2">
        <f>HYPERLINK("https://faoschwarz.com/products/3d-empire-state-night-puzzle", "https://faoschwarz.com/products/3d-empire-state-night-puzzle")</f>
        <v/>
      </c>
      <c r="B3881" s="2">
        <f>HYPERLINK("https://faoschwarz.com/products/3d-empire-state-night-puzzle", "https://faoschwarz.com/products/3d-empire-state-night-puzzle")</f>
        <v/>
      </c>
      <c r="C3881" t="inlineStr">
        <is>
          <t>3D Empire State Night Puzzle</t>
        </is>
      </c>
      <c r="D3881" t="inlineStr">
        <is>
          <t>Puzzled Bundle of The Statue of Liberty &amp; Empire State Building Wooden 3D Puzzle Construction Kits, Fun Educational DIY Famous Sites Toys Assemble Models Unfinished Wood Craft Hobby Puzzles - 2 Pack</t>
        </is>
      </c>
      <c r="E3881" s="2">
        <f>HYPERLINK("https://www.amazon.com/Puzzled-Statue-Liberty-Building-Construction/dp/B00VVKXWFS/ref=sr_1_4?keywords=3D+Empire+State+Night+Puzzle&amp;qid=1695566012&amp;sr=8-4", "https://www.amazon.com/Puzzled-Statue-Liberty-Building-Construction/dp/B00VVKXWFS/ref=sr_1_4?keywords=3D+Empire+State+Night+Puzzle&amp;qid=1695566012&amp;sr=8-4")</f>
        <v/>
      </c>
      <c r="F3881" t="inlineStr">
        <is>
          <t>B00VVKXWFS</t>
        </is>
      </c>
      <c r="G3881">
        <f>_xlfn.IMAGE("https://faoschwarz.com/cdn/shop/products/ravensburger-puzzles-3d-empire-state-night-puzzle-29344432619607_1080x.jpg?v=1659570702")</f>
        <v/>
      </c>
      <c r="H3881">
        <f>_xlfn.IMAGE("https://m.media-amazon.com/images/I/71XOWUupqpL._AC_UL320_.jpg")</f>
        <v/>
      </c>
      <c r="K3881" t="inlineStr">
        <is>
          <t>45.0</t>
        </is>
      </c>
      <c r="L3881" t="n">
        <v>32.99</v>
      </c>
      <c r="M3881" s="1" t="inlineStr">
        <is>
          <t>-26.69%</t>
        </is>
      </c>
      <c r="N3881" t="n">
        <v>2</v>
      </c>
      <c r="O3881" t="n">
        <v>1</v>
      </c>
      <c r="Q3881" t="inlineStr">
        <is>
          <t>InStock</t>
        </is>
      </c>
      <c r="R3881" t="inlineStr">
        <is>
          <t>undefined</t>
        </is>
      </c>
      <c r="S3881" t="inlineStr">
        <is>
          <t>6788592304215</t>
        </is>
      </c>
    </row>
    <row r="3882" ht="75" customHeight="1">
      <c r="A3882" s="2">
        <f>HYPERLINK("https://faoschwarz.com/products/3d-empire-state-night-puzzle", "https://faoschwarz.com/products/3d-empire-state-night-puzzle")</f>
        <v/>
      </c>
      <c r="B3882" s="2">
        <f>HYPERLINK("https://faoschwarz.com/products/3d-empire-state-night-puzzle", "https://faoschwarz.com/products/3d-empire-state-night-puzzle")</f>
        <v/>
      </c>
      <c r="C3882" t="inlineStr">
        <is>
          <t>3D Empire State Night Puzzle</t>
        </is>
      </c>
      <c r="D3882" t="inlineStr">
        <is>
          <t>Spin Master Games Empire State Building 3D Puzzle</t>
        </is>
      </c>
      <c r="E3882" s="2">
        <f>HYPERLINK("https://www.amazon.com/Empire-State-Building-3D-Puzzle/dp/B00D8UC8QS/ref=sr_1_3?keywords=3D+Empire+State+Night+Puzzle&amp;qid=1695566012&amp;sr=8-3", "https://www.amazon.com/Empire-State-Building-3D-Puzzle/dp/B00D8UC8QS/ref=sr_1_3?keywords=3D+Empire+State+Night+Puzzle&amp;qid=1695566012&amp;sr=8-3")</f>
        <v/>
      </c>
      <c r="F3882" t="inlineStr">
        <is>
          <t>B00D8UC8QS</t>
        </is>
      </c>
      <c r="G3882">
        <f>_xlfn.IMAGE("https://faoschwarz.com/cdn/shop/products/ravensburger-puzzles-3d-empire-state-night-puzzle-29344432619607_1080x.jpg?v=1659570702")</f>
        <v/>
      </c>
      <c r="H3882">
        <f>_xlfn.IMAGE("https://m.media-amazon.com/images/I/716USJBQsZL._AC_UL320_.jpg")</f>
        <v/>
      </c>
      <c r="K3882" t="inlineStr">
        <is>
          <t>45.0</t>
        </is>
      </c>
      <c r="L3882" t="n">
        <v>31.43</v>
      </c>
      <c r="M3882" s="1" t="inlineStr">
        <is>
          <t>-30.16%</t>
        </is>
      </c>
      <c r="N3882" t="n">
        <v>2.6</v>
      </c>
      <c r="O3882" t="n">
        <v>7</v>
      </c>
      <c r="Q3882" t="inlineStr">
        <is>
          <t>InStock</t>
        </is>
      </c>
      <c r="R3882" t="inlineStr">
        <is>
          <t>undefined</t>
        </is>
      </c>
      <c r="S3882" t="inlineStr">
        <is>
          <t>6788592304215</t>
        </is>
      </c>
    </row>
    <row r="3883" ht="75" customHeight="1">
      <c r="A3883" s="2">
        <f>HYPERLINK("https://faoschwarz.com/products/3d-empire-state-night-puzzle", "https://faoschwarz.com/products/3d-empire-state-night-puzzle")</f>
        <v/>
      </c>
      <c r="B3883" s="2">
        <f>HYPERLINK("https://faoschwarz.com/products/3d-empire-state-night-puzzle", "https://faoschwarz.com/products/3d-empire-state-night-puzzle")</f>
        <v/>
      </c>
      <c r="C3883" t="inlineStr">
        <is>
          <t>3D Empire State Night Puzzle</t>
        </is>
      </c>
      <c r="D3883" t="inlineStr">
        <is>
          <t>Ravensburger Empire State Building 216 Piece 3D Jigsaw Puzzle for Kids and Adults - Easy Click Technology Means Pieces Fit Together Perfectly</t>
        </is>
      </c>
      <c r="E3883" s="2">
        <f>HYPERLINK("https://www.amazon.com/Ravensburger-Empire-Building-Jigsaw-Puzzle/dp/B004O0TOJ0/ref=sr_1_9?keywords=3D+Empire+State+Night+Puzzle&amp;qid=1695566012&amp;sr=8-9", "https://www.amazon.com/Ravensburger-Empire-Building-Jigsaw-Puzzle/dp/B004O0TOJ0/ref=sr_1_9?keywords=3D+Empire+State+Night+Puzzle&amp;qid=1695566012&amp;sr=8-9")</f>
        <v/>
      </c>
      <c r="F3883" t="inlineStr">
        <is>
          <t>B004O0TOJ0</t>
        </is>
      </c>
      <c r="G3883">
        <f>_xlfn.IMAGE("https://faoschwarz.com/cdn/shop/products/ravensburger-puzzles-3d-empire-state-night-puzzle-29344432619607_1080x.jpg?v=1659570702")</f>
        <v/>
      </c>
      <c r="H3883">
        <f>_xlfn.IMAGE("https://m.media-amazon.com/images/I/61gSwiAKybL._AC_UL320_.jpg")</f>
        <v/>
      </c>
      <c r="K3883" t="inlineStr">
        <is>
          <t>45.0</t>
        </is>
      </c>
      <c r="L3883" t="n">
        <v>29.99</v>
      </c>
      <c r="M3883" s="1" t="inlineStr">
        <is>
          <t>-33.36%</t>
        </is>
      </c>
      <c r="N3883" t="n">
        <v>4.3</v>
      </c>
      <c r="O3883" t="n">
        <v>733</v>
      </c>
      <c r="Q3883" t="inlineStr">
        <is>
          <t>InStock</t>
        </is>
      </c>
      <c r="R3883" t="inlineStr">
        <is>
          <t>undefined</t>
        </is>
      </c>
      <c r="S3883" t="inlineStr">
        <is>
          <t>6788592304215</t>
        </is>
      </c>
    </row>
    <row r="3884" ht="75" customHeight="1">
      <c r="A3884" s="2">
        <f>HYPERLINK("https://faoschwarz.com/products/3d-empire-state-night-puzzle", "https://faoschwarz.com/products/3d-empire-state-night-puzzle")</f>
        <v/>
      </c>
      <c r="B3884" s="2">
        <f>HYPERLINK("https://faoschwarz.com/products/3d-empire-state-night-puzzle", "https://faoschwarz.com/products/3d-empire-state-night-puzzle")</f>
        <v/>
      </c>
      <c r="C3884" t="inlineStr">
        <is>
          <t>3D Empire State Night Puzzle</t>
        </is>
      </c>
      <c r="D3884" t="inlineStr">
        <is>
          <t>Puzzled 3D Puzzle Empire State Building Wood Craft Construction Model Kit, Educational DIY Wooden Toy Assemble Model Unfinished Crafting Hobby Puzzle to Build and Paint for Decoration 58 Pieces Pack</t>
        </is>
      </c>
      <c r="E3884" s="2">
        <f>HYPERLINK("https://www.amazon.com/Puzzled-Construction-Educational-Unfinished-Decoration/dp/B005UY39MC/ref=sr_1_5?keywords=3D+Empire+State+Night+Puzzle&amp;qid=1695566012&amp;sr=8-5", "https://www.amazon.com/Puzzled-Construction-Educational-Unfinished-Decoration/dp/B005UY39MC/ref=sr_1_5?keywords=3D+Empire+State+Night+Puzzle&amp;qid=1695566012&amp;sr=8-5")</f>
        <v/>
      </c>
      <c r="F3884" t="inlineStr">
        <is>
          <t>B005UY39MC</t>
        </is>
      </c>
      <c r="G3884">
        <f>_xlfn.IMAGE("https://faoschwarz.com/cdn/shop/products/ravensburger-puzzles-3d-empire-state-night-puzzle-29344432619607_1080x.jpg?v=1659570702")</f>
        <v/>
      </c>
      <c r="H3884">
        <f>_xlfn.IMAGE("https://m.media-amazon.com/images/I/71vHkTHGDZL._AC_UL320_.jpg")</f>
        <v/>
      </c>
      <c r="K3884" t="inlineStr">
        <is>
          <t>45.0</t>
        </is>
      </c>
      <c r="L3884" t="n">
        <v>27.99</v>
      </c>
      <c r="M3884" s="1" t="inlineStr">
        <is>
          <t>-37.80%</t>
        </is>
      </c>
      <c r="N3884" t="n">
        <v>4.9</v>
      </c>
      <c r="O3884" t="n">
        <v>13</v>
      </c>
      <c r="Q3884" t="inlineStr">
        <is>
          <t>InStock</t>
        </is>
      </c>
      <c r="R3884" t="inlineStr">
        <is>
          <t>undefined</t>
        </is>
      </c>
      <c r="S3884" t="inlineStr">
        <is>
          <t>6788592304215</t>
        </is>
      </c>
    </row>
    <row r="3885" ht="75" customHeight="1">
      <c r="A3885" s="2">
        <f>HYPERLINK("https://faoschwarz.com/products/3d-empire-state-night-puzzle", "https://faoschwarz.com/products/3d-empire-state-night-puzzle")</f>
        <v/>
      </c>
      <c r="B3885" s="2">
        <f>HYPERLINK("https://faoschwarz.com/products/3d-empire-state-night-puzzle", "https://faoschwarz.com/products/3d-empire-state-night-puzzle")</f>
        <v/>
      </c>
      <c r="C3885" t="inlineStr">
        <is>
          <t>3D Empire State Night Puzzle</t>
        </is>
      </c>
      <c r="D3885" t="inlineStr">
        <is>
          <t>CubicFun 3D Puzzles for Adults and Kids LED Empire State Building Model Kits, Home Decor and Birthday Gifts for Women and Men, New York City Puzzle Kit 38 Pieces</t>
        </is>
      </c>
      <c r="E3885" s="2">
        <f>HYPERLINK("https://www.amazon.com/CubicFun-Skyline-Puzzle-Building-186pieces/dp/B00W69GK7U/ref=sr_1_7?keywords=3D+Empire+State+Night+Puzzle&amp;qid=1695566012&amp;sr=8-7", "https://www.amazon.com/CubicFun-Skyline-Puzzle-Building-186pieces/dp/B00W69GK7U/ref=sr_1_7?keywords=3D+Empire+State+Night+Puzzle&amp;qid=1695566012&amp;sr=8-7")</f>
        <v/>
      </c>
      <c r="F3885" t="inlineStr">
        <is>
          <t>B00W69GK7U</t>
        </is>
      </c>
      <c r="G3885">
        <f>_xlfn.IMAGE("https://faoschwarz.com/cdn/shop/products/ravensburger-puzzles-3d-empire-state-night-puzzle-29344432619607_1080x.jpg?v=1659570702")</f>
        <v/>
      </c>
      <c r="H3885">
        <f>_xlfn.IMAGE("https://m.media-amazon.com/images/I/81gujY1c+jL._AC_UL320_.jpg")</f>
        <v/>
      </c>
      <c r="K3885" t="inlineStr">
        <is>
          <t>45.0</t>
        </is>
      </c>
      <c r="L3885" t="n">
        <v>25.99</v>
      </c>
      <c r="M3885" s="1" t="inlineStr">
        <is>
          <t>-42.24%</t>
        </is>
      </c>
      <c r="N3885" t="n">
        <v>4.6</v>
      </c>
      <c r="O3885" t="n">
        <v>4840</v>
      </c>
      <c r="Q3885" t="inlineStr">
        <is>
          <t>InStock</t>
        </is>
      </c>
      <c r="R3885" t="inlineStr">
        <is>
          <t>undefined</t>
        </is>
      </c>
      <c r="S3885" t="inlineStr">
        <is>
          <t>6788592304215</t>
        </is>
      </c>
    </row>
    <row r="3886" ht="75" customHeight="1">
      <c r="A3886" s="2">
        <f>HYPERLINK("https://faoschwarz.com/products/3d-empire-state-night-puzzle", "https://faoschwarz.com/products/3d-empire-state-night-puzzle")</f>
        <v/>
      </c>
      <c r="B3886" s="2">
        <f>HYPERLINK("https://faoschwarz.com/products/3d-empire-state-night-puzzle", "https://faoschwarz.com/products/3d-empire-state-night-puzzle")</f>
        <v/>
      </c>
      <c r="C3886" t="inlineStr">
        <is>
          <t>3D Empire State Night Puzzle</t>
        </is>
      </c>
      <c r="D3886" t="inlineStr">
        <is>
          <t>CubicFun National Geographic 3D Puzzles New York Mansion Model Kits Toys for Adults and Children, the Empire State Building, with a Booklet</t>
        </is>
      </c>
      <c r="E3886" s="2">
        <f>HYPERLINK("https://www.amazon.com/CubicFun-National-Geographic-Skyline-Building-DS0977h/dp/B074P4MV9Q/ref=sr_1_8?keywords=3D+Empire+State+Night+Puzzle&amp;qid=1695566012&amp;sr=8-8", "https://www.amazon.com/CubicFun-National-Geographic-Skyline-Building-DS0977h/dp/B074P4MV9Q/ref=sr_1_8?keywords=3D+Empire+State+Night+Puzzle&amp;qid=1695566012&amp;sr=8-8")</f>
        <v/>
      </c>
      <c r="F3886" t="inlineStr">
        <is>
          <t>B074P4MV9Q</t>
        </is>
      </c>
      <c r="G3886">
        <f>_xlfn.IMAGE("https://faoschwarz.com/cdn/shop/products/ravensburger-puzzles-3d-empire-state-night-puzzle-29344432619607_1080x.jpg?v=1659570702")</f>
        <v/>
      </c>
      <c r="H3886">
        <f>_xlfn.IMAGE("https://m.media-amazon.com/images/I/81QLdQ4rpAS._AC_UL320_.jpg")</f>
        <v/>
      </c>
      <c r="K3886" t="inlineStr">
        <is>
          <t>45.0</t>
        </is>
      </c>
      <c r="L3886" t="n">
        <v>23.99</v>
      </c>
      <c r="M3886" s="1" t="inlineStr">
        <is>
          <t>-46.69%</t>
        </is>
      </c>
      <c r="N3886" t="n">
        <v>4.5</v>
      </c>
      <c r="O3886" t="n">
        <v>5720</v>
      </c>
      <c r="Q3886" t="inlineStr">
        <is>
          <t>InStock</t>
        </is>
      </c>
      <c r="R3886" t="inlineStr">
        <is>
          <t>undefined</t>
        </is>
      </c>
      <c r="S3886" t="inlineStr">
        <is>
          <t>6788592304215</t>
        </is>
      </c>
    </row>
    <row r="3887" ht="75" customHeight="1">
      <c r="A3887" s="2">
        <f>HYPERLINK("https://faoschwarz.com/products/3d-empire-state-night-puzzle", "https://faoschwarz.com/products/3d-empire-state-night-puzzle")</f>
        <v/>
      </c>
      <c r="B3887" s="2">
        <f>HYPERLINK("https://faoschwarz.com/products/3d-empire-state-night-puzzle", "https://faoschwarz.com/products/3d-empire-state-night-puzzle")</f>
        <v/>
      </c>
      <c r="C3887" t="inlineStr">
        <is>
          <t>3D Empire State Night Puzzle</t>
        </is>
      </c>
      <c r="D3887" t="inlineStr">
        <is>
          <t>Daron Empire State Building 3D Puzzle, 55-Pieces</t>
        </is>
      </c>
      <c r="E3887" s="2">
        <f>HYPERLINK("https://www.amazon.com/Daron-Empire-Building-Puzzle-55-Pieces/dp/B002L2TXM6/ref=sr_1_10?keywords=3D+Empire+State+Night+Puzzle&amp;qid=1695566012&amp;sr=8-10", "https://www.amazon.com/Daron-Empire-Building-Puzzle-55-Pieces/dp/B002L2TXM6/ref=sr_1_10?keywords=3D+Empire+State+Night+Puzzle&amp;qid=1695566012&amp;sr=8-10")</f>
        <v/>
      </c>
      <c r="F3887" t="inlineStr">
        <is>
          <t>B002L2TXM6</t>
        </is>
      </c>
      <c r="G3887">
        <f>_xlfn.IMAGE("https://faoschwarz.com/cdn/shop/products/ravensburger-puzzles-3d-empire-state-night-puzzle-29344432619607_1080x.jpg?v=1659570702")</f>
        <v/>
      </c>
      <c r="H3887">
        <f>_xlfn.IMAGE("https://m.media-amazon.com/images/I/812rRuSRzYL._AC_UL320_.jpg")</f>
        <v/>
      </c>
      <c r="K3887" t="inlineStr">
        <is>
          <t>45.0</t>
        </is>
      </c>
      <c r="L3887" t="n">
        <v>13.82</v>
      </c>
      <c r="M3887" s="1" t="inlineStr">
        <is>
          <t>-69.29%</t>
        </is>
      </c>
      <c r="N3887" t="n">
        <v>4.5</v>
      </c>
      <c r="O3887" t="n">
        <v>75</v>
      </c>
      <c r="Q3887" t="inlineStr">
        <is>
          <t>InStock</t>
        </is>
      </c>
      <c r="R3887" t="inlineStr">
        <is>
          <t>undefined</t>
        </is>
      </c>
      <c r="S3887" t="inlineStr">
        <is>
          <t>6788592304215</t>
        </is>
      </c>
    </row>
    <row r="3888" ht="75" customHeight="1">
      <c r="A3888" s="2">
        <f>HYPERLINK("https://faoschwarz.com/products/3d-empire-state-night-puzzle", "https://faoschwarz.com/products/3d-empire-state-night-puzzle")</f>
        <v/>
      </c>
      <c r="B3888" s="2">
        <f>HYPERLINK("https://faoschwarz.com/products/3d-empire-state-night-puzzle", "https://faoschwarz.com/products/3d-empire-state-night-puzzle")</f>
        <v/>
      </c>
      <c r="C3888" t="inlineStr">
        <is>
          <t>3D Empire State Night Puzzle</t>
        </is>
      </c>
      <c r="D3888" t="inlineStr">
        <is>
          <t>Ravensburger Empire State Building - Night Edition - 216 Piece 3D Jigsaw Puzzle for Kids and Adults - Easy Click Technology Means Pieces Fit Together Perfectly</t>
        </is>
      </c>
      <c r="E3888" s="2">
        <f>HYPERLINK("https://www.amazon.com/Ravensburger-Empire-State-Building-Technology/dp/B00CFV24TC/ref=sr_1_1?keywords=3D+Empire+State+Night+Puzzle&amp;qid=1695566012&amp;sr=8-1", "https://www.amazon.com/Ravensburger-Empire-State-Building-Technology/dp/B00CFV24TC/ref=sr_1_1?keywords=3D+Empire+State+Night+Puzzle&amp;qid=1695566012&amp;sr=8-1")</f>
        <v/>
      </c>
      <c r="F3888" t="inlineStr">
        <is>
          <t>B00CFV24TC</t>
        </is>
      </c>
      <c r="G3888">
        <f>_xlfn.IMAGE("https://faoschwarz.com/cdn/shop/products/ravensburger-puzzles-3d-empire-state-night-puzzle-29344432619607_1080x.jpg?v=1659570702")</f>
        <v/>
      </c>
      <c r="H3888">
        <f>_xlfn.IMAGE("https://m.media-amazon.com/images/I/81pr1Lu00rL._AC_UL320_.jpg")</f>
        <v/>
      </c>
      <c r="K3888" t="inlineStr">
        <is>
          <t>45.0</t>
        </is>
      </c>
      <c r="L3888" t="n">
        <v>38.62</v>
      </c>
      <c r="M3888" s="1" t="inlineStr">
        <is>
          <t>-14.18%</t>
        </is>
      </c>
      <c r="N3888" t="n">
        <v>4.5</v>
      </c>
      <c r="O3888" t="n">
        <v>5524</v>
      </c>
      <c r="Q3888" t="inlineStr">
        <is>
          <t>InStock</t>
        </is>
      </c>
      <c r="R3888" t="inlineStr">
        <is>
          <t>undefined</t>
        </is>
      </c>
      <c r="S3888" t="inlineStr">
        <is>
          <t>6788592304215</t>
        </is>
      </c>
    </row>
    <row r="3889" ht="75" customHeight="1">
      <c r="A3889" s="2">
        <f>HYPERLINK("https://faoschwarz.com/products/3d-empire-state-night-puzzle", "https://faoschwarz.com/products/3d-empire-state-night-puzzle")</f>
        <v/>
      </c>
      <c r="B3889" s="2">
        <f>HYPERLINK("https://faoschwarz.com/products/3d-empire-state-night-puzzle", "https://faoschwarz.com/products/3d-empire-state-night-puzzle")</f>
        <v/>
      </c>
      <c r="C3889" t="inlineStr">
        <is>
          <t>3D Empire State Night Puzzle</t>
        </is>
      </c>
      <c r="D3889" t="inlineStr">
        <is>
          <t>Puzzled Bundle of The Statue of Liberty &amp; Empire State Building Wooden 3D Puzzle Construction Kits, Fun Educational DIY Famous Sites Toys Assemble Models Unfinished Wood Craft Hobby Puzzles - 2 Pack</t>
        </is>
      </c>
      <c r="E3889" s="2">
        <f>HYPERLINK("https://www.amazon.com/Puzzled-Statue-Liberty-Building-Construction/dp/B00VVKXWFS/ref=sr_1_4?keywords=3D+Empire+State+Night+Puzzle&amp;qid=1695566012&amp;sr=8-4", "https://www.amazon.com/Puzzled-Statue-Liberty-Building-Construction/dp/B00VVKXWFS/ref=sr_1_4?keywords=3D+Empire+State+Night+Puzzle&amp;qid=1695566012&amp;sr=8-4")</f>
        <v/>
      </c>
      <c r="F3889" t="inlineStr">
        <is>
          <t>B00VVKXWFS</t>
        </is>
      </c>
      <c r="G3889">
        <f>_xlfn.IMAGE("https://faoschwarz.com/cdn/shop/products/ravensburger-puzzles-3d-empire-state-night-puzzle-29344432619607_1080x.jpg?v=1659570702")</f>
        <v/>
      </c>
      <c r="H3889">
        <f>_xlfn.IMAGE("https://m.media-amazon.com/images/I/71XOWUupqpL._AC_UL320_.jpg")</f>
        <v/>
      </c>
      <c r="K3889" t="inlineStr">
        <is>
          <t>45.0</t>
        </is>
      </c>
      <c r="L3889" t="n">
        <v>32.99</v>
      </c>
      <c r="M3889" s="1" t="inlineStr">
        <is>
          <t>-26.69%</t>
        </is>
      </c>
      <c r="N3889" t="n">
        <v>2</v>
      </c>
      <c r="O3889" t="n">
        <v>1</v>
      </c>
      <c r="Q3889" t="inlineStr">
        <is>
          <t>InStock</t>
        </is>
      </c>
      <c r="R3889" t="inlineStr">
        <is>
          <t>undefined</t>
        </is>
      </c>
      <c r="S3889" t="inlineStr">
        <is>
          <t>6788592304215</t>
        </is>
      </c>
    </row>
    <row r="3890" ht="75" customHeight="1">
      <c r="A3890" s="2">
        <f>HYPERLINK("https://faoschwarz.com/products/3d-empire-state-night-puzzle", "https://faoschwarz.com/products/3d-empire-state-night-puzzle")</f>
        <v/>
      </c>
      <c r="B3890" s="2">
        <f>HYPERLINK("https://faoschwarz.com/products/3d-empire-state-night-puzzle", "https://faoschwarz.com/products/3d-empire-state-night-puzzle")</f>
        <v/>
      </c>
      <c r="C3890" t="inlineStr">
        <is>
          <t>3D Empire State Night Puzzle</t>
        </is>
      </c>
      <c r="D3890" t="inlineStr">
        <is>
          <t>Spin Master Games Empire State Building 3D Puzzle</t>
        </is>
      </c>
      <c r="E3890" s="2">
        <f>HYPERLINK("https://www.amazon.com/Empire-State-Building-3D-Puzzle/dp/B00D8UC8QS/ref=sr_1_3?keywords=3D+Empire+State+Night+Puzzle&amp;qid=1695566012&amp;sr=8-3", "https://www.amazon.com/Empire-State-Building-3D-Puzzle/dp/B00D8UC8QS/ref=sr_1_3?keywords=3D+Empire+State+Night+Puzzle&amp;qid=1695566012&amp;sr=8-3")</f>
        <v/>
      </c>
      <c r="F3890" t="inlineStr">
        <is>
          <t>B00D8UC8QS</t>
        </is>
      </c>
      <c r="G3890">
        <f>_xlfn.IMAGE("https://faoschwarz.com/cdn/shop/products/ravensburger-puzzles-3d-empire-state-night-puzzle-29344432619607_1080x.jpg?v=1659570702")</f>
        <v/>
      </c>
      <c r="H3890">
        <f>_xlfn.IMAGE("https://m.media-amazon.com/images/I/716USJBQsZL._AC_UL320_.jpg")</f>
        <v/>
      </c>
      <c r="K3890" t="inlineStr">
        <is>
          <t>45.0</t>
        </is>
      </c>
      <c r="L3890" t="n">
        <v>31.43</v>
      </c>
      <c r="M3890" s="1" t="inlineStr">
        <is>
          <t>-30.16%</t>
        </is>
      </c>
      <c r="N3890" t="n">
        <v>2.6</v>
      </c>
      <c r="O3890" t="n">
        <v>7</v>
      </c>
      <c r="Q3890" t="inlineStr">
        <is>
          <t>InStock</t>
        </is>
      </c>
      <c r="R3890" t="inlineStr">
        <is>
          <t>undefined</t>
        </is>
      </c>
      <c r="S3890" t="inlineStr">
        <is>
          <t>6788592304215</t>
        </is>
      </c>
    </row>
    <row r="3891" ht="75" customHeight="1">
      <c r="A3891" s="2">
        <f>HYPERLINK("https://faoschwarz.com/products/3d-empire-state-night-puzzle", "https://faoschwarz.com/products/3d-empire-state-night-puzzle")</f>
        <v/>
      </c>
      <c r="B3891" s="2">
        <f>HYPERLINK("https://faoschwarz.com/products/3d-empire-state-night-puzzle", "https://faoschwarz.com/products/3d-empire-state-night-puzzle")</f>
        <v/>
      </c>
      <c r="C3891" t="inlineStr">
        <is>
          <t>3D Empire State Night Puzzle</t>
        </is>
      </c>
      <c r="D3891" t="inlineStr">
        <is>
          <t>Ravensburger Empire State Building 216 Piece 3D Jigsaw Puzzle for Kids and Adults - Easy Click Technology Means Pieces Fit Together Perfectly</t>
        </is>
      </c>
      <c r="E3891" s="2">
        <f>HYPERLINK("https://www.amazon.com/Ravensburger-Empire-Building-Jigsaw-Puzzle/dp/B004O0TOJ0/ref=sr_1_9?keywords=3D+Empire+State+Night+Puzzle&amp;qid=1695566012&amp;sr=8-9", "https://www.amazon.com/Ravensburger-Empire-Building-Jigsaw-Puzzle/dp/B004O0TOJ0/ref=sr_1_9?keywords=3D+Empire+State+Night+Puzzle&amp;qid=1695566012&amp;sr=8-9")</f>
        <v/>
      </c>
      <c r="F3891" t="inlineStr">
        <is>
          <t>B004O0TOJ0</t>
        </is>
      </c>
      <c r="G3891">
        <f>_xlfn.IMAGE("https://faoschwarz.com/cdn/shop/products/ravensburger-puzzles-3d-empire-state-night-puzzle-29344432619607_1080x.jpg?v=1659570702")</f>
        <v/>
      </c>
      <c r="H3891">
        <f>_xlfn.IMAGE("https://m.media-amazon.com/images/I/61gSwiAKybL._AC_UL320_.jpg")</f>
        <v/>
      </c>
      <c r="K3891" t="inlineStr">
        <is>
          <t>45.0</t>
        </is>
      </c>
      <c r="L3891" t="n">
        <v>29.99</v>
      </c>
      <c r="M3891" s="1" t="inlineStr">
        <is>
          <t>-33.36%</t>
        </is>
      </c>
      <c r="N3891" t="n">
        <v>4.3</v>
      </c>
      <c r="O3891" t="n">
        <v>733</v>
      </c>
      <c r="Q3891" t="inlineStr">
        <is>
          <t>InStock</t>
        </is>
      </c>
      <c r="R3891" t="inlineStr">
        <is>
          <t>undefined</t>
        </is>
      </c>
      <c r="S3891" t="inlineStr">
        <is>
          <t>6788592304215</t>
        </is>
      </c>
    </row>
    <row r="3892" ht="75" customHeight="1">
      <c r="A3892" s="2">
        <f>HYPERLINK("https://faoschwarz.com/products/3d-empire-state-night-puzzle", "https://faoschwarz.com/products/3d-empire-state-night-puzzle")</f>
        <v/>
      </c>
      <c r="B3892" s="2">
        <f>HYPERLINK("https://faoschwarz.com/products/3d-empire-state-night-puzzle", "https://faoschwarz.com/products/3d-empire-state-night-puzzle")</f>
        <v/>
      </c>
      <c r="C3892" t="inlineStr">
        <is>
          <t>3D Empire State Night Puzzle</t>
        </is>
      </c>
      <c r="D3892" t="inlineStr">
        <is>
          <t>Puzzled 3D Puzzle Empire State Building Wood Craft Construction Model Kit, Educational DIY Wooden Toy Assemble Model Unfinished Crafting Hobby Puzzle to Build and Paint for Decoration 58 Pieces Pack</t>
        </is>
      </c>
      <c r="E3892" s="2">
        <f>HYPERLINK("https://www.amazon.com/Puzzled-Construction-Educational-Unfinished-Decoration/dp/B005UY39MC/ref=sr_1_5?keywords=3D+Empire+State+Night+Puzzle&amp;qid=1695566012&amp;sr=8-5", "https://www.amazon.com/Puzzled-Construction-Educational-Unfinished-Decoration/dp/B005UY39MC/ref=sr_1_5?keywords=3D+Empire+State+Night+Puzzle&amp;qid=1695566012&amp;sr=8-5")</f>
        <v/>
      </c>
      <c r="F3892" t="inlineStr">
        <is>
          <t>B005UY39MC</t>
        </is>
      </c>
      <c r="G3892">
        <f>_xlfn.IMAGE("https://faoschwarz.com/cdn/shop/products/ravensburger-puzzles-3d-empire-state-night-puzzle-29344432619607_1080x.jpg?v=1659570702")</f>
        <v/>
      </c>
      <c r="H3892">
        <f>_xlfn.IMAGE("https://m.media-amazon.com/images/I/71vHkTHGDZL._AC_UL320_.jpg")</f>
        <v/>
      </c>
      <c r="K3892" t="inlineStr">
        <is>
          <t>45.0</t>
        </is>
      </c>
      <c r="L3892" t="n">
        <v>27.99</v>
      </c>
      <c r="M3892" s="1" t="inlineStr">
        <is>
          <t>-37.80%</t>
        </is>
      </c>
      <c r="N3892" t="n">
        <v>4.9</v>
      </c>
      <c r="O3892" t="n">
        <v>13</v>
      </c>
      <c r="Q3892" t="inlineStr">
        <is>
          <t>InStock</t>
        </is>
      </c>
      <c r="R3892" t="inlineStr">
        <is>
          <t>undefined</t>
        </is>
      </c>
      <c r="S3892" t="inlineStr">
        <is>
          <t>6788592304215</t>
        </is>
      </c>
    </row>
    <row r="3893" ht="75" customHeight="1">
      <c r="A3893" s="2">
        <f>HYPERLINK("https://faoschwarz.com/products/3d-empire-state-night-puzzle", "https://faoschwarz.com/products/3d-empire-state-night-puzzle")</f>
        <v/>
      </c>
      <c r="B3893" s="2">
        <f>HYPERLINK("https://faoschwarz.com/products/3d-empire-state-night-puzzle", "https://faoschwarz.com/products/3d-empire-state-night-puzzle")</f>
        <v/>
      </c>
      <c r="C3893" t="inlineStr">
        <is>
          <t>3D Empire State Night Puzzle</t>
        </is>
      </c>
      <c r="D3893" t="inlineStr">
        <is>
          <t>CubicFun 3D Puzzles for Adults and Kids LED Empire State Building Model Kits, Home Decor and Birthday Gifts for Women and Men, New York City Puzzle Kit 38 Pieces</t>
        </is>
      </c>
      <c r="E3893" s="2">
        <f>HYPERLINK("https://www.amazon.com/CubicFun-Skyline-Puzzle-Building-186pieces/dp/B00W69GK7U/ref=sr_1_7?keywords=3D+Empire+State+Night+Puzzle&amp;qid=1695566012&amp;sr=8-7", "https://www.amazon.com/CubicFun-Skyline-Puzzle-Building-186pieces/dp/B00W69GK7U/ref=sr_1_7?keywords=3D+Empire+State+Night+Puzzle&amp;qid=1695566012&amp;sr=8-7")</f>
        <v/>
      </c>
      <c r="F3893" t="inlineStr">
        <is>
          <t>B00W69GK7U</t>
        </is>
      </c>
      <c r="G3893">
        <f>_xlfn.IMAGE("https://faoschwarz.com/cdn/shop/products/ravensburger-puzzles-3d-empire-state-night-puzzle-29344432619607_1080x.jpg?v=1659570702")</f>
        <v/>
      </c>
      <c r="H3893">
        <f>_xlfn.IMAGE("https://m.media-amazon.com/images/I/81gujY1c+jL._AC_UL320_.jpg")</f>
        <v/>
      </c>
      <c r="K3893" t="inlineStr">
        <is>
          <t>45.0</t>
        </is>
      </c>
      <c r="L3893" t="n">
        <v>25.99</v>
      </c>
      <c r="M3893" s="1" t="inlineStr">
        <is>
          <t>-42.24%</t>
        </is>
      </c>
      <c r="N3893" t="n">
        <v>4.6</v>
      </c>
      <c r="O3893" t="n">
        <v>4840</v>
      </c>
      <c r="Q3893" t="inlineStr">
        <is>
          <t>InStock</t>
        </is>
      </c>
      <c r="R3893" t="inlineStr">
        <is>
          <t>undefined</t>
        </is>
      </c>
      <c r="S3893" t="inlineStr">
        <is>
          <t>6788592304215</t>
        </is>
      </c>
    </row>
    <row r="3894" ht="75" customHeight="1">
      <c r="A3894" s="2">
        <f>HYPERLINK("https://faoschwarz.com/products/3d-empire-state-night-puzzle", "https://faoschwarz.com/products/3d-empire-state-night-puzzle")</f>
        <v/>
      </c>
      <c r="B3894" s="2">
        <f>HYPERLINK("https://faoschwarz.com/products/3d-empire-state-night-puzzle", "https://faoschwarz.com/products/3d-empire-state-night-puzzle")</f>
        <v/>
      </c>
      <c r="C3894" t="inlineStr">
        <is>
          <t>3D Empire State Night Puzzle</t>
        </is>
      </c>
      <c r="D3894" t="inlineStr">
        <is>
          <t>CubicFun National Geographic 3D Puzzles New York Mansion Model Kits Toys for Adults and Children, the Empire State Building, with a Booklet</t>
        </is>
      </c>
      <c r="E3894" s="2">
        <f>HYPERLINK("https://www.amazon.com/CubicFun-National-Geographic-Skyline-Building-DS0977h/dp/B074P4MV9Q/ref=sr_1_8?keywords=3D+Empire+State+Night+Puzzle&amp;qid=1695566012&amp;sr=8-8", "https://www.amazon.com/CubicFun-National-Geographic-Skyline-Building-DS0977h/dp/B074P4MV9Q/ref=sr_1_8?keywords=3D+Empire+State+Night+Puzzle&amp;qid=1695566012&amp;sr=8-8")</f>
        <v/>
      </c>
      <c r="F3894" t="inlineStr">
        <is>
          <t>B074P4MV9Q</t>
        </is>
      </c>
      <c r="G3894">
        <f>_xlfn.IMAGE("https://faoschwarz.com/cdn/shop/products/ravensburger-puzzles-3d-empire-state-night-puzzle-29344432619607_1080x.jpg?v=1659570702")</f>
        <v/>
      </c>
      <c r="H3894">
        <f>_xlfn.IMAGE("https://m.media-amazon.com/images/I/81QLdQ4rpAS._AC_UL320_.jpg")</f>
        <v/>
      </c>
      <c r="K3894" t="inlineStr">
        <is>
          <t>45.0</t>
        </is>
      </c>
      <c r="L3894" t="n">
        <v>23.99</v>
      </c>
      <c r="M3894" s="1" t="inlineStr">
        <is>
          <t>-46.69%</t>
        </is>
      </c>
      <c r="N3894" t="n">
        <v>4.5</v>
      </c>
      <c r="O3894" t="n">
        <v>5720</v>
      </c>
      <c r="Q3894" t="inlineStr">
        <is>
          <t>InStock</t>
        </is>
      </c>
      <c r="R3894" t="inlineStr">
        <is>
          <t>undefined</t>
        </is>
      </c>
      <c r="S3894" t="inlineStr">
        <is>
          <t>6788592304215</t>
        </is>
      </c>
    </row>
    <row r="3895" ht="75" customHeight="1">
      <c r="A3895" s="2">
        <f>HYPERLINK("https://faoschwarz.com/products/3d-empire-state-night-puzzle", "https://faoschwarz.com/products/3d-empire-state-night-puzzle")</f>
        <v/>
      </c>
      <c r="B3895" s="2">
        <f>HYPERLINK("https://faoschwarz.com/products/3d-empire-state-night-puzzle", "https://faoschwarz.com/products/3d-empire-state-night-puzzle")</f>
        <v/>
      </c>
      <c r="C3895" t="inlineStr">
        <is>
          <t>3D Empire State Night Puzzle</t>
        </is>
      </c>
      <c r="D3895" t="inlineStr">
        <is>
          <t>Daron Empire State Building 3D Puzzle, 55-Pieces</t>
        </is>
      </c>
      <c r="E3895" s="2">
        <f>HYPERLINK("https://www.amazon.com/Daron-Empire-Building-Puzzle-55-Pieces/dp/B002L2TXM6/ref=sr_1_10?keywords=3D+Empire+State+Night+Puzzle&amp;qid=1695566012&amp;sr=8-10", "https://www.amazon.com/Daron-Empire-Building-Puzzle-55-Pieces/dp/B002L2TXM6/ref=sr_1_10?keywords=3D+Empire+State+Night+Puzzle&amp;qid=1695566012&amp;sr=8-10")</f>
        <v/>
      </c>
      <c r="F3895" t="inlineStr">
        <is>
          <t>B002L2TXM6</t>
        </is>
      </c>
      <c r="G3895">
        <f>_xlfn.IMAGE("https://faoschwarz.com/cdn/shop/products/ravensburger-puzzles-3d-empire-state-night-puzzle-29344432619607_1080x.jpg?v=1659570702")</f>
        <v/>
      </c>
      <c r="H3895">
        <f>_xlfn.IMAGE("https://m.media-amazon.com/images/I/812rRuSRzYL._AC_UL320_.jpg")</f>
        <v/>
      </c>
      <c r="K3895" t="inlineStr">
        <is>
          <t>45.0</t>
        </is>
      </c>
      <c r="L3895" t="n">
        <v>13.82</v>
      </c>
      <c r="M3895" s="1" t="inlineStr">
        <is>
          <t>-69.29%</t>
        </is>
      </c>
      <c r="N3895" t="n">
        <v>4.5</v>
      </c>
      <c r="O3895" t="n">
        <v>75</v>
      </c>
      <c r="Q3895" t="inlineStr">
        <is>
          <t>InStock</t>
        </is>
      </c>
      <c r="R3895" t="inlineStr">
        <is>
          <t>undefined</t>
        </is>
      </c>
      <c r="S3895" t="inlineStr">
        <is>
          <t>6788592304215</t>
        </is>
      </c>
    </row>
    <row r="3896" ht="75" customHeight="1">
      <c r="A3896" s="2">
        <f>HYPERLINK("https://faoschwarz.com/products/3d-statue-of-liberty", "https://faoschwarz.com/products/3d-statue-of-liberty")</f>
        <v/>
      </c>
      <c r="B3896" s="2">
        <f>HYPERLINK("https://faoschwarz.com/products/3d-statue-of-liberty", "https://faoschwarz.com/products/3d-statue-of-liberty")</f>
        <v/>
      </c>
      <c r="C3896" t="inlineStr">
        <is>
          <t>3D Statue of Liberty</t>
        </is>
      </c>
      <c r="D3896" t="inlineStr">
        <is>
          <t>Ravensburger Statue of Liberty Night Edition 108 Piece 3D Jigsaw Puzzle for Kids and Adults - Easy Click Technology Means Pieces Fit Together Perfectly , Brown</t>
        </is>
      </c>
      <c r="E3896" s="2">
        <f>HYPERLINK("https://www.amazon.com/Ravensburger-Statue-Liberty-Jigsaw-Puzzle/dp/B01D24NU5M/ref=sr_1_2?keywords=3D+Statue+of+Liberty&amp;qid=1695565994&amp;sr=8-2", "https://www.amazon.com/Ravensburger-Statue-Liberty-Jigsaw-Puzzle/dp/B01D24NU5M/ref=sr_1_2?keywords=3D+Statue+of+Liberty&amp;qid=1695565994&amp;sr=8-2")</f>
        <v/>
      </c>
      <c r="F3896" t="inlineStr">
        <is>
          <t>B01D24NU5M</t>
        </is>
      </c>
      <c r="G3896">
        <f>_xlfn.IMAGE("https://faoschwarz.com/cdn/shop/products/ravensburger-puzzles-3d-statue-of-liberty-11990673588311_1080x.jpg?v=1656255483")</f>
        <v/>
      </c>
      <c r="H3896">
        <f>_xlfn.IMAGE("https://m.media-amazon.com/images/I/71hP52TiuqL._AC_UL320_.jpg")</f>
        <v/>
      </c>
      <c r="K3896" t="inlineStr">
        <is>
          <t>45.0</t>
        </is>
      </c>
      <c r="L3896" t="n">
        <v>31.99</v>
      </c>
      <c r="M3896" s="1" t="inlineStr">
        <is>
          <t>-28.91%</t>
        </is>
      </c>
      <c r="N3896" t="n">
        <v>4.4</v>
      </c>
      <c r="O3896" t="n">
        <v>3631</v>
      </c>
      <c r="Q3896" t="inlineStr">
        <is>
          <t>InStock</t>
        </is>
      </c>
      <c r="R3896" t="inlineStr">
        <is>
          <t>undefined</t>
        </is>
      </c>
      <c r="S3896" t="inlineStr">
        <is>
          <t>1565155197015</t>
        </is>
      </c>
    </row>
    <row r="3897" ht="75" customHeight="1">
      <c r="A3897" s="2">
        <f>HYPERLINK("https://faoschwarz.com/products/3d-statue-of-liberty", "https://faoschwarz.com/products/3d-statue-of-liberty")</f>
        <v/>
      </c>
      <c r="B3897" s="2">
        <f>HYPERLINK("https://faoschwarz.com/products/3d-statue-of-liberty", "https://faoschwarz.com/products/3d-statue-of-liberty")</f>
        <v/>
      </c>
      <c r="C3897" t="inlineStr">
        <is>
          <t>3D Statue of Liberty</t>
        </is>
      </c>
      <c r="D3897" t="inlineStr">
        <is>
          <t>CubicFun 3D Puzzle LED Statue of Liberty with Colorful Lights 3D Puzzles for Adults Model Kits New York Building Crafts for Adults Brain Teaser Architecture Desk Puzzle Gifts for Women Men</t>
        </is>
      </c>
      <c r="E3897" s="2">
        <f>HYPERLINK("https://www.amazon.com/CubicFun-Liberty-Colorful-Building-Architecture/dp/B0C58FWRDW/ref=sr_1_8?keywords=3D+Statue+of+Liberty&amp;qid=1695565994&amp;sr=8-8", "https://www.amazon.com/CubicFun-Liberty-Colorful-Building-Architecture/dp/B0C58FWRDW/ref=sr_1_8?keywords=3D+Statue+of+Liberty&amp;qid=1695565994&amp;sr=8-8")</f>
        <v/>
      </c>
      <c r="F3897" t="inlineStr">
        <is>
          <t>B0C58FWRDW</t>
        </is>
      </c>
      <c r="G3897">
        <f>_xlfn.IMAGE("https://faoschwarz.com/cdn/shop/products/ravensburger-puzzles-3d-statue-of-liberty-11990673588311_1080x.jpg?v=1656255483")</f>
        <v/>
      </c>
      <c r="H3897">
        <f>_xlfn.IMAGE("https://m.media-amazon.com/images/I/71oVi+9QV5L._AC_UL320_.jpg")</f>
        <v/>
      </c>
      <c r="K3897" t="inlineStr">
        <is>
          <t>45.0</t>
        </is>
      </c>
      <c r="L3897" t="n">
        <v>26.99</v>
      </c>
      <c r="M3897" s="1" t="inlineStr">
        <is>
          <t>-40.02%</t>
        </is>
      </c>
      <c r="N3897" t="n">
        <v>4.5</v>
      </c>
      <c r="O3897" t="n">
        <v>168</v>
      </c>
      <c r="Q3897" t="inlineStr">
        <is>
          <t>InStock</t>
        </is>
      </c>
      <c r="R3897" t="inlineStr">
        <is>
          <t>undefined</t>
        </is>
      </c>
      <c r="S3897" t="inlineStr">
        <is>
          <t>1565155197015</t>
        </is>
      </c>
    </row>
    <row r="3898" ht="75" customHeight="1">
      <c r="A3898" s="2">
        <f>HYPERLINK("https://faoschwarz.com/products/3d-statue-of-liberty", "https://faoschwarz.com/products/3d-statue-of-liberty")</f>
        <v/>
      </c>
      <c r="B3898" s="2">
        <f>HYPERLINK("https://faoschwarz.com/products/3d-statue-of-liberty", "https://faoschwarz.com/products/3d-statue-of-liberty")</f>
        <v/>
      </c>
      <c r="C3898" t="inlineStr">
        <is>
          <t>3D Statue of Liberty</t>
        </is>
      </c>
      <c r="D3898" t="inlineStr">
        <is>
          <t>Movdyka 3D Crystal Statue of Liberty Figurine Decor, Laser Etched Statue of Liberty with LED Base, New York Souvenirs Gifts for Women Men Friends</t>
        </is>
      </c>
      <c r="E3898" s="2">
        <f>HYPERLINK("https://www.amazon.com/Movdyka-Crystal-Liberty-Figurine-Souvenirs/dp/B09JYVP9WQ/ref=sr_1_6?keywords=3D+Statue+of+Liberty&amp;qid=1695565994&amp;sr=8-6", "https://www.amazon.com/Movdyka-Crystal-Liberty-Figurine-Souvenirs/dp/B09JYVP9WQ/ref=sr_1_6?keywords=3D+Statue+of+Liberty&amp;qid=1695565994&amp;sr=8-6")</f>
        <v/>
      </c>
      <c r="F3898" t="inlineStr">
        <is>
          <t>B09JYVP9WQ</t>
        </is>
      </c>
      <c r="G3898">
        <f>_xlfn.IMAGE("https://faoschwarz.com/cdn/shop/products/ravensburger-puzzles-3d-statue-of-liberty-11990673588311_1080x.jpg?v=1656255483")</f>
        <v/>
      </c>
      <c r="H3898">
        <f>_xlfn.IMAGE("https://m.media-amazon.com/images/I/71C6bRiwhCL._AC_UL320_.jpg")</f>
        <v/>
      </c>
      <c r="K3898" t="inlineStr">
        <is>
          <t>45.0</t>
        </is>
      </c>
      <c r="L3898" t="n">
        <v>26.99</v>
      </c>
      <c r="M3898" s="1" t="inlineStr">
        <is>
          <t>-40.02%</t>
        </is>
      </c>
      <c r="N3898" t="n">
        <v>4.6</v>
      </c>
      <c r="O3898" t="n">
        <v>213</v>
      </c>
      <c r="Q3898" t="inlineStr">
        <is>
          <t>InStock</t>
        </is>
      </c>
      <c r="R3898" t="inlineStr">
        <is>
          <t>undefined</t>
        </is>
      </c>
      <c r="S3898" t="inlineStr">
        <is>
          <t>1565155197015</t>
        </is>
      </c>
    </row>
    <row r="3899" ht="75" customHeight="1">
      <c r="A3899" s="2">
        <f>HYPERLINK("https://faoschwarz.com/products/3d-statue-of-liberty", "https://faoschwarz.com/products/3d-statue-of-liberty")</f>
        <v/>
      </c>
      <c r="B3899" s="2">
        <f>HYPERLINK("https://faoschwarz.com/products/3d-statue-of-liberty", "https://faoschwarz.com/products/3d-statue-of-liberty")</f>
        <v/>
      </c>
      <c r="C3899" t="inlineStr">
        <is>
          <t>3D Statue of Liberty</t>
        </is>
      </c>
      <c r="D3899" t="inlineStr">
        <is>
          <t>CubicFun 3D Puzzles for Adults Kids LED Statue of Liberty Building Model Kits, Home Décor and Gifts for Women Men, Lighting New York Puzzle 37 Pieces</t>
        </is>
      </c>
      <c r="E3899" s="2">
        <f>HYPERLINK("https://www.amazon.com/CubicFun-Statue-Liberty-37-pieces/dp/B0049G7V62/ref=sr_1_5?keywords=3D+Statue+of+Liberty&amp;qid=1695565994&amp;sr=8-5", "https://www.amazon.com/CubicFun-Statue-Liberty-37-pieces/dp/B0049G7V62/ref=sr_1_5?keywords=3D+Statue+of+Liberty&amp;qid=1695565994&amp;sr=8-5")</f>
        <v/>
      </c>
      <c r="F3899" t="inlineStr">
        <is>
          <t>B0049G7V62</t>
        </is>
      </c>
      <c r="G3899">
        <f>_xlfn.IMAGE("https://faoschwarz.com/cdn/shop/products/ravensburger-puzzles-3d-statue-of-liberty-11990673588311_1080x.jpg?v=1656255483")</f>
        <v/>
      </c>
      <c r="H3899">
        <f>_xlfn.IMAGE("https://m.media-amazon.com/images/I/71oqvjTPArL._AC_UL320_.jpg")</f>
        <v/>
      </c>
      <c r="K3899" t="inlineStr">
        <is>
          <t>45.0</t>
        </is>
      </c>
      <c r="L3899" t="n">
        <v>25.99</v>
      </c>
      <c r="M3899" s="1" t="inlineStr">
        <is>
          <t>-42.24%</t>
        </is>
      </c>
      <c r="N3899" t="n">
        <v>4.6</v>
      </c>
      <c r="O3899" t="n">
        <v>4840</v>
      </c>
      <c r="Q3899" t="inlineStr">
        <is>
          <t>InStock</t>
        </is>
      </c>
      <c r="R3899" t="inlineStr">
        <is>
          <t>undefined</t>
        </is>
      </c>
      <c r="S3899" t="inlineStr">
        <is>
          <t>1565155197015</t>
        </is>
      </c>
    </row>
    <row r="3900" ht="75" customHeight="1">
      <c r="A3900" s="2">
        <f>HYPERLINK("https://faoschwarz.com/products/3d-statue-of-liberty", "https://faoschwarz.com/products/3d-statue-of-liberty")</f>
        <v/>
      </c>
      <c r="B3900" s="2">
        <f>HYPERLINK("https://faoschwarz.com/products/3d-statue-of-liberty", "https://faoschwarz.com/products/3d-statue-of-liberty")</f>
        <v/>
      </c>
      <c r="C3900" t="inlineStr">
        <is>
          <t>3D Statue of Liberty</t>
        </is>
      </c>
      <c r="D3900" t="inlineStr">
        <is>
          <t>Original 3D Crystal Puzzles | Statue of Liberty Deluxe Original 3D Crystal Puzzle, Ages 12 and Up</t>
        </is>
      </c>
      <c r="E3900" s="2">
        <f>HYPERLINK("https://www.amazon.com/Original-Crystal-Dimensional-Puzzles-Brainteasers/dp/B0B4F2478Q/ref=sr_1_10?keywords=3D+Statue+of+Liberty&amp;qid=1695565994&amp;sr=8-10", "https://www.amazon.com/Original-Crystal-Dimensional-Puzzles-Brainteasers/dp/B0B4F2478Q/ref=sr_1_10?keywords=3D+Statue+of+Liberty&amp;qid=1695565994&amp;sr=8-10")</f>
        <v/>
      </c>
      <c r="F3900" t="inlineStr">
        <is>
          <t>B0B4F2478Q</t>
        </is>
      </c>
      <c r="G3900">
        <f>_xlfn.IMAGE("https://faoschwarz.com/cdn/shop/products/ravensburger-puzzles-3d-statue-of-liberty-11990673588311_1080x.jpg?v=1656255483")</f>
        <v/>
      </c>
      <c r="H3900">
        <f>_xlfn.IMAGE("https://m.media-amazon.com/images/I/51wizTyC8oL._AC_UL320_.jpg")</f>
        <v/>
      </c>
      <c r="K3900" t="inlineStr">
        <is>
          <t>45.0</t>
        </is>
      </c>
      <c r="L3900" t="n">
        <v>19.97</v>
      </c>
      <c r="M3900" s="1" t="inlineStr">
        <is>
          <t>-55.62%</t>
        </is>
      </c>
      <c r="N3900" t="n">
        <v>4.6</v>
      </c>
      <c r="O3900" t="n">
        <v>3</v>
      </c>
      <c r="Q3900" t="inlineStr">
        <is>
          <t>InStock</t>
        </is>
      </c>
      <c r="R3900" t="inlineStr">
        <is>
          <t>undefined</t>
        </is>
      </c>
      <c r="S3900" t="inlineStr">
        <is>
          <t>1565155197015</t>
        </is>
      </c>
    </row>
    <row r="3901" ht="75" customHeight="1">
      <c r="A3901" s="2">
        <f>HYPERLINK("https://faoschwarz.com/products/3d-statue-of-liberty", "https://faoschwarz.com/products/3d-statue-of-liberty")</f>
        <v/>
      </c>
      <c r="B3901" s="2">
        <f>HYPERLINK("https://faoschwarz.com/products/3d-statue-of-liberty", "https://faoschwarz.com/products/3d-statue-of-liberty")</f>
        <v/>
      </c>
      <c r="C3901" t="inlineStr">
        <is>
          <t>3D Statue of Liberty</t>
        </is>
      </c>
      <c r="D3901" t="inlineStr">
        <is>
          <t>Statue of Liberty World Landmark Building 3D Illusion LED Table Lamp Night Light with Greeting Card,Luminous Base,16 Colors Remote Decor Gift for Fathers Day,Dad,Mothers,Men,Women,Kids,Boys,Teens</t>
        </is>
      </c>
      <c r="E3901" s="2">
        <f>HYPERLINK("https://www.amazon.com/Landmark-Building-Illusion-Greeting-Luminous/dp/B092DB5DH4/ref=sr_1_7?keywords=3D+Statue+of+Liberty&amp;qid=1695565994&amp;sr=8-7", "https://www.amazon.com/Landmark-Building-Illusion-Greeting-Luminous/dp/B092DB5DH4/ref=sr_1_7?keywords=3D+Statue+of+Liberty&amp;qid=1695565994&amp;sr=8-7")</f>
        <v/>
      </c>
      <c r="F3901" t="inlineStr">
        <is>
          <t>B092DB5DH4</t>
        </is>
      </c>
      <c r="G3901">
        <f>_xlfn.IMAGE("https://faoschwarz.com/cdn/shop/products/ravensburger-puzzles-3d-statue-of-liberty-11990673588311_1080x.jpg?v=1656255483")</f>
        <v/>
      </c>
      <c r="H3901">
        <f>_xlfn.IMAGE("https://m.media-amazon.com/images/I/71+vuXabTIL._AC_UL320_.jpg")</f>
        <v/>
      </c>
      <c r="K3901" t="inlineStr">
        <is>
          <t>45.0</t>
        </is>
      </c>
      <c r="L3901" t="n">
        <v>18.99</v>
      </c>
      <c r="M3901" s="1" t="inlineStr">
        <is>
          <t>-57.80%</t>
        </is>
      </c>
      <c r="N3901" t="n">
        <v>4.3</v>
      </c>
      <c r="O3901" t="n">
        <v>197</v>
      </c>
      <c r="Q3901" t="inlineStr">
        <is>
          <t>InStock</t>
        </is>
      </c>
      <c r="R3901" t="inlineStr">
        <is>
          <t>undefined</t>
        </is>
      </c>
      <c r="S3901" t="inlineStr">
        <is>
          <t>1565155197015</t>
        </is>
      </c>
    </row>
    <row r="3902" ht="75" customHeight="1">
      <c r="A3902" s="2">
        <f>HYPERLINK("https://faoschwarz.com/products/3d-statue-of-liberty", "https://faoschwarz.com/products/3d-statue-of-liberty")</f>
        <v/>
      </c>
      <c r="B3902" s="2">
        <f>HYPERLINK("https://faoschwarz.com/products/3d-statue-of-liberty", "https://faoschwarz.com/products/3d-statue-of-liberty")</f>
        <v/>
      </c>
      <c r="C3902" t="inlineStr">
        <is>
          <t>3D Statue of Liberty</t>
        </is>
      </c>
      <c r="D3902" t="inlineStr">
        <is>
          <t>TOY Life 3D Puzzles for Adults and Kids US - Architectural Puzzles for Adults and Kids 3D Puzzle - New York Puzzle Statue of Liberty The White House Empire State Building for Kids Ages 4-6-8-10-12-14</t>
        </is>
      </c>
      <c r="E3902" s="2">
        <f>HYPERLINK("https://www.amazon.com/TOY-Life-Puzzles-Adults-Kids/dp/B08FJ9QZD7/ref=sr_1_9?keywords=3D+Statue+of+Liberty&amp;qid=1695565994&amp;sr=8-9", "https://www.amazon.com/TOY-Life-Puzzles-Adults-Kids/dp/B08FJ9QZD7/ref=sr_1_9?keywords=3D+Statue+of+Liberty&amp;qid=1695565994&amp;sr=8-9")</f>
        <v/>
      </c>
      <c r="F3902" t="inlineStr">
        <is>
          <t>B08FJ9QZD7</t>
        </is>
      </c>
      <c r="G3902">
        <f>_xlfn.IMAGE("https://faoschwarz.com/cdn/shop/products/ravensburger-puzzles-3d-statue-of-liberty-11990673588311_1080x.jpg?v=1656255483")</f>
        <v/>
      </c>
      <c r="H3902">
        <f>_xlfn.IMAGE("https://m.media-amazon.com/images/I/818vyR1WsTL._AC_UL320_.jpg")</f>
        <v/>
      </c>
      <c r="K3902" t="inlineStr">
        <is>
          <t>45.0</t>
        </is>
      </c>
      <c r="L3902" t="n">
        <v>16.97</v>
      </c>
      <c r="M3902" s="1" t="inlineStr">
        <is>
          <t>-62.29%</t>
        </is>
      </c>
      <c r="N3902" t="n">
        <v>4.4</v>
      </c>
      <c r="O3902" t="n">
        <v>255</v>
      </c>
      <c r="Q3902" t="inlineStr">
        <is>
          <t>InStock</t>
        </is>
      </c>
      <c r="R3902" t="inlineStr">
        <is>
          <t>undefined</t>
        </is>
      </c>
      <c r="S3902" t="inlineStr">
        <is>
          <t>1565155197015</t>
        </is>
      </c>
    </row>
    <row r="3903" ht="75" customHeight="1">
      <c r="A3903" s="2">
        <f>HYPERLINK("https://faoschwarz.com/products/3d-statue-of-liberty", "https://faoschwarz.com/products/3d-statue-of-liberty")</f>
        <v/>
      </c>
      <c r="B3903" s="2">
        <f>HYPERLINK("https://faoschwarz.com/products/3d-statue-of-liberty", "https://faoschwarz.com/products/3d-statue-of-liberty")</f>
        <v/>
      </c>
      <c r="C3903" t="inlineStr">
        <is>
          <t>3D Statue of Liberty</t>
        </is>
      </c>
      <c r="D3903" t="inlineStr">
        <is>
          <t>Daron Statue of Liberty 3D Puzzle, 39-Piece</t>
        </is>
      </c>
      <c r="E3903" s="2">
        <f>HYPERLINK("https://www.amazon.com/Daron-Statue-Liberty-Puzzle-39-Piece/dp/B006GY0BNU/ref=sr_1_3?keywords=3D+Statue+of+Liberty&amp;qid=1695565994&amp;sr=8-3", "https://www.amazon.com/Daron-Statue-Liberty-Puzzle-39-Piece/dp/B006GY0BNU/ref=sr_1_3?keywords=3D+Statue+of+Liberty&amp;qid=1695565994&amp;sr=8-3")</f>
        <v/>
      </c>
      <c r="F3903" t="inlineStr">
        <is>
          <t>B006GY0BNU</t>
        </is>
      </c>
      <c r="G3903">
        <f>_xlfn.IMAGE("https://faoschwarz.com/cdn/shop/products/ravensburger-puzzles-3d-statue-of-liberty-11990673588311_1080x.jpg?v=1656255483")</f>
        <v/>
      </c>
      <c r="H3903">
        <f>_xlfn.IMAGE("https://m.media-amazon.com/images/I/61MkUKo4VSL._AC_UL320_.jpg")</f>
        <v/>
      </c>
      <c r="K3903" t="inlineStr">
        <is>
          <t>45.0</t>
        </is>
      </c>
      <c r="L3903" t="n">
        <v>14.99</v>
      </c>
      <c r="M3903" s="1" t="inlineStr">
        <is>
          <t>-66.69%</t>
        </is>
      </c>
      <c r="N3903" t="n">
        <v>4.4</v>
      </c>
      <c r="O3903" t="n">
        <v>76</v>
      </c>
      <c r="Q3903" t="inlineStr">
        <is>
          <t>InStock</t>
        </is>
      </c>
      <c r="R3903" t="inlineStr">
        <is>
          <t>undefined</t>
        </is>
      </c>
      <c r="S3903" t="inlineStr">
        <is>
          <t>1565155197015</t>
        </is>
      </c>
    </row>
    <row r="3904" ht="75" customHeight="1">
      <c r="A3904" s="2">
        <f>HYPERLINK("https://faoschwarz.com/products/3d-statue-of-liberty", "https://faoschwarz.com/products/3d-statue-of-liberty")</f>
        <v/>
      </c>
      <c r="B3904" s="2">
        <f>HYPERLINK("https://faoschwarz.com/products/3d-statue-of-liberty", "https://faoschwarz.com/products/3d-statue-of-liberty")</f>
        <v/>
      </c>
      <c r="C3904" t="inlineStr">
        <is>
          <t>3D Statue of Liberty</t>
        </is>
      </c>
      <c r="D3904" t="inlineStr">
        <is>
          <t>3D Puzzle Statue of Liberty - DIY Architecture Building Model Kit | Realistic Replica, No Glue | Educational Toy for Kids &amp; Adults | New York Landmark Decor</t>
        </is>
      </c>
      <c r="E3904" s="2">
        <f>HYPERLINK("https://www.amazon.com/Liberty-Imports-Statue-Puzzle-Pieces/dp/B0091VN5CY/ref=sr_1_1?keywords=3D+Statue+of+Liberty&amp;qid=1695565994&amp;sr=8-1", "https://www.amazon.com/Liberty-Imports-Statue-Puzzle-Pieces/dp/B0091VN5CY/ref=sr_1_1?keywords=3D+Statue+of+Liberty&amp;qid=1695565994&amp;sr=8-1")</f>
        <v/>
      </c>
      <c r="F3904" t="inlineStr">
        <is>
          <t>B0091VN5CY</t>
        </is>
      </c>
      <c r="G3904">
        <f>_xlfn.IMAGE("https://faoschwarz.com/cdn/shop/products/ravensburger-puzzles-3d-statue-of-liberty-11990673588311_1080x.jpg?v=1656255483")</f>
        <v/>
      </c>
      <c r="H3904">
        <f>_xlfn.IMAGE("https://m.media-amazon.com/images/I/71tdBoJ5E5L._AC_UL320_.jpg")</f>
        <v/>
      </c>
      <c r="K3904" t="inlineStr">
        <is>
          <t>45.0</t>
        </is>
      </c>
      <c r="L3904" t="n">
        <v>9.99</v>
      </c>
      <c r="M3904" s="1" t="inlineStr">
        <is>
          <t>-77.80%</t>
        </is>
      </c>
      <c r="N3904" t="n">
        <v>4.4</v>
      </c>
      <c r="O3904" t="n">
        <v>206</v>
      </c>
      <c r="Q3904" t="inlineStr">
        <is>
          <t>InStock</t>
        </is>
      </c>
      <c r="R3904" t="inlineStr">
        <is>
          <t>undefined</t>
        </is>
      </c>
      <c r="S3904" t="inlineStr">
        <is>
          <t>1565155197015</t>
        </is>
      </c>
    </row>
    <row r="3905" ht="75" customHeight="1">
      <c r="A3905" s="2">
        <f>HYPERLINK("https://faoschwarz.com/products/3d-statue-of-liberty", "https://faoschwarz.com/products/3d-statue-of-liberty")</f>
        <v/>
      </c>
      <c r="B3905" s="2">
        <f>HYPERLINK("https://faoschwarz.com/products/3d-statue-of-liberty", "https://faoschwarz.com/products/3d-statue-of-liberty")</f>
        <v/>
      </c>
      <c r="C3905" t="inlineStr">
        <is>
          <t>3D Statue of Liberty</t>
        </is>
      </c>
      <c r="D3905" t="inlineStr">
        <is>
          <t>Ravensburger Statue of Liberty Night Edition 108 Piece 3D Jigsaw Puzzle for Kids and Adults - Easy Click Technology Means Pieces Fit Together Perfectly , Brown</t>
        </is>
      </c>
      <c r="E3905" s="2">
        <f>HYPERLINK("https://www.amazon.com/Ravensburger-Statue-Liberty-Jigsaw-Puzzle/dp/B01D24NU5M/ref=sr_1_2?keywords=3D+Statue+of+Liberty&amp;qid=1695565994&amp;sr=8-2", "https://www.amazon.com/Ravensburger-Statue-Liberty-Jigsaw-Puzzle/dp/B01D24NU5M/ref=sr_1_2?keywords=3D+Statue+of+Liberty&amp;qid=1695565994&amp;sr=8-2")</f>
        <v/>
      </c>
      <c r="F3905" t="inlineStr">
        <is>
          <t>B01D24NU5M</t>
        </is>
      </c>
      <c r="G3905">
        <f>_xlfn.IMAGE("https://faoschwarz.com/cdn/shop/products/ravensburger-puzzles-3d-statue-of-liberty-11990673588311_1080x.jpg?v=1656255483")</f>
        <v/>
      </c>
      <c r="H3905">
        <f>_xlfn.IMAGE("https://m.media-amazon.com/images/I/71hP52TiuqL._AC_UL320_.jpg")</f>
        <v/>
      </c>
      <c r="K3905" t="inlineStr">
        <is>
          <t>45.0</t>
        </is>
      </c>
      <c r="L3905" t="n">
        <v>31.99</v>
      </c>
      <c r="M3905" s="1" t="inlineStr">
        <is>
          <t>-28.91%</t>
        </is>
      </c>
      <c r="N3905" t="n">
        <v>4.4</v>
      </c>
      <c r="O3905" t="n">
        <v>3631</v>
      </c>
      <c r="Q3905" t="inlineStr">
        <is>
          <t>InStock</t>
        </is>
      </c>
      <c r="R3905" t="inlineStr">
        <is>
          <t>undefined</t>
        </is>
      </c>
      <c r="S3905" t="inlineStr">
        <is>
          <t>1565155197015</t>
        </is>
      </c>
    </row>
    <row r="3906" ht="75" customHeight="1">
      <c r="A3906" s="2">
        <f>HYPERLINK("https://faoschwarz.com/products/3d-statue-of-liberty", "https://faoschwarz.com/products/3d-statue-of-liberty")</f>
        <v/>
      </c>
      <c r="B3906" s="2">
        <f>HYPERLINK("https://faoschwarz.com/products/3d-statue-of-liberty", "https://faoschwarz.com/products/3d-statue-of-liberty")</f>
        <v/>
      </c>
      <c r="C3906" t="inlineStr">
        <is>
          <t>3D Statue of Liberty</t>
        </is>
      </c>
      <c r="D3906" t="inlineStr">
        <is>
          <t>CubicFun 3D Puzzle LED Statue of Liberty with Colorful Lights 3D Puzzles for Adults Model Kits New York Building Crafts for Adults Brain Teaser Architecture Desk Puzzle Gifts for Women Men</t>
        </is>
      </c>
      <c r="E3906" s="2">
        <f>HYPERLINK("https://www.amazon.com/CubicFun-Liberty-Colorful-Building-Architecture/dp/B0C58FWRDW/ref=sr_1_8?keywords=3D+Statue+of+Liberty&amp;qid=1695565994&amp;sr=8-8", "https://www.amazon.com/CubicFun-Liberty-Colorful-Building-Architecture/dp/B0C58FWRDW/ref=sr_1_8?keywords=3D+Statue+of+Liberty&amp;qid=1695565994&amp;sr=8-8")</f>
        <v/>
      </c>
      <c r="F3906" t="inlineStr">
        <is>
          <t>B0C58FWRDW</t>
        </is>
      </c>
      <c r="G3906">
        <f>_xlfn.IMAGE("https://faoschwarz.com/cdn/shop/products/ravensburger-puzzles-3d-statue-of-liberty-11990673588311_1080x.jpg?v=1656255483")</f>
        <v/>
      </c>
      <c r="H3906">
        <f>_xlfn.IMAGE("https://m.media-amazon.com/images/I/71oVi+9QV5L._AC_UL320_.jpg")</f>
        <v/>
      </c>
      <c r="K3906" t="inlineStr">
        <is>
          <t>45.0</t>
        </is>
      </c>
      <c r="L3906" t="n">
        <v>26.99</v>
      </c>
      <c r="M3906" s="1" t="inlineStr">
        <is>
          <t>-40.02%</t>
        </is>
      </c>
      <c r="N3906" t="n">
        <v>4.5</v>
      </c>
      <c r="O3906" t="n">
        <v>168</v>
      </c>
      <c r="Q3906" t="inlineStr">
        <is>
          <t>InStock</t>
        </is>
      </c>
      <c r="R3906" t="inlineStr">
        <is>
          <t>undefined</t>
        </is>
      </c>
      <c r="S3906" t="inlineStr">
        <is>
          <t>1565155197015</t>
        </is>
      </c>
    </row>
    <row r="3907" ht="75" customHeight="1">
      <c r="A3907" s="2">
        <f>HYPERLINK("https://faoschwarz.com/products/3d-statue-of-liberty", "https://faoschwarz.com/products/3d-statue-of-liberty")</f>
        <v/>
      </c>
      <c r="B3907" s="2">
        <f>HYPERLINK("https://faoschwarz.com/products/3d-statue-of-liberty", "https://faoschwarz.com/products/3d-statue-of-liberty")</f>
        <v/>
      </c>
      <c r="C3907" t="inlineStr">
        <is>
          <t>3D Statue of Liberty</t>
        </is>
      </c>
      <c r="D3907" t="inlineStr">
        <is>
          <t>Movdyka 3D Crystal Statue of Liberty Figurine Decor, Laser Etched Statue of Liberty with LED Base, New York Souvenirs Gifts for Women Men Friends</t>
        </is>
      </c>
      <c r="E3907" s="2">
        <f>HYPERLINK("https://www.amazon.com/Movdyka-Crystal-Liberty-Figurine-Souvenirs/dp/B09JYVP9WQ/ref=sr_1_6?keywords=3D+Statue+of+Liberty&amp;qid=1695565994&amp;sr=8-6", "https://www.amazon.com/Movdyka-Crystal-Liberty-Figurine-Souvenirs/dp/B09JYVP9WQ/ref=sr_1_6?keywords=3D+Statue+of+Liberty&amp;qid=1695565994&amp;sr=8-6")</f>
        <v/>
      </c>
      <c r="F3907" t="inlineStr">
        <is>
          <t>B09JYVP9WQ</t>
        </is>
      </c>
      <c r="G3907">
        <f>_xlfn.IMAGE("https://faoschwarz.com/cdn/shop/products/ravensburger-puzzles-3d-statue-of-liberty-11990673588311_1080x.jpg?v=1656255483")</f>
        <v/>
      </c>
      <c r="H3907">
        <f>_xlfn.IMAGE("https://m.media-amazon.com/images/I/71C6bRiwhCL._AC_UL320_.jpg")</f>
        <v/>
      </c>
      <c r="K3907" t="inlineStr">
        <is>
          <t>45.0</t>
        </is>
      </c>
      <c r="L3907" t="n">
        <v>26.99</v>
      </c>
      <c r="M3907" s="1" t="inlineStr">
        <is>
          <t>-40.02%</t>
        </is>
      </c>
      <c r="N3907" t="n">
        <v>4.6</v>
      </c>
      <c r="O3907" t="n">
        <v>213</v>
      </c>
      <c r="Q3907" t="inlineStr">
        <is>
          <t>InStock</t>
        </is>
      </c>
      <c r="R3907" t="inlineStr">
        <is>
          <t>undefined</t>
        </is>
      </c>
      <c r="S3907" t="inlineStr">
        <is>
          <t>1565155197015</t>
        </is>
      </c>
    </row>
    <row r="3908" ht="75" customHeight="1">
      <c r="A3908" s="2">
        <f>HYPERLINK("https://faoschwarz.com/products/3d-statue-of-liberty", "https://faoschwarz.com/products/3d-statue-of-liberty")</f>
        <v/>
      </c>
      <c r="B3908" s="2">
        <f>HYPERLINK("https://faoschwarz.com/products/3d-statue-of-liberty", "https://faoschwarz.com/products/3d-statue-of-liberty")</f>
        <v/>
      </c>
      <c r="C3908" t="inlineStr">
        <is>
          <t>3D Statue of Liberty</t>
        </is>
      </c>
      <c r="D3908" t="inlineStr">
        <is>
          <t>CubicFun 3D Puzzles for Adults Kids LED Statue of Liberty Building Model Kits, Home Décor and Gifts for Women Men, Lighting New York Puzzle 37 Pieces</t>
        </is>
      </c>
      <c r="E3908" s="2">
        <f>HYPERLINK("https://www.amazon.com/CubicFun-Statue-Liberty-37-pieces/dp/B0049G7V62/ref=sr_1_5?keywords=3D+Statue+of+Liberty&amp;qid=1695565994&amp;sr=8-5", "https://www.amazon.com/CubicFun-Statue-Liberty-37-pieces/dp/B0049G7V62/ref=sr_1_5?keywords=3D+Statue+of+Liberty&amp;qid=1695565994&amp;sr=8-5")</f>
        <v/>
      </c>
      <c r="F3908" t="inlineStr">
        <is>
          <t>B0049G7V62</t>
        </is>
      </c>
      <c r="G3908">
        <f>_xlfn.IMAGE("https://faoschwarz.com/cdn/shop/products/ravensburger-puzzles-3d-statue-of-liberty-11990673588311_1080x.jpg?v=1656255483")</f>
        <v/>
      </c>
      <c r="H3908">
        <f>_xlfn.IMAGE("https://m.media-amazon.com/images/I/71oqvjTPArL._AC_UL320_.jpg")</f>
        <v/>
      </c>
      <c r="K3908" t="inlineStr">
        <is>
          <t>45.0</t>
        </is>
      </c>
      <c r="L3908" t="n">
        <v>25.99</v>
      </c>
      <c r="M3908" s="1" t="inlineStr">
        <is>
          <t>-42.24%</t>
        </is>
      </c>
      <c r="N3908" t="n">
        <v>4.6</v>
      </c>
      <c r="O3908" t="n">
        <v>4840</v>
      </c>
      <c r="Q3908" t="inlineStr">
        <is>
          <t>InStock</t>
        </is>
      </c>
      <c r="R3908" t="inlineStr">
        <is>
          <t>undefined</t>
        </is>
      </c>
      <c r="S3908" t="inlineStr">
        <is>
          <t>1565155197015</t>
        </is>
      </c>
    </row>
    <row r="3909" ht="75" customHeight="1">
      <c r="A3909" s="2">
        <f>HYPERLINK("https://faoschwarz.com/products/3d-statue-of-liberty", "https://faoschwarz.com/products/3d-statue-of-liberty")</f>
        <v/>
      </c>
      <c r="B3909" s="2">
        <f>HYPERLINK("https://faoschwarz.com/products/3d-statue-of-liberty", "https://faoschwarz.com/products/3d-statue-of-liberty")</f>
        <v/>
      </c>
      <c r="C3909" t="inlineStr">
        <is>
          <t>3D Statue of Liberty</t>
        </is>
      </c>
      <c r="D3909" t="inlineStr">
        <is>
          <t>Original 3D Crystal Puzzles | Statue of Liberty Deluxe Original 3D Crystal Puzzle, Ages 12 and Up</t>
        </is>
      </c>
      <c r="E3909" s="2">
        <f>HYPERLINK("https://www.amazon.com/Original-Crystal-Dimensional-Puzzles-Brainteasers/dp/B0B4F2478Q/ref=sr_1_10?keywords=3D+Statue+of+Liberty&amp;qid=1695565994&amp;sr=8-10", "https://www.amazon.com/Original-Crystal-Dimensional-Puzzles-Brainteasers/dp/B0B4F2478Q/ref=sr_1_10?keywords=3D+Statue+of+Liberty&amp;qid=1695565994&amp;sr=8-10")</f>
        <v/>
      </c>
      <c r="F3909" t="inlineStr">
        <is>
          <t>B0B4F2478Q</t>
        </is>
      </c>
      <c r="G3909">
        <f>_xlfn.IMAGE("https://faoschwarz.com/cdn/shop/products/ravensburger-puzzles-3d-statue-of-liberty-11990673588311_1080x.jpg?v=1656255483")</f>
        <v/>
      </c>
      <c r="H3909">
        <f>_xlfn.IMAGE("https://m.media-amazon.com/images/I/51wizTyC8oL._AC_UL320_.jpg")</f>
        <v/>
      </c>
      <c r="K3909" t="inlineStr">
        <is>
          <t>45.0</t>
        </is>
      </c>
      <c r="L3909" t="n">
        <v>19.97</v>
      </c>
      <c r="M3909" s="1" t="inlineStr">
        <is>
          <t>-55.62%</t>
        </is>
      </c>
      <c r="N3909" t="n">
        <v>4.6</v>
      </c>
      <c r="O3909" t="n">
        <v>3</v>
      </c>
      <c r="Q3909" t="inlineStr">
        <is>
          <t>InStock</t>
        </is>
      </c>
      <c r="R3909" t="inlineStr">
        <is>
          <t>undefined</t>
        </is>
      </c>
      <c r="S3909" t="inlineStr">
        <is>
          <t>1565155197015</t>
        </is>
      </c>
    </row>
    <row r="3910" ht="75" customHeight="1">
      <c r="A3910" s="2">
        <f>HYPERLINK("https://faoschwarz.com/products/3d-statue-of-liberty", "https://faoschwarz.com/products/3d-statue-of-liberty")</f>
        <v/>
      </c>
      <c r="B3910" s="2">
        <f>HYPERLINK("https://faoschwarz.com/products/3d-statue-of-liberty", "https://faoschwarz.com/products/3d-statue-of-liberty")</f>
        <v/>
      </c>
      <c r="C3910" t="inlineStr">
        <is>
          <t>3D Statue of Liberty</t>
        </is>
      </c>
      <c r="D3910" t="inlineStr">
        <is>
          <t>Statue of Liberty World Landmark Building 3D Illusion LED Table Lamp Night Light with Greeting Card,Luminous Base,16 Colors Remote Decor Gift for Fathers Day,Dad,Mothers,Men,Women,Kids,Boys,Teens</t>
        </is>
      </c>
      <c r="E3910" s="2">
        <f>HYPERLINK("https://www.amazon.com/Landmark-Building-Illusion-Greeting-Luminous/dp/B092DB5DH4/ref=sr_1_7?keywords=3D+Statue+of+Liberty&amp;qid=1695565994&amp;sr=8-7", "https://www.amazon.com/Landmark-Building-Illusion-Greeting-Luminous/dp/B092DB5DH4/ref=sr_1_7?keywords=3D+Statue+of+Liberty&amp;qid=1695565994&amp;sr=8-7")</f>
        <v/>
      </c>
      <c r="F3910" t="inlineStr">
        <is>
          <t>B092DB5DH4</t>
        </is>
      </c>
      <c r="G3910">
        <f>_xlfn.IMAGE("https://faoschwarz.com/cdn/shop/products/ravensburger-puzzles-3d-statue-of-liberty-11990673588311_1080x.jpg?v=1656255483")</f>
        <v/>
      </c>
      <c r="H3910">
        <f>_xlfn.IMAGE("https://m.media-amazon.com/images/I/71+vuXabTIL._AC_UL320_.jpg")</f>
        <v/>
      </c>
      <c r="K3910" t="inlineStr">
        <is>
          <t>45.0</t>
        </is>
      </c>
      <c r="L3910" t="n">
        <v>18.99</v>
      </c>
      <c r="M3910" s="1" t="inlineStr">
        <is>
          <t>-57.80%</t>
        </is>
      </c>
      <c r="N3910" t="n">
        <v>4.3</v>
      </c>
      <c r="O3910" t="n">
        <v>197</v>
      </c>
      <c r="Q3910" t="inlineStr">
        <is>
          <t>InStock</t>
        </is>
      </c>
      <c r="R3910" t="inlineStr">
        <is>
          <t>undefined</t>
        </is>
      </c>
      <c r="S3910" t="inlineStr">
        <is>
          <t>1565155197015</t>
        </is>
      </c>
    </row>
    <row r="3911" ht="75" customHeight="1">
      <c r="A3911" s="2">
        <f>HYPERLINK("https://faoschwarz.com/products/3d-statue-of-liberty", "https://faoschwarz.com/products/3d-statue-of-liberty")</f>
        <v/>
      </c>
      <c r="B3911" s="2">
        <f>HYPERLINK("https://faoschwarz.com/products/3d-statue-of-liberty", "https://faoschwarz.com/products/3d-statue-of-liberty")</f>
        <v/>
      </c>
      <c r="C3911" t="inlineStr">
        <is>
          <t>3D Statue of Liberty</t>
        </is>
      </c>
      <c r="D3911" t="inlineStr">
        <is>
          <t>TOY Life 3D Puzzles for Adults and Kids US - Architectural Puzzles for Adults and Kids 3D Puzzle - New York Puzzle Statue of Liberty The White House Empire State Building for Kids Ages 4-6-8-10-12-14</t>
        </is>
      </c>
      <c r="E3911" s="2">
        <f>HYPERLINK("https://www.amazon.com/TOY-Life-Puzzles-Adults-Kids/dp/B08FJ9QZD7/ref=sr_1_9?keywords=3D+Statue+of+Liberty&amp;qid=1695565994&amp;sr=8-9", "https://www.amazon.com/TOY-Life-Puzzles-Adults-Kids/dp/B08FJ9QZD7/ref=sr_1_9?keywords=3D+Statue+of+Liberty&amp;qid=1695565994&amp;sr=8-9")</f>
        <v/>
      </c>
      <c r="F3911" t="inlineStr">
        <is>
          <t>B08FJ9QZD7</t>
        </is>
      </c>
      <c r="G3911">
        <f>_xlfn.IMAGE("https://faoschwarz.com/cdn/shop/products/ravensburger-puzzles-3d-statue-of-liberty-11990673588311_1080x.jpg?v=1656255483")</f>
        <v/>
      </c>
      <c r="H3911">
        <f>_xlfn.IMAGE("https://m.media-amazon.com/images/I/818vyR1WsTL._AC_UL320_.jpg")</f>
        <v/>
      </c>
      <c r="K3911" t="inlineStr">
        <is>
          <t>45.0</t>
        </is>
      </c>
      <c r="L3911" t="n">
        <v>16.97</v>
      </c>
      <c r="M3911" s="1" t="inlineStr">
        <is>
          <t>-62.29%</t>
        </is>
      </c>
      <c r="N3911" t="n">
        <v>4.4</v>
      </c>
      <c r="O3911" t="n">
        <v>255</v>
      </c>
      <c r="Q3911" t="inlineStr">
        <is>
          <t>InStock</t>
        </is>
      </c>
      <c r="R3911" t="inlineStr">
        <is>
          <t>undefined</t>
        </is>
      </c>
      <c r="S3911" t="inlineStr">
        <is>
          <t>1565155197015</t>
        </is>
      </c>
    </row>
    <row r="3912" ht="75" customHeight="1">
      <c r="A3912" s="2">
        <f>HYPERLINK("https://faoschwarz.com/products/3d-statue-of-liberty", "https://faoschwarz.com/products/3d-statue-of-liberty")</f>
        <v/>
      </c>
      <c r="B3912" s="2">
        <f>HYPERLINK("https://faoschwarz.com/products/3d-statue-of-liberty", "https://faoschwarz.com/products/3d-statue-of-liberty")</f>
        <v/>
      </c>
      <c r="C3912" t="inlineStr">
        <is>
          <t>3D Statue of Liberty</t>
        </is>
      </c>
      <c r="D3912" t="inlineStr">
        <is>
          <t>Daron Statue of Liberty 3D Puzzle, 39-Piece</t>
        </is>
      </c>
      <c r="E3912" s="2">
        <f>HYPERLINK("https://www.amazon.com/Daron-Statue-Liberty-Puzzle-39-Piece/dp/B006GY0BNU/ref=sr_1_3?keywords=3D+Statue+of+Liberty&amp;qid=1695565994&amp;sr=8-3", "https://www.amazon.com/Daron-Statue-Liberty-Puzzle-39-Piece/dp/B006GY0BNU/ref=sr_1_3?keywords=3D+Statue+of+Liberty&amp;qid=1695565994&amp;sr=8-3")</f>
        <v/>
      </c>
      <c r="F3912" t="inlineStr">
        <is>
          <t>B006GY0BNU</t>
        </is>
      </c>
      <c r="G3912">
        <f>_xlfn.IMAGE("https://faoschwarz.com/cdn/shop/products/ravensburger-puzzles-3d-statue-of-liberty-11990673588311_1080x.jpg?v=1656255483")</f>
        <v/>
      </c>
      <c r="H3912">
        <f>_xlfn.IMAGE("https://m.media-amazon.com/images/I/61MkUKo4VSL._AC_UL320_.jpg")</f>
        <v/>
      </c>
      <c r="K3912" t="inlineStr">
        <is>
          <t>45.0</t>
        </is>
      </c>
      <c r="L3912" t="n">
        <v>14.99</v>
      </c>
      <c r="M3912" s="1" t="inlineStr">
        <is>
          <t>-66.69%</t>
        </is>
      </c>
      <c r="N3912" t="n">
        <v>4.4</v>
      </c>
      <c r="O3912" t="n">
        <v>76</v>
      </c>
      <c r="Q3912" t="inlineStr">
        <is>
          <t>InStock</t>
        </is>
      </c>
      <c r="R3912" t="inlineStr">
        <is>
          <t>undefined</t>
        </is>
      </c>
      <c r="S3912" t="inlineStr">
        <is>
          <t>1565155197015</t>
        </is>
      </c>
    </row>
    <row r="3913" ht="75" customHeight="1">
      <c r="A3913" s="2">
        <f>HYPERLINK("https://faoschwarz.com/products/3d-statue-of-liberty", "https://faoschwarz.com/products/3d-statue-of-liberty")</f>
        <v/>
      </c>
      <c r="B3913" s="2">
        <f>HYPERLINK("https://faoschwarz.com/products/3d-statue-of-liberty", "https://faoschwarz.com/products/3d-statue-of-liberty")</f>
        <v/>
      </c>
      <c r="C3913" t="inlineStr">
        <is>
          <t>3D Statue of Liberty</t>
        </is>
      </c>
      <c r="D3913" t="inlineStr">
        <is>
          <t>3D Puzzle Statue of Liberty - DIY Architecture Building Model Kit | Realistic Replica, No Glue | Educational Toy for Kids &amp; Adults | New York Landmark Decor</t>
        </is>
      </c>
      <c r="E3913" s="2">
        <f>HYPERLINK("https://www.amazon.com/Liberty-Imports-Statue-Puzzle-Pieces/dp/B0091VN5CY/ref=sr_1_1?keywords=3D+Statue+of+Liberty&amp;qid=1695565994&amp;sr=8-1", "https://www.amazon.com/Liberty-Imports-Statue-Puzzle-Pieces/dp/B0091VN5CY/ref=sr_1_1?keywords=3D+Statue+of+Liberty&amp;qid=1695565994&amp;sr=8-1")</f>
        <v/>
      </c>
      <c r="F3913" t="inlineStr">
        <is>
          <t>B0091VN5CY</t>
        </is>
      </c>
      <c r="G3913">
        <f>_xlfn.IMAGE("https://faoschwarz.com/cdn/shop/products/ravensburger-puzzles-3d-statue-of-liberty-11990673588311_1080x.jpg?v=1656255483")</f>
        <v/>
      </c>
      <c r="H3913">
        <f>_xlfn.IMAGE("https://m.media-amazon.com/images/I/71tdBoJ5E5L._AC_UL320_.jpg")</f>
        <v/>
      </c>
      <c r="K3913" t="inlineStr">
        <is>
          <t>45.0</t>
        </is>
      </c>
      <c r="L3913" t="n">
        <v>9.99</v>
      </c>
      <c r="M3913" s="1" t="inlineStr">
        <is>
          <t>-77.80%</t>
        </is>
      </c>
      <c r="N3913" t="n">
        <v>4.4</v>
      </c>
      <c r="O3913" t="n">
        <v>206</v>
      </c>
      <c r="Q3913" t="inlineStr">
        <is>
          <t>InStock</t>
        </is>
      </c>
      <c r="R3913" t="inlineStr">
        <is>
          <t>undefined</t>
        </is>
      </c>
      <c r="S3913" t="inlineStr">
        <is>
          <t>1565155197015</t>
        </is>
      </c>
    </row>
    <row r="3914" ht="75" customHeight="1">
      <c r="A3914" s="2">
        <f>HYPERLINK("https://faoschwarz.com/products/40-piece-magnetic-tile-set-pink", "https://faoschwarz.com/products/40-piece-magnetic-tile-set-pink")</f>
        <v/>
      </c>
      <c r="B3914" s="2">
        <f>HYPERLINK("https://faoschwarz.com/products/40-piece-magnetic-tile-set-pink", "https://faoschwarz.com/products/40-piece-magnetic-tile-set-pink")</f>
        <v/>
      </c>
      <c r="C3914" t="inlineStr">
        <is>
          <t>40 Piece Magnetic Tile Set - Pink</t>
        </is>
      </c>
      <c r="D3914" t="inlineStr">
        <is>
          <t>MAGNA-TILES Freestyle 40-Piece Magnetic Construction Set, The ORIGINAL Magnetic Building Brand</t>
        </is>
      </c>
      <c r="E3914" s="2">
        <f>HYPERLINK("https://www.amazon.com/MAGNA-TILES-Freestyle-40-Piece-Magnetic-Construction/dp/B07H1BLRT8/ref=sr_1_1?keywords=40+Piece+Magnetic+Tile+Set+-+Pink&amp;qid=1695565924&amp;sr=8-1", "https://www.amazon.com/MAGNA-TILES-Freestyle-40-Piece-Magnetic-Construction/dp/B07H1BLRT8/ref=sr_1_1?keywords=40+Piece+Magnetic+Tile+Set+-+Pink&amp;qid=1695565924&amp;sr=8-1")</f>
        <v/>
      </c>
      <c r="F3914" t="inlineStr">
        <is>
          <t>B07H1BLRT8</t>
        </is>
      </c>
      <c r="G3914">
        <f>_xlfn.IMAGE("https://faoschwarz.com/cdn/shop/products/fao-schwarz-building-construction-40-piece-magnetic-tile-set-pink-29673763373143_1080x.jpg?v=1666708033")</f>
        <v/>
      </c>
      <c r="H3914">
        <f>_xlfn.IMAGE("https://m.media-amazon.com/images/I/81uXgbyr8+L._AC_UL320_.jpg")</f>
        <v/>
      </c>
      <c r="K3914" t="inlineStr">
        <is>
          <t>25.0</t>
        </is>
      </c>
      <c r="L3914" t="n">
        <v>69.98999999999999</v>
      </c>
      <c r="M3914" s="1" t="inlineStr">
        <is>
          <t>179.96%</t>
        </is>
      </c>
      <c r="N3914" t="n">
        <v>4.8</v>
      </c>
      <c r="O3914" t="n">
        <v>494</v>
      </c>
      <c r="Q3914" t="inlineStr">
        <is>
          <t>InStock</t>
        </is>
      </c>
      <c r="R3914" t="inlineStr">
        <is>
          <t>undefined</t>
        </is>
      </c>
      <c r="S3914" t="inlineStr">
        <is>
          <t>6825097560151</t>
        </is>
      </c>
    </row>
    <row r="3915" ht="75" customHeight="1">
      <c r="A3915" s="2">
        <f>HYPERLINK("https://faoschwarz.com/products/40-piece-magnetic-tile-set-pink", "https://faoschwarz.com/products/40-piece-magnetic-tile-set-pink")</f>
        <v/>
      </c>
      <c r="B3915" s="2">
        <f>HYPERLINK("https://faoschwarz.com/products/40-piece-magnetic-tile-set-pink", "https://faoschwarz.com/products/40-piece-magnetic-tile-set-pink")</f>
        <v/>
      </c>
      <c r="C3915" t="inlineStr">
        <is>
          <t>40 Piece Magnetic Tile Set - Pink</t>
        </is>
      </c>
      <c r="D3915" t="inlineStr">
        <is>
          <t>Best Choice Products 265-Piece Kids Colorful Magnetic Tiles Set 3D Construction Magnet Building Blocks Educational STEM Toy</t>
        </is>
      </c>
      <c r="E3915" s="2">
        <f>HYPERLINK("https://www.amazon.com/Best-Choice-Products-250-Piece-Educational/dp/B07MKPG6G4/ref=sr_1_7?keywords=40+Piece+Magnetic+Tile+Set+-+Pink&amp;qid=1695565924&amp;sr=8-7", "https://www.amazon.com/Best-Choice-Products-250-Piece-Educational/dp/B07MKPG6G4/ref=sr_1_7?keywords=40+Piece+Magnetic+Tile+Set+-+Pink&amp;qid=1695565924&amp;sr=8-7")</f>
        <v/>
      </c>
      <c r="F3915" t="inlineStr">
        <is>
          <t>B07MKPG6G4</t>
        </is>
      </c>
      <c r="G3915">
        <f>_xlfn.IMAGE("https://faoschwarz.com/cdn/shop/products/fao-schwarz-building-construction-40-piece-magnetic-tile-set-pink-29673763373143_1080x.jpg?v=1666708033")</f>
        <v/>
      </c>
      <c r="H3915">
        <f>_xlfn.IMAGE("https://m.media-amazon.com/images/I/91vMtV+EvwL._AC_UL320_.jpg")</f>
        <v/>
      </c>
      <c r="K3915" t="inlineStr">
        <is>
          <t>25.0</t>
        </is>
      </c>
      <c r="L3915" t="n">
        <v>64.98999999999999</v>
      </c>
      <c r="M3915" s="1" t="inlineStr">
        <is>
          <t>159.96%</t>
        </is>
      </c>
      <c r="N3915" t="n">
        <v>4.7</v>
      </c>
      <c r="O3915" t="n">
        <v>334</v>
      </c>
      <c r="Q3915" t="inlineStr">
        <is>
          <t>InStock</t>
        </is>
      </c>
      <c r="R3915" t="inlineStr">
        <is>
          <t>undefined</t>
        </is>
      </c>
      <c r="S3915" t="inlineStr">
        <is>
          <t>6825097560151</t>
        </is>
      </c>
    </row>
    <row r="3916" ht="75" customHeight="1">
      <c r="A3916" s="2">
        <f>HYPERLINK("https://faoschwarz.com/products/40-piece-magnetic-tile-set-pink", "https://faoschwarz.com/products/40-piece-magnetic-tile-set-pink")</f>
        <v/>
      </c>
      <c r="B3916" s="2">
        <f>HYPERLINK("https://faoschwarz.com/products/40-piece-magnetic-tile-set-pink", "https://faoschwarz.com/products/40-piece-magnetic-tile-set-pink")</f>
        <v/>
      </c>
      <c r="C3916" t="inlineStr">
        <is>
          <t>40 Piece Magnetic Tile Set - Pink</t>
        </is>
      </c>
      <c r="D3916" t="inlineStr">
        <is>
          <t>PicassoTiles 120 Pieces Magnetic Tiles Building Blocks Mini Size Diamond Series Magnet Toys Travel Size On-The-Go Construction Sensory Toys Gifts Educational Set STEM Learning Kit Playset PTM120</t>
        </is>
      </c>
      <c r="E3916" s="2">
        <f>HYPERLINK("https://www.amazon.com/PicassoTiles-Magnetic-Expansion-Building-Preschool/dp/B09SFXCFTD/ref=sr_1_8?keywords=40+Piece+Magnetic+Tile+Set+-+Pink&amp;qid=1695565924&amp;sr=8-8", "https://www.amazon.com/PicassoTiles-Magnetic-Expansion-Building-Preschool/dp/B09SFXCFTD/ref=sr_1_8?keywords=40+Piece+Magnetic+Tile+Set+-+Pink&amp;qid=1695565924&amp;sr=8-8")</f>
        <v/>
      </c>
      <c r="F3916" t="inlineStr">
        <is>
          <t>B09SFXCFTD</t>
        </is>
      </c>
      <c r="G3916">
        <f>_xlfn.IMAGE("https://faoschwarz.com/cdn/shop/products/fao-schwarz-building-construction-40-piece-magnetic-tile-set-pink-29673763373143_1080x.jpg?v=1666708033")</f>
        <v/>
      </c>
      <c r="H3916">
        <f>_xlfn.IMAGE("https://m.media-amazon.com/images/I/81CgcgGr92L._AC_UL320_.jpg")</f>
        <v/>
      </c>
      <c r="K3916" t="inlineStr">
        <is>
          <t>25.0</t>
        </is>
      </c>
      <c r="L3916" t="n">
        <v>39.99</v>
      </c>
      <c r="M3916" s="1" t="inlineStr">
        <is>
          <t>59.96%</t>
        </is>
      </c>
      <c r="N3916" t="n">
        <v>4.7</v>
      </c>
      <c r="O3916" t="n">
        <v>1686</v>
      </c>
      <c r="Q3916" t="inlineStr">
        <is>
          <t>InStock</t>
        </is>
      </c>
      <c r="R3916" t="inlineStr">
        <is>
          <t>undefined</t>
        </is>
      </c>
      <c r="S3916" t="inlineStr">
        <is>
          <t>6825097560151</t>
        </is>
      </c>
    </row>
    <row r="3917" ht="75" customHeight="1">
      <c r="A3917" s="2">
        <f>HYPERLINK("https://faoschwarz.com/products/40-piece-magnetic-tile-set-pink", "https://faoschwarz.com/products/40-piece-magnetic-tile-set-pink")</f>
        <v/>
      </c>
      <c r="B3917" s="2">
        <f>HYPERLINK("https://faoschwarz.com/products/40-piece-magnetic-tile-set-pink", "https://faoschwarz.com/products/40-piece-magnetic-tile-set-pink")</f>
        <v/>
      </c>
      <c r="C3917" t="inlineStr">
        <is>
          <t>40 Piece Magnetic Tile Set - Pink</t>
        </is>
      </c>
      <c r="D3917" t="inlineStr">
        <is>
          <t>MAGNA-TILES Farm Animals 25-Piece Magnetic Construction Set, The ORIGINAL Magnetic Building Brand</t>
        </is>
      </c>
      <c r="E3917" s="2">
        <f>HYPERLINK("https://www.amazon.com/Magna-Tiles-Farm-Animals-25-Piece/dp/B0BK767PH8/ref=sr_1_5?keywords=40+Piece+Magnetic+Tile+Set+-+Pink&amp;qid=1695565924&amp;sr=8-5", "https://www.amazon.com/Magna-Tiles-Farm-Animals-25-Piece/dp/B0BK767PH8/ref=sr_1_5?keywords=40+Piece+Magnetic+Tile+Set+-+Pink&amp;qid=1695565924&amp;sr=8-5")</f>
        <v/>
      </c>
      <c r="F3917" t="inlineStr">
        <is>
          <t>B0BK767PH8</t>
        </is>
      </c>
      <c r="G3917">
        <f>_xlfn.IMAGE("https://faoschwarz.com/cdn/shop/products/fao-schwarz-building-construction-40-piece-magnetic-tile-set-pink-29673763373143_1080x.jpg?v=1666708033")</f>
        <v/>
      </c>
      <c r="H3917">
        <f>_xlfn.IMAGE("https://m.media-amazon.com/images/I/617dZK8TYTL._AC_UL320_.jpg")</f>
        <v/>
      </c>
      <c r="K3917" t="inlineStr">
        <is>
          <t>25.0</t>
        </is>
      </c>
      <c r="L3917" t="n">
        <v>39.99</v>
      </c>
      <c r="M3917" s="1" t="inlineStr">
        <is>
          <t>59.96%</t>
        </is>
      </c>
      <c r="N3917" t="n">
        <v>4.8</v>
      </c>
      <c r="O3917" t="n">
        <v>30</v>
      </c>
      <c r="Q3917" t="inlineStr">
        <is>
          <t>InStock</t>
        </is>
      </c>
      <c r="R3917" t="inlineStr">
        <is>
          <t>undefined</t>
        </is>
      </c>
      <c r="S3917" t="inlineStr">
        <is>
          <t>6825097560151</t>
        </is>
      </c>
    </row>
    <row r="3918" ht="75" customHeight="1">
      <c r="A3918" s="2">
        <f>HYPERLINK("https://faoschwarz.com/products/40-piece-magnetic-tile-set-pink", "https://faoschwarz.com/products/40-piece-magnetic-tile-set-pink")</f>
        <v/>
      </c>
      <c r="B3918" s="2">
        <f>HYPERLINK("https://faoschwarz.com/products/40-piece-magnetic-tile-set-pink", "https://faoschwarz.com/products/40-piece-magnetic-tile-set-pink")</f>
        <v/>
      </c>
      <c r="C3918" t="inlineStr">
        <is>
          <t>40 Piece Magnetic Tile Set - Pink</t>
        </is>
      </c>
      <c r="D3918" t="inlineStr">
        <is>
          <t>MAGNA-TILES Stardust 15-Piece Magnetic Construction Set, The ORIGINAL Magnetic Building Brand</t>
        </is>
      </c>
      <c r="E3918" s="2">
        <f>HYPERLINK("https://www.amazon.com/MAGNA-Stardust-Open-Ended-Educational-Including/dp/B07H14F12Z/ref=sr_1_9?keywords=40+Piece+Magnetic+Tile+Set+-+Pink&amp;qid=1695565924&amp;sr=8-9", "https://www.amazon.com/MAGNA-Stardust-Open-Ended-Educational-Including/dp/B07H14F12Z/ref=sr_1_9?keywords=40+Piece+Magnetic+Tile+Set+-+Pink&amp;qid=1695565924&amp;sr=8-9")</f>
        <v/>
      </c>
      <c r="F3918" t="inlineStr">
        <is>
          <t>B07H14F12Z</t>
        </is>
      </c>
      <c r="G3918">
        <f>_xlfn.IMAGE("https://faoschwarz.com/cdn/shop/products/fao-schwarz-building-construction-40-piece-magnetic-tile-set-pink-29673763373143_1080x.jpg?v=1666708033")</f>
        <v/>
      </c>
      <c r="H3918">
        <f>_xlfn.IMAGE("https://m.media-amazon.com/images/I/61m0nhZ+H6L._AC_UL320_.jpg")</f>
        <v/>
      </c>
      <c r="K3918" t="inlineStr">
        <is>
          <t>25.0</t>
        </is>
      </c>
      <c r="L3918" t="n">
        <v>29.99</v>
      </c>
      <c r="M3918" s="1" t="inlineStr">
        <is>
          <t>19.96%</t>
        </is>
      </c>
      <c r="N3918" t="n">
        <v>4.8</v>
      </c>
      <c r="O3918" t="n">
        <v>2895</v>
      </c>
      <c r="Q3918" t="inlineStr">
        <is>
          <t>InStock</t>
        </is>
      </c>
      <c r="R3918" t="inlineStr">
        <is>
          <t>undefined</t>
        </is>
      </c>
      <c r="S3918" t="inlineStr">
        <is>
          <t>6825097560151</t>
        </is>
      </c>
    </row>
    <row r="3919" ht="75" customHeight="1">
      <c r="A3919" s="2">
        <f>HYPERLINK("https://faoschwarz.com/products/4-player-croquet-set", "https://faoschwarz.com/products/4-player-croquet-set")</f>
        <v/>
      </c>
      <c r="B3919" s="2">
        <f>HYPERLINK("https://faoschwarz.com/products/4-player-croquet-set", "https://faoschwarz.com/products/4-player-croquet-set")</f>
        <v/>
      </c>
      <c r="C3919" t="inlineStr">
        <is>
          <t>4 Player Croquet Set</t>
        </is>
      </c>
      <c r="D3919" t="inlineStr">
        <is>
          <t>Deluxe Croquet Game Set - 8 Player - with Wooden Stand (Four 28" Handles/Four 32" Handles)</t>
        </is>
      </c>
      <c r="E3919" s="2">
        <f>HYPERLINK("https://www.amazon.com/AmishToyBox-com-Deluxe-Croquet-Game-Set/dp/B07Q5KT874/ref=sr_1_8?keywords=4+Player+Croquet+Set&amp;qid=1695565986&amp;sr=8-8", "https://www.amazon.com/AmishToyBox-com-Deluxe-Croquet-Game-Set/dp/B07Q5KT874/ref=sr_1_8?keywords=4+Player+Croquet+Set&amp;qid=1695565986&amp;sr=8-8")</f>
        <v/>
      </c>
      <c r="F3919" t="inlineStr">
        <is>
          <t>B07Q5KT874</t>
        </is>
      </c>
      <c r="G3919">
        <f>_xlfn.IMAGE("https://faoschwarz.com/cdn/shop/products/lucio-londero-games-4-player-croquet-set-14077347397719_1080x.jpg?v=1656105303")</f>
        <v/>
      </c>
      <c r="H3919">
        <f>_xlfn.IMAGE("https://m.media-amazon.com/images/I/71RO6bSrltL._AC_UL320_.jpg")</f>
        <v/>
      </c>
      <c r="K3919" t="inlineStr">
        <is>
          <t>135.0</t>
        </is>
      </c>
      <c r="L3919" t="n">
        <v>467.5</v>
      </c>
      <c r="M3919" s="1" t="inlineStr">
        <is>
          <t>246.30%</t>
        </is>
      </c>
      <c r="N3919" t="n">
        <v>4.6</v>
      </c>
      <c r="O3919" t="n">
        <v>53</v>
      </c>
      <c r="Q3919" t="inlineStr">
        <is>
          <t>InStock</t>
        </is>
      </c>
      <c r="R3919" t="inlineStr">
        <is>
          <t>undefined</t>
        </is>
      </c>
      <c r="S3919" t="inlineStr">
        <is>
          <t>4496983359575</t>
        </is>
      </c>
    </row>
    <row r="3920" ht="75" customHeight="1">
      <c r="A3920" s="2">
        <f>HYPERLINK("https://faoschwarz.com/products/4-player-croquet-set", "https://faoschwarz.com/products/4-player-croquet-set")</f>
        <v/>
      </c>
      <c r="B3920" s="2">
        <f>HYPERLINK("https://faoschwarz.com/products/4-player-croquet-set", "https://faoschwarz.com/products/4-player-croquet-set")</f>
        <v/>
      </c>
      <c r="C3920" t="inlineStr">
        <is>
          <t>4 Player Croquet Set</t>
        </is>
      </c>
      <c r="D3920" t="inlineStr">
        <is>
          <t>Baden 6-Player Champions Croquet Set with Soft Grip Handles Medium</t>
        </is>
      </c>
      <c r="E3920" s="2">
        <f>HYPERLINK("https://www.amazon.com/Baden-6-player-Champions-Croquet-Handles/dp/B005OVD3LS/ref=sr_1_10?keywords=4+Player+Croquet+Set&amp;qid=1695565986&amp;sr=8-10", "https://www.amazon.com/Baden-6-player-Champions-Croquet-Handles/dp/B005OVD3LS/ref=sr_1_10?keywords=4+Player+Croquet+Set&amp;qid=1695565986&amp;sr=8-10")</f>
        <v/>
      </c>
      <c r="F3920" t="inlineStr">
        <is>
          <t>B005OVD3LS</t>
        </is>
      </c>
      <c r="G3920">
        <f>_xlfn.IMAGE("https://faoschwarz.com/cdn/shop/products/lucio-londero-games-4-player-croquet-set-14077347397719_1080x.jpg?v=1656105303")</f>
        <v/>
      </c>
      <c r="H3920">
        <f>_xlfn.IMAGE("https://m.media-amazon.com/images/I/61MLVeqUshL._AC_UL320_.jpg")</f>
        <v/>
      </c>
      <c r="K3920" t="inlineStr">
        <is>
          <t>135.0</t>
        </is>
      </c>
      <c r="L3920" t="n">
        <v>119.99</v>
      </c>
      <c r="M3920" s="1" t="inlineStr">
        <is>
          <t>-11.12%</t>
        </is>
      </c>
      <c r="N3920" t="n">
        <v>4.2</v>
      </c>
      <c r="O3920" t="n">
        <v>309</v>
      </c>
      <c r="Q3920" t="inlineStr">
        <is>
          <t>InStock</t>
        </is>
      </c>
      <c r="R3920" t="inlineStr">
        <is>
          <t>undefined</t>
        </is>
      </c>
      <c r="S3920" t="inlineStr">
        <is>
          <t>4496983359575</t>
        </is>
      </c>
    </row>
    <row r="3921" ht="75" customHeight="1">
      <c r="A3921" s="2">
        <f>HYPERLINK("https://faoschwarz.com/products/4-player-croquet-set", "https://faoschwarz.com/products/4-player-croquet-set")</f>
        <v/>
      </c>
      <c r="B3921" s="2">
        <f>HYPERLINK("https://faoschwarz.com/products/4-player-croquet-set", "https://faoschwarz.com/products/4-player-croquet-set")</f>
        <v/>
      </c>
      <c r="C3921" t="inlineStr">
        <is>
          <t>4 Player Croquet Set</t>
        </is>
      </c>
      <c r="D3921" t="inlineStr">
        <is>
          <t>GSE Six Player Croquet Set with Classic/Deluxe Wooden Mallets, Colored Balls, Sturdy Carrying Bag for Adults &amp; Kids, Perfect for Outdoor Lawn, Backyard, Park(Deluxe Set)</t>
        </is>
      </c>
      <c r="E3921" s="2">
        <f>HYPERLINK("https://www.amazon.com/GSE-Games-Sports-Expert-Available/dp/B07PWC48RB/ref=sr_1_9?keywords=4+Player+Croquet+Set&amp;qid=1695565986&amp;sr=8-9", "https://www.amazon.com/GSE-Games-Sports-Expert-Available/dp/B07PWC48RB/ref=sr_1_9?keywords=4+Player+Croquet+Set&amp;qid=1695565986&amp;sr=8-9")</f>
        <v/>
      </c>
      <c r="F3921" t="inlineStr">
        <is>
          <t>B07PWC48RB</t>
        </is>
      </c>
      <c r="G3921">
        <f>_xlfn.IMAGE("https://faoschwarz.com/cdn/shop/products/lucio-londero-games-4-player-croquet-set-14077347397719_1080x.jpg?v=1656105303")</f>
        <v/>
      </c>
      <c r="H3921">
        <f>_xlfn.IMAGE("https://m.media-amazon.com/images/I/61RIZawvMJL._AC_UL320_.jpg")</f>
        <v/>
      </c>
      <c r="K3921" t="inlineStr">
        <is>
          <t>135.0</t>
        </is>
      </c>
      <c r="L3921" t="n">
        <v>69.98</v>
      </c>
      <c r="M3921" s="1" t="inlineStr">
        <is>
          <t>-48.16%</t>
        </is>
      </c>
      <c r="N3921" t="n">
        <v>4.5</v>
      </c>
      <c r="O3921" t="n">
        <v>185</v>
      </c>
      <c r="Q3921" t="inlineStr">
        <is>
          <t>InStock</t>
        </is>
      </c>
      <c r="R3921" t="inlineStr">
        <is>
          <t>undefined</t>
        </is>
      </c>
      <c r="S3921" t="inlineStr">
        <is>
          <t>4496983359575</t>
        </is>
      </c>
    </row>
    <row r="3922" ht="75" customHeight="1">
      <c r="A3922" s="2">
        <f>HYPERLINK("https://faoschwarz.com/products/4-player-croquet-set", "https://faoschwarz.com/products/4-player-croquet-set")</f>
        <v/>
      </c>
      <c r="B3922" s="2">
        <f>HYPERLINK("https://faoschwarz.com/products/4-player-croquet-set", "https://faoschwarz.com/products/4-player-croquet-set")</f>
        <v/>
      </c>
      <c r="C3922" t="inlineStr">
        <is>
          <t>4 Player Croquet Set</t>
        </is>
      </c>
      <c r="D3922" t="inlineStr">
        <is>
          <t>Six Player Croquet Set for Adults &amp; Kids - Modern Wood Design - Choose Deluxe (35") or Standard (28")</t>
        </is>
      </c>
      <c r="E3922" s="2">
        <f>HYPERLINK("https://www.amazon.com/GoSports-Premium-Croquet-Set-Adults/dp/B075QVT6RM/ref=sr_1_7?keywords=4+Player+Croquet+Set&amp;qid=1695565986&amp;sr=8-7", "https://www.amazon.com/GoSports-Premium-Croquet-Set-Adults/dp/B075QVT6RM/ref=sr_1_7?keywords=4+Player+Croquet+Set&amp;qid=1695565986&amp;sr=8-7")</f>
        <v/>
      </c>
      <c r="F3922" t="inlineStr">
        <is>
          <t>B075QVT6RM</t>
        </is>
      </c>
      <c r="G3922">
        <f>_xlfn.IMAGE("https://faoschwarz.com/cdn/shop/products/lucio-londero-games-4-player-croquet-set-14077347397719_1080x.jpg?v=1656105303")</f>
        <v/>
      </c>
      <c r="H3922">
        <f>_xlfn.IMAGE("https://m.media-amazon.com/images/I/712WmrziRCL._AC_UL320_.jpg")</f>
        <v/>
      </c>
      <c r="K3922" t="inlineStr">
        <is>
          <t>135.0</t>
        </is>
      </c>
      <c r="L3922" t="n">
        <v>52.36</v>
      </c>
      <c r="M3922" s="1" t="inlineStr">
        <is>
          <t>-61.21%</t>
        </is>
      </c>
      <c r="N3922" t="n">
        <v>4.5</v>
      </c>
      <c r="O3922" t="n">
        <v>3269</v>
      </c>
      <c r="Q3922" t="inlineStr">
        <is>
          <t>InStock</t>
        </is>
      </c>
      <c r="R3922" t="inlineStr">
        <is>
          <t>undefined</t>
        </is>
      </c>
      <c r="S3922" t="inlineStr">
        <is>
          <t>4496983359575</t>
        </is>
      </c>
    </row>
    <row r="3923" ht="75" customHeight="1">
      <c r="A3923" s="2">
        <f>HYPERLINK("https://faoschwarz.com/products/4-player-croquet-set", "https://faoschwarz.com/products/4-player-croquet-set")</f>
        <v/>
      </c>
      <c r="B3923" s="2">
        <f>HYPERLINK("https://faoschwarz.com/products/4-player-croquet-set", "https://faoschwarz.com/products/4-player-croquet-set")</f>
        <v/>
      </c>
      <c r="C3923" t="inlineStr">
        <is>
          <t>4 Player Croquet Set</t>
        </is>
      </c>
      <c r="D3923" t="inlineStr">
        <is>
          <t>Juegoal Six Player Croquet Set with Wooden Mallets Colored Balls for Lawn, Backyard and Park, 28 Inch</t>
        </is>
      </c>
      <c r="E3923" s="2">
        <f>HYPERLINK("https://www.amazon.com/Juegoal-Player-Croquet-Carrying-Inch/dp/B07597J7NL/ref=sr_1_4?keywords=4+Player+Croquet+Set&amp;qid=1695565986&amp;sr=8-4", "https://www.amazon.com/Juegoal-Player-Croquet-Carrying-Inch/dp/B07597J7NL/ref=sr_1_4?keywords=4+Player+Croquet+Set&amp;qid=1695565986&amp;sr=8-4")</f>
        <v/>
      </c>
      <c r="F3923" t="inlineStr">
        <is>
          <t>B07597J7NL</t>
        </is>
      </c>
      <c r="G3923">
        <f>_xlfn.IMAGE("https://faoschwarz.com/cdn/shop/products/lucio-londero-games-4-player-croquet-set-14077347397719_1080x.jpg?v=1656105303")</f>
        <v/>
      </c>
      <c r="H3923">
        <f>_xlfn.IMAGE("https://m.media-amazon.com/images/I/51zZb5uPA4L._AC_UL320_.jpg")</f>
        <v/>
      </c>
      <c r="K3923" t="inlineStr">
        <is>
          <t>135.0</t>
        </is>
      </c>
      <c r="L3923" t="n">
        <v>41.99</v>
      </c>
      <c r="M3923" s="1" t="inlineStr">
        <is>
          <t>-68.90%</t>
        </is>
      </c>
      <c r="N3923" t="n">
        <v>4.4</v>
      </c>
      <c r="O3923" t="n">
        <v>4074</v>
      </c>
      <c r="Q3923" t="inlineStr">
        <is>
          <t>InStock</t>
        </is>
      </c>
      <c r="R3923" t="inlineStr">
        <is>
          <t>undefined</t>
        </is>
      </c>
      <c r="S3923" t="inlineStr">
        <is>
          <t>4496983359575</t>
        </is>
      </c>
    </row>
    <row r="3924" ht="75" customHeight="1">
      <c r="A3924" s="2">
        <f>HYPERLINK("https://faoschwarz.com/products/4-player-croquet-set", "https://faoschwarz.com/products/4-player-croquet-set")</f>
        <v/>
      </c>
      <c r="B3924" s="2">
        <f>HYPERLINK("https://faoschwarz.com/products/4-player-croquet-set", "https://faoschwarz.com/products/4-player-croquet-set")</f>
        <v/>
      </c>
      <c r="C3924" t="inlineStr">
        <is>
          <t>4 Player Croquet Set</t>
        </is>
      </c>
      <c r="D3924" t="inlineStr">
        <is>
          <t>Juegoal Six Player Deluxe Croquet Set with Wooden Mallets, Colored Balls, Sturdy Bag for Adults &amp;Kids, Perfect for Lawn, Backyard and Park, 28 Inch</t>
        </is>
      </c>
      <c r="E3924" s="2">
        <f>HYPERLINK("https://www.amazon.com/Juegoal-Croquet-Mallets-Colored-Backyard/dp/B08SBK7X8G/ref=sr_1_6?keywords=4+Player+Croquet+Set&amp;qid=1695565986&amp;sr=8-6", "https://www.amazon.com/Juegoal-Croquet-Mallets-Colored-Backyard/dp/B08SBK7X8G/ref=sr_1_6?keywords=4+Player+Croquet+Set&amp;qid=1695565986&amp;sr=8-6")</f>
        <v/>
      </c>
      <c r="F3924" t="inlineStr">
        <is>
          <t>B08SBK7X8G</t>
        </is>
      </c>
      <c r="G3924">
        <f>_xlfn.IMAGE("https://faoschwarz.com/cdn/shop/products/lucio-londero-games-4-player-croquet-set-14077347397719_1080x.jpg?v=1656105303")</f>
        <v/>
      </c>
      <c r="H3924">
        <f>_xlfn.IMAGE("https://m.media-amazon.com/images/I/71KAw+bsWUS._AC_UL320_.jpg")</f>
        <v/>
      </c>
      <c r="K3924" t="inlineStr">
        <is>
          <t>135.0</t>
        </is>
      </c>
      <c r="L3924" t="n">
        <v>39.99</v>
      </c>
      <c r="M3924" s="1" t="inlineStr">
        <is>
          <t>-70.38%</t>
        </is>
      </c>
      <c r="N3924" t="n">
        <v>4.2</v>
      </c>
      <c r="O3924" t="n">
        <v>1665</v>
      </c>
      <c r="Q3924" t="inlineStr">
        <is>
          <t>InStock</t>
        </is>
      </c>
      <c r="R3924" t="inlineStr">
        <is>
          <t>undefined</t>
        </is>
      </c>
      <c r="S3924" t="inlineStr">
        <is>
          <t>4496983359575</t>
        </is>
      </c>
    </row>
    <row r="3925" ht="75" customHeight="1">
      <c r="A3925" s="2">
        <f>HYPERLINK("https://faoschwarz.com/products/4-player-croquet-set", "https://faoschwarz.com/products/4-player-croquet-set")</f>
        <v/>
      </c>
      <c r="B3925" s="2">
        <f>HYPERLINK("https://faoschwarz.com/products/4-player-croquet-set", "https://faoschwarz.com/products/4-player-croquet-set")</f>
        <v/>
      </c>
      <c r="C3925" t="inlineStr">
        <is>
          <t>4 Player Croquet Set</t>
        </is>
      </c>
      <c r="D3925" t="inlineStr">
        <is>
          <t>Portable Backyard Croquet Sets - Complete 4 + 6 Player Croquet Sets with Mallets, Croquet Balls + Wickets Included - Outdoor Family Lawn Game Sets with Carry Bag</t>
        </is>
      </c>
      <c r="E3925" s="2">
        <f>HYPERLINK("https://www.amazon.com/Franklin-Sports-Starter-Player-Croquet/dp/B07H94FG73/ref=sr_1_2?keywords=4+Player+Croquet+Set&amp;qid=1695565986&amp;sr=8-2", "https://www.amazon.com/Franklin-Sports-Starter-Player-Croquet/dp/B07H94FG73/ref=sr_1_2?keywords=4+Player+Croquet+Set&amp;qid=1695565986&amp;sr=8-2")</f>
        <v/>
      </c>
      <c r="F3925" t="inlineStr">
        <is>
          <t>B07H94FG73</t>
        </is>
      </c>
      <c r="G3925">
        <f>_xlfn.IMAGE("https://faoschwarz.com/cdn/shop/products/lucio-londero-games-4-player-croquet-set-14077347397719_1080x.jpg?v=1656105303")</f>
        <v/>
      </c>
      <c r="H3925">
        <f>_xlfn.IMAGE("https://m.media-amazon.com/images/I/71eFuOvJ8qS._AC_UL320_.jpg")</f>
        <v/>
      </c>
      <c r="K3925" t="inlineStr">
        <is>
          <t>135.0</t>
        </is>
      </c>
      <c r="L3925" t="n">
        <v>29.86</v>
      </c>
      <c r="M3925" s="1" t="inlineStr">
        <is>
          <t>-77.88%</t>
        </is>
      </c>
      <c r="N3925" t="n">
        <v>3.9</v>
      </c>
      <c r="O3925" t="n">
        <v>952</v>
      </c>
      <c r="Q3925" t="inlineStr">
        <is>
          <t>InStock</t>
        </is>
      </c>
      <c r="R3925" t="inlineStr">
        <is>
          <t>undefined</t>
        </is>
      </c>
      <c r="S3925" t="inlineStr">
        <is>
          <t>4496983359575</t>
        </is>
      </c>
    </row>
    <row r="3926" ht="75" customHeight="1">
      <c r="A3926" s="2">
        <f>HYPERLINK("https://faoschwarz.com/products/4-player-croquet-set", "https://faoschwarz.com/products/4-player-croquet-set")</f>
        <v/>
      </c>
      <c r="B3926" s="2">
        <f>HYPERLINK("https://faoschwarz.com/products/4-player-croquet-set", "https://faoschwarz.com/products/4-player-croquet-set")</f>
        <v/>
      </c>
      <c r="C3926" t="inlineStr">
        <is>
          <t>4 Player Croquet Set</t>
        </is>
      </c>
      <c r="D3926" t="inlineStr">
        <is>
          <t>Kids Croquet Set for 4-Players | Classic Outdoor Lawn Game for Children | Great for Birthday Parties, Picnics, BBQs, and More | Comes with Mallets, Balls, Wickets, and a Carrying Bag for Portability</t>
        </is>
      </c>
      <c r="E3926" s="2">
        <f>HYPERLINK("https://www.amazon.com/4-Players-Children-Birthday-Carrying-Portability/dp/B07NTVBVRB/ref=sr_1_3?keywords=4+Player+Croquet+Set&amp;qid=1695565986&amp;sr=8-3", "https://www.amazon.com/4-Players-Children-Birthday-Carrying-Portability/dp/B07NTVBVRB/ref=sr_1_3?keywords=4+Player+Croquet+Set&amp;qid=1695565986&amp;sr=8-3")</f>
        <v/>
      </c>
      <c r="F3926" t="inlineStr">
        <is>
          <t>B07NTVBVRB</t>
        </is>
      </c>
      <c r="G3926">
        <f>_xlfn.IMAGE("https://faoschwarz.com/cdn/shop/products/lucio-londero-games-4-player-croquet-set-14077347397719_1080x.jpg?v=1656105303")</f>
        <v/>
      </c>
      <c r="H3926">
        <f>_xlfn.IMAGE("https://m.media-amazon.com/images/I/815iFtXAzRL._AC_UL320_.jpg")</f>
        <v/>
      </c>
      <c r="K3926" t="inlineStr">
        <is>
          <t>135.0</t>
        </is>
      </c>
      <c r="L3926" t="n">
        <v>28.99</v>
      </c>
      <c r="M3926" s="1" t="inlineStr">
        <is>
          <t>-78.53%</t>
        </is>
      </c>
      <c r="N3926" t="n">
        <v>4</v>
      </c>
      <c r="O3926" t="n">
        <v>91</v>
      </c>
      <c r="Q3926" t="inlineStr">
        <is>
          <t>InStock</t>
        </is>
      </c>
      <c r="R3926" t="inlineStr">
        <is>
          <t>undefined</t>
        </is>
      </c>
      <c r="S3926" t="inlineStr">
        <is>
          <t>4496983359575</t>
        </is>
      </c>
    </row>
    <row r="3927" ht="75" customHeight="1">
      <c r="A3927" s="2">
        <f>HYPERLINK("https://faoschwarz.com/products/4-player-croquet-set", "https://faoschwarz.com/products/4-player-croquet-set")</f>
        <v/>
      </c>
      <c r="B3927" s="2">
        <f>HYPERLINK("https://faoschwarz.com/products/4-player-croquet-set", "https://faoschwarz.com/products/4-player-croquet-set")</f>
        <v/>
      </c>
      <c r="C3927" t="inlineStr">
        <is>
          <t>4 Player Croquet Set</t>
        </is>
      </c>
      <c r="D3927" t="inlineStr">
        <is>
          <t>Kids Croquet Set for 4 Players - with 24In Pine Wooden Mallets, Colored PE Ball, Wickets, End Stakes - Lawn Backyard Outdoor Game Set for Family (Portable Carry Bag Including)</t>
        </is>
      </c>
      <c r="E3927" s="2">
        <f>HYPERLINK("https://www.amazon.com/SpeedArmis-Players-Croquet-Premiun-Mallets/dp/B08VDB67TN/ref=sr_1_1?keywords=4+Player+Croquet+Set&amp;qid=1695565986&amp;sr=8-1", "https://www.amazon.com/SpeedArmis-Players-Croquet-Premiun-Mallets/dp/B08VDB67TN/ref=sr_1_1?keywords=4+Player+Croquet+Set&amp;qid=1695565986&amp;sr=8-1")</f>
        <v/>
      </c>
      <c r="F3927" t="inlineStr">
        <is>
          <t>B08VDB67TN</t>
        </is>
      </c>
      <c r="G3927">
        <f>_xlfn.IMAGE("https://faoschwarz.com/cdn/shop/products/lucio-londero-games-4-player-croquet-set-14077347397719_1080x.jpg?v=1656105303")</f>
        <v/>
      </c>
      <c r="H3927">
        <f>_xlfn.IMAGE("https://m.media-amazon.com/images/I/61ZHjKTOveL._AC_UL320_.jpg")</f>
        <v/>
      </c>
      <c r="K3927" t="inlineStr">
        <is>
          <t>135.0</t>
        </is>
      </c>
      <c r="L3927" t="n">
        <v>26.99</v>
      </c>
      <c r="M3927" s="1" t="inlineStr">
        <is>
          <t>-80.01%</t>
        </is>
      </c>
      <c r="N3927" t="n">
        <v>4.4</v>
      </c>
      <c r="O3927" t="n">
        <v>52</v>
      </c>
      <c r="Q3927" t="inlineStr">
        <is>
          <t>InStock</t>
        </is>
      </c>
      <c r="R3927" t="inlineStr">
        <is>
          <t>undefined</t>
        </is>
      </c>
      <c r="S3927" t="inlineStr">
        <is>
          <t>4496983359575</t>
        </is>
      </c>
    </row>
    <row r="3928" ht="75" customHeight="1">
      <c r="A3928" s="2">
        <f>HYPERLINK("https://faoschwarz.com/products/4-player-croquet-set", "https://faoschwarz.com/products/4-player-croquet-set")</f>
        <v/>
      </c>
      <c r="B3928" s="2">
        <f>HYPERLINK("https://faoschwarz.com/products/4-player-croquet-set", "https://faoschwarz.com/products/4-player-croquet-set")</f>
        <v/>
      </c>
      <c r="C3928" t="inlineStr">
        <is>
          <t>4 Player Croquet Set</t>
        </is>
      </c>
      <c r="D3928" t="inlineStr">
        <is>
          <t>Baden 6-Player Champions Croquet Set with Soft Grip Handles Medium</t>
        </is>
      </c>
      <c r="E3928" s="2">
        <f>HYPERLINK("https://www.amazon.com/Baden-6-player-Champions-Croquet-Handles/dp/B005OVD3LS/ref=sr_1_10?keywords=4+Player+Croquet+Set&amp;qid=1695565986&amp;sr=8-10", "https://www.amazon.com/Baden-6-player-Champions-Croquet-Handles/dp/B005OVD3LS/ref=sr_1_10?keywords=4+Player+Croquet+Set&amp;qid=1695565986&amp;sr=8-10")</f>
        <v/>
      </c>
      <c r="F3928" t="inlineStr">
        <is>
          <t>B005OVD3LS</t>
        </is>
      </c>
      <c r="G3928">
        <f>_xlfn.IMAGE("https://faoschwarz.com/cdn/shop/products/lucio-londero-games-4-player-croquet-set-14077347397719_1080x.jpg?v=1656105303")</f>
        <v/>
      </c>
      <c r="H3928">
        <f>_xlfn.IMAGE("https://m.media-amazon.com/images/I/61MLVeqUshL._AC_UL320_.jpg")</f>
        <v/>
      </c>
      <c r="K3928" t="inlineStr">
        <is>
          <t>135.0</t>
        </is>
      </c>
      <c r="L3928" t="n">
        <v>119.99</v>
      </c>
      <c r="M3928" s="1" t="inlineStr">
        <is>
          <t>-11.12%</t>
        </is>
      </c>
      <c r="N3928" t="n">
        <v>4.2</v>
      </c>
      <c r="O3928" t="n">
        <v>309</v>
      </c>
      <c r="Q3928" t="inlineStr">
        <is>
          <t>InStock</t>
        </is>
      </c>
      <c r="R3928" t="inlineStr">
        <is>
          <t>undefined</t>
        </is>
      </c>
      <c r="S3928" t="inlineStr">
        <is>
          <t>4496983359575</t>
        </is>
      </c>
    </row>
    <row r="3929" ht="75" customHeight="1">
      <c r="A3929" s="2">
        <f>HYPERLINK("https://faoschwarz.com/products/4-player-croquet-set", "https://faoschwarz.com/products/4-player-croquet-set")</f>
        <v/>
      </c>
      <c r="B3929" s="2">
        <f>HYPERLINK("https://faoschwarz.com/products/4-player-croquet-set", "https://faoschwarz.com/products/4-player-croquet-set")</f>
        <v/>
      </c>
      <c r="C3929" t="inlineStr">
        <is>
          <t>4 Player Croquet Set</t>
        </is>
      </c>
      <c r="D3929" t="inlineStr">
        <is>
          <t>GSE Six Player Croquet Set with Classic/Deluxe Wooden Mallets, Colored Balls, Sturdy Carrying Bag for Adults &amp; Kids, Perfect for Outdoor Lawn, Backyard, Park(Deluxe Set)</t>
        </is>
      </c>
      <c r="E3929" s="2">
        <f>HYPERLINK("https://www.amazon.com/GSE-Games-Sports-Expert-Available/dp/B07PWC48RB/ref=sr_1_9?keywords=4+Player+Croquet+Set&amp;qid=1695565986&amp;sr=8-9", "https://www.amazon.com/GSE-Games-Sports-Expert-Available/dp/B07PWC48RB/ref=sr_1_9?keywords=4+Player+Croquet+Set&amp;qid=1695565986&amp;sr=8-9")</f>
        <v/>
      </c>
      <c r="F3929" t="inlineStr">
        <is>
          <t>B07PWC48RB</t>
        </is>
      </c>
      <c r="G3929">
        <f>_xlfn.IMAGE("https://faoschwarz.com/cdn/shop/products/lucio-londero-games-4-player-croquet-set-14077347397719_1080x.jpg?v=1656105303")</f>
        <v/>
      </c>
      <c r="H3929">
        <f>_xlfn.IMAGE("https://m.media-amazon.com/images/I/61RIZawvMJL._AC_UL320_.jpg")</f>
        <v/>
      </c>
      <c r="K3929" t="inlineStr">
        <is>
          <t>135.0</t>
        </is>
      </c>
      <c r="L3929" t="n">
        <v>69.98</v>
      </c>
      <c r="M3929" s="1" t="inlineStr">
        <is>
          <t>-48.16%</t>
        </is>
      </c>
      <c r="N3929" t="n">
        <v>4.5</v>
      </c>
      <c r="O3929" t="n">
        <v>185</v>
      </c>
      <c r="Q3929" t="inlineStr">
        <is>
          <t>InStock</t>
        </is>
      </c>
      <c r="R3929" t="inlineStr">
        <is>
          <t>undefined</t>
        </is>
      </c>
      <c r="S3929" t="inlineStr">
        <is>
          <t>4496983359575</t>
        </is>
      </c>
    </row>
    <row r="3930" ht="75" customHeight="1">
      <c r="A3930" s="2">
        <f>HYPERLINK("https://faoschwarz.com/products/4-player-croquet-set", "https://faoschwarz.com/products/4-player-croquet-set")</f>
        <v/>
      </c>
      <c r="B3930" s="2">
        <f>HYPERLINK("https://faoschwarz.com/products/4-player-croquet-set", "https://faoschwarz.com/products/4-player-croquet-set")</f>
        <v/>
      </c>
      <c r="C3930" t="inlineStr">
        <is>
          <t>4 Player Croquet Set</t>
        </is>
      </c>
      <c r="D3930" t="inlineStr">
        <is>
          <t>Six Player Croquet Set for Adults &amp; Kids - Modern Wood Design - Choose Deluxe (35") or Standard (28")</t>
        </is>
      </c>
      <c r="E3930" s="2">
        <f>HYPERLINK("https://www.amazon.com/GoSports-Premium-Croquet-Set-Adults/dp/B075QVT6RM/ref=sr_1_7?keywords=4+Player+Croquet+Set&amp;qid=1695565986&amp;sr=8-7", "https://www.amazon.com/GoSports-Premium-Croquet-Set-Adults/dp/B075QVT6RM/ref=sr_1_7?keywords=4+Player+Croquet+Set&amp;qid=1695565986&amp;sr=8-7")</f>
        <v/>
      </c>
      <c r="F3930" t="inlineStr">
        <is>
          <t>B075QVT6RM</t>
        </is>
      </c>
      <c r="G3930">
        <f>_xlfn.IMAGE("https://faoschwarz.com/cdn/shop/products/lucio-londero-games-4-player-croquet-set-14077347397719_1080x.jpg?v=1656105303")</f>
        <v/>
      </c>
      <c r="H3930">
        <f>_xlfn.IMAGE("https://m.media-amazon.com/images/I/712WmrziRCL._AC_UL320_.jpg")</f>
        <v/>
      </c>
      <c r="K3930" t="inlineStr">
        <is>
          <t>135.0</t>
        </is>
      </c>
      <c r="L3930" t="n">
        <v>52.36</v>
      </c>
      <c r="M3930" s="1" t="inlineStr">
        <is>
          <t>-61.21%</t>
        </is>
      </c>
      <c r="N3930" t="n">
        <v>4.5</v>
      </c>
      <c r="O3930" t="n">
        <v>3269</v>
      </c>
      <c r="Q3930" t="inlineStr">
        <is>
          <t>InStock</t>
        </is>
      </c>
      <c r="R3930" t="inlineStr">
        <is>
          <t>undefined</t>
        </is>
      </c>
      <c r="S3930" t="inlineStr">
        <is>
          <t>4496983359575</t>
        </is>
      </c>
    </row>
    <row r="3931" ht="75" customHeight="1">
      <c r="A3931" s="2">
        <f>HYPERLINK("https://faoschwarz.com/products/4-player-croquet-set", "https://faoschwarz.com/products/4-player-croquet-set")</f>
        <v/>
      </c>
      <c r="B3931" s="2">
        <f>HYPERLINK("https://faoschwarz.com/products/4-player-croquet-set", "https://faoschwarz.com/products/4-player-croquet-set")</f>
        <v/>
      </c>
      <c r="C3931" t="inlineStr">
        <is>
          <t>4 Player Croquet Set</t>
        </is>
      </c>
      <c r="D3931" t="inlineStr">
        <is>
          <t>Juegoal Six Player Croquet Set with Wooden Mallets Colored Balls for Lawn, Backyard and Park, 28 Inch</t>
        </is>
      </c>
      <c r="E3931" s="2">
        <f>HYPERLINK("https://www.amazon.com/Juegoal-Player-Croquet-Carrying-Inch/dp/B07597J7NL/ref=sr_1_4?keywords=4+Player+Croquet+Set&amp;qid=1695565986&amp;sr=8-4", "https://www.amazon.com/Juegoal-Player-Croquet-Carrying-Inch/dp/B07597J7NL/ref=sr_1_4?keywords=4+Player+Croquet+Set&amp;qid=1695565986&amp;sr=8-4")</f>
        <v/>
      </c>
      <c r="F3931" t="inlineStr">
        <is>
          <t>B07597J7NL</t>
        </is>
      </c>
      <c r="G3931">
        <f>_xlfn.IMAGE("https://faoschwarz.com/cdn/shop/products/lucio-londero-games-4-player-croquet-set-14077347397719_1080x.jpg?v=1656105303")</f>
        <v/>
      </c>
      <c r="H3931">
        <f>_xlfn.IMAGE("https://m.media-amazon.com/images/I/51zZb5uPA4L._AC_UL320_.jpg")</f>
        <v/>
      </c>
      <c r="K3931" t="inlineStr">
        <is>
          <t>135.0</t>
        </is>
      </c>
      <c r="L3931" t="n">
        <v>41.99</v>
      </c>
      <c r="M3931" s="1" t="inlineStr">
        <is>
          <t>-68.90%</t>
        </is>
      </c>
      <c r="N3931" t="n">
        <v>4.4</v>
      </c>
      <c r="O3931" t="n">
        <v>4074</v>
      </c>
      <c r="Q3931" t="inlineStr">
        <is>
          <t>InStock</t>
        </is>
      </c>
      <c r="R3931" t="inlineStr">
        <is>
          <t>undefined</t>
        </is>
      </c>
      <c r="S3931" t="inlineStr">
        <is>
          <t>4496983359575</t>
        </is>
      </c>
    </row>
    <row r="3932" ht="75" customHeight="1">
      <c r="A3932" s="2">
        <f>HYPERLINK("https://faoschwarz.com/products/4-player-croquet-set", "https://faoschwarz.com/products/4-player-croquet-set")</f>
        <v/>
      </c>
      <c r="B3932" s="2">
        <f>HYPERLINK("https://faoschwarz.com/products/4-player-croquet-set", "https://faoschwarz.com/products/4-player-croquet-set")</f>
        <v/>
      </c>
      <c r="C3932" t="inlineStr">
        <is>
          <t>4 Player Croquet Set</t>
        </is>
      </c>
      <c r="D3932" t="inlineStr">
        <is>
          <t>Juegoal Six Player Deluxe Croquet Set with Wooden Mallets, Colored Balls, Sturdy Bag for Adults &amp;Kids, Perfect for Lawn, Backyard and Park, 28 Inch</t>
        </is>
      </c>
      <c r="E3932" s="2">
        <f>HYPERLINK("https://www.amazon.com/Juegoal-Croquet-Mallets-Colored-Backyard/dp/B08SBK7X8G/ref=sr_1_6?keywords=4+Player+Croquet+Set&amp;qid=1695565986&amp;sr=8-6", "https://www.amazon.com/Juegoal-Croquet-Mallets-Colored-Backyard/dp/B08SBK7X8G/ref=sr_1_6?keywords=4+Player+Croquet+Set&amp;qid=1695565986&amp;sr=8-6")</f>
        <v/>
      </c>
      <c r="F3932" t="inlineStr">
        <is>
          <t>B08SBK7X8G</t>
        </is>
      </c>
      <c r="G3932">
        <f>_xlfn.IMAGE("https://faoschwarz.com/cdn/shop/products/lucio-londero-games-4-player-croquet-set-14077347397719_1080x.jpg?v=1656105303")</f>
        <v/>
      </c>
      <c r="H3932">
        <f>_xlfn.IMAGE("https://m.media-amazon.com/images/I/71KAw+bsWUS._AC_UL320_.jpg")</f>
        <v/>
      </c>
      <c r="K3932" t="inlineStr">
        <is>
          <t>135.0</t>
        </is>
      </c>
      <c r="L3932" t="n">
        <v>39.99</v>
      </c>
      <c r="M3932" s="1" t="inlineStr">
        <is>
          <t>-70.38%</t>
        </is>
      </c>
      <c r="N3932" t="n">
        <v>4.2</v>
      </c>
      <c r="O3932" t="n">
        <v>1665</v>
      </c>
      <c r="Q3932" t="inlineStr">
        <is>
          <t>InStock</t>
        </is>
      </c>
      <c r="R3932" t="inlineStr">
        <is>
          <t>undefined</t>
        </is>
      </c>
      <c r="S3932" t="inlineStr">
        <is>
          <t>4496983359575</t>
        </is>
      </c>
    </row>
    <row r="3933" ht="75" customHeight="1">
      <c r="A3933" s="2">
        <f>HYPERLINK("https://faoschwarz.com/products/4-player-croquet-set", "https://faoschwarz.com/products/4-player-croquet-set")</f>
        <v/>
      </c>
      <c r="B3933" s="2">
        <f>HYPERLINK("https://faoschwarz.com/products/4-player-croquet-set", "https://faoschwarz.com/products/4-player-croquet-set")</f>
        <v/>
      </c>
      <c r="C3933" t="inlineStr">
        <is>
          <t>4 Player Croquet Set</t>
        </is>
      </c>
      <c r="D3933" t="inlineStr">
        <is>
          <t>Portable Backyard Croquet Sets - Complete 4 + 6 Player Croquet Sets with Mallets, Croquet Balls + Wickets Included - Outdoor Family Lawn Game Sets with Carry Bag</t>
        </is>
      </c>
      <c r="E3933" s="2">
        <f>HYPERLINK("https://www.amazon.com/Franklin-Sports-Starter-Player-Croquet/dp/B07H94FG73/ref=sr_1_2?keywords=4+Player+Croquet+Set&amp;qid=1695565986&amp;sr=8-2", "https://www.amazon.com/Franklin-Sports-Starter-Player-Croquet/dp/B07H94FG73/ref=sr_1_2?keywords=4+Player+Croquet+Set&amp;qid=1695565986&amp;sr=8-2")</f>
        <v/>
      </c>
      <c r="F3933" t="inlineStr">
        <is>
          <t>B07H94FG73</t>
        </is>
      </c>
      <c r="G3933">
        <f>_xlfn.IMAGE("https://faoschwarz.com/cdn/shop/products/lucio-londero-games-4-player-croquet-set-14077347397719_1080x.jpg?v=1656105303")</f>
        <v/>
      </c>
      <c r="H3933">
        <f>_xlfn.IMAGE("https://m.media-amazon.com/images/I/71eFuOvJ8qS._AC_UL320_.jpg")</f>
        <v/>
      </c>
      <c r="K3933" t="inlineStr">
        <is>
          <t>135.0</t>
        </is>
      </c>
      <c r="L3933" t="n">
        <v>29.86</v>
      </c>
      <c r="M3933" s="1" t="inlineStr">
        <is>
          <t>-77.88%</t>
        </is>
      </c>
      <c r="N3933" t="n">
        <v>3.9</v>
      </c>
      <c r="O3933" t="n">
        <v>952</v>
      </c>
      <c r="Q3933" t="inlineStr">
        <is>
          <t>InStock</t>
        </is>
      </c>
      <c r="R3933" t="inlineStr">
        <is>
          <t>undefined</t>
        </is>
      </c>
      <c r="S3933" t="inlineStr">
        <is>
          <t>4496983359575</t>
        </is>
      </c>
    </row>
    <row r="3934" ht="75" customHeight="1">
      <c r="A3934" s="2">
        <f>HYPERLINK("https://faoschwarz.com/products/4-player-croquet-set", "https://faoschwarz.com/products/4-player-croquet-set")</f>
        <v/>
      </c>
      <c r="B3934" s="2">
        <f>HYPERLINK("https://faoschwarz.com/products/4-player-croquet-set", "https://faoschwarz.com/products/4-player-croquet-set")</f>
        <v/>
      </c>
      <c r="C3934" t="inlineStr">
        <is>
          <t>4 Player Croquet Set</t>
        </is>
      </c>
      <c r="D3934" t="inlineStr">
        <is>
          <t>Kids Croquet Set for 4-Players | Classic Outdoor Lawn Game for Children | Great for Birthday Parties, Picnics, BBQs, and More | Comes with Mallets, Balls, Wickets, and a Carrying Bag for Portability</t>
        </is>
      </c>
      <c r="E3934" s="2">
        <f>HYPERLINK("https://www.amazon.com/4-Players-Children-Birthday-Carrying-Portability/dp/B07NTVBVRB/ref=sr_1_3?keywords=4+Player+Croquet+Set&amp;qid=1695565986&amp;sr=8-3", "https://www.amazon.com/4-Players-Children-Birthday-Carrying-Portability/dp/B07NTVBVRB/ref=sr_1_3?keywords=4+Player+Croquet+Set&amp;qid=1695565986&amp;sr=8-3")</f>
        <v/>
      </c>
      <c r="F3934" t="inlineStr">
        <is>
          <t>B07NTVBVRB</t>
        </is>
      </c>
      <c r="G3934">
        <f>_xlfn.IMAGE("https://faoschwarz.com/cdn/shop/products/lucio-londero-games-4-player-croquet-set-14077347397719_1080x.jpg?v=1656105303")</f>
        <v/>
      </c>
      <c r="H3934">
        <f>_xlfn.IMAGE("https://m.media-amazon.com/images/I/815iFtXAzRL._AC_UL320_.jpg")</f>
        <v/>
      </c>
      <c r="K3934" t="inlineStr">
        <is>
          <t>135.0</t>
        </is>
      </c>
      <c r="L3934" t="n">
        <v>28.99</v>
      </c>
      <c r="M3934" s="1" t="inlineStr">
        <is>
          <t>-78.53%</t>
        </is>
      </c>
      <c r="N3934" t="n">
        <v>4</v>
      </c>
      <c r="O3934" t="n">
        <v>91</v>
      </c>
      <c r="Q3934" t="inlineStr">
        <is>
          <t>InStock</t>
        </is>
      </c>
      <c r="R3934" t="inlineStr">
        <is>
          <t>undefined</t>
        </is>
      </c>
      <c r="S3934" t="inlineStr">
        <is>
          <t>4496983359575</t>
        </is>
      </c>
    </row>
    <row r="3935" ht="75" customHeight="1">
      <c r="A3935" s="2">
        <f>HYPERLINK("https://faoschwarz.com/products/4-player-croquet-set", "https://faoschwarz.com/products/4-player-croquet-set")</f>
        <v/>
      </c>
      <c r="B3935" s="2">
        <f>HYPERLINK("https://faoschwarz.com/products/4-player-croquet-set", "https://faoschwarz.com/products/4-player-croquet-set")</f>
        <v/>
      </c>
      <c r="C3935" t="inlineStr">
        <is>
          <t>4 Player Croquet Set</t>
        </is>
      </c>
      <c r="D3935" t="inlineStr">
        <is>
          <t>Kids Croquet Set for 4 Players - with 24In Pine Wooden Mallets, Colored PE Ball, Wickets, End Stakes - Lawn Backyard Outdoor Game Set for Family (Portable Carry Bag Including)</t>
        </is>
      </c>
      <c r="E3935" s="2">
        <f>HYPERLINK("https://www.amazon.com/SpeedArmis-Players-Croquet-Premiun-Mallets/dp/B08VDB67TN/ref=sr_1_1?keywords=4+Player+Croquet+Set&amp;qid=1695565986&amp;sr=8-1", "https://www.amazon.com/SpeedArmis-Players-Croquet-Premiun-Mallets/dp/B08VDB67TN/ref=sr_1_1?keywords=4+Player+Croquet+Set&amp;qid=1695565986&amp;sr=8-1")</f>
        <v/>
      </c>
      <c r="F3935" t="inlineStr">
        <is>
          <t>B08VDB67TN</t>
        </is>
      </c>
      <c r="G3935">
        <f>_xlfn.IMAGE("https://faoschwarz.com/cdn/shop/products/lucio-londero-games-4-player-croquet-set-14077347397719_1080x.jpg?v=1656105303")</f>
        <v/>
      </c>
      <c r="H3935">
        <f>_xlfn.IMAGE("https://m.media-amazon.com/images/I/61ZHjKTOveL._AC_UL320_.jpg")</f>
        <v/>
      </c>
      <c r="K3935" t="inlineStr">
        <is>
          <t>135.0</t>
        </is>
      </c>
      <c r="L3935" t="n">
        <v>26.99</v>
      </c>
      <c r="M3935" s="1" t="inlineStr">
        <is>
          <t>-80.01%</t>
        </is>
      </c>
      <c r="N3935" t="n">
        <v>4.4</v>
      </c>
      <c r="O3935" t="n">
        <v>52</v>
      </c>
      <c r="Q3935" t="inlineStr">
        <is>
          <t>InStock</t>
        </is>
      </c>
      <c r="R3935" t="inlineStr">
        <is>
          <t>undefined</t>
        </is>
      </c>
      <c r="S3935" t="inlineStr">
        <is>
          <t>4496983359575</t>
        </is>
      </c>
    </row>
    <row r="3936" ht="75" customHeight="1">
      <c r="A3936" s="2">
        <f>HYPERLINK("https://faoschwarz.com/products/4-player-croquet-set-with-trolley", "https://faoschwarz.com/products/4-player-croquet-set-with-trolley")</f>
        <v/>
      </c>
      <c r="B3936" s="2">
        <f>HYPERLINK("https://faoschwarz.com/products/4-player-croquet-set-with-trolley", "https://faoschwarz.com/products/4-player-croquet-set-with-trolley")</f>
        <v/>
      </c>
      <c r="C3936" t="inlineStr">
        <is>
          <t>4 Player Croquet Set with Trolley</t>
        </is>
      </c>
      <c r="D3936" t="inlineStr">
        <is>
          <t>Kids Croquet Set for 4-Players | Classic Outdoor Lawn Game for Children | Great for Birthday Parties, Picnics, BBQs, and More | Comes with Mallets, Balls, Wickets, and a Carrying Bag for Portability</t>
        </is>
      </c>
      <c r="E3936" s="2">
        <f>HYPERLINK("https://www.amazon.com/4-Players-Children-Birthday-Carrying-Portability/dp/B07NTVBVRB/ref=sr_1_9?keywords=4+Player+Croquet+Set+with+Trolley&amp;qid=1695565975&amp;sr=8-9", "https://www.amazon.com/4-Players-Children-Birthday-Carrying-Portability/dp/B07NTVBVRB/ref=sr_1_9?keywords=4+Player+Croquet+Set+with+Trolley&amp;qid=1695565975&amp;sr=8-9")</f>
        <v/>
      </c>
      <c r="F3936" t="inlineStr">
        <is>
          <t>B07NTVBVRB</t>
        </is>
      </c>
      <c r="G3936">
        <f>_xlfn.IMAGE("https://faoschwarz.com/cdn/shop/products/lucio-londero-games-4-player-croquet-set-with-trolley-28473410879575_1080x.jpg?v=1656064459")</f>
        <v/>
      </c>
      <c r="H3936">
        <f>_xlfn.IMAGE("https://m.media-amazon.com/images/I/815iFtXAzRL._AC_UL320_.jpg")</f>
        <v/>
      </c>
      <c r="K3936" t="inlineStr">
        <is>
          <t>160.0</t>
        </is>
      </c>
      <c r="L3936" t="n">
        <v>28.99</v>
      </c>
      <c r="M3936" s="1" t="inlineStr">
        <is>
          <t>-81.88%</t>
        </is>
      </c>
      <c r="N3936" t="n">
        <v>4</v>
      </c>
      <c r="O3936" t="n">
        <v>91</v>
      </c>
      <c r="Q3936" t="inlineStr">
        <is>
          <t>InStock</t>
        </is>
      </c>
      <c r="R3936" t="inlineStr">
        <is>
          <t>undefined</t>
        </is>
      </c>
      <c r="S3936" t="inlineStr">
        <is>
          <t>6620750512215</t>
        </is>
      </c>
    </row>
    <row r="3937" ht="75" customHeight="1">
      <c r="A3937" s="2">
        <f>HYPERLINK("https://faoschwarz.com/products/4-player-croquet-set-with-trolley", "https://faoschwarz.com/products/4-player-croquet-set-with-trolley")</f>
        <v/>
      </c>
      <c r="B3937" s="2">
        <f>HYPERLINK("https://faoschwarz.com/products/4-player-croquet-set-with-trolley", "https://faoschwarz.com/products/4-player-croquet-set-with-trolley")</f>
        <v/>
      </c>
      <c r="C3937" t="inlineStr">
        <is>
          <t>4 Player Croquet Set with Trolley</t>
        </is>
      </c>
      <c r="D3937" t="inlineStr">
        <is>
          <t>Kids Croquet Set for 4 Players - with 24In Pine Wooden Mallets, Colored PE Ball, Wickets, End Stakes - Lawn Backyard Outdoor Game Set for Family (Portable Carry Bag Including)</t>
        </is>
      </c>
      <c r="E3937" s="2">
        <f>HYPERLINK("https://www.amazon.com/SpeedArmis-Players-Croquet-Premiun-Mallets/dp/B08VDB67TN/ref=sr_1_2?keywords=4+Player+Croquet+Set+with+Trolley&amp;qid=1695565975&amp;sr=8-2", "https://www.amazon.com/SpeedArmis-Players-Croquet-Premiun-Mallets/dp/B08VDB67TN/ref=sr_1_2?keywords=4+Player+Croquet+Set+with+Trolley&amp;qid=1695565975&amp;sr=8-2")</f>
        <v/>
      </c>
      <c r="F3937" t="inlineStr">
        <is>
          <t>B08VDB67TN</t>
        </is>
      </c>
      <c r="G3937">
        <f>_xlfn.IMAGE("https://faoschwarz.com/cdn/shop/products/lucio-londero-games-4-player-croquet-set-with-trolley-28473410879575_1080x.jpg?v=1656064459")</f>
        <v/>
      </c>
      <c r="H3937">
        <f>_xlfn.IMAGE("https://m.media-amazon.com/images/I/61ZHjKTOveL._AC_UL320_.jpg")</f>
        <v/>
      </c>
      <c r="K3937" t="inlineStr">
        <is>
          <t>160.0</t>
        </is>
      </c>
      <c r="L3937" t="n">
        <v>26.99</v>
      </c>
      <c r="M3937" s="1" t="inlineStr">
        <is>
          <t>-83.13%</t>
        </is>
      </c>
      <c r="N3937" t="n">
        <v>4.4</v>
      </c>
      <c r="O3937" t="n">
        <v>52</v>
      </c>
      <c r="Q3937" t="inlineStr">
        <is>
          <t>InStock</t>
        </is>
      </c>
      <c r="R3937" t="inlineStr">
        <is>
          <t>undefined</t>
        </is>
      </c>
      <c r="S3937" t="inlineStr">
        <is>
          <t>6620750512215</t>
        </is>
      </c>
    </row>
    <row r="3938" ht="75" customHeight="1">
      <c r="A3938" s="2">
        <f>HYPERLINK("https://faoschwarz.com/products/4-player-croquet-set-with-trolley", "https://faoschwarz.com/products/4-player-croquet-set-with-trolley")</f>
        <v/>
      </c>
      <c r="B3938" s="2">
        <f>HYPERLINK("https://faoschwarz.com/products/4-player-croquet-set-with-trolley", "https://faoschwarz.com/products/4-player-croquet-set-with-trolley")</f>
        <v/>
      </c>
      <c r="C3938" t="inlineStr">
        <is>
          <t>4 Player Croquet Set with Trolley</t>
        </is>
      </c>
      <c r="D3938" t="inlineStr">
        <is>
          <t>Kids Croquet Set for 4-Players | Classic Outdoor Lawn Game for Children | Great for Birthday Parties, Picnics, BBQs, and More | Comes with Mallets, Balls, Wickets, and a Carrying Bag for Portability</t>
        </is>
      </c>
      <c r="E3938" s="2">
        <f>HYPERLINK("https://www.amazon.com/4-Players-Children-Birthday-Carrying-Portability/dp/B07NTVBVRB/ref=sr_1_9?keywords=4+Player+Croquet+Set+with+Trolley&amp;qid=1695565975&amp;sr=8-9", "https://www.amazon.com/4-Players-Children-Birthday-Carrying-Portability/dp/B07NTVBVRB/ref=sr_1_9?keywords=4+Player+Croquet+Set+with+Trolley&amp;qid=1695565975&amp;sr=8-9")</f>
        <v/>
      </c>
      <c r="F3938" t="inlineStr">
        <is>
          <t>B07NTVBVRB</t>
        </is>
      </c>
      <c r="G3938">
        <f>_xlfn.IMAGE("https://faoschwarz.com/cdn/shop/products/lucio-londero-games-4-player-croquet-set-with-trolley-28473410879575_1080x.jpg?v=1656064459")</f>
        <v/>
      </c>
      <c r="H3938">
        <f>_xlfn.IMAGE("https://m.media-amazon.com/images/I/815iFtXAzRL._AC_UL320_.jpg")</f>
        <v/>
      </c>
      <c r="K3938" t="inlineStr">
        <is>
          <t>160.0</t>
        </is>
      </c>
      <c r="L3938" t="n">
        <v>28.99</v>
      </c>
      <c r="M3938" s="1" t="inlineStr">
        <is>
          <t>-81.88%</t>
        </is>
      </c>
      <c r="N3938" t="n">
        <v>4</v>
      </c>
      <c r="O3938" t="n">
        <v>91</v>
      </c>
      <c r="Q3938" t="inlineStr">
        <is>
          <t>InStock</t>
        </is>
      </c>
      <c r="R3938" t="inlineStr">
        <is>
          <t>undefined</t>
        </is>
      </c>
      <c r="S3938" t="inlineStr">
        <is>
          <t>6620750512215</t>
        </is>
      </c>
    </row>
    <row r="3939" ht="75" customHeight="1">
      <c r="A3939" s="2">
        <f>HYPERLINK("https://faoschwarz.com/products/4-player-croquet-set-with-trolley", "https://faoschwarz.com/products/4-player-croquet-set-with-trolley")</f>
        <v/>
      </c>
      <c r="B3939" s="2">
        <f>HYPERLINK("https://faoschwarz.com/products/4-player-croquet-set-with-trolley", "https://faoschwarz.com/products/4-player-croquet-set-with-trolley")</f>
        <v/>
      </c>
      <c r="C3939" t="inlineStr">
        <is>
          <t>4 Player Croquet Set with Trolley</t>
        </is>
      </c>
      <c r="D3939" t="inlineStr">
        <is>
          <t>Kids Croquet Set for 4 Players - with 24In Pine Wooden Mallets, Colored PE Ball, Wickets, End Stakes - Lawn Backyard Outdoor Game Set for Family (Portable Carry Bag Including)</t>
        </is>
      </c>
      <c r="E3939" s="2">
        <f>HYPERLINK("https://www.amazon.com/SpeedArmis-Players-Croquet-Premiun-Mallets/dp/B08VDB67TN/ref=sr_1_2?keywords=4+Player+Croquet+Set+with+Trolley&amp;qid=1695565975&amp;sr=8-2", "https://www.amazon.com/SpeedArmis-Players-Croquet-Premiun-Mallets/dp/B08VDB67TN/ref=sr_1_2?keywords=4+Player+Croquet+Set+with+Trolley&amp;qid=1695565975&amp;sr=8-2")</f>
        <v/>
      </c>
      <c r="F3939" t="inlineStr">
        <is>
          <t>B08VDB67TN</t>
        </is>
      </c>
      <c r="G3939">
        <f>_xlfn.IMAGE("https://faoschwarz.com/cdn/shop/products/lucio-londero-games-4-player-croquet-set-with-trolley-28473410879575_1080x.jpg?v=1656064459")</f>
        <v/>
      </c>
      <c r="H3939">
        <f>_xlfn.IMAGE("https://m.media-amazon.com/images/I/61ZHjKTOveL._AC_UL320_.jpg")</f>
        <v/>
      </c>
      <c r="K3939" t="inlineStr">
        <is>
          <t>160.0</t>
        </is>
      </c>
      <c r="L3939" t="n">
        <v>26.99</v>
      </c>
      <c r="M3939" s="1" t="inlineStr">
        <is>
          <t>-83.13%</t>
        </is>
      </c>
      <c r="N3939" t="n">
        <v>4.4</v>
      </c>
      <c r="O3939" t="n">
        <v>52</v>
      </c>
      <c r="Q3939" t="inlineStr">
        <is>
          <t>InStock</t>
        </is>
      </c>
      <c r="R3939" t="inlineStr">
        <is>
          <t>undefined</t>
        </is>
      </c>
      <c r="S3939" t="inlineStr">
        <is>
          <t>6620750512215</t>
        </is>
      </c>
    </row>
    <row r="3940" ht="75" customHeight="1">
      <c r="A3940" s="2">
        <f>HYPERLINK("https://faoschwarz.com/products/6-player-croquet-set-with-trolley", "https://faoschwarz.com/products/6-player-croquet-set-with-trolley")</f>
        <v/>
      </c>
      <c r="B3940" s="2">
        <f>HYPERLINK("https://faoschwarz.com/products/6-player-croquet-set-with-trolley", "https://faoschwarz.com/products/6-player-croquet-set-with-trolley")</f>
        <v/>
      </c>
      <c r="C3940" t="inlineStr">
        <is>
          <t>6 Player Croquet Set with Trolley</t>
        </is>
      </c>
      <c r="D3940" t="inlineStr">
        <is>
          <t>Londero 6 Player Croquet with Trolley, (10-09206)</t>
        </is>
      </c>
      <c r="E3940" s="2">
        <f>HYPERLINK("https://www.amazon.com/Londero-6-Player-Croquet-Trolley/dp/B00FJJ4ZI0/ref=sr_1_1?keywords=6+Player+Croquet+Set+with+Trolley&amp;qid=1695565975&amp;sr=8-1", "https://www.amazon.com/Londero-6-Player-Croquet-Trolley/dp/B00FJJ4ZI0/ref=sr_1_1?keywords=6+Player+Croquet+Set+with+Trolley&amp;qid=1695565975&amp;sr=8-1")</f>
        <v/>
      </c>
      <c r="F3940" t="inlineStr">
        <is>
          <t>B00FJJ4ZI0</t>
        </is>
      </c>
      <c r="G3940">
        <f>_xlfn.IMAGE("https://faoschwarz.com/cdn/shop/products/lucio-londero-games-6-player-croquet-set-with-trolley-28473410748503_1080x.jpg?v=1656064442")</f>
        <v/>
      </c>
      <c r="H3940">
        <f>_xlfn.IMAGE("https://m.media-amazon.com/images/I/41-T5M50GpL._AC_UL320_.jpg")</f>
        <v/>
      </c>
      <c r="K3940" t="inlineStr">
        <is>
          <t>225.0</t>
        </is>
      </c>
      <c r="L3940" t="n">
        <v>199.95</v>
      </c>
      <c r="M3940" s="1" t="inlineStr">
        <is>
          <t>-11.13%</t>
        </is>
      </c>
      <c r="N3940" t="n">
        <v>4</v>
      </c>
      <c r="O3940" t="n">
        <v>1</v>
      </c>
      <c r="Q3940" t="inlineStr">
        <is>
          <t>InStock</t>
        </is>
      </c>
      <c r="R3940" t="inlineStr">
        <is>
          <t>undefined</t>
        </is>
      </c>
      <c r="S3940" t="inlineStr">
        <is>
          <t>6620750479447</t>
        </is>
      </c>
    </row>
    <row r="3941" ht="75" customHeight="1">
      <c r="A3941" s="2">
        <f>HYPERLINK("https://faoschwarz.com/products/6-player-croquet-set-with-trolley", "https://faoschwarz.com/products/6-player-croquet-set-with-trolley")</f>
        <v/>
      </c>
      <c r="B3941" s="2">
        <f>HYPERLINK("https://faoschwarz.com/products/6-player-croquet-set-with-trolley", "https://faoschwarz.com/products/6-player-croquet-set-with-trolley")</f>
        <v/>
      </c>
      <c r="C3941" t="inlineStr">
        <is>
          <t>6 Player Croquet Set with Trolley</t>
        </is>
      </c>
      <c r="D3941" t="inlineStr">
        <is>
          <t>Baden 6-Player Champions Croquet Set with Soft Grip Handles Medium</t>
        </is>
      </c>
      <c r="E3941" s="2">
        <f>HYPERLINK("https://www.amazon.com/Baden-6-player-Champions-Croquet-Handles/dp/B005OVD3LS/ref=sr_1_2?keywords=6+Player+Croquet+Set+with+Trolley&amp;qid=1695565975&amp;sr=8-2", "https://www.amazon.com/Baden-6-player-Champions-Croquet-Handles/dp/B005OVD3LS/ref=sr_1_2?keywords=6+Player+Croquet+Set+with+Trolley&amp;qid=1695565975&amp;sr=8-2")</f>
        <v/>
      </c>
      <c r="F3941" t="inlineStr">
        <is>
          <t>B005OVD3LS</t>
        </is>
      </c>
      <c r="G3941">
        <f>_xlfn.IMAGE("https://faoschwarz.com/cdn/shop/products/lucio-londero-games-6-player-croquet-set-with-trolley-28473410748503_1080x.jpg?v=1656064442")</f>
        <v/>
      </c>
      <c r="H3941">
        <f>_xlfn.IMAGE("https://m.media-amazon.com/images/I/61MLVeqUshL._AC_UL320_.jpg")</f>
        <v/>
      </c>
      <c r="K3941" t="inlineStr">
        <is>
          <t>225.0</t>
        </is>
      </c>
      <c r="L3941" t="n">
        <v>119.99</v>
      </c>
      <c r="M3941" s="1" t="inlineStr">
        <is>
          <t>-46.67%</t>
        </is>
      </c>
      <c r="N3941" t="n">
        <v>4.2</v>
      </c>
      <c r="O3941" t="n">
        <v>309</v>
      </c>
      <c r="Q3941" t="inlineStr">
        <is>
          <t>InStock</t>
        </is>
      </c>
      <c r="R3941" t="inlineStr">
        <is>
          <t>undefined</t>
        </is>
      </c>
      <c r="S3941" t="inlineStr">
        <is>
          <t>6620750479447</t>
        </is>
      </c>
    </row>
    <row r="3942" ht="75" customHeight="1">
      <c r="A3942" s="2">
        <f>HYPERLINK("https://faoschwarz.com/products/6-player-croquet-set-with-trolley", "https://faoschwarz.com/products/6-player-croquet-set-with-trolley")</f>
        <v/>
      </c>
      <c r="B3942" s="2">
        <f>HYPERLINK("https://faoschwarz.com/products/6-player-croquet-set-with-trolley", "https://faoschwarz.com/products/6-player-croquet-set-with-trolley")</f>
        <v/>
      </c>
      <c r="C3942" t="inlineStr">
        <is>
          <t>6 Player Croquet Set with Trolley</t>
        </is>
      </c>
      <c r="D3942" t="inlineStr">
        <is>
          <t>Hey! Play! Croquet Set- Wooden Outdoor Deluxe Sports Set with Carrying Case- Fun Vintage Backyard Lawn Recreation Game, Kids or Adults (6 Players)</t>
        </is>
      </c>
      <c r="E3942" s="2">
        <f>HYPERLINK("https://www.amazon.com/Hey-Play-Carrying-Backyard-Recreation/dp/B082PGQNVG/ref=sr_1_3?keywords=6+Player+Croquet+Set+with+Trolley&amp;qid=1695565975&amp;sr=8-3", "https://www.amazon.com/Hey-Play-Carrying-Backyard-Recreation/dp/B082PGQNVG/ref=sr_1_3?keywords=6+Player+Croquet+Set+with+Trolley&amp;qid=1695565975&amp;sr=8-3")</f>
        <v/>
      </c>
      <c r="F3942" t="inlineStr">
        <is>
          <t>B082PGQNVG</t>
        </is>
      </c>
      <c r="G3942">
        <f>_xlfn.IMAGE("https://faoschwarz.com/cdn/shop/products/lucio-londero-games-6-player-croquet-set-with-trolley-28473410748503_1080x.jpg?v=1656064442")</f>
        <v/>
      </c>
      <c r="H3942">
        <f>_xlfn.IMAGE("https://m.media-amazon.com/images/I/A15lY+7WaLL._AC_UL320_.jpg")</f>
        <v/>
      </c>
      <c r="K3942" t="inlineStr">
        <is>
          <t>225.0</t>
        </is>
      </c>
      <c r="L3942" t="n">
        <v>49.97</v>
      </c>
      <c r="M3942" s="1" t="inlineStr">
        <is>
          <t>-77.79%</t>
        </is>
      </c>
      <c r="N3942" t="n">
        <v>4.3</v>
      </c>
      <c r="O3942" t="n">
        <v>273</v>
      </c>
      <c r="Q3942" t="inlineStr">
        <is>
          <t>InStock</t>
        </is>
      </c>
      <c r="R3942" t="inlineStr">
        <is>
          <t>undefined</t>
        </is>
      </c>
      <c r="S3942" t="inlineStr">
        <is>
          <t>6620750479447</t>
        </is>
      </c>
    </row>
    <row r="3943" ht="75" customHeight="1">
      <c r="A3943" s="2">
        <f>HYPERLINK("https://faoschwarz.com/products/6-player-croquet-set-with-trolley", "https://faoschwarz.com/products/6-player-croquet-set-with-trolley")</f>
        <v/>
      </c>
      <c r="B3943" s="2">
        <f>HYPERLINK("https://faoschwarz.com/products/6-player-croquet-set-with-trolley", "https://faoschwarz.com/products/6-player-croquet-set-with-trolley")</f>
        <v/>
      </c>
      <c r="C3943" t="inlineStr">
        <is>
          <t>6 Player Croquet Set with Trolley</t>
        </is>
      </c>
      <c r="D3943" t="inlineStr">
        <is>
          <t>Triumph Sports Six Player Croquet Sets with 6 Wood Mallets, Balls, and Carrying Bags</t>
        </is>
      </c>
      <c r="E3943" s="2">
        <f>HYPERLINK("https://www.amazon.com/Triumph-6-Player-Beginner-Backyard-Croquet/dp/B00CFEFB2Q/ref=sr_1_6?keywords=6+Player+Croquet+Set+with+Trolley&amp;qid=1695565975&amp;sr=8-6", "https://www.amazon.com/Triumph-6-Player-Beginner-Backyard-Croquet/dp/B00CFEFB2Q/ref=sr_1_6?keywords=6+Player+Croquet+Set+with+Trolley&amp;qid=1695565975&amp;sr=8-6")</f>
        <v/>
      </c>
      <c r="F3943" t="inlineStr">
        <is>
          <t>B00CFEFB2Q</t>
        </is>
      </c>
      <c r="G3943">
        <f>_xlfn.IMAGE("https://faoschwarz.com/cdn/shop/products/lucio-londero-games-6-player-croquet-set-with-trolley-28473410748503_1080x.jpg?v=1656064442")</f>
        <v/>
      </c>
      <c r="H3943">
        <f>_xlfn.IMAGE("https://m.media-amazon.com/images/I/610Pyw0MxqL._AC_UL320_.jpg")</f>
        <v/>
      </c>
      <c r="K3943" t="inlineStr">
        <is>
          <t>225.0</t>
        </is>
      </c>
      <c r="L3943" t="n">
        <v>39.5</v>
      </c>
      <c r="M3943" s="1" t="inlineStr">
        <is>
          <t>-82.44%</t>
        </is>
      </c>
      <c r="N3943" t="n">
        <v>4.1</v>
      </c>
      <c r="O3943" t="n">
        <v>414</v>
      </c>
      <c r="Q3943" t="inlineStr">
        <is>
          <t>InStock</t>
        </is>
      </c>
      <c r="R3943" t="inlineStr">
        <is>
          <t>undefined</t>
        </is>
      </c>
      <c r="S3943" t="inlineStr">
        <is>
          <t>6620750479447</t>
        </is>
      </c>
    </row>
    <row r="3944" ht="75" customHeight="1">
      <c r="A3944" s="2">
        <f>HYPERLINK("https://faoschwarz.com/products/6-player-croquet-set-with-trolley", "https://faoschwarz.com/products/6-player-croquet-set-with-trolley")</f>
        <v/>
      </c>
      <c r="B3944" s="2">
        <f>HYPERLINK("https://faoschwarz.com/products/6-player-croquet-set-with-trolley", "https://faoschwarz.com/products/6-player-croquet-set-with-trolley")</f>
        <v/>
      </c>
      <c r="C3944" t="inlineStr">
        <is>
          <t>6 Player Croquet Set with Trolley</t>
        </is>
      </c>
      <c r="D3944" t="inlineStr">
        <is>
          <t>Londero 6 Player Croquet with Trolley, (10-09206)</t>
        </is>
      </c>
      <c r="E3944" s="2">
        <f>HYPERLINK("https://www.amazon.com/Londero-6-Player-Croquet-Trolley/dp/B00FJJ4ZI0/ref=sr_1_1?keywords=6+Player+Croquet+Set+with+Trolley&amp;qid=1695565975&amp;sr=8-1", "https://www.amazon.com/Londero-6-Player-Croquet-Trolley/dp/B00FJJ4ZI0/ref=sr_1_1?keywords=6+Player+Croquet+Set+with+Trolley&amp;qid=1695565975&amp;sr=8-1")</f>
        <v/>
      </c>
      <c r="F3944" t="inlineStr">
        <is>
          <t>B00FJJ4ZI0</t>
        </is>
      </c>
      <c r="G3944">
        <f>_xlfn.IMAGE("https://faoschwarz.com/cdn/shop/products/lucio-londero-games-6-player-croquet-set-with-trolley-28473410748503_1080x.jpg?v=1656064442")</f>
        <v/>
      </c>
      <c r="H3944">
        <f>_xlfn.IMAGE("https://m.media-amazon.com/images/I/41-T5M50GpL._AC_UL320_.jpg")</f>
        <v/>
      </c>
      <c r="K3944" t="inlineStr">
        <is>
          <t>225.0</t>
        </is>
      </c>
      <c r="L3944" t="n">
        <v>199.95</v>
      </c>
      <c r="M3944" s="1" t="inlineStr">
        <is>
          <t>-11.13%</t>
        </is>
      </c>
      <c r="N3944" t="n">
        <v>4</v>
      </c>
      <c r="O3944" t="n">
        <v>1</v>
      </c>
      <c r="Q3944" t="inlineStr">
        <is>
          <t>InStock</t>
        </is>
      </c>
      <c r="R3944" t="inlineStr">
        <is>
          <t>undefined</t>
        </is>
      </c>
      <c r="S3944" t="inlineStr">
        <is>
          <t>6620750479447</t>
        </is>
      </c>
    </row>
    <row r="3945" ht="75" customHeight="1">
      <c r="A3945" s="2">
        <f>HYPERLINK("https://faoschwarz.com/products/6-player-croquet-set-with-trolley", "https://faoschwarz.com/products/6-player-croquet-set-with-trolley")</f>
        <v/>
      </c>
      <c r="B3945" s="2">
        <f>HYPERLINK("https://faoschwarz.com/products/6-player-croquet-set-with-trolley", "https://faoschwarz.com/products/6-player-croquet-set-with-trolley")</f>
        <v/>
      </c>
      <c r="C3945" t="inlineStr">
        <is>
          <t>6 Player Croquet Set with Trolley</t>
        </is>
      </c>
      <c r="D3945" t="inlineStr">
        <is>
          <t>Baden 6-Player Champions Croquet Set with Soft Grip Handles Medium</t>
        </is>
      </c>
      <c r="E3945" s="2">
        <f>HYPERLINK("https://www.amazon.com/Baden-6-player-Champions-Croquet-Handles/dp/B005OVD3LS/ref=sr_1_2?keywords=6+Player+Croquet+Set+with+Trolley&amp;qid=1695565975&amp;sr=8-2", "https://www.amazon.com/Baden-6-player-Champions-Croquet-Handles/dp/B005OVD3LS/ref=sr_1_2?keywords=6+Player+Croquet+Set+with+Trolley&amp;qid=1695565975&amp;sr=8-2")</f>
        <v/>
      </c>
      <c r="F3945" t="inlineStr">
        <is>
          <t>B005OVD3LS</t>
        </is>
      </c>
      <c r="G3945">
        <f>_xlfn.IMAGE("https://faoschwarz.com/cdn/shop/products/lucio-londero-games-6-player-croquet-set-with-trolley-28473410748503_1080x.jpg?v=1656064442")</f>
        <v/>
      </c>
      <c r="H3945">
        <f>_xlfn.IMAGE("https://m.media-amazon.com/images/I/61MLVeqUshL._AC_UL320_.jpg")</f>
        <v/>
      </c>
      <c r="K3945" t="inlineStr">
        <is>
          <t>225.0</t>
        </is>
      </c>
      <c r="L3945" t="n">
        <v>119.99</v>
      </c>
      <c r="M3945" s="1" t="inlineStr">
        <is>
          <t>-46.67%</t>
        </is>
      </c>
      <c r="N3945" t="n">
        <v>4.2</v>
      </c>
      <c r="O3945" t="n">
        <v>309</v>
      </c>
      <c r="Q3945" t="inlineStr">
        <is>
          <t>InStock</t>
        </is>
      </c>
      <c r="R3945" t="inlineStr">
        <is>
          <t>undefined</t>
        </is>
      </c>
      <c r="S3945" t="inlineStr">
        <is>
          <t>6620750479447</t>
        </is>
      </c>
    </row>
    <row r="3946" ht="75" customHeight="1">
      <c r="A3946" s="2">
        <f>HYPERLINK("https://faoschwarz.com/products/6-player-croquet-set-with-trolley", "https://faoschwarz.com/products/6-player-croquet-set-with-trolley")</f>
        <v/>
      </c>
      <c r="B3946" s="2">
        <f>HYPERLINK("https://faoschwarz.com/products/6-player-croquet-set-with-trolley", "https://faoschwarz.com/products/6-player-croquet-set-with-trolley")</f>
        <v/>
      </c>
      <c r="C3946" t="inlineStr">
        <is>
          <t>6 Player Croquet Set with Trolley</t>
        </is>
      </c>
      <c r="D3946" t="inlineStr">
        <is>
          <t>Hey! Play! Croquet Set- Wooden Outdoor Deluxe Sports Set with Carrying Case- Fun Vintage Backyard Lawn Recreation Game, Kids or Adults (6 Players)</t>
        </is>
      </c>
      <c r="E3946" s="2">
        <f>HYPERLINK("https://www.amazon.com/Hey-Play-Carrying-Backyard-Recreation/dp/B082PGQNVG/ref=sr_1_3?keywords=6+Player+Croquet+Set+with+Trolley&amp;qid=1695565975&amp;sr=8-3", "https://www.amazon.com/Hey-Play-Carrying-Backyard-Recreation/dp/B082PGQNVG/ref=sr_1_3?keywords=6+Player+Croquet+Set+with+Trolley&amp;qid=1695565975&amp;sr=8-3")</f>
        <v/>
      </c>
      <c r="F3946" t="inlineStr">
        <is>
          <t>B082PGQNVG</t>
        </is>
      </c>
      <c r="G3946">
        <f>_xlfn.IMAGE("https://faoschwarz.com/cdn/shop/products/lucio-londero-games-6-player-croquet-set-with-trolley-28473410748503_1080x.jpg?v=1656064442")</f>
        <v/>
      </c>
      <c r="H3946">
        <f>_xlfn.IMAGE("https://m.media-amazon.com/images/I/A15lY+7WaLL._AC_UL320_.jpg")</f>
        <v/>
      </c>
      <c r="K3946" t="inlineStr">
        <is>
          <t>225.0</t>
        </is>
      </c>
      <c r="L3946" t="n">
        <v>49.97</v>
      </c>
      <c r="M3946" s="1" t="inlineStr">
        <is>
          <t>-77.79%</t>
        </is>
      </c>
      <c r="N3946" t="n">
        <v>4.3</v>
      </c>
      <c r="O3946" t="n">
        <v>273</v>
      </c>
      <c r="Q3946" t="inlineStr">
        <is>
          <t>InStock</t>
        </is>
      </c>
      <c r="R3946" t="inlineStr">
        <is>
          <t>undefined</t>
        </is>
      </c>
      <c r="S3946" t="inlineStr">
        <is>
          <t>6620750479447</t>
        </is>
      </c>
    </row>
    <row r="3947" ht="75" customHeight="1">
      <c r="A3947" s="2">
        <f>HYPERLINK("https://faoschwarz.com/products/6-player-croquet-set-with-trolley", "https://faoschwarz.com/products/6-player-croquet-set-with-trolley")</f>
        <v/>
      </c>
      <c r="B3947" s="2">
        <f>HYPERLINK("https://faoschwarz.com/products/6-player-croquet-set-with-trolley", "https://faoschwarz.com/products/6-player-croquet-set-with-trolley")</f>
        <v/>
      </c>
      <c r="C3947" t="inlineStr">
        <is>
          <t>6 Player Croquet Set with Trolley</t>
        </is>
      </c>
      <c r="D3947" t="inlineStr">
        <is>
          <t>Triumph Sports Six Player Croquet Sets with 6 Wood Mallets, Balls, and Carrying Bags</t>
        </is>
      </c>
      <c r="E3947" s="2">
        <f>HYPERLINK("https://www.amazon.com/Triumph-6-Player-Beginner-Backyard-Croquet/dp/B00CFEFB2Q/ref=sr_1_6?keywords=6+Player+Croquet+Set+with+Trolley&amp;qid=1695565975&amp;sr=8-6", "https://www.amazon.com/Triumph-6-Player-Beginner-Backyard-Croquet/dp/B00CFEFB2Q/ref=sr_1_6?keywords=6+Player+Croquet+Set+with+Trolley&amp;qid=1695565975&amp;sr=8-6")</f>
        <v/>
      </c>
      <c r="F3947" t="inlineStr">
        <is>
          <t>B00CFEFB2Q</t>
        </is>
      </c>
      <c r="G3947">
        <f>_xlfn.IMAGE("https://faoschwarz.com/cdn/shop/products/lucio-londero-games-6-player-croquet-set-with-trolley-28473410748503_1080x.jpg?v=1656064442")</f>
        <v/>
      </c>
      <c r="H3947">
        <f>_xlfn.IMAGE("https://m.media-amazon.com/images/I/610Pyw0MxqL._AC_UL320_.jpg")</f>
        <v/>
      </c>
      <c r="K3947" t="inlineStr">
        <is>
          <t>225.0</t>
        </is>
      </c>
      <c r="L3947" t="n">
        <v>39.5</v>
      </c>
      <c r="M3947" s="1" t="inlineStr">
        <is>
          <t>-82.44%</t>
        </is>
      </c>
      <c r="N3947" t="n">
        <v>4.1</v>
      </c>
      <c r="O3947" t="n">
        <v>414</v>
      </c>
      <c r="Q3947" t="inlineStr">
        <is>
          <t>InStock</t>
        </is>
      </c>
      <c r="R3947" t="inlineStr">
        <is>
          <t>undefined</t>
        </is>
      </c>
      <c r="S3947" t="inlineStr">
        <is>
          <t>6620750479447</t>
        </is>
      </c>
    </row>
    <row r="3948" ht="75" customHeight="1">
      <c r="A3948" s="2">
        <f>HYPERLINK("https://faoschwarz.com/products/99-bicycles", "https://faoschwarz.com/products/99-bicycles")</f>
        <v/>
      </c>
      <c r="B3948" s="2">
        <f>HYPERLINK("https://faoschwarz.com/products/99-bicycles", "https://faoschwarz.com/products/99-bicycles")</f>
        <v/>
      </c>
      <c r="C3948" t="inlineStr">
        <is>
          <t>99 Bicycles</t>
        </is>
      </c>
      <c r="D3948" t="inlineStr">
        <is>
          <t>Ravensburger 16007 99 Bicycles 1500 Piece Puzzle for Adults - Every Piece is Unique, Softclick Technology Means Pieces Fit Together Perfectly, Red</t>
        </is>
      </c>
      <c r="E3948" s="2">
        <f>HYPERLINK("https://www.amazon.com/Ravensburger-16007-Bicycles-Puzzle-Adults/dp/B003BI5JYK/ref=sr_1_1?keywords=99+Bicycles&amp;qid=1695565995&amp;sr=8-1", "https://www.amazon.com/Ravensburger-16007-Bicycles-Puzzle-Adults/dp/B003BI5JYK/ref=sr_1_1?keywords=99+Bicycles&amp;qid=1695565995&amp;sr=8-1")</f>
        <v/>
      </c>
      <c r="F3948" t="inlineStr">
        <is>
          <t>B003BI5JYK</t>
        </is>
      </c>
      <c r="G3948">
        <f>_xlfn.IMAGE("https://faoschwarz.com/cdn/shop/products/ravensburger-puzzles-99-bicycles-28306583355479_1080x.jpg?v=1656181760")</f>
        <v/>
      </c>
      <c r="H3948">
        <f>_xlfn.IMAGE("https://m.media-amazon.com/images/I/91fnG-gaThL._AC_UY218_.jpg")</f>
        <v/>
      </c>
      <c r="K3948" t="inlineStr">
        <is>
          <t>34.0</t>
        </is>
      </c>
      <c r="L3948" t="n">
        <v>26.99</v>
      </c>
      <c r="M3948" s="1" t="inlineStr">
        <is>
          <t>-20.62%</t>
        </is>
      </c>
      <c r="N3948" t="n">
        <v>4.7</v>
      </c>
      <c r="O3948" t="n">
        <v>507</v>
      </c>
      <c r="Q3948" t="inlineStr">
        <is>
          <t>InStock</t>
        </is>
      </c>
      <c r="R3948" t="inlineStr">
        <is>
          <t>undefined</t>
        </is>
      </c>
      <c r="S3948" t="inlineStr">
        <is>
          <t>4615260667991</t>
        </is>
      </c>
    </row>
    <row r="3949" ht="75" customHeight="1">
      <c r="A3949" s="2">
        <f>HYPERLINK("https://faoschwarz.com/products/99-bicycles", "https://faoschwarz.com/products/99-bicycles")</f>
        <v/>
      </c>
      <c r="B3949" s="2">
        <f>HYPERLINK("https://faoschwarz.com/products/99-bicycles", "https://faoschwarz.com/products/99-bicycles")</f>
        <v/>
      </c>
      <c r="C3949" t="inlineStr">
        <is>
          <t>99 Bicycles</t>
        </is>
      </c>
      <c r="D3949" t="inlineStr">
        <is>
          <t>Ravensburger 16007 99 Bicycles 1500 Piece Puzzle for Adults - Every Piece is Unique, Softclick Technology Means Pieces Fit Together Perfectly, Red</t>
        </is>
      </c>
      <c r="E3949" s="2">
        <f>HYPERLINK("https://www.amazon.com/Ravensburger-16007-Bicycles-Puzzle-Adults/dp/B003BI5JYK/ref=sr_1_1?keywords=99+Bicycles&amp;qid=1695565995&amp;sr=8-1", "https://www.amazon.com/Ravensburger-16007-Bicycles-Puzzle-Adults/dp/B003BI5JYK/ref=sr_1_1?keywords=99+Bicycles&amp;qid=1695565995&amp;sr=8-1")</f>
        <v/>
      </c>
      <c r="F3949" t="inlineStr">
        <is>
          <t>B003BI5JYK</t>
        </is>
      </c>
      <c r="G3949">
        <f>_xlfn.IMAGE("https://faoschwarz.com/cdn/shop/products/ravensburger-puzzles-99-bicycles-28306583355479_1080x.jpg?v=1656181760")</f>
        <v/>
      </c>
      <c r="H3949">
        <f>_xlfn.IMAGE("https://m.media-amazon.com/images/I/91fnG-gaThL._AC_UY218_.jpg")</f>
        <v/>
      </c>
      <c r="K3949" t="inlineStr">
        <is>
          <t>34.0</t>
        </is>
      </c>
      <c r="L3949" t="n">
        <v>26.99</v>
      </c>
      <c r="M3949" s="1" t="inlineStr">
        <is>
          <t>-20.62%</t>
        </is>
      </c>
      <c r="N3949" t="n">
        <v>4.7</v>
      </c>
      <c r="O3949" t="n">
        <v>507</v>
      </c>
      <c r="Q3949" t="inlineStr">
        <is>
          <t>InStock</t>
        </is>
      </c>
      <c r="R3949" t="inlineStr">
        <is>
          <t>undefined</t>
        </is>
      </c>
      <c r="S3949" t="inlineStr">
        <is>
          <t>4615260667991</t>
        </is>
      </c>
    </row>
    <row r="3950" ht="75" customHeight="1">
      <c r="A3950" s="2">
        <f>HYPERLINK("https://faoschwarz.com/products/at-the-water-hole-18-000-piece-puzzle", "https://faoschwarz.com/products/at-the-water-hole-18-000-piece-puzzle")</f>
        <v/>
      </c>
      <c r="B3950" s="2">
        <f>HYPERLINK("https://faoschwarz.com/products/at-the-water-hole-18-000-piece-puzzle", "https://faoschwarz.com/products/at-the-water-hole-18-000-piece-puzzle")</f>
        <v/>
      </c>
      <c r="C3950" t="inlineStr">
        <is>
          <t>At The Water Hole - 18,000 Piece Puzzle</t>
        </is>
      </c>
      <c r="D3950" t="inlineStr">
        <is>
          <t>Ravensburger at The Waterhole - 18000 Piece Jigsaw Puzzle for Adults – Softclick Technology Means Pieces Fit Together Perfectly (17823)</t>
        </is>
      </c>
      <c r="E3950" s="2">
        <f>HYPERLINK("https://www.amazon.com/Ravensburger-Waterhole-Softclick-Technology-Perfectly/dp/B0036MEPOG/ref=sr_1_1?keywords=At+The+Water+Hole+-+18%2C000+Piece+Puzzle&amp;qid=1695566020&amp;sr=8-1", "https://www.amazon.com/Ravensburger-Waterhole-Softclick-Technology-Perfectly/dp/B0036MEPOG/ref=sr_1_1?keywords=At+The+Water+Hole+-+18%2C000+Piece+Puzzle&amp;qid=1695566020&amp;sr=8-1")</f>
        <v/>
      </c>
      <c r="F3950" t="inlineStr">
        <is>
          <t>B0036MEPOG</t>
        </is>
      </c>
      <c r="G3950">
        <f>_xlfn.IMAGE("https://faoschwarz.com/cdn/shop/products/ravensburger-puzzles-at-the-water-hole-18-000-piece-puzzle-28111039135831_1080x.jpg?v=1656124340")</f>
        <v/>
      </c>
      <c r="H3950">
        <f>_xlfn.IMAGE("https://m.media-amazon.com/images/I/616P6CSx6lL._AC_UL320_.jpg")</f>
        <v/>
      </c>
      <c r="K3950" t="inlineStr">
        <is>
          <t>200.0</t>
        </is>
      </c>
      <c r="L3950" t="n">
        <v>199.99</v>
      </c>
      <c r="M3950" s="1" t="inlineStr">
        <is>
          <t>-0.00%</t>
        </is>
      </c>
      <c r="N3950" t="n">
        <v>4.6</v>
      </c>
      <c r="O3950" t="n">
        <v>170</v>
      </c>
      <c r="Q3950" t="inlineStr">
        <is>
          <t>InStock</t>
        </is>
      </c>
      <c r="R3950" t="inlineStr">
        <is>
          <t>undefined</t>
        </is>
      </c>
      <c r="S3950" t="inlineStr">
        <is>
          <t>6557771202647</t>
        </is>
      </c>
    </row>
    <row r="3951" ht="75" customHeight="1">
      <c r="A3951" s="2">
        <f>HYPERLINK("https://faoschwarz.com/products/baby-stroller", "https://faoschwarz.com/products/baby-stroller")</f>
        <v/>
      </c>
      <c r="B3951" s="2">
        <f>HYPERLINK("https://faoschwarz.com/products/baby-stroller", "https://faoschwarz.com/products/baby-stroller")</f>
        <v/>
      </c>
      <c r="C3951" t="inlineStr">
        <is>
          <t>Baby Stroller</t>
        </is>
      </c>
      <c r="D3951" t="inlineStr">
        <is>
          <t>Britax Brook+ Modular Baby Stroller, Ultra-Lightweight Infant and Toddler Stroller with SafeWash Insert and 4 Ways to Stroll, Graphite Onyx</t>
        </is>
      </c>
      <c r="E3951" s="2">
        <f>HYPERLINK("https://www.amazon.com/Modular-Stroller-Ultra-Lightweight-SafeWash-Graphite/dp/B0BWHCLQKQ/ref=sr_1_8?keywords=Baby+Stroller&amp;qid=1695565947&amp;sr=8-8", "https://www.amazon.com/Modular-Stroller-Ultra-Lightweight-SafeWash-Graphite/dp/B0BWHCLQKQ/ref=sr_1_8?keywords=Baby+Stroller&amp;qid=1695565947&amp;sr=8-8")</f>
        <v/>
      </c>
      <c r="F3951" t="inlineStr">
        <is>
          <t>B0BWHCLQKQ</t>
        </is>
      </c>
      <c r="G3951">
        <f>_xlfn.IMAGE("https://faoschwarz.com/cdn/shop/products/fao-schwarz-dolls-baby-stroller-28288136740951_1080x.jpg?v=1656202879")</f>
        <v/>
      </c>
      <c r="H3951">
        <f>_xlfn.IMAGE("https://m.media-amazon.com/images/I/81DnzJ+uQ3L._AC_UY218_.jpg")</f>
        <v/>
      </c>
      <c r="K3951" t="inlineStr">
        <is>
          <t>100.0</t>
        </is>
      </c>
      <c r="L3951" t="n">
        <v>239.99</v>
      </c>
      <c r="M3951" s="1" t="inlineStr">
        <is>
          <t>139.99%</t>
        </is>
      </c>
      <c r="N3951" t="n">
        <v>4.8</v>
      </c>
      <c r="O3951" t="n">
        <v>20</v>
      </c>
      <c r="Q3951" t="inlineStr">
        <is>
          <t>InStock</t>
        </is>
      </c>
      <c r="R3951" t="inlineStr">
        <is>
          <t>undefined</t>
        </is>
      </c>
      <c r="S3951" t="inlineStr">
        <is>
          <t>4654891728983</t>
        </is>
      </c>
    </row>
    <row r="3952" ht="75" customHeight="1">
      <c r="A3952" s="2">
        <f>HYPERLINK("https://faoschwarz.com/products/baby-stroller", "https://faoschwarz.com/products/baby-stroller")</f>
        <v/>
      </c>
      <c r="B3952" s="2">
        <f>HYPERLINK("https://faoschwarz.com/products/baby-stroller", "https://faoschwarz.com/products/baby-stroller")</f>
        <v/>
      </c>
      <c r="C3952" t="inlineStr">
        <is>
          <t>Baby Stroller</t>
        </is>
      </c>
      <c r="D3952" t="inlineStr">
        <is>
          <t>Mompush Wiz 2-in-1 Convertible Baby Stroller with Bassinet Mode - Foldable Infant Stroller to Explore More as a Family - Toddler Stroller with Reversible Stroller Seat</t>
        </is>
      </c>
      <c r="E3952" s="2">
        <f>HYPERLINK("https://www.amazon.com/Stroller-Bassinet-Convertible-Carriage-Reversible/dp/B093GS5723/ref=sr_1_6?keywords=Baby+Stroller&amp;qid=1695565947&amp;sr=8-6", "https://www.amazon.com/Stroller-Bassinet-Convertible-Carriage-Reversible/dp/B093GS5723/ref=sr_1_6?keywords=Baby+Stroller&amp;qid=1695565947&amp;sr=8-6")</f>
        <v/>
      </c>
      <c r="F3952" t="inlineStr">
        <is>
          <t>B093GS5723</t>
        </is>
      </c>
      <c r="G3952">
        <f>_xlfn.IMAGE("https://faoschwarz.com/cdn/shop/products/fao-schwarz-dolls-baby-stroller-28288136740951_1080x.jpg?v=1656202879")</f>
        <v/>
      </c>
      <c r="H3952">
        <f>_xlfn.IMAGE("https://m.media-amazon.com/images/I/71RopHHE+SL._AC_UY218_.jpg")</f>
        <v/>
      </c>
      <c r="K3952" t="inlineStr">
        <is>
          <t>100.0</t>
        </is>
      </c>
      <c r="L3952" t="n">
        <v>159.99</v>
      </c>
      <c r="M3952" s="1" t="inlineStr">
        <is>
          <t>59.99%</t>
        </is>
      </c>
      <c r="N3952" t="n">
        <v>4.6</v>
      </c>
      <c r="O3952" t="n">
        <v>1172</v>
      </c>
      <c r="Q3952" t="inlineStr">
        <is>
          <t>InStock</t>
        </is>
      </c>
      <c r="R3952" t="inlineStr">
        <is>
          <t>undefined</t>
        </is>
      </c>
      <c r="S3952" t="inlineStr">
        <is>
          <t>4654891728983</t>
        </is>
      </c>
    </row>
    <row r="3953" ht="75" customHeight="1">
      <c r="A3953" s="2">
        <f>HYPERLINK("https://faoschwarz.com/products/baby-stroller", "https://faoschwarz.com/products/baby-stroller")</f>
        <v/>
      </c>
      <c r="B3953" s="2">
        <f>HYPERLINK("https://faoschwarz.com/products/baby-stroller", "https://faoschwarz.com/products/baby-stroller")</f>
        <v/>
      </c>
      <c r="C3953" t="inlineStr">
        <is>
          <t>Baby Stroller</t>
        </is>
      </c>
      <c r="D3953" t="inlineStr">
        <is>
          <t>2 in 1 Convertible Baby Stroller Newborn Reversible Bassinet Pram, Foldable Pushchair with Adjustable Canopy Folding High Landscape Infant Carriage, Anti-Shock Toddler Pushchair</t>
        </is>
      </c>
      <c r="E3953" s="2">
        <f>HYPERLINK("https://www.amazon.com/PEARLOVE-Convertible-Reversible-Adjustable-Anti-Shock/dp/B0C77VJ3JW/ref=sr_1_10?keywords=Baby+Stroller&amp;qid=1695565947&amp;sr=8-10", "https://www.amazon.com/PEARLOVE-Convertible-Reversible-Adjustable-Anti-Shock/dp/B0C77VJ3JW/ref=sr_1_10?keywords=Baby+Stroller&amp;qid=1695565947&amp;sr=8-10")</f>
        <v/>
      </c>
      <c r="F3953" t="inlineStr">
        <is>
          <t>B0C77VJ3JW</t>
        </is>
      </c>
      <c r="G3953">
        <f>_xlfn.IMAGE("https://faoschwarz.com/cdn/shop/products/fao-schwarz-dolls-baby-stroller-28288136740951_1080x.jpg?v=1656202879")</f>
        <v/>
      </c>
      <c r="H3953">
        <f>_xlfn.IMAGE("https://m.media-amazon.com/images/I/71h+nBKshiL._AC_UY218_.jpg")</f>
        <v/>
      </c>
      <c r="K3953" t="inlineStr">
        <is>
          <t>100.0</t>
        </is>
      </c>
      <c r="L3953" t="n">
        <v>153.99</v>
      </c>
      <c r="M3953" s="1" t="inlineStr">
        <is>
          <t>53.99%</t>
        </is>
      </c>
      <c r="N3953" t="n">
        <v>5</v>
      </c>
      <c r="O3953" t="n">
        <v>2</v>
      </c>
      <c r="Q3953" t="inlineStr">
        <is>
          <t>InStock</t>
        </is>
      </c>
      <c r="R3953" t="inlineStr">
        <is>
          <t>undefined</t>
        </is>
      </c>
      <c r="S3953" t="inlineStr">
        <is>
          <t>4654891728983</t>
        </is>
      </c>
    </row>
    <row r="3954" ht="75" customHeight="1">
      <c r="A3954" s="2">
        <f>HYPERLINK("https://faoschwarz.com/products/baby-stroller", "https://faoschwarz.com/products/baby-stroller")</f>
        <v/>
      </c>
      <c r="B3954" s="2">
        <f>HYPERLINK("https://faoschwarz.com/products/baby-stroller", "https://faoschwarz.com/products/baby-stroller")</f>
        <v/>
      </c>
      <c r="C3954" t="inlineStr">
        <is>
          <t>Baby Stroller</t>
        </is>
      </c>
      <c r="D3954" t="inlineStr">
        <is>
          <t>Kinder King 3 in 1 Reversible Baby Stroller w/Detachable Tray, Convert to Newborn Bassinet Pram, Folding Infant Carriage for Toddler, Adjustable Canopy &amp; Handle, Aluminum Alloy, Suspension Wheels</t>
        </is>
      </c>
      <c r="E3954" s="2">
        <f>HYPERLINK("https://www.amazon.com/Kinder-King-Reversible-Detachable-Adjustable/dp/B0BBVQ69HD/ref=sr_1_7?keywords=Baby+Stroller&amp;qid=1695565947&amp;sr=8-7", "https://www.amazon.com/Kinder-King-Reversible-Detachable-Adjustable/dp/B0BBVQ69HD/ref=sr_1_7?keywords=Baby+Stroller&amp;qid=1695565947&amp;sr=8-7")</f>
        <v/>
      </c>
      <c r="F3954" t="inlineStr">
        <is>
          <t>B0BBVQ69HD</t>
        </is>
      </c>
      <c r="G3954">
        <f>_xlfn.IMAGE("https://faoschwarz.com/cdn/shop/products/fao-schwarz-dolls-baby-stroller-28288136740951_1080x.jpg?v=1656202879")</f>
        <v/>
      </c>
      <c r="H3954">
        <f>_xlfn.IMAGE("https://m.media-amazon.com/images/I/71thRifQAtL._AC_UY218_.jpg")</f>
        <v/>
      </c>
      <c r="K3954" t="inlineStr">
        <is>
          <t>100.0</t>
        </is>
      </c>
      <c r="L3954" t="n">
        <v>139.99</v>
      </c>
      <c r="M3954" s="1" t="inlineStr">
        <is>
          <t>39.99%</t>
        </is>
      </c>
      <c r="N3954" t="n">
        <v>4.6</v>
      </c>
      <c r="O3954" t="n">
        <v>35</v>
      </c>
      <c r="Q3954" t="inlineStr">
        <is>
          <t>InStock</t>
        </is>
      </c>
      <c r="R3954" t="inlineStr">
        <is>
          <t>undefined</t>
        </is>
      </c>
      <c r="S3954" t="inlineStr">
        <is>
          <t>4654891728983</t>
        </is>
      </c>
    </row>
    <row r="3955" ht="75" customHeight="1">
      <c r="A3955" s="2">
        <f>HYPERLINK("https://faoschwarz.com/products/baby-stroller", "https://faoschwarz.com/products/baby-stroller")</f>
        <v/>
      </c>
      <c r="B3955" s="2">
        <f>HYPERLINK("https://faoschwarz.com/products/baby-stroller", "https://faoschwarz.com/products/baby-stroller")</f>
        <v/>
      </c>
      <c r="C3955" t="inlineStr">
        <is>
          <t>Baby Stroller</t>
        </is>
      </c>
      <c r="D3955" t="inlineStr">
        <is>
          <t>Baby Trend Range Jogger Stroller, Millennium</t>
        </is>
      </c>
      <c r="E3955" s="2">
        <f>HYPERLINK("https://www.amazon.com/Baby-Trend-Jogger-Stroller-Millennium/dp/B01FCDWZFC/ref=sr_1_4?keywords=Baby+Stroller&amp;qid=1695565947&amp;sr=8-4", "https://www.amazon.com/Baby-Trend-Jogger-Stroller-Millennium/dp/B01FCDWZFC/ref=sr_1_4?keywords=Baby+Stroller&amp;qid=1695565947&amp;sr=8-4")</f>
        <v/>
      </c>
      <c r="F3955" t="inlineStr">
        <is>
          <t>B01FCDWZFC</t>
        </is>
      </c>
      <c r="G3955">
        <f>_xlfn.IMAGE("https://faoschwarz.com/cdn/shop/products/fao-schwarz-dolls-baby-stroller-28288136740951_1080x.jpg?v=1656202879")</f>
        <v/>
      </c>
      <c r="H3955">
        <f>_xlfn.IMAGE("https://m.media-amazon.com/images/I/91aRe6nK7EL._AC_UY218_.jpg")</f>
        <v/>
      </c>
      <c r="K3955" t="inlineStr">
        <is>
          <t>100.0</t>
        </is>
      </c>
      <c r="L3955" t="n">
        <v>109.99</v>
      </c>
      <c r="M3955" s="1" t="inlineStr">
        <is>
          <t>9.99%</t>
        </is>
      </c>
      <c r="N3955" t="n">
        <v>4.7</v>
      </c>
      <c r="O3955" t="n">
        <v>21640</v>
      </c>
      <c r="Q3955" t="inlineStr">
        <is>
          <t>InStock</t>
        </is>
      </c>
      <c r="R3955" t="inlineStr">
        <is>
          <t>undefined</t>
        </is>
      </c>
      <c r="S3955" t="inlineStr">
        <is>
          <t>4654891728983</t>
        </is>
      </c>
    </row>
    <row r="3956" ht="75" customHeight="1">
      <c r="A3956" s="2">
        <f>HYPERLINK("https://faoschwarz.com/products/baby-stroller", "https://faoschwarz.com/products/baby-stroller")</f>
        <v/>
      </c>
      <c r="B3956" s="2">
        <f>HYPERLINK("https://faoschwarz.com/products/baby-stroller", "https://faoschwarz.com/products/baby-stroller")</f>
        <v/>
      </c>
      <c r="C3956" t="inlineStr">
        <is>
          <t>Baby Stroller</t>
        </is>
      </c>
      <c r="D3956" t="inlineStr">
        <is>
          <t>Kolcraft Cloud Plus Lightweight Easy Fold Compact Toddler Stroller and Baby Stroller for Travel, Large Storage Basket, Multi-Position Recline, Convenient One-hand Fold, 13 lbs - Slate Gray</t>
        </is>
      </c>
      <c r="E3956" s="2">
        <f>HYPERLINK("https://www.amazon.com/Kolcraft-Lightweight-Stroller-Multi-Position-Reclining/dp/B019DHBCXE/ref=sr_1_3?keywords=Baby+Stroller&amp;qid=1695565947&amp;sr=8-3", "https://www.amazon.com/Kolcraft-Lightweight-Stroller-Multi-Position-Reclining/dp/B019DHBCXE/ref=sr_1_3?keywords=Baby+Stroller&amp;qid=1695565947&amp;sr=8-3")</f>
        <v/>
      </c>
      <c r="F3956" t="inlineStr">
        <is>
          <t>B019DHBCXE</t>
        </is>
      </c>
      <c r="G3956">
        <f>_xlfn.IMAGE("https://faoschwarz.com/cdn/shop/products/fao-schwarz-dolls-baby-stroller-28288136740951_1080x.jpg?v=1656202879")</f>
        <v/>
      </c>
      <c r="H3956">
        <f>_xlfn.IMAGE("https://m.media-amazon.com/images/I/61zN5VxDc+L._AC_UY218_.jpg")</f>
        <v/>
      </c>
      <c r="K3956" t="inlineStr">
        <is>
          <t>100.0</t>
        </is>
      </c>
      <c r="L3956" t="n">
        <v>79.98999999999999</v>
      </c>
      <c r="M3956" s="1" t="inlineStr">
        <is>
          <t>-20.01%</t>
        </is>
      </c>
      <c r="N3956" t="n">
        <v>4.5</v>
      </c>
      <c r="O3956" t="n">
        <v>10922</v>
      </c>
      <c r="Q3956" t="inlineStr">
        <is>
          <t>InStock</t>
        </is>
      </c>
      <c r="R3956" t="inlineStr">
        <is>
          <t>undefined</t>
        </is>
      </c>
      <c r="S3956" t="inlineStr">
        <is>
          <t>4654891728983</t>
        </is>
      </c>
    </row>
    <row r="3957" ht="75" customHeight="1">
      <c r="A3957" s="2">
        <f>HYPERLINK("https://faoschwarz.com/products/bakery-play-set", "https://faoschwarz.com/products/bakery-play-set")</f>
        <v/>
      </c>
      <c r="B3957" s="2">
        <f>HYPERLINK("https://faoschwarz.com/products/bakery-play-set", "https://faoschwarz.com/products/bakery-play-set")</f>
        <v/>
      </c>
      <c r="C3957" t="inlineStr">
        <is>
          <t>Wooden Pretend Play Baking Set</t>
        </is>
      </c>
      <c r="D3957" t="inlineStr">
        <is>
          <t>New Classic Toys Wooden Mixer Set Pretend Play Toy for Kids Cooking Simulation Educational Toys and Color Perception Toy for Preschool Age Toddlers Boys Girls , Red,White</t>
        </is>
      </c>
      <c r="E3957" s="2">
        <f>HYPERLINK("https://www.amazon.com/Simulation-Educational-Perception-Preschool-Toddlers/dp/B07C7B866H/ref=sr_1_10?keywords=Wooden+Pretend+Play+Baking+Set&amp;qid=1695565920&amp;sr=8-10", "https://www.amazon.com/Simulation-Educational-Perception-Preschool-Toddlers/dp/B07C7B866H/ref=sr_1_10?keywords=Wooden+Pretend+Play+Baking+Set&amp;qid=1695565920&amp;sr=8-10")</f>
        <v/>
      </c>
      <c r="F3957" t="inlineStr">
        <is>
          <t>B07C7B866H</t>
        </is>
      </c>
      <c r="G3957">
        <f>_xlfn.IMAGE("https://faoschwarz.com/cdn/shop/products/fao-schwarz-preschool-bakery-play-set-28562364170327_1080x.jpg?v=1656148143")</f>
        <v/>
      </c>
      <c r="H3957">
        <f>_xlfn.IMAGE("https://m.media-amazon.com/images/I/61JBl2ikg3L._AC_UL320_.jpg")</f>
        <v/>
      </c>
      <c r="K3957" t="inlineStr">
        <is>
          <t>35.0</t>
        </is>
      </c>
      <c r="L3957" t="n">
        <v>39.99</v>
      </c>
      <c r="M3957" s="1" t="inlineStr">
        <is>
          <t>14.26%</t>
        </is>
      </c>
      <c r="N3957" t="n">
        <v>4.8</v>
      </c>
      <c r="O3957" t="n">
        <v>494</v>
      </c>
      <c r="Q3957" t="inlineStr">
        <is>
          <t>InStock</t>
        </is>
      </c>
      <c r="R3957" t="inlineStr">
        <is>
          <t>undefined</t>
        </is>
      </c>
      <c r="S3957" t="inlineStr">
        <is>
          <t>6644306411607</t>
        </is>
      </c>
    </row>
    <row r="3958" ht="75" customHeight="1">
      <c r="A3958" s="2">
        <f>HYPERLINK("https://faoschwarz.com/products/bakery-play-set", "https://faoschwarz.com/products/bakery-play-set")</f>
        <v/>
      </c>
      <c r="B3958" s="2">
        <f>HYPERLINK("https://faoschwarz.com/products/bakery-play-set", "https://faoschwarz.com/products/bakery-play-set")</f>
        <v/>
      </c>
      <c r="C3958" t="inlineStr">
        <is>
          <t>Wooden Pretend Play Baking Set</t>
        </is>
      </c>
      <c r="D3958" t="inlineStr">
        <is>
          <t>21pcs Cookie Play Food Set, Ehome Wooden Kitchen Sets for Kids Pretend Play Food Toy, Wooden Play Kitchen Accessories Bake Cooking Play Baking Kit, Kitchen Toys Pretend Play Gift for Toddlers Ages 3+</t>
        </is>
      </c>
      <c r="E3958" s="2">
        <f>HYPERLINK("https://www.amazon.com/Ehome-Kitchen-Pretend-Accessories-Toddlers/dp/B0CBTY486X/ref=sr_1_2?keywords=Wooden+Pretend+Play+Baking+Set&amp;qid=1695565920&amp;sr=8-2", "https://www.amazon.com/Ehome-Kitchen-Pretend-Accessories-Toddlers/dp/B0CBTY486X/ref=sr_1_2?keywords=Wooden+Pretend+Play+Baking+Set&amp;qid=1695565920&amp;sr=8-2")</f>
        <v/>
      </c>
      <c r="F3958" t="inlineStr">
        <is>
          <t>B0CBTY486X</t>
        </is>
      </c>
      <c r="G3958">
        <f>_xlfn.IMAGE("https://faoschwarz.com/cdn/shop/products/fao-schwarz-preschool-bakery-play-set-28562364170327_1080x.jpg?v=1656148143")</f>
        <v/>
      </c>
      <c r="H3958">
        <f>_xlfn.IMAGE("https://m.media-amazon.com/images/I/61SOJNfcKYL._AC_UL320_.jpg")</f>
        <v/>
      </c>
      <c r="K3958" t="inlineStr">
        <is>
          <t>35.0</t>
        </is>
      </c>
      <c r="L3958" t="n">
        <v>35.99</v>
      </c>
      <c r="M3958" s="1" t="inlineStr">
        <is>
          <t>2.83%</t>
        </is>
      </c>
      <c r="N3958" t="n">
        <v>5</v>
      </c>
      <c r="O3958" t="n">
        <v>1</v>
      </c>
      <c r="Q3958" t="inlineStr">
        <is>
          <t>InStock</t>
        </is>
      </c>
      <c r="R3958" t="inlineStr">
        <is>
          <t>undefined</t>
        </is>
      </c>
      <c r="S3958" t="inlineStr">
        <is>
          <t>6644306411607</t>
        </is>
      </c>
    </row>
    <row r="3959" ht="75" customHeight="1">
      <c r="A3959" s="2">
        <f>HYPERLINK("https://faoschwarz.com/products/bakery-play-set", "https://faoschwarz.com/products/bakery-play-set")</f>
        <v/>
      </c>
      <c r="B3959" s="2">
        <f>HYPERLINK("https://faoschwarz.com/products/bakery-play-set", "https://faoschwarz.com/products/bakery-play-set")</f>
        <v/>
      </c>
      <c r="C3959" t="inlineStr">
        <is>
          <t>Wooden Pretend Play Baking Set</t>
        </is>
      </c>
      <c r="D3959" t="inlineStr">
        <is>
          <t>Pillowhale Wooden Toy Biscuits Baking Set,Pretend Play Food Sets for Kids Kitchen,Wooden Gingerbread Cookies Play Food Set,Play Kitchen Accessories for Toddlers Boys Girls Ages 3+</t>
        </is>
      </c>
      <c r="E3959" s="2">
        <f>HYPERLINK("https://www.amazon.com/Pillowhale-Biscuits-Gingerbread-Accessories-Toddlers/dp/B0C6585KG9/ref=sr_1_5?keywords=Wooden+Pretend+Play+Baking+Set&amp;qid=1695565920&amp;sr=8-5", "https://www.amazon.com/Pillowhale-Biscuits-Gingerbread-Accessories-Toddlers/dp/B0C6585KG9/ref=sr_1_5?keywords=Wooden+Pretend+Play+Baking+Set&amp;qid=1695565920&amp;sr=8-5")</f>
        <v/>
      </c>
      <c r="F3959" t="inlineStr">
        <is>
          <t>B0C6585KG9</t>
        </is>
      </c>
      <c r="G3959">
        <f>_xlfn.IMAGE("https://faoschwarz.com/cdn/shop/products/fao-schwarz-preschool-bakery-play-set-28562364170327_1080x.jpg?v=1656148143")</f>
        <v/>
      </c>
      <c r="H3959">
        <f>_xlfn.IMAGE("https://m.media-amazon.com/images/I/71aLZFy58bL._AC_UL320_.jpg")</f>
        <v/>
      </c>
      <c r="K3959" t="inlineStr">
        <is>
          <t>35.0</t>
        </is>
      </c>
      <c r="L3959" t="n">
        <v>29.99</v>
      </c>
      <c r="M3959" s="1" t="inlineStr">
        <is>
          <t>-14.31%</t>
        </is>
      </c>
      <c r="N3959" t="n">
        <v>4.6</v>
      </c>
      <c r="O3959" t="n">
        <v>49</v>
      </c>
      <c r="Q3959" t="inlineStr">
        <is>
          <t>InStock</t>
        </is>
      </c>
      <c r="R3959" t="inlineStr">
        <is>
          <t>undefined</t>
        </is>
      </c>
      <c r="S3959" t="inlineStr">
        <is>
          <t>6644306411607</t>
        </is>
      </c>
    </row>
    <row r="3960" ht="75" customHeight="1">
      <c r="A3960" s="2">
        <f>HYPERLINK("https://faoschwarz.com/products/bakery-play-set", "https://faoschwarz.com/products/bakery-play-set")</f>
        <v/>
      </c>
      <c r="B3960" s="2">
        <f>HYPERLINK("https://faoschwarz.com/products/bakery-play-set", "https://faoschwarz.com/products/bakery-play-set")</f>
        <v/>
      </c>
      <c r="C3960" t="inlineStr">
        <is>
          <t>Wooden Pretend Play Baking Set</t>
        </is>
      </c>
      <c r="D3960" t="inlineStr">
        <is>
          <t>iPlay, iLearn Kids Wood Cutting Play Food Toys Set, Pretend Kitchen Cooking Baking Accessories W/ Wooden Cake Cookies Plate, Magnetic Slice Dessert, Birthday Gift for 3 4 5 6 Year Old Toddler Boy Girl</t>
        </is>
      </c>
      <c r="E3960" s="2">
        <f>HYPERLINK("https://www.amazon.com/iPlay-iLearn-Magnetic-Birthday-Toddlers/dp/B079NXNV8G/ref=sr_1_9?keywords=Wooden+Pretend+Play+Baking+Set&amp;qid=1695565920&amp;sr=8-9", "https://www.amazon.com/iPlay-iLearn-Magnetic-Birthday-Toddlers/dp/B079NXNV8G/ref=sr_1_9?keywords=Wooden+Pretend+Play+Baking+Set&amp;qid=1695565920&amp;sr=8-9")</f>
        <v/>
      </c>
      <c r="F3960" t="inlineStr">
        <is>
          <t>B079NXNV8G</t>
        </is>
      </c>
      <c r="G3960">
        <f>_xlfn.IMAGE("https://faoschwarz.com/cdn/shop/products/fao-schwarz-preschool-bakery-play-set-28562364170327_1080x.jpg?v=1656148143")</f>
        <v/>
      </c>
      <c r="H3960">
        <f>_xlfn.IMAGE("https://m.media-amazon.com/images/I/8120ehirGNL._AC_UL320_.jpg")</f>
        <v/>
      </c>
      <c r="K3960" t="inlineStr">
        <is>
          <t>35.0</t>
        </is>
      </c>
      <c r="L3960" t="n">
        <v>28.99</v>
      </c>
      <c r="M3960" s="1" t="inlineStr">
        <is>
          <t>-17.17%</t>
        </is>
      </c>
      <c r="N3960" t="n">
        <v>4.5</v>
      </c>
      <c r="O3960" t="n">
        <v>180</v>
      </c>
      <c r="Q3960" t="inlineStr">
        <is>
          <t>InStock</t>
        </is>
      </c>
      <c r="R3960" t="inlineStr">
        <is>
          <t>undefined</t>
        </is>
      </c>
      <c r="S3960" t="inlineStr">
        <is>
          <t>6644306411607</t>
        </is>
      </c>
    </row>
    <row r="3961" ht="75" customHeight="1">
      <c r="A3961" s="2">
        <f>HYPERLINK("https://faoschwarz.com/products/bakery-play-set", "https://faoschwarz.com/products/bakery-play-set")</f>
        <v/>
      </c>
      <c r="B3961" s="2">
        <f>HYPERLINK("https://faoschwarz.com/products/bakery-play-set", "https://faoschwarz.com/products/bakery-play-set")</f>
        <v/>
      </c>
      <c r="C3961" t="inlineStr">
        <is>
          <t>Wooden Pretend Play Baking Set</t>
        </is>
      </c>
      <c r="D3961" t="inlineStr">
        <is>
          <t>Baker's Mart Ingredient Set | Wooden Play Food Baking Groceries | Includes Baking Soda, Chocolate, Milk, Sugar, Vanilla, Flour, Sprinkles, Butter and Egg | Pretend Play Food Kitchen Accessories</t>
        </is>
      </c>
      <c r="E3961" s="2">
        <f>HYPERLINK("https://www.amazon.com/Ingredient-Groceries-Chocolate-Sprinkles-Accessories/dp/B07J9RQB5Q/ref=sr_1_4?keywords=Wooden+Pretend+Play+Baking+Set&amp;qid=1695565920&amp;sr=8-4", "https://www.amazon.com/Ingredient-Groceries-Chocolate-Sprinkles-Accessories/dp/B07J9RQB5Q/ref=sr_1_4?keywords=Wooden+Pretend+Play+Baking+Set&amp;qid=1695565920&amp;sr=8-4")</f>
        <v/>
      </c>
      <c r="F3961" t="inlineStr">
        <is>
          <t>B07J9RQB5Q</t>
        </is>
      </c>
      <c r="G3961">
        <f>_xlfn.IMAGE("https://faoschwarz.com/cdn/shop/products/fao-schwarz-preschool-bakery-play-set-28562364170327_1080x.jpg?v=1656148143")</f>
        <v/>
      </c>
      <c r="H3961">
        <f>_xlfn.IMAGE("https://m.media-amazon.com/images/I/81yfa2KXnEL._AC_UL320_.jpg")</f>
        <v/>
      </c>
      <c r="K3961" t="inlineStr">
        <is>
          <t>35.0</t>
        </is>
      </c>
      <c r="L3961" t="n">
        <v>19.99</v>
      </c>
      <c r="M3961" s="1" t="inlineStr">
        <is>
          <t>-42.89%</t>
        </is>
      </c>
      <c r="N3961" t="n">
        <v>4.6</v>
      </c>
      <c r="O3961" t="n">
        <v>678</v>
      </c>
      <c r="Q3961" t="inlineStr">
        <is>
          <t>InStock</t>
        </is>
      </c>
      <c r="R3961" t="inlineStr">
        <is>
          <t>undefined</t>
        </is>
      </c>
      <c r="S3961" t="inlineStr">
        <is>
          <t>6644306411607</t>
        </is>
      </c>
    </row>
    <row r="3962" ht="75" customHeight="1">
      <c r="A3962" s="2">
        <f>HYPERLINK("https://faoschwarz.com/products/bakery-play-set", "https://faoschwarz.com/products/bakery-play-set")</f>
        <v/>
      </c>
      <c r="B3962" s="2">
        <f>HYPERLINK("https://faoschwarz.com/products/bakery-play-set", "https://faoschwarz.com/products/bakery-play-set")</f>
        <v/>
      </c>
      <c r="C3962" t="inlineStr">
        <is>
          <t>Wooden Pretend Play Baking Set</t>
        </is>
      </c>
      <c r="D3962" t="inlineStr">
        <is>
          <t>Melissa &amp; Doug Slice and Bake Wooden Cookie Play Food Set - Pretend Cookies And Baking Sheet, Wooden Play Food Set, Toy Baking Set For Kids Ages 3+</t>
        </is>
      </c>
      <c r="E3962" s="2">
        <f>HYPERLINK("https://www.amazon.com/Melissa-Doug-Slice-Wooden-Cookie/dp/B00146K0I6/ref=sr_1_1?keywords=Wooden+Pretend+Play+Baking+Set&amp;qid=1695565920&amp;sr=8-1", "https://www.amazon.com/Melissa-Doug-Slice-Wooden-Cookie/dp/B00146K0I6/ref=sr_1_1?keywords=Wooden+Pretend+Play+Baking+Set&amp;qid=1695565920&amp;sr=8-1")</f>
        <v/>
      </c>
      <c r="F3962" t="inlineStr">
        <is>
          <t>B00146K0I6</t>
        </is>
      </c>
      <c r="G3962">
        <f>_xlfn.IMAGE("https://faoschwarz.com/cdn/shop/products/fao-schwarz-preschool-bakery-play-set-28562364170327_1080x.jpg?v=1656148143")</f>
        <v/>
      </c>
      <c r="H3962">
        <f>_xlfn.IMAGE("https://m.media-amazon.com/images/I/71dBapLJwXL._AC_UL320_.jpg")</f>
        <v/>
      </c>
      <c r="K3962" t="inlineStr">
        <is>
          <t>35.0</t>
        </is>
      </c>
      <c r="L3962" t="n">
        <v>19.29</v>
      </c>
      <c r="M3962" s="1" t="inlineStr">
        <is>
          <t>-44.89%</t>
        </is>
      </c>
      <c r="N3962" t="n">
        <v>4.9</v>
      </c>
      <c r="O3962" t="n">
        <v>16808</v>
      </c>
      <c r="Q3962" t="inlineStr">
        <is>
          <t>InStock</t>
        </is>
      </c>
      <c r="R3962" t="inlineStr">
        <is>
          <t>undefined</t>
        </is>
      </c>
      <c r="S3962" t="inlineStr">
        <is>
          <t>6644306411607</t>
        </is>
      </c>
    </row>
    <row r="3963" ht="75" customHeight="1">
      <c r="A3963" s="2">
        <f>HYPERLINK("https://faoschwarz.com/products/bakery-play-set", "https://faoschwarz.com/products/bakery-play-set")</f>
        <v/>
      </c>
      <c r="B3963" s="2">
        <f>HYPERLINK("https://faoschwarz.com/products/bakery-play-set", "https://faoschwarz.com/products/bakery-play-set")</f>
        <v/>
      </c>
      <c r="C3963" t="inlineStr">
        <is>
          <t>Wooden Pretend Play Baking Set</t>
        </is>
      </c>
      <c r="D3963" t="inlineStr">
        <is>
          <t>13-Piece Pretend Play Food Set, Wooden Bake Cookie Play Baking Set, Compatible Play Kitchen Accessories with Real Wood for Preschoolers 2 Years &amp; Up</t>
        </is>
      </c>
      <c r="E3963" s="2">
        <f>HYPERLINK("https://www.amazon.com/13-Piece-Pretend-Compatible-Accessories-Preschoolers/dp/B0B3WZKPPP/ref=sr_1_6?keywords=Wooden+Pretend+Play+Baking+Set&amp;qid=1695565920&amp;sr=8-6", "https://www.amazon.com/13-Piece-Pretend-Compatible-Accessories-Preschoolers/dp/B0B3WZKPPP/ref=sr_1_6?keywords=Wooden+Pretend+Play+Baking+Set&amp;qid=1695565920&amp;sr=8-6")</f>
        <v/>
      </c>
      <c r="F3963" t="inlineStr">
        <is>
          <t>B0B3WZKPPP</t>
        </is>
      </c>
      <c r="G3963">
        <f>_xlfn.IMAGE("https://faoschwarz.com/cdn/shop/products/fao-schwarz-preschool-bakery-play-set-28562364170327_1080x.jpg?v=1656148143")</f>
        <v/>
      </c>
      <c r="H3963">
        <f>_xlfn.IMAGE("https://m.media-amazon.com/images/I/61zeicamtOL._AC_UL320_.jpg")</f>
        <v/>
      </c>
      <c r="K3963" t="inlineStr">
        <is>
          <t>35.0</t>
        </is>
      </c>
      <c r="L3963" t="n">
        <v>15.99</v>
      </c>
      <c r="M3963" s="1" t="inlineStr">
        <is>
          <t>-54.31%</t>
        </is>
      </c>
      <c r="N3963" t="n">
        <v>4.6</v>
      </c>
      <c r="O3963" t="n">
        <v>319</v>
      </c>
      <c r="Q3963" t="inlineStr">
        <is>
          <t>InStock</t>
        </is>
      </c>
      <c r="R3963" t="inlineStr">
        <is>
          <t>undefined</t>
        </is>
      </c>
      <c r="S3963" t="inlineStr">
        <is>
          <t>6644306411607</t>
        </is>
      </c>
    </row>
    <row r="3964" ht="75" customHeight="1">
      <c r="A3964" s="2">
        <f>HYPERLINK("https://faoschwarz.com/products/balance-beam", "https://faoschwarz.com/products/balance-beam")</f>
        <v/>
      </c>
      <c r="B3964" s="2">
        <f>HYPERLINK("https://faoschwarz.com/products/balance-beam", "https://faoschwarz.com/products/balance-beam")</f>
        <v/>
      </c>
      <c r="C3964" t="inlineStr">
        <is>
          <t>Balance Beam</t>
        </is>
      </c>
      <c r="D3964" t="inlineStr">
        <is>
          <t>FBSPORT 8ft Adjustable Balance Beam: High and Low Floor Beam Gymnastics Equipment for Kids/Adults,Gymnastics Beam for Training,Practice, Physical Therapy and Professional Home Training with Legs</t>
        </is>
      </c>
      <c r="E3964" s="2">
        <f>HYPERLINK("https://www.amazon.com/FBSPORT-8ft-Adjustable-Balance-Beam/dp/B08HLVCN2M/ref=sr_1_10?keywords=Balance+Beam&amp;qid=1695565917&amp;sr=8-10", "https://www.amazon.com/FBSPORT-8ft-Adjustable-Balance-Beam/dp/B08HLVCN2M/ref=sr_1_10?keywords=Balance+Beam&amp;qid=1695565917&amp;sr=8-10")</f>
        <v/>
      </c>
      <c r="F3964" t="inlineStr">
        <is>
          <t>B08HLVCN2M</t>
        </is>
      </c>
      <c r="G3964">
        <f>_xlfn.IMAGE("https://faoschwarz.com/cdn/shop/files/wonder-wise-preschool-balance-beam-30541854900311_1080x.jpg?v=1693426535")</f>
        <v/>
      </c>
      <c r="H3964">
        <f>_xlfn.IMAGE("https://m.media-amazon.com/images/I/615AAQYJ+RL._AC_UL320_.jpg")</f>
        <v/>
      </c>
      <c r="K3964" t="inlineStr">
        <is>
          <t>199.0</t>
        </is>
      </c>
      <c r="L3964" t="n">
        <v>149.99</v>
      </c>
      <c r="M3964" s="1" t="inlineStr">
        <is>
          <t>-24.63%</t>
        </is>
      </c>
      <c r="N3964" t="n">
        <v>4.5</v>
      </c>
      <c r="O3964" t="n">
        <v>90</v>
      </c>
      <c r="Q3964" t="inlineStr">
        <is>
          <t>InStock</t>
        </is>
      </c>
      <c r="R3964" t="inlineStr">
        <is>
          <t>undefined</t>
        </is>
      </c>
      <c r="S3964" t="inlineStr">
        <is>
          <t>6896149790807</t>
        </is>
      </c>
    </row>
    <row r="3965" ht="75" customHeight="1">
      <c r="A3965" s="2">
        <f>HYPERLINK("https://faoschwarz.com/products/balance-beam", "https://faoschwarz.com/products/balance-beam")</f>
        <v/>
      </c>
      <c r="B3965" s="2">
        <f>HYPERLINK("https://faoschwarz.com/products/balance-beam", "https://faoschwarz.com/products/balance-beam")</f>
        <v/>
      </c>
      <c r="C3965" t="inlineStr">
        <is>
          <t>Balance Beam</t>
        </is>
      </c>
      <c r="D3965" t="inlineStr">
        <is>
          <t>Sealoha 8ft Ultrasimple Adjustable&amp;Foldable Balance Beam,High-Low Floor Beam Suede Gymnastics Equipment,No Tool Require, Gymnastics Beam for Training&amp;Professional HomeTraining</t>
        </is>
      </c>
      <c r="E3965" s="2">
        <f>HYPERLINK("https://www.amazon.com/Sealoha-Ultrasimple-Adjustable-Professional-HomeTraining/dp/B0BX99H3RH/ref=sr_1_4?keywords=Balance+Beam&amp;qid=1695565917&amp;sr=8-4", "https://www.amazon.com/Sealoha-Ultrasimple-Adjustable-Professional-HomeTraining/dp/B0BX99H3RH/ref=sr_1_4?keywords=Balance+Beam&amp;qid=1695565917&amp;sr=8-4")</f>
        <v/>
      </c>
      <c r="F3965" t="inlineStr">
        <is>
          <t>B0BX99H3RH</t>
        </is>
      </c>
      <c r="G3965">
        <f>_xlfn.IMAGE("https://faoschwarz.com/cdn/shop/files/wonder-wise-preschool-balance-beam-30541854900311_1080x.jpg?v=1693426535")</f>
        <v/>
      </c>
      <c r="H3965">
        <f>_xlfn.IMAGE("https://m.media-amazon.com/images/I/510IeEXReSL._AC_UL320_.jpg")</f>
        <v/>
      </c>
      <c r="K3965" t="inlineStr">
        <is>
          <t>199.0</t>
        </is>
      </c>
      <c r="L3965" t="n">
        <v>109.9</v>
      </c>
      <c r="M3965" s="1" t="inlineStr">
        <is>
          <t>-44.77%</t>
        </is>
      </c>
      <c r="N3965" t="n">
        <v>5</v>
      </c>
      <c r="O3965" t="n">
        <v>26</v>
      </c>
      <c r="Q3965" t="inlineStr">
        <is>
          <t>InStock</t>
        </is>
      </c>
      <c r="R3965" t="inlineStr">
        <is>
          <t>undefined</t>
        </is>
      </c>
      <c r="S3965" t="inlineStr">
        <is>
          <t>6896149790807</t>
        </is>
      </c>
    </row>
    <row r="3966" ht="75" customHeight="1">
      <c r="A3966" s="2">
        <f>HYPERLINK("https://faoschwarz.com/products/balance-beam", "https://faoschwarz.com/products/balance-beam")</f>
        <v/>
      </c>
      <c r="B3966" s="2">
        <f>HYPERLINK("https://faoschwarz.com/products/balance-beam", "https://faoschwarz.com/products/balance-beam")</f>
        <v/>
      </c>
      <c r="C3966" t="inlineStr">
        <is>
          <t>Balance Beam</t>
        </is>
      </c>
      <c r="D3966" t="inlineStr">
        <is>
          <t>PreGymnastic Folding Balance Beam-Gymnastics Beam-Floor Beam- 8FT/9.5FT -Extra-Firm Suede Cover with Shinning Sticker and Carry Bag for Home/School/Club/Travel</t>
        </is>
      </c>
      <c r="E3966" s="2">
        <f>HYPERLINK("https://www.amazon.com/PreGymnastic-Folding-Competition-Gymnastics-Rainbow2/dp/B083NFPMFQ/ref=sr_1_6?keywords=Balance+Beam&amp;qid=1695565917&amp;sr=8-6", "https://www.amazon.com/PreGymnastic-Folding-Competition-Gymnastics-Rainbow2/dp/B083NFPMFQ/ref=sr_1_6?keywords=Balance+Beam&amp;qid=1695565917&amp;sr=8-6")</f>
        <v/>
      </c>
      <c r="F3966" t="inlineStr">
        <is>
          <t>B083NFPMFQ</t>
        </is>
      </c>
      <c r="G3966">
        <f>_xlfn.IMAGE("https://faoschwarz.com/cdn/shop/files/wonder-wise-preschool-balance-beam-30541854900311_1080x.jpg?v=1693426535")</f>
        <v/>
      </c>
      <c r="H3966">
        <f>_xlfn.IMAGE("https://m.media-amazon.com/images/I/71Ofl43yWEL._AC_UL320_.jpg")</f>
        <v/>
      </c>
      <c r="K3966" t="inlineStr">
        <is>
          <t>199.0</t>
        </is>
      </c>
      <c r="L3966" t="n">
        <v>54.99</v>
      </c>
      <c r="M3966" s="1" t="inlineStr">
        <is>
          <t>-72.37%</t>
        </is>
      </c>
      <c r="N3966" t="n">
        <v>4.8</v>
      </c>
      <c r="O3966" t="n">
        <v>2382</v>
      </c>
      <c r="Q3966" t="inlineStr">
        <is>
          <t>InStock</t>
        </is>
      </c>
      <c r="R3966" t="inlineStr">
        <is>
          <t>undefined</t>
        </is>
      </c>
      <c r="S3966" t="inlineStr">
        <is>
          <t>6896149790807</t>
        </is>
      </c>
    </row>
    <row r="3967" ht="75" customHeight="1">
      <c r="A3967" s="2">
        <f>HYPERLINK("https://faoschwarz.com/products/balance-beam", "https://faoschwarz.com/products/balance-beam")</f>
        <v/>
      </c>
      <c r="B3967" s="2">
        <f>HYPERLINK("https://faoschwarz.com/products/balance-beam", "https://faoschwarz.com/products/balance-beam")</f>
        <v/>
      </c>
      <c r="C3967" t="inlineStr">
        <is>
          <t>Balance Beam</t>
        </is>
      </c>
      <c r="D3967" t="inlineStr">
        <is>
          <t>We Sell Mats 9 ft Folding Foam Balance Beam Bar, Portable Gymnastics Equipment for Gymnast, Children or Cheerleaders</t>
        </is>
      </c>
      <c r="E3967" s="2">
        <f>HYPERLINK("https://www.amazon.com/We-Sell-Mats-Folding-Balance/dp/B019220GKA/ref=sr_1_2?keywords=Balance+Beam&amp;qid=1695565917&amp;sr=8-2", "https://www.amazon.com/We-Sell-Mats-Folding-Balance/dp/B019220GKA/ref=sr_1_2?keywords=Balance+Beam&amp;qid=1695565917&amp;sr=8-2")</f>
        <v/>
      </c>
      <c r="F3967" t="inlineStr">
        <is>
          <t>B019220GKA</t>
        </is>
      </c>
      <c r="G3967">
        <f>_xlfn.IMAGE("https://faoschwarz.com/cdn/shop/files/wonder-wise-preschool-balance-beam-30541854900311_1080x.jpg?v=1693426535")</f>
        <v/>
      </c>
      <c r="H3967">
        <f>_xlfn.IMAGE("https://m.media-amazon.com/images/I/51ATdKVMmFL._AC_UL320_.jpg")</f>
        <v/>
      </c>
      <c r="K3967" t="inlineStr">
        <is>
          <t>199.0</t>
        </is>
      </c>
      <c r="L3967" t="n">
        <v>48.99</v>
      </c>
      <c r="M3967" s="1" t="inlineStr">
        <is>
          <t>-75.38%</t>
        </is>
      </c>
      <c r="N3967" t="n">
        <v>4.6</v>
      </c>
      <c r="O3967" t="n">
        <v>3887</v>
      </c>
      <c r="Q3967" t="inlineStr">
        <is>
          <t>InStock</t>
        </is>
      </c>
      <c r="R3967" t="inlineStr">
        <is>
          <t>undefined</t>
        </is>
      </c>
      <c r="S3967" t="inlineStr">
        <is>
          <t>6896149790807</t>
        </is>
      </c>
    </row>
    <row r="3968" ht="75" customHeight="1">
      <c r="A3968" s="2">
        <f>HYPERLINK("https://faoschwarz.com/products/balance-beam", "https://faoschwarz.com/products/balance-beam")</f>
        <v/>
      </c>
      <c r="B3968" s="2">
        <f>HYPERLINK("https://faoschwarz.com/products/balance-beam", "https://faoschwarz.com/products/balance-beam")</f>
        <v/>
      </c>
      <c r="C3968" t="inlineStr">
        <is>
          <t>Balance Beam</t>
        </is>
      </c>
      <c r="D3968" t="inlineStr">
        <is>
          <t>MARFULA 8 FT / 9 FT Folding Balance Beam Gymnastics Floor Beam - Extra Firm - Suede Cover - Anti Slip Bottom with Carry Bag for Kids/Adults Home</t>
        </is>
      </c>
      <c r="E3968" s="2">
        <f>HYPERLINK("https://www.amazon.com/Marfula-Folding-Gymnastics-Balance-Floor/dp/B08MVV81DX/ref=sr_1_5?keywords=Balance+Beam&amp;qid=1695565917&amp;sr=8-5", "https://www.amazon.com/Marfula-Folding-Gymnastics-Balance-Floor/dp/B08MVV81DX/ref=sr_1_5?keywords=Balance+Beam&amp;qid=1695565917&amp;sr=8-5")</f>
        <v/>
      </c>
      <c r="F3968" t="inlineStr">
        <is>
          <t>B08MVV81DX</t>
        </is>
      </c>
      <c r="G3968">
        <f>_xlfn.IMAGE("https://faoschwarz.com/cdn/shop/files/wonder-wise-preschool-balance-beam-30541854900311_1080x.jpg?v=1693426535")</f>
        <v/>
      </c>
      <c r="H3968">
        <f>_xlfn.IMAGE("https://m.media-amazon.com/images/I/71zBQE0EfVL._AC_UL320_.jpg")</f>
        <v/>
      </c>
      <c r="K3968" t="inlineStr">
        <is>
          <t>199.0</t>
        </is>
      </c>
      <c r="L3968" t="n">
        <v>42.99</v>
      </c>
      <c r="M3968" s="1" t="inlineStr">
        <is>
          <t>-78.40%</t>
        </is>
      </c>
      <c r="N3968" t="n">
        <v>4.7</v>
      </c>
      <c r="O3968" t="n">
        <v>1112</v>
      </c>
      <c r="Q3968" t="inlineStr">
        <is>
          <t>InStock</t>
        </is>
      </c>
      <c r="R3968" t="inlineStr">
        <is>
          <t>undefined</t>
        </is>
      </c>
      <c r="S3968" t="inlineStr">
        <is>
          <t>6896149790807</t>
        </is>
      </c>
    </row>
    <row r="3969" ht="75" customHeight="1">
      <c r="A3969" s="2">
        <f>HYPERLINK("https://faoschwarz.com/products/balance-beam", "https://faoschwarz.com/products/balance-beam")</f>
        <v/>
      </c>
      <c r="B3969" s="2">
        <f>HYPERLINK("https://faoschwarz.com/products/balance-beam", "https://faoschwarz.com/products/balance-beam")</f>
        <v/>
      </c>
      <c r="C3969" t="inlineStr">
        <is>
          <t>Balance Beam</t>
        </is>
      </c>
      <c r="D3969" t="inlineStr">
        <is>
          <t>MARFULA 6 FT / 8 FT / 9 FT / 10 FT Balance Beam Folding Floor Gymnastics Equipment for Kids, Non Slip Base, Gymnastics Beam for Training Home Gym Use</t>
        </is>
      </c>
      <c r="E3969" s="2">
        <f>HYPERLINK("https://www.amazon.com/MARFULA-Balance-Gymnastics-Equipment-Training/dp/B088TDPXFB/ref=sr_1_3?keywords=Balance+Beam&amp;qid=1695565917&amp;sr=8-3", "https://www.amazon.com/MARFULA-Balance-Gymnastics-Equipment-Training/dp/B088TDPXFB/ref=sr_1_3?keywords=Balance+Beam&amp;qid=1695565917&amp;sr=8-3")</f>
        <v/>
      </c>
      <c r="F3969" t="inlineStr">
        <is>
          <t>B088TDPXFB</t>
        </is>
      </c>
      <c r="G3969">
        <f>_xlfn.IMAGE("https://faoschwarz.com/cdn/shop/files/wonder-wise-preschool-balance-beam-30541854900311_1080x.jpg?v=1693426535")</f>
        <v/>
      </c>
      <c r="H3969">
        <f>_xlfn.IMAGE("https://m.media-amazon.com/images/I/71JLL+BujmL._AC_UL320_.jpg")</f>
        <v/>
      </c>
      <c r="K3969" t="inlineStr">
        <is>
          <t>199.0</t>
        </is>
      </c>
      <c r="L3969" t="n">
        <v>40.99</v>
      </c>
      <c r="M3969" s="1" t="inlineStr">
        <is>
          <t>-79.40%</t>
        </is>
      </c>
      <c r="N3969" t="n">
        <v>4.7</v>
      </c>
      <c r="O3969" t="n">
        <v>924</v>
      </c>
      <c r="Q3969" t="inlineStr">
        <is>
          <t>InStock</t>
        </is>
      </c>
      <c r="R3969" t="inlineStr">
        <is>
          <t>undefined</t>
        </is>
      </c>
      <c r="S3969" t="inlineStr">
        <is>
          <t>6896149790807</t>
        </is>
      </c>
    </row>
    <row r="3970" ht="75" customHeight="1">
      <c r="A3970" s="2">
        <f>HYPERLINK("https://faoschwarz.com/products/balance-beam", "https://faoschwarz.com/products/balance-beam")</f>
        <v/>
      </c>
      <c r="B3970" s="2">
        <f>HYPERLINK("https://faoschwarz.com/products/balance-beam", "https://faoschwarz.com/products/balance-beam")</f>
        <v/>
      </c>
      <c r="C3970" t="inlineStr">
        <is>
          <t>Balance Beam</t>
        </is>
      </c>
      <c r="D3970" t="inlineStr">
        <is>
          <t>FC FUNCHEER 8FT Folding Balance Beam Gymnastics Beam Wood core Floor Beam with Anti-Slip Bottom Stainless Hinge and Carrying Bag …</t>
        </is>
      </c>
      <c r="E3970" s="2">
        <f>HYPERLINK("https://www.amazon.com/FC-FUNCHEER-Gymnastic-Foldable-Anti-Slip/dp/B0BJ5TZL2K/ref=sr_1_1?keywords=Balance+Beam&amp;qid=1695565917&amp;sr=8-1", "https://www.amazon.com/FC-FUNCHEER-Gymnastic-Foldable-Anti-Slip/dp/B0BJ5TZL2K/ref=sr_1_1?keywords=Balance+Beam&amp;qid=1695565917&amp;sr=8-1")</f>
        <v/>
      </c>
      <c r="F3970" t="inlineStr">
        <is>
          <t>B0BJ5TZL2K</t>
        </is>
      </c>
      <c r="G3970">
        <f>_xlfn.IMAGE("https://faoschwarz.com/cdn/shop/files/wonder-wise-preschool-balance-beam-30541854900311_1080x.jpg?v=1693426535")</f>
        <v/>
      </c>
      <c r="H3970">
        <f>_xlfn.IMAGE("https://m.media-amazon.com/images/I/81lPoaB6QEL._AC_UL320_.jpg")</f>
        <v/>
      </c>
      <c r="K3970" t="inlineStr">
        <is>
          <t>199.0</t>
        </is>
      </c>
      <c r="L3970" t="n">
        <v>39.99</v>
      </c>
      <c r="M3970" s="1" t="inlineStr">
        <is>
          <t>-79.90%</t>
        </is>
      </c>
      <c r="N3970" t="n">
        <v>4.6</v>
      </c>
      <c r="O3970" t="n">
        <v>1664</v>
      </c>
      <c r="Q3970" t="inlineStr">
        <is>
          <t>InStock</t>
        </is>
      </c>
      <c r="R3970" t="inlineStr">
        <is>
          <t>undefined</t>
        </is>
      </c>
      <c r="S3970" t="inlineStr">
        <is>
          <t>6896149790807</t>
        </is>
      </c>
    </row>
    <row r="3971" ht="75" customHeight="1">
      <c r="A3971" s="2">
        <f>HYPERLINK("https://faoschwarz.com/products/balance-beam", "https://faoschwarz.com/products/balance-beam")</f>
        <v/>
      </c>
      <c r="B3971" s="2">
        <f>HYPERLINK("https://faoschwarz.com/products/balance-beam", "https://faoschwarz.com/products/balance-beam")</f>
        <v/>
      </c>
      <c r="C3971" t="inlineStr">
        <is>
          <t>Balance Beam</t>
        </is>
      </c>
      <c r="D3971" t="inlineStr">
        <is>
          <t>ZENY 6ft Folding Gymnastics Balance Beam Foam Floor Balance Beam Bar with Anti-slip Base Walking Beams Home Gymnastics Equipment for Kids Adults</t>
        </is>
      </c>
      <c r="E3971" s="2">
        <f>HYPERLINK("https://www.amazon.com/ZENY-Gymnastic-Anti-Slip-Gymnastics-Equipment/dp/B08392XKDV/ref=sr_1_9?keywords=Balance+Beam&amp;qid=1695565917&amp;sr=8-9", "https://www.amazon.com/ZENY-Gymnastic-Anti-Slip-Gymnastics-Equipment/dp/B08392XKDV/ref=sr_1_9?keywords=Balance+Beam&amp;qid=1695565917&amp;sr=8-9")</f>
        <v/>
      </c>
      <c r="F3971" t="inlineStr">
        <is>
          <t>B08392XKDV</t>
        </is>
      </c>
      <c r="G3971">
        <f>_xlfn.IMAGE("https://faoschwarz.com/cdn/shop/files/wonder-wise-preschool-balance-beam-30541854900311_1080x.jpg?v=1693426535")</f>
        <v/>
      </c>
      <c r="H3971">
        <f>_xlfn.IMAGE("https://m.media-amazon.com/images/I/61fp6Q1Sc8L._AC_UL320_.jpg")</f>
        <v/>
      </c>
      <c r="K3971" t="inlineStr">
        <is>
          <t>199.0</t>
        </is>
      </c>
      <c r="L3971" t="n">
        <v>39.99</v>
      </c>
      <c r="M3971" s="1" t="inlineStr">
        <is>
          <t>-79.90%</t>
        </is>
      </c>
      <c r="N3971" t="n">
        <v>4.7</v>
      </c>
      <c r="O3971" t="n">
        <v>538</v>
      </c>
      <c r="Q3971" t="inlineStr">
        <is>
          <t>InStock</t>
        </is>
      </c>
      <c r="R3971" t="inlineStr">
        <is>
          <t>undefined</t>
        </is>
      </c>
      <c r="S3971" t="inlineStr">
        <is>
          <t>6896149790807</t>
        </is>
      </c>
    </row>
    <row r="3972" ht="75" customHeight="1">
      <c r="A3972" s="2">
        <f>HYPERLINK("https://faoschwarz.com/products/balance-beam", "https://faoschwarz.com/products/balance-beam")</f>
        <v/>
      </c>
      <c r="B3972" s="2">
        <f>HYPERLINK("https://faoschwarz.com/products/balance-beam", "https://faoschwarz.com/products/balance-beam")</f>
        <v/>
      </c>
      <c r="C3972" t="inlineStr">
        <is>
          <t>Balance Beam</t>
        </is>
      </c>
      <c r="D3972" t="inlineStr">
        <is>
          <t>Premkid Stepping Stones for Kids, Set of 5 Pcs Balance Beam for Promote Coordination, Kids Outdoor Play Equipment, Indoor &amp; Outdoor Toddler Sensory Toys, Obstacle Course for Kids Ages 3 Years and Up</t>
        </is>
      </c>
      <c r="E3972" s="2">
        <f>HYPERLINK("https://www.amazon.com/Premkid-Stepping-Obstacle-Equipment-Coordination/dp/B093BN8NDQ/ref=sr_1_8?keywords=Balance+Beam&amp;qid=1695565917&amp;sr=8-8", "https://www.amazon.com/Premkid-Stepping-Obstacle-Equipment-Coordination/dp/B093BN8NDQ/ref=sr_1_8?keywords=Balance+Beam&amp;qid=1695565917&amp;sr=8-8")</f>
        <v/>
      </c>
      <c r="F3972" t="inlineStr">
        <is>
          <t>B093BN8NDQ</t>
        </is>
      </c>
      <c r="G3972">
        <f>_xlfn.IMAGE("https://faoschwarz.com/cdn/shop/files/wonder-wise-preschool-balance-beam-30541854900311_1080x.jpg?v=1693426535")</f>
        <v/>
      </c>
      <c r="H3972">
        <f>_xlfn.IMAGE("https://m.media-amazon.com/images/I/619LLNLYGQL._AC_UL320_.jpg")</f>
        <v/>
      </c>
      <c r="K3972" t="inlineStr">
        <is>
          <t>199.0</t>
        </is>
      </c>
      <c r="L3972" t="n">
        <v>36.99</v>
      </c>
      <c r="M3972" s="1" t="inlineStr">
        <is>
          <t>-81.41%</t>
        </is>
      </c>
      <c r="N3972" t="n">
        <v>4.7</v>
      </c>
      <c r="O3972" t="n">
        <v>116</v>
      </c>
      <c r="Q3972" t="inlineStr">
        <is>
          <t>InStock</t>
        </is>
      </c>
      <c r="R3972" t="inlineStr">
        <is>
          <t>undefined</t>
        </is>
      </c>
      <c r="S3972" t="inlineStr">
        <is>
          <t>6896149790807</t>
        </is>
      </c>
    </row>
    <row r="3973" ht="75" customHeight="1">
      <c r="A3973" s="2">
        <f>HYPERLINK("https://faoschwarz.com/products/balance-beam", "https://faoschwarz.com/products/balance-beam")</f>
        <v/>
      </c>
      <c r="B3973" s="2">
        <f>HYPERLINK("https://faoschwarz.com/products/balance-beam", "https://faoschwarz.com/products/balance-beam")</f>
        <v/>
      </c>
      <c r="C3973" t="inlineStr">
        <is>
          <t>Balance Beam</t>
        </is>
      </c>
      <c r="D3973" t="inlineStr">
        <is>
          <t>ZENY 9ft Folding Gymnastics Balance Beam Low Floor Beam Bar with Anti-slip Base Extra Firm Foam Walking Beams Home Gymnastics Training Equipment</t>
        </is>
      </c>
      <c r="E3973" s="2">
        <f>HYPERLINK("https://www.amazon.com/ZENY-Gymnastic-Anti-Slip-Gymnastics-Equipment/dp/B08JYVJDYG/ref=sr_1_7?keywords=Balance+Beam&amp;qid=1695565917&amp;sr=8-7", "https://www.amazon.com/ZENY-Gymnastic-Anti-Slip-Gymnastics-Equipment/dp/B08JYVJDYG/ref=sr_1_7?keywords=Balance+Beam&amp;qid=1695565917&amp;sr=8-7")</f>
        <v/>
      </c>
      <c r="F3973" t="inlineStr">
        <is>
          <t>B08JYVJDYG</t>
        </is>
      </c>
      <c r="G3973">
        <f>_xlfn.IMAGE("https://faoschwarz.com/cdn/shop/files/wonder-wise-preschool-balance-beam-30541854900311_1080x.jpg?v=1693426535")</f>
        <v/>
      </c>
      <c r="H3973">
        <f>_xlfn.IMAGE("https://m.media-amazon.com/images/I/61hlKVXGlXL._AC_UL320_.jpg")</f>
        <v/>
      </c>
      <c r="K3973" t="inlineStr">
        <is>
          <t>199.0</t>
        </is>
      </c>
      <c r="L3973" t="n">
        <v>31.99</v>
      </c>
      <c r="M3973" s="1" t="inlineStr">
        <is>
          <t>-83.92%</t>
        </is>
      </c>
      <c r="N3973" t="n">
        <v>4.5</v>
      </c>
      <c r="O3973" t="n">
        <v>191</v>
      </c>
      <c r="Q3973" t="inlineStr">
        <is>
          <t>InStock</t>
        </is>
      </c>
      <c r="R3973" t="inlineStr">
        <is>
          <t>undefined</t>
        </is>
      </c>
      <c r="S3973" t="inlineStr">
        <is>
          <t>6896149790807</t>
        </is>
      </c>
    </row>
    <row r="3974" ht="75" customHeight="1">
      <c r="A3974" s="2">
        <f>HYPERLINK("https://faoschwarz.com/products/balance-board", "https://faoschwarz.com/products/balance-board")</f>
        <v/>
      </c>
      <c r="B3974" s="2">
        <f>HYPERLINK("https://faoschwarz.com/products/balance-board", "https://faoschwarz.com/products/balance-board")</f>
        <v/>
      </c>
      <c r="C3974" t="inlineStr">
        <is>
          <t>Balance Board</t>
        </is>
      </c>
      <c r="D3974" t="inlineStr">
        <is>
          <t>Wooden Balance Board with Adjustable Stoppers: 7 Modes Wobble Board with Roller and Balance Ball - Exercise Balancing Stability Trainer for Workout Core Trainer Physical Therapy - Non Slip Surface</t>
        </is>
      </c>
      <c r="E3974" s="2">
        <f>HYPERLINK("https://www.amazon.com/Wooden-Balance-Board-Adjustable-Stoppers/dp/B0B56N373D/ref=sr_1_4?keywords=Balance+Board&amp;qid=1695565913&amp;sr=8-4", "https://www.amazon.com/Wooden-Balance-Board-Adjustable-Stoppers/dp/B0B56N373D/ref=sr_1_4?keywords=Balance+Board&amp;qid=1695565913&amp;sr=8-4")</f>
        <v/>
      </c>
      <c r="F3974" t="inlineStr">
        <is>
          <t>B0B56N373D</t>
        </is>
      </c>
      <c r="G3974">
        <f>_xlfn.IMAGE("https://faoschwarz.com/cdn/shop/files/wonder-wise-preschool-balance-board-30541855227991_1080x.jpg?v=1693426536")</f>
        <v/>
      </c>
      <c r="H3974">
        <f>_xlfn.IMAGE("https://m.media-amazon.com/images/I/81jU41cwogL._AC_UL320_.jpg")</f>
        <v/>
      </c>
      <c r="K3974" t="inlineStr">
        <is>
          <t>149.0</t>
        </is>
      </c>
      <c r="L3974" t="n">
        <v>71.98999999999999</v>
      </c>
      <c r="M3974" s="1" t="inlineStr">
        <is>
          <t>-51.68%</t>
        </is>
      </c>
      <c r="N3974" t="n">
        <v>4.6</v>
      </c>
      <c r="O3974" t="n">
        <v>268</v>
      </c>
      <c r="Q3974" t="inlineStr">
        <is>
          <t>InStock</t>
        </is>
      </c>
      <c r="R3974" t="inlineStr">
        <is>
          <t>undefined</t>
        </is>
      </c>
      <c r="S3974" t="inlineStr">
        <is>
          <t>6896149823575</t>
        </is>
      </c>
    </row>
    <row r="3975" ht="75" customHeight="1">
      <c r="A3975" s="2">
        <f>HYPERLINK("https://faoschwarz.com/products/balance-board", "https://faoschwarz.com/products/balance-board")</f>
        <v/>
      </c>
      <c r="B3975" s="2">
        <f>HYPERLINK("https://faoschwarz.com/products/balance-board", "https://faoschwarz.com/products/balance-board")</f>
        <v/>
      </c>
      <c r="C3975" t="inlineStr">
        <is>
          <t>Balance Board</t>
        </is>
      </c>
      <c r="D3975" t="inlineStr">
        <is>
          <t>Premium Surf Balance Board Trainer with Adjustable Stoppers - 3 Different Distance Options for Improve Balance, Build Strength &amp; Surf Trainer</t>
        </is>
      </c>
      <c r="E3975" s="2">
        <f>HYPERLINK("https://www.amazon.com/Yes4All-Balance-Trainer-Adjustable-Stoppers/dp/B081PRQW6Y/ref=sr_1_6?keywords=Balance+Board&amp;qid=1695565913&amp;sr=8-6", "https://www.amazon.com/Yes4All-Balance-Trainer-Adjustable-Stoppers/dp/B081PRQW6Y/ref=sr_1_6?keywords=Balance+Board&amp;qid=1695565913&amp;sr=8-6")</f>
        <v/>
      </c>
      <c r="F3975" t="inlineStr">
        <is>
          <t>B081PRQW6Y</t>
        </is>
      </c>
      <c r="G3975">
        <f>_xlfn.IMAGE("https://faoschwarz.com/cdn/shop/files/wonder-wise-preschool-balance-board-30541855227991_1080x.jpg?v=1693426536")</f>
        <v/>
      </c>
      <c r="H3975">
        <f>_xlfn.IMAGE("https://m.media-amazon.com/images/I/71231KyyMvL._AC_UL320_.jpg")</f>
        <v/>
      </c>
      <c r="K3975" t="inlineStr">
        <is>
          <t>149.0</t>
        </is>
      </c>
      <c r="L3975" t="n">
        <v>63.99</v>
      </c>
      <c r="M3975" s="1" t="inlineStr">
        <is>
          <t>-57.05%</t>
        </is>
      </c>
      <c r="N3975" t="n">
        <v>4.7</v>
      </c>
      <c r="O3975" t="n">
        <v>2644</v>
      </c>
      <c r="Q3975" t="inlineStr">
        <is>
          <t>InStock</t>
        </is>
      </c>
      <c r="R3975" t="inlineStr">
        <is>
          <t>undefined</t>
        </is>
      </c>
      <c r="S3975" t="inlineStr">
        <is>
          <t>6896149823575</t>
        </is>
      </c>
    </row>
    <row r="3976" ht="75" customHeight="1">
      <c r="A3976" s="2">
        <f>HYPERLINK("https://faoschwarz.com/products/balance-board", "https://faoschwarz.com/products/balance-board")</f>
        <v/>
      </c>
      <c r="B3976" s="2">
        <f>HYPERLINK("https://faoschwarz.com/products/balance-board", "https://faoschwarz.com/products/balance-board")</f>
        <v/>
      </c>
      <c r="C3976" t="inlineStr">
        <is>
          <t>Balance Board</t>
        </is>
      </c>
      <c r="D3976" t="inlineStr">
        <is>
          <t>Wobble Balance Board, Exercise Balance Stability Trainer Portable Balance Board with Handle for Workout Core Trainer Physical Therapy &amp; Gym 15.7" Diameter No-Skid Surface</t>
        </is>
      </c>
      <c r="E3976" s="2">
        <f>HYPERLINK("https://www.amazon.com/EveryMile-Exercise-Stability-Portable-Physical/dp/B07RKTRF82/ref=sr_1_9?keywords=Balance+Board&amp;qid=1695565913&amp;sr=8-9", "https://www.amazon.com/EveryMile-Exercise-Stability-Portable-Physical/dp/B07RKTRF82/ref=sr_1_9?keywords=Balance+Board&amp;qid=1695565913&amp;sr=8-9")</f>
        <v/>
      </c>
      <c r="F3976" t="inlineStr">
        <is>
          <t>B07RKTRF82</t>
        </is>
      </c>
      <c r="G3976">
        <f>_xlfn.IMAGE("https://faoschwarz.com/cdn/shop/files/wonder-wise-preschool-balance-board-30541855227991_1080x.jpg?v=1693426536")</f>
        <v/>
      </c>
      <c r="H3976">
        <f>_xlfn.IMAGE("https://m.media-amazon.com/images/I/71OJGRcyAPS._AC_UL320_.jpg")</f>
        <v/>
      </c>
      <c r="K3976" t="inlineStr">
        <is>
          <t>149.0</t>
        </is>
      </c>
      <c r="L3976" t="n">
        <v>39.99</v>
      </c>
      <c r="M3976" s="1" t="inlineStr">
        <is>
          <t>-73.16%</t>
        </is>
      </c>
      <c r="N3976" t="n">
        <v>4.4</v>
      </c>
      <c r="O3976" t="n">
        <v>5428</v>
      </c>
      <c r="Q3976" t="inlineStr">
        <is>
          <t>InStock</t>
        </is>
      </c>
      <c r="R3976" t="inlineStr">
        <is>
          <t>undefined</t>
        </is>
      </c>
      <c r="S3976" t="inlineStr">
        <is>
          <t>6896149823575</t>
        </is>
      </c>
    </row>
    <row r="3977" ht="75" customHeight="1">
      <c r="A3977" s="2">
        <f>HYPERLINK("https://faoschwarz.com/products/balance-board", "https://faoschwarz.com/products/balance-board")</f>
        <v/>
      </c>
      <c r="B3977" s="2">
        <f>HYPERLINK("https://faoschwarz.com/products/balance-board", "https://faoschwarz.com/products/balance-board")</f>
        <v/>
      </c>
      <c r="C3977" t="inlineStr">
        <is>
          <t>Balance Board</t>
        </is>
      </c>
      <c r="D3977" t="inlineStr">
        <is>
          <t>StrongTek Professional Wooden Balance Board, Rocker Board, Wood Standing Desk Accessory, Balancing Board for Under Desk, Anti Slip Roller, Core Strength, Stability, Office Wobble Boards</t>
        </is>
      </c>
      <c r="E3977" s="2">
        <f>HYPERLINK("https://www.amazon.com/StrongTek-Professional-Physical-Strength-Conditioning/dp/B079J6SQ6G/ref=sr_1_10?keywords=Balance+Board&amp;qid=1695565913&amp;sr=8-10", "https://www.amazon.com/StrongTek-Professional-Physical-Strength-Conditioning/dp/B079J6SQ6G/ref=sr_1_10?keywords=Balance+Board&amp;qid=1695565913&amp;sr=8-10")</f>
        <v/>
      </c>
      <c r="F3977" t="inlineStr">
        <is>
          <t>B079J6SQ6G</t>
        </is>
      </c>
      <c r="G3977">
        <f>_xlfn.IMAGE("https://faoschwarz.com/cdn/shop/files/wonder-wise-preschool-balance-board-30541855227991_1080x.jpg?v=1693426536")</f>
        <v/>
      </c>
      <c r="H3977">
        <f>_xlfn.IMAGE("https://m.media-amazon.com/images/I/61OdQ1KiBvL._AC_UL320_.jpg")</f>
        <v/>
      </c>
      <c r="K3977" t="inlineStr">
        <is>
          <t>149.0</t>
        </is>
      </c>
      <c r="L3977" t="n">
        <v>34.99</v>
      </c>
      <c r="M3977" s="1" t="inlineStr">
        <is>
          <t>-76.52%</t>
        </is>
      </c>
      <c r="N3977" t="n">
        <v>4.6</v>
      </c>
      <c r="O3977" t="n">
        <v>3974</v>
      </c>
      <c r="Q3977" t="inlineStr">
        <is>
          <t>InStock</t>
        </is>
      </c>
      <c r="R3977" t="inlineStr">
        <is>
          <t>undefined</t>
        </is>
      </c>
      <c r="S3977" t="inlineStr">
        <is>
          <t>6896149823575</t>
        </is>
      </c>
    </row>
    <row r="3978" ht="75" customHeight="1">
      <c r="A3978" s="2">
        <f>HYPERLINK("https://faoschwarz.com/products/balance-board", "https://faoschwarz.com/products/balance-board")</f>
        <v/>
      </c>
      <c r="B3978" s="2">
        <f>HYPERLINK("https://faoschwarz.com/products/balance-board", "https://faoschwarz.com/products/balance-board")</f>
        <v/>
      </c>
      <c r="C3978" t="inlineStr">
        <is>
          <t>Balance Board</t>
        </is>
      </c>
      <c r="D3978" t="inlineStr">
        <is>
          <t>Wooden Balance Board for Balance Training and Keep Healthy Core Strength,Balancing Board Under Desk,Anti-Slip Roller Board,Satablility and Portable Wobble Boards for Office / Home</t>
        </is>
      </c>
      <c r="E3978" s="2">
        <f>HYPERLINK("https://www.amazon.com/BEXC-Training-Balancing-Strength-Stability/dp/B08CDYVW2C/ref=sr_1_8?keywords=Balance+Board&amp;qid=1695565913&amp;sr=8-8", "https://www.amazon.com/BEXC-Training-Balancing-Strength-Stability/dp/B08CDYVW2C/ref=sr_1_8?keywords=Balance+Board&amp;qid=1695565913&amp;sr=8-8")</f>
        <v/>
      </c>
      <c r="F3978" t="inlineStr">
        <is>
          <t>B08CDYVW2C</t>
        </is>
      </c>
      <c r="G3978">
        <f>_xlfn.IMAGE("https://faoschwarz.com/cdn/shop/files/wonder-wise-preschool-balance-board-30541855227991_1080x.jpg?v=1693426536")</f>
        <v/>
      </c>
      <c r="H3978">
        <f>_xlfn.IMAGE("https://m.media-amazon.com/images/I/719EwbzuziL._AC_UL320_.jpg")</f>
        <v/>
      </c>
      <c r="K3978" t="inlineStr">
        <is>
          <t>149.0</t>
        </is>
      </c>
      <c r="L3978" t="n">
        <v>34.86</v>
      </c>
      <c r="M3978" s="1" t="inlineStr">
        <is>
          <t>-76.60%</t>
        </is>
      </c>
      <c r="N3978" t="n">
        <v>4.6</v>
      </c>
      <c r="O3978" t="n">
        <v>581</v>
      </c>
      <c r="Q3978" t="inlineStr">
        <is>
          <t>InStock</t>
        </is>
      </c>
      <c r="R3978" t="inlineStr">
        <is>
          <t>undefined</t>
        </is>
      </c>
      <c r="S3978" t="inlineStr">
        <is>
          <t>6896149823575</t>
        </is>
      </c>
    </row>
    <row r="3979" ht="75" customHeight="1">
      <c r="A3979" s="2">
        <f>HYPERLINK("https://faoschwarz.com/products/balance-board", "https://faoschwarz.com/products/balance-board")</f>
        <v/>
      </c>
      <c r="B3979" s="2">
        <f>HYPERLINK("https://faoschwarz.com/products/balance-board", "https://faoschwarz.com/products/balance-board")</f>
        <v/>
      </c>
      <c r="C3979" t="inlineStr">
        <is>
          <t>Balance Board</t>
        </is>
      </c>
      <c r="D3979" t="inlineStr">
        <is>
          <t>350LBS Professional Rocker Balance Board for Physical Therapy - 17.5” Rocker Board, Rocker Wooden Balance Board for Standing Desk &amp; Rehabilitation Exercises</t>
        </is>
      </c>
      <c r="E3979" s="2">
        <f>HYPERLINK("https://www.amazon.com/Yes4All-Non-Slip-Physical-Rehabilitation-Exercise/dp/B07RWVVFS5/ref=sr_1_1?keywords=Balance+Board&amp;qid=1695565913&amp;sr=8-1", "https://www.amazon.com/Yes4All-Non-Slip-Physical-Rehabilitation-Exercise/dp/B07RWVVFS5/ref=sr_1_1?keywords=Balance+Board&amp;qid=1695565913&amp;sr=8-1")</f>
        <v/>
      </c>
      <c r="F3979" t="inlineStr">
        <is>
          <t>B07RWVVFS5</t>
        </is>
      </c>
      <c r="G3979">
        <f>_xlfn.IMAGE("https://faoschwarz.com/cdn/shop/files/wonder-wise-preschool-balance-board-30541855227991_1080x.jpg?v=1693426536")</f>
        <v/>
      </c>
      <c r="H3979">
        <f>_xlfn.IMAGE("https://m.media-amazon.com/images/I/61u5fuIU3oL._AC_UL320_.jpg")</f>
        <v/>
      </c>
      <c r="K3979" t="inlineStr">
        <is>
          <t>149.0</t>
        </is>
      </c>
      <c r="L3979" t="n">
        <v>25.99</v>
      </c>
      <c r="M3979" s="1" t="inlineStr">
        <is>
          <t>-82.56%</t>
        </is>
      </c>
      <c r="N3979" t="n">
        <v>4.5</v>
      </c>
      <c r="O3979" t="n">
        <v>1781</v>
      </c>
      <c r="Q3979" t="inlineStr">
        <is>
          <t>InStock</t>
        </is>
      </c>
      <c r="R3979" t="inlineStr">
        <is>
          <t>undefined</t>
        </is>
      </c>
      <c r="S3979" t="inlineStr">
        <is>
          <t>6896149823575</t>
        </is>
      </c>
    </row>
    <row r="3980" ht="75" customHeight="1">
      <c r="A3980" s="2">
        <f>HYPERLINK("https://faoschwarz.com/products/balance-board", "https://faoschwarz.com/products/balance-board")</f>
        <v/>
      </c>
      <c r="B3980" s="2">
        <f>HYPERLINK("https://faoschwarz.com/products/balance-board", "https://faoschwarz.com/products/balance-board")</f>
        <v/>
      </c>
      <c r="C3980" t="inlineStr">
        <is>
          <t>Balance Board</t>
        </is>
      </c>
      <c r="D3980" t="inlineStr">
        <is>
          <t>Versatile Wooden Wobble Balance Board, Balance Trainer for Physical Therapy, Standing Desk, Core Training, Exercise Balance Stability Trainer</t>
        </is>
      </c>
      <c r="E3980" s="2">
        <f>HYPERLINK("https://www.amazon.com/Yes4All-B62R-Wooden-Wobble-Balance/dp/B01MTA1ZIX/ref=sr_1_3?keywords=Balance+Board&amp;qid=1695565913&amp;sr=8-3", "https://www.amazon.com/Yes4All-B62R-Wooden-Wobble-Balance/dp/B01MTA1ZIX/ref=sr_1_3?keywords=Balance+Board&amp;qid=1695565913&amp;sr=8-3")</f>
        <v/>
      </c>
      <c r="F3980" t="inlineStr">
        <is>
          <t>B01MTA1ZIX</t>
        </is>
      </c>
      <c r="G3980">
        <f>_xlfn.IMAGE("https://faoschwarz.com/cdn/shop/files/wonder-wise-preschool-balance-board-30541855227991_1080x.jpg?v=1693426536")</f>
        <v/>
      </c>
      <c r="H3980">
        <f>_xlfn.IMAGE("https://m.media-amazon.com/images/I/81e1+mNpssL._AC_UL320_.jpg")</f>
        <v/>
      </c>
      <c r="K3980" t="inlineStr">
        <is>
          <t>149.0</t>
        </is>
      </c>
      <c r="L3980" t="n">
        <v>16.6</v>
      </c>
      <c r="M3980" s="1" t="inlineStr">
        <is>
          <t>-88.86%</t>
        </is>
      </c>
      <c r="N3980" t="n">
        <v>4.6</v>
      </c>
      <c r="O3980" t="n">
        <v>8013</v>
      </c>
      <c r="Q3980" t="inlineStr">
        <is>
          <t>InStock</t>
        </is>
      </c>
      <c r="R3980" t="inlineStr">
        <is>
          <t>undefined</t>
        </is>
      </c>
      <c r="S3980" t="inlineStr">
        <is>
          <t>6896149823575</t>
        </is>
      </c>
    </row>
    <row r="3981" ht="75" customHeight="1">
      <c r="A3981" s="2">
        <f>HYPERLINK("https://faoschwarz.com/products/balance-board", "https://faoschwarz.com/products/balance-board")</f>
        <v/>
      </c>
      <c r="B3981" s="2">
        <f>HYPERLINK("https://faoschwarz.com/products/balance-board", "https://faoschwarz.com/products/balance-board")</f>
        <v/>
      </c>
      <c r="C3981" t="inlineStr">
        <is>
          <t>Balance Board</t>
        </is>
      </c>
      <c r="D3981" t="inlineStr">
        <is>
          <t>SPRI Core Balance Board Disc Wobble Trainer - Non Skid Surface, Dual Handle Rocker for Squats, Push Ups, Floor Exercises &amp; Workouts and More (15.7" Diameter, 4" High, Supports 300lbs), Black/Red</t>
        </is>
      </c>
      <c r="E3981" s="2">
        <f>HYPERLINK("https://www.amazon.com/SPRI-Balance-Board-Wobble-Trainer/dp/B084DXQH1X/ref=sr_1_5?keywords=Balance+Board&amp;qid=1695565913&amp;sr=8-5", "https://www.amazon.com/SPRI-Balance-Board-Wobble-Trainer/dp/B084DXQH1X/ref=sr_1_5?keywords=Balance+Board&amp;qid=1695565913&amp;sr=8-5")</f>
        <v/>
      </c>
      <c r="F3981" t="inlineStr">
        <is>
          <t>B084DXQH1X</t>
        </is>
      </c>
      <c r="G3981">
        <f>_xlfn.IMAGE("https://faoschwarz.com/cdn/shop/files/wonder-wise-preschool-balance-board-30541855227991_1080x.jpg?v=1693426536")</f>
        <v/>
      </c>
      <c r="H3981">
        <f>_xlfn.IMAGE("https://m.media-amazon.com/images/I/81D+kEmytXL._AC_UL320_.jpg")</f>
        <v/>
      </c>
      <c r="K3981" t="inlineStr">
        <is>
          <t>149.0</t>
        </is>
      </c>
      <c r="L3981" t="n">
        <v>14.33</v>
      </c>
      <c r="M3981" s="1" t="inlineStr">
        <is>
          <t>-90.38%</t>
        </is>
      </c>
      <c r="N3981" t="n">
        <v>4.2</v>
      </c>
      <c r="O3981" t="n">
        <v>116</v>
      </c>
      <c r="Q3981" t="inlineStr">
        <is>
          <t>InStock</t>
        </is>
      </c>
      <c r="R3981" t="inlineStr">
        <is>
          <t>undefined</t>
        </is>
      </c>
      <c r="S3981" t="inlineStr">
        <is>
          <t>6896149823575</t>
        </is>
      </c>
    </row>
    <row r="3982" ht="75" customHeight="1">
      <c r="A3982" s="2">
        <f>HYPERLINK("https://faoschwarz.com/products/beauty-and-the-beast-puzzle", "https://faoschwarz.com/products/beauty-and-the-beast-puzzle")</f>
        <v/>
      </c>
      <c r="B3982" s="2">
        <f>HYPERLINK("https://faoschwarz.com/products/beauty-and-the-beast-puzzle", "https://faoschwarz.com/products/beauty-and-the-beast-puzzle")</f>
        <v/>
      </c>
      <c r="C3982" t="inlineStr">
        <is>
          <t>Beauty and The Beast Puzzle</t>
        </is>
      </c>
      <c r="D3982" t="inlineStr">
        <is>
          <t>FUNPOLA Beauty and The Beast 3D Puzzle Nightlight – LED 3D Puzzle Gifts – 3D Wood Puzzles Storybook Nightlight Home Décor for Kids and Adults</t>
        </is>
      </c>
      <c r="E3982" s="2">
        <f>HYPERLINK("https://www.amazon.com/FUNPOLA-Beauty-Beast-Puzzle-Nightlight/dp/B0C8NGQP62/ref=sr_1_9?keywords=Beauty+and+The+Beast+Puzzle&amp;qid=1695566019&amp;sr=8-9", "https://www.amazon.com/FUNPOLA-Beauty-Beast-Puzzle-Nightlight/dp/B0C8NGQP62/ref=sr_1_9?keywords=Beauty+and+The+Beast+Puzzle&amp;qid=1695566019&amp;sr=8-9")</f>
        <v/>
      </c>
      <c r="F3982" t="inlineStr">
        <is>
          <t>B0C8NGQP62</t>
        </is>
      </c>
      <c r="G3982">
        <f>_xlfn.IMAGE("https://faoschwarz.com/cdn/shop/products/ravensburger-puzzles-beauty-and-the-beast-puzzle-29430709813335_1080x.jpg?v=1661732875")</f>
        <v/>
      </c>
      <c r="H3982">
        <f>_xlfn.IMAGE("https://m.media-amazon.com/images/I/91RkScSkdfL._AC_UL320_.jpg")</f>
        <v/>
      </c>
      <c r="K3982" t="inlineStr">
        <is>
          <t>18.0</t>
        </is>
      </c>
      <c r="L3982" t="n">
        <v>35.99</v>
      </c>
      <c r="M3982" s="1" t="inlineStr">
        <is>
          <t>99.94%</t>
        </is>
      </c>
      <c r="N3982" t="n">
        <v>4.8</v>
      </c>
      <c r="O3982" t="n">
        <v>140</v>
      </c>
      <c r="Q3982" t="inlineStr">
        <is>
          <t>InStock</t>
        </is>
      </c>
      <c r="R3982" t="inlineStr">
        <is>
          <t>undefined</t>
        </is>
      </c>
      <c r="S3982" t="inlineStr">
        <is>
          <t>6800645816407</t>
        </is>
      </c>
    </row>
    <row r="3983" ht="75" customHeight="1">
      <c r="A3983" s="2">
        <f>HYPERLINK("https://faoschwarz.com/products/beauty-and-the-beast-puzzle", "https://faoschwarz.com/products/beauty-and-the-beast-puzzle")</f>
        <v/>
      </c>
      <c r="B3983" s="2">
        <f>HYPERLINK("https://faoschwarz.com/products/beauty-and-the-beast-puzzle", "https://faoschwarz.com/products/beauty-and-the-beast-puzzle")</f>
        <v/>
      </c>
      <c r="C3983" t="inlineStr">
        <is>
          <t>Beauty and The Beast Puzzle</t>
        </is>
      </c>
      <c r="D3983" t="inlineStr">
        <is>
          <t>Ravensburger Disney Beauty and The Beast 1000 Piece Jigsaw Puzzle for Adults - 19746 - Every Piece is Unique, Softclick Technology Means Pieces Fit Together Perfectly</t>
        </is>
      </c>
      <c r="E3983" s="2">
        <f>HYPERLINK("https://www.amazon.com/Ravensburger-Disney-Collectors-Beauty-Jigsaw/dp/B06XG9C7GQ/ref=sr_1_2?keywords=Beauty+and+The+Beast+Puzzle&amp;qid=1695566019&amp;sr=8-2", "https://www.amazon.com/Ravensburger-Disney-Collectors-Beauty-Jigsaw/dp/B06XG9C7GQ/ref=sr_1_2?keywords=Beauty+and+The+Beast+Puzzle&amp;qid=1695566019&amp;sr=8-2")</f>
        <v/>
      </c>
      <c r="F3983" t="inlineStr">
        <is>
          <t>B06XG9C7GQ</t>
        </is>
      </c>
      <c r="G3983">
        <f>_xlfn.IMAGE("https://faoschwarz.com/cdn/shop/products/ravensburger-puzzles-beauty-and-the-beast-puzzle-29430709813335_1080x.jpg?v=1661732875")</f>
        <v/>
      </c>
      <c r="H3983">
        <f>_xlfn.IMAGE("https://m.media-amazon.com/images/I/81nzCW28SpS._AC_UL320_.jpg")</f>
        <v/>
      </c>
      <c r="K3983" t="inlineStr">
        <is>
          <t>18.0</t>
        </is>
      </c>
      <c r="L3983" t="n">
        <v>23.99</v>
      </c>
      <c r="M3983" s="1" t="inlineStr">
        <is>
          <t>33.28%</t>
        </is>
      </c>
      <c r="N3983" t="n">
        <v>4.7</v>
      </c>
      <c r="O3983" t="n">
        <v>2385</v>
      </c>
      <c r="Q3983" t="inlineStr">
        <is>
          <t>InStock</t>
        </is>
      </c>
      <c r="R3983" t="inlineStr">
        <is>
          <t>undefined</t>
        </is>
      </c>
      <c r="S3983" t="inlineStr">
        <is>
          <t>6800645816407</t>
        </is>
      </c>
    </row>
    <row r="3984" ht="75" customHeight="1">
      <c r="A3984" s="2">
        <f>HYPERLINK("https://faoschwarz.com/products/beauty-and-the-beast-puzzle", "https://faoschwarz.com/products/beauty-and-the-beast-puzzle")</f>
        <v/>
      </c>
      <c r="B3984" s="2">
        <f>HYPERLINK("https://faoschwarz.com/products/beauty-and-the-beast-puzzle", "https://faoschwarz.com/products/beauty-and-the-beast-puzzle")</f>
        <v/>
      </c>
      <c r="C3984" t="inlineStr">
        <is>
          <t>Beauty and The Beast Puzzle</t>
        </is>
      </c>
      <c r="D3984" t="inlineStr">
        <is>
          <t>Ceaco - Thomas Kinkade - Disney Dreams Collection - Beauty and The Beast Dancing in The Moonlight - 1500 Piece Jigsaw Puzzle, 12 x 10 x 2.6 inches</t>
        </is>
      </c>
      <c r="E3984" s="2">
        <f>HYPERLINK("https://www.amazon.com/Ceaco-3401-42-Disney-Dancing-Moonlight/dp/B07N1J2QZ8/ref=sr_1_7?keywords=Beauty+and+The+Beast+Puzzle&amp;qid=1695566019&amp;sr=8-7", "https://www.amazon.com/Ceaco-3401-42-Disney-Dancing-Moonlight/dp/B07N1J2QZ8/ref=sr_1_7?keywords=Beauty+and+The+Beast+Puzzle&amp;qid=1695566019&amp;sr=8-7")</f>
        <v/>
      </c>
      <c r="F3984" t="inlineStr">
        <is>
          <t>B07N1J2QZ8</t>
        </is>
      </c>
      <c r="G3984">
        <f>_xlfn.IMAGE("https://faoschwarz.com/cdn/shop/products/ravensburger-puzzles-beauty-and-the-beast-puzzle-29430709813335_1080x.jpg?v=1661732875")</f>
        <v/>
      </c>
      <c r="H3984">
        <f>_xlfn.IMAGE("https://m.media-amazon.com/images/I/91lp1znWnwL._AC_UL320_.jpg")</f>
        <v/>
      </c>
      <c r="K3984" t="inlineStr">
        <is>
          <t>18.0</t>
        </is>
      </c>
      <c r="L3984" t="n">
        <v>17.99</v>
      </c>
      <c r="M3984" s="1" t="inlineStr">
        <is>
          <t>-0.06%</t>
        </is>
      </c>
      <c r="N3984" t="n">
        <v>4.5</v>
      </c>
      <c r="O3984" t="n">
        <v>547</v>
      </c>
      <c r="Q3984" t="inlineStr">
        <is>
          <t>InStock</t>
        </is>
      </c>
      <c r="R3984" t="inlineStr">
        <is>
          <t>undefined</t>
        </is>
      </c>
      <c r="S3984" t="inlineStr">
        <is>
          <t>6800645816407</t>
        </is>
      </c>
    </row>
    <row r="3985" ht="75" customHeight="1">
      <c r="A3985" s="2">
        <f>HYPERLINK("https://faoschwarz.com/products/beauty-and-the-beast-puzzle", "https://faoschwarz.com/products/beauty-and-the-beast-puzzle")</f>
        <v/>
      </c>
      <c r="B3985" s="2">
        <f>HYPERLINK("https://faoschwarz.com/products/beauty-and-the-beast-puzzle", "https://faoschwarz.com/products/beauty-and-the-beast-puzzle")</f>
        <v/>
      </c>
      <c r="C3985" t="inlineStr">
        <is>
          <t>Beauty and The Beast Puzzle</t>
        </is>
      </c>
      <c r="D3985" t="inlineStr">
        <is>
          <t>Funko Pop! Puzzle: Disney Beauty and The Beast</t>
        </is>
      </c>
      <c r="E3985" s="2">
        <f>HYPERLINK("https://www.amazon.com/Funko-Puzzle-Winter-Waves-3/dp/B0BCXK7J1P/ref=sr_1_6?keywords=Beauty+and+The+Beast+Puzzle&amp;qid=1695566019&amp;sr=8-6", "https://www.amazon.com/Funko-Puzzle-Winter-Waves-3/dp/B0BCXK7J1P/ref=sr_1_6?keywords=Beauty+and+The+Beast+Puzzle&amp;qid=1695566019&amp;sr=8-6")</f>
        <v/>
      </c>
      <c r="F3985" t="inlineStr">
        <is>
          <t>B0BCXK7J1P</t>
        </is>
      </c>
      <c r="G3985">
        <f>_xlfn.IMAGE("https://faoschwarz.com/cdn/shop/products/ravensburger-puzzles-beauty-and-the-beast-puzzle-29430709813335_1080x.jpg?v=1661732875")</f>
        <v/>
      </c>
      <c r="H3985">
        <f>_xlfn.IMAGE("https://m.media-amazon.com/images/I/81zTiykuYKL._AC_UL320_.jpg")</f>
        <v/>
      </c>
      <c r="K3985" t="inlineStr">
        <is>
          <t>18.0</t>
        </is>
      </c>
      <c r="L3985" t="n">
        <v>14.99</v>
      </c>
      <c r="M3985" s="1" t="inlineStr">
        <is>
          <t>-16.72%</t>
        </is>
      </c>
      <c r="N3985" t="n">
        <v>4.9</v>
      </c>
      <c r="O3985" t="n">
        <v>30</v>
      </c>
      <c r="Q3985" t="inlineStr">
        <is>
          <t>InStock</t>
        </is>
      </c>
      <c r="R3985" t="inlineStr">
        <is>
          <t>undefined</t>
        </is>
      </c>
      <c r="S3985" t="inlineStr">
        <is>
          <t>6800645816407</t>
        </is>
      </c>
    </row>
    <row r="3986" ht="75" customHeight="1">
      <c r="A3986" s="2">
        <f>HYPERLINK("https://faoschwarz.com/products/beauty-and-the-beast-puzzle", "https://faoschwarz.com/products/beauty-and-the-beast-puzzle")</f>
        <v/>
      </c>
      <c r="B3986" s="2">
        <f>HYPERLINK("https://faoschwarz.com/products/beauty-and-the-beast-puzzle", "https://faoschwarz.com/products/beauty-and-the-beast-puzzle")</f>
        <v/>
      </c>
      <c r="C3986" t="inlineStr">
        <is>
          <t>Beauty and The Beast Puzzle</t>
        </is>
      </c>
      <c r="D3986" t="inlineStr">
        <is>
          <t>Thomas Kinkade The Disney Dreams Collection: Beauty and The Beast Falling in Love Puzzle, 750 Pieces, 24" X 18"</t>
        </is>
      </c>
      <c r="E3986" s="2">
        <f>HYPERLINK("https://www.amazon.com/Thomas-Kinkade-Disney-Dreams-Collection/dp/B00D2SB2RW/ref=sr_1_1?keywords=Beauty+and+The+Beast+Puzzle&amp;qid=1695566019&amp;sr=8-1", "https://www.amazon.com/Thomas-Kinkade-Disney-Dreams-Collection/dp/B00D2SB2RW/ref=sr_1_1?keywords=Beauty+and+The+Beast+Puzzle&amp;qid=1695566019&amp;sr=8-1")</f>
        <v/>
      </c>
      <c r="F3986" t="inlineStr">
        <is>
          <t>B00D2SB2RW</t>
        </is>
      </c>
      <c r="G3986">
        <f>_xlfn.IMAGE("https://faoschwarz.com/cdn/shop/products/ravensburger-puzzles-beauty-and-the-beast-puzzle-29430709813335_1080x.jpg?v=1661732875")</f>
        <v/>
      </c>
      <c r="H3986">
        <f>_xlfn.IMAGE("https://m.media-amazon.com/images/I/91g6qxCPqgL._AC_UL320_.jpg")</f>
        <v/>
      </c>
      <c r="K3986" t="inlineStr">
        <is>
          <t>18.0</t>
        </is>
      </c>
      <c r="L3986" t="n">
        <v>11.97</v>
      </c>
      <c r="M3986" s="1" t="inlineStr">
        <is>
          <t>-33.50%</t>
        </is>
      </c>
      <c r="N3986" t="n">
        <v>4.7</v>
      </c>
      <c r="O3986" t="n">
        <v>12684</v>
      </c>
      <c r="Q3986" t="inlineStr">
        <is>
          <t>InStock</t>
        </is>
      </c>
      <c r="R3986" t="inlineStr">
        <is>
          <t>undefined</t>
        </is>
      </c>
      <c r="S3986" t="inlineStr">
        <is>
          <t>6800645816407</t>
        </is>
      </c>
    </row>
    <row r="3987" ht="75" customHeight="1">
      <c r="A3987" s="2">
        <f>HYPERLINK("https://faoschwarz.com/products/beauty-and-the-beast-puzzle", "https://faoschwarz.com/products/beauty-and-the-beast-puzzle")</f>
        <v/>
      </c>
      <c r="B3987" s="2">
        <f>HYPERLINK("https://faoschwarz.com/products/beauty-and-the-beast-puzzle", "https://faoschwarz.com/products/beauty-and-the-beast-puzzle")</f>
        <v/>
      </c>
      <c r="C3987" t="inlineStr">
        <is>
          <t>Beauty and The Beast Puzzle</t>
        </is>
      </c>
      <c r="D3987" t="inlineStr">
        <is>
          <t>Ceaco Thomas Kinkade The Disney Collection Beauty and the Beast Dancing in the Moonlight Jigsaw Puzzle, 750 Pieces</t>
        </is>
      </c>
      <c r="E3987" s="2">
        <f>HYPERLINK("https://www.amazon.com/Thomas-Kinkade-Collection-Dancing-Moonlight/dp/B075WWBVFC/ref=sr_1_3?keywords=Beauty+and+The+Beast+Puzzle&amp;qid=1695566019&amp;sr=8-3", "https://www.amazon.com/Thomas-Kinkade-Collection-Dancing-Moonlight/dp/B075WWBVFC/ref=sr_1_3?keywords=Beauty+and+The+Beast+Puzzle&amp;qid=1695566019&amp;sr=8-3")</f>
        <v/>
      </c>
      <c r="F3987" t="inlineStr">
        <is>
          <t>B075WWBVFC</t>
        </is>
      </c>
      <c r="G3987">
        <f>_xlfn.IMAGE("https://faoschwarz.com/cdn/shop/products/ravensburger-puzzles-beauty-and-the-beast-puzzle-29430709813335_1080x.jpg?v=1661732875")</f>
        <v/>
      </c>
      <c r="H3987">
        <f>_xlfn.IMAGE("https://m.media-amazon.com/images/I/81enANmYOKL._AC_UL320_.jpg")</f>
        <v/>
      </c>
      <c r="K3987" t="inlineStr">
        <is>
          <t>18.0</t>
        </is>
      </c>
      <c r="L3987" t="n">
        <v>11.97</v>
      </c>
      <c r="M3987" s="1" t="inlineStr">
        <is>
          <t>-33.50%</t>
        </is>
      </c>
      <c r="N3987" t="n">
        <v>4.7</v>
      </c>
      <c r="O3987" t="n">
        <v>834</v>
      </c>
      <c r="Q3987" t="inlineStr">
        <is>
          <t>InStock</t>
        </is>
      </c>
      <c r="R3987" t="inlineStr">
        <is>
          <t>undefined</t>
        </is>
      </c>
      <c r="S3987" t="inlineStr">
        <is>
          <t>6800645816407</t>
        </is>
      </c>
    </row>
    <row r="3988" ht="75" customHeight="1">
      <c r="A3988" s="2">
        <f>HYPERLINK("https://faoschwarz.com/products/beauty-and-the-beast-puzzle", "https://faoschwarz.com/products/beauty-and-the-beast-puzzle")</f>
        <v/>
      </c>
      <c r="B3988" s="2">
        <f>HYPERLINK("https://faoschwarz.com/products/beauty-and-the-beast-puzzle", "https://faoschwarz.com/products/beauty-and-the-beast-puzzle")</f>
        <v/>
      </c>
      <c r="C3988" t="inlineStr">
        <is>
          <t>Beauty and The Beast Puzzle</t>
        </is>
      </c>
      <c r="D3988" t="inlineStr">
        <is>
          <t>Ceaco - Beauty &amp; The Beast Falling in Love - 1000 Oversized Piece Jigsaw Puzzle</t>
        </is>
      </c>
      <c r="E3988" s="2">
        <f>HYPERLINK("https://www.amazon.com/Ceaco-Beauty-Falling-Oversized-Jigsaw/dp/B0BS5KMMJS/ref=sr_1_4?keywords=Beauty+and+The+Beast+Puzzle&amp;qid=1695566019&amp;sr=8-4", "https://www.amazon.com/Ceaco-Beauty-Falling-Oversized-Jigsaw/dp/B0BS5KMMJS/ref=sr_1_4?keywords=Beauty+and+The+Beast+Puzzle&amp;qid=1695566019&amp;sr=8-4")</f>
        <v/>
      </c>
      <c r="F3988" t="inlineStr">
        <is>
          <t>B0BS5KMMJS</t>
        </is>
      </c>
      <c r="G3988">
        <f>_xlfn.IMAGE("https://faoschwarz.com/cdn/shop/products/ravensburger-puzzles-beauty-and-the-beast-puzzle-29430709813335_1080x.jpg?v=1661732875")</f>
        <v/>
      </c>
      <c r="H3988">
        <f>_xlfn.IMAGE("https://m.media-amazon.com/images/I/910bw-8KAmL._AC_UL320_.jpg")</f>
        <v/>
      </c>
      <c r="K3988" t="inlineStr">
        <is>
          <t>18.0</t>
        </is>
      </c>
      <c r="L3988" t="n">
        <v>11.71</v>
      </c>
      <c r="M3988" s="1" t="inlineStr">
        <is>
          <t>-34.94%</t>
        </is>
      </c>
      <c r="N3988" t="n">
        <v>4.2</v>
      </c>
      <c r="O3988" t="n">
        <v>9</v>
      </c>
      <c r="Q3988" t="inlineStr">
        <is>
          <t>InStock</t>
        </is>
      </c>
      <c r="R3988" t="inlineStr">
        <is>
          <t>undefined</t>
        </is>
      </c>
      <c r="S3988" t="inlineStr">
        <is>
          <t>6800645816407</t>
        </is>
      </c>
    </row>
    <row r="3989" ht="75" customHeight="1">
      <c r="A3989" s="2">
        <f>HYPERLINK("https://faoschwarz.com/products/beauty-and-the-beast-puzzle", "https://faoschwarz.com/products/beauty-and-the-beast-puzzle")</f>
        <v/>
      </c>
      <c r="B3989" s="2">
        <f>HYPERLINK("https://faoschwarz.com/products/beauty-and-the-beast-puzzle", "https://faoschwarz.com/products/beauty-and-the-beast-puzzle")</f>
        <v/>
      </c>
      <c r="C3989" t="inlineStr">
        <is>
          <t>Beauty and The Beast Puzzle</t>
        </is>
      </c>
      <c r="D3989" t="inlineStr">
        <is>
          <t>Ceaco - Thomas Kinkade - Disney Dreams Collection - Beauty and The Beast's Winter Enchantment - 750 Piece Jigsaw Puzzle</t>
        </is>
      </c>
      <c r="E3989" s="2">
        <f>HYPERLINK("https://www.amazon.com/Ceaco-Thomas-Kinkade-Collection-Enchantment/dp/B09SBNV1L6/ref=sr_1_5?keywords=Beauty+and+The+Beast+Puzzle&amp;qid=1695566019&amp;sr=8-5", "https://www.amazon.com/Ceaco-Thomas-Kinkade-Collection-Enchantment/dp/B09SBNV1L6/ref=sr_1_5?keywords=Beauty+and+The+Beast+Puzzle&amp;qid=1695566019&amp;sr=8-5")</f>
        <v/>
      </c>
      <c r="F3989" t="inlineStr">
        <is>
          <t>B09SBNV1L6</t>
        </is>
      </c>
      <c r="G3989">
        <f>_xlfn.IMAGE("https://faoschwarz.com/cdn/shop/products/ravensburger-puzzles-beauty-and-the-beast-puzzle-29430709813335_1080x.jpg?v=1661732875")</f>
        <v/>
      </c>
      <c r="H3989">
        <f>_xlfn.IMAGE("https://m.media-amazon.com/images/I/91fDa2hXTSL._AC_UL320_.jpg")</f>
        <v/>
      </c>
      <c r="K3989" t="inlineStr">
        <is>
          <t>18.0</t>
        </is>
      </c>
      <c r="L3989" t="n">
        <v>10.99</v>
      </c>
      <c r="M3989" s="1" t="inlineStr">
        <is>
          <t>-38.94%</t>
        </is>
      </c>
      <c r="N3989" t="n">
        <v>4.8</v>
      </c>
      <c r="O3989" t="n">
        <v>224</v>
      </c>
      <c r="Q3989" t="inlineStr">
        <is>
          <t>InStock</t>
        </is>
      </c>
      <c r="R3989" t="inlineStr">
        <is>
          <t>undefined</t>
        </is>
      </c>
      <c r="S3989" t="inlineStr">
        <is>
          <t>6800645816407</t>
        </is>
      </c>
    </row>
    <row r="3990" ht="75" customHeight="1">
      <c r="A3990" s="2">
        <f>HYPERLINK("https://faoschwarz.com/products/beauty-and-the-beast-puzzle", "https://faoschwarz.com/products/beauty-and-the-beast-puzzle")</f>
        <v/>
      </c>
      <c r="B3990" s="2">
        <f>HYPERLINK("https://faoschwarz.com/products/beauty-and-the-beast-puzzle", "https://faoschwarz.com/products/beauty-and-the-beast-puzzle")</f>
        <v/>
      </c>
      <c r="C3990" t="inlineStr">
        <is>
          <t>Beauty and The Beast Puzzle</t>
        </is>
      </c>
      <c r="D3990" t="inlineStr">
        <is>
          <t>500-Piece Adult Jigsaw Puzzle in Plastic Retro Blockbuster VHS Video Case, Beauty and The Beast</t>
        </is>
      </c>
      <c r="E3990" s="2">
        <f>HYPERLINK("https://www.amazon.com/500-Piece-Jigsaw-Puzzle-Plastic-Blockbuster/dp/B08QLXV3FM/ref=sr_1_10?keywords=Beauty+and+The+Beast+Puzzle&amp;qid=1695566019&amp;sr=8-10", "https://www.amazon.com/500-Piece-Jigsaw-Puzzle-Plastic-Blockbuster/dp/B08QLXV3FM/ref=sr_1_10?keywords=Beauty+and+The+Beast+Puzzle&amp;qid=1695566019&amp;sr=8-10")</f>
        <v/>
      </c>
      <c r="F3990" t="inlineStr">
        <is>
          <t>B08QLXV3FM</t>
        </is>
      </c>
      <c r="G3990">
        <f>_xlfn.IMAGE("https://faoschwarz.com/cdn/shop/products/ravensburger-puzzles-beauty-and-the-beast-puzzle-29430709813335_1080x.jpg?v=1661732875")</f>
        <v/>
      </c>
      <c r="H3990">
        <f>_xlfn.IMAGE("https://m.media-amazon.com/images/I/81Sg7GCqMPL._AC_UL320_.jpg")</f>
        <v/>
      </c>
      <c r="K3990" t="inlineStr">
        <is>
          <t>18.0</t>
        </is>
      </c>
      <c r="L3990" t="n">
        <v>10.88</v>
      </c>
      <c r="M3990" s="1" t="inlineStr">
        <is>
          <t>-39.56%</t>
        </is>
      </c>
      <c r="N3990" t="n">
        <v>4.7</v>
      </c>
      <c r="O3990" t="n">
        <v>464</v>
      </c>
      <c r="Q3990" t="inlineStr">
        <is>
          <t>InStock</t>
        </is>
      </c>
      <c r="R3990" t="inlineStr">
        <is>
          <t>undefined</t>
        </is>
      </c>
      <c r="S3990" t="inlineStr">
        <is>
          <t>6800645816407</t>
        </is>
      </c>
    </row>
    <row r="3991" ht="75" customHeight="1">
      <c r="A3991" s="2">
        <f>HYPERLINK("https://faoschwarz.com/products/beauty-and-the-beast-puzzle", "https://faoschwarz.com/products/beauty-and-the-beast-puzzle")</f>
        <v/>
      </c>
      <c r="B3991" s="2">
        <f>HYPERLINK("https://faoschwarz.com/products/beauty-and-the-beast-puzzle", "https://faoschwarz.com/products/beauty-and-the-beast-puzzle")</f>
        <v/>
      </c>
      <c r="C3991" t="inlineStr">
        <is>
          <t>Beauty and The Beast Puzzle</t>
        </is>
      </c>
      <c r="D3991" t="inlineStr">
        <is>
          <t>Ceaco - Thomas Kinkade - Disney Dreams Collection - Beauty and The Beast Dancing in The Moonlight - 300 Piece Jigsaw Puzzle</t>
        </is>
      </c>
      <c r="E3991" s="2">
        <f>HYPERLINK("https://www.amazon.com/Thomas-Kinkade-Disney-Dreams-Moonlight/dp/B0849GLTRH/ref=sr_1_8?keywords=Beauty+and+The+Beast+Puzzle&amp;qid=1695566019&amp;sr=8-8", "https://www.amazon.com/Thomas-Kinkade-Disney-Dreams-Moonlight/dp/B0849GLTRH/ref=sr_1_8?keywords=Beauty+and+The+Beast+Puzzle&amp;qid=1695566019&amp;sr=8-8")</f>
        <v/>
      </c>
      <c r="F3991" t="inlineStr">
        <is>
          <t>B0849GLTRH</t>
        </is>
      </c>
      <c r="G3991">
        <f>_xlfn.IMAGE("https://faoschwarz.com/cdn/shop/products/ravensburger-puzzles-beauty-and-the-beast-puzzle-29430709813335_1080x.jpg?v=1661732875")</f>
        <v/>
      </c>
      <c r="H3991">
        <f>_xlfn.IMAGE("https://m.media-amazon.com/images/I/A17v+5QNmaL._AC_UL320_.jpg")</f>
        <v/>
      </c>
      <c r="K3991" t="inlineStr">
        <is>
          <t>18.0</t>
        </is>
      </c>
      <c r="L3991" t="n">
        <v>9.970000000000001</v>
      </c>
      <c r="M3991" s="1" t="inlineStr">
        <is>
          <t>-44.61%</t>
        </is>
      </c>
      <c r="N3991" t="n">
        <v>4.7</v>
      </c>
      <c r="O3991" t="n">
        <v>245</v>
      </c>
      <c r="Q3991" t="inlineStr">
        <is>
          <t>InStock</t>
        </is>
      </c>
      <c r="R3991" t="inlineStr">
        <is>
          <t>undefined</t>
        </is>
      </c>
      <c r="S3991" t="inlineStr">
        <is>
          <t>6800645816407</t>
        </is>
      </c>
    </row>
    <row r="3992" ht="75" customHeight="1">
      <c r="A3992" s="2">
        <f>HYPERLINK("https://faoschwarz.com/products/beauty-and-the-beast-puzzle", "https://faoschwarz.com/products/beauty-and-the-beast-puzzle")</f>
        <v/>
      </c>
      <c r="B3992" s="2">
        <f>HYPERLINK("https://faoschwarz.com/products/beauty-and-the-beast-puzzle", "https://faoschwarz.com/products/beauty-and-the-beast-puzzle")</f>
        <v/>
      </c>
      <c r="C3992" t="inlineStr">
        <is>
          <t>Beauty and The Beast Puzzle</t>
        </is>
      </c>
      <c r="D3992" t="inlineStr">
        <is>
          <t>Funko Pop! Puzzle: Disney Beauty and The Beast</t>
        </is>
      </c>
      <c r="E3992" s="2">
        <f>HYPERLINK("https://www.amazon.com/Funko-Puzzle-Winter-Waves-3/dp/B0BCXK7J1P/ref=sr_1_6?keywords=Beauty+and+The+Beast+Puzzle&amp;qid=1695566019&amp;sr=8-6", "https://www.amazon.com/Funko-Puzzle-Winter-Waves-3/dp/B0BCXK7J1P/ref=sr_1_6?keywords=Beauty+and+The+Beast+Puzzle&amp;qid=1695566019&amp;sr=8-6")</f>
        <v/>
      </c>
      <c r="F3992" t="inlineStr">
        <is>
          <t>B0BCXK7J1P</t>
        </is>
      </c>
      <c r="G3992">
        <f>_xlfn.IMAGE("https://faoschwarz.com/cdn/shop/products/ravensburger-puzzles-beauty-and-the-beast-puzzle-29430709813335_1080x.jpg?v=1661732875")</f>
        <v/>
      </c>
      <c r="H3992">
        <f>_xlfn.IMAGE("https://m.media-amazon.com/images/I/81zTiykuYKL._AC_UL320_.jpg")</f>
        <v/>
      </c>
      <c r="K3992" t="inlineStr">
        <is>
          <t>18.0</t>
        </is>
      </c>
      <c r="L3992" t="n">
        <v>14.99</v>
      </c>
      <c r="M3992" s="1" t="inlineStr">
        <is>
          <t>-16.72%</t>
        </is>
      </c>
      <c r="N3992" t="n">
        <v>4.9</v>
      </c>
      <c r="O3992" t="n">
        <v>30</v>
      </c>
      <c r="Q3992" t="inlineStr">
        <is>
          <t>InStock</t>
        </is>
      </c>
      <c r="R3992" t="inlineStr">
        <is>
          <t>undefined</t>
        </is>
      </c>
      <c r="S3992" t="inlineStr">
        <is>
          <t>6800645816407</t>
        </is>
      </c>
    </row>
    <row r="3993" ht="75" customHeight="1">
      <c r="A3993" s="2">
        <f>HYPERLINK("https://faoschwarz.com/products/beauty-and-the-beast-puzzle", "https://faoschwarz.com/products/beauty-and-the-beast-puzzle")</f>
        <v/>
      </c>
      <c r="B3993" s="2">
        <f>HYPERLINK("https://faoschwarz.com/products/beauty-and-the-beast-puzzle", "https://faoschwarz.com/products/beauty-and-the-beast-puzzle")</f>
        <v/>
      </c>
      <c r="C3993" t="inlineStr">
        <is>
          <t>Beauty and The Beast Puzzle</t>
        </is>
      </c>
      <c r="D3993" t="inlineStr">
        <is>
          <t>Thomas Kinkade The Disney Dreams Collection: Beauty and The Beast Falling in Love Puzzle, 750 Pieces, 24" X 18"</t>
        </is>
      </c>
      <c r="E3993" s="2">
        <f>HYPERLINK("https://www.amazon.com/Thomas-Kinkade-Disney-Dreams-Collection/dp/B00D2SB2RW/ref=sr_1_1?keywords=Beauty+and+The+Beast+Puzzle&amp;qid=1695566019&amp;sr=8-1", "https://www.amazon.com/Thomas-Kinkade-Disney-Dreams-Collection/dp/B00D2SB2RW/ref=sr_1_1?keywords=Beauty+and+The+Beast+Puzzle&amp;qid=1695566019&amp;sr=8-1")</f>
        <v/>
      </c>
      <c r="F3993" t="inlineStr">
        <is>
          <t>B00D2SB2RW</t>
        </is>
      </c>
      <c r="G3993">
        <f>_xlfn.IMAGE("https://faoschwarz.com/cdn/shop/products/ravensburger-puzzles-beauty-and-the-beast-puzzle-29430709813335_1080x.jpg?v=1661732875")</f>
        <v/>
      </c>
      <c r="H3993">
        <f>_xlfn.IMAGE("https://m.media-amazon.com/images/I/91g6qxCPqgL._AC_UL320_.jpg")</f>
        <v/>
      </c>
      <c r="K3993" t="inlineStr">
        <is>
          <t>18.0</t>
        </is>
      </c>
      <c r="L3993" t="n">
        <v>11.97</v>
      </c>
      <c r="M3993" s="1" t="inlineStr">
        <is>
          <t>-33.50%</t>
        </is>
      </c>
      <c r="N3993" t="n">
        <v>4.7</v>
      </c>
      <c r="O3993" t="n">
        <v>12684</v>
      </c>
      <c r="Q3993" t="inlineStr">
        <is>
          <t>InStock</t>
        </is>
      </c>
      <c r="R3993" t="inlineStr">
        <is>
          <t>undefined</t>
        </is>
      </c>
      <c r="S3993" t="inlineStr">
        <is>
          <t>6800645816407</t>
        </is>
      </c>
    </row>
    <row r="3994" ht="75" customHeight="1">
      <c r="A3994" s="2">
        <f>HYPERLINK("https://faoschwarz.com/products/beauty-and-the-beast-puzzle", "https://faoschwarz.com/products/beauty-and-the-beast-puzzle")</f>
        <v/>
      </c>
      <c r="B3994" s="2">
        <f>HYPERLINK("https://faoschwarz.com/products/beauty-and-the-beast-puzzle", "https://faoschwarz.com/products/beauty-and-the-beast-puzzle")</f>
        <v/>
      </c>
      <c r="C3994" t="inlineStr">
        <is>
          <t>Beauty and The Beast Puzzle</t>
        </is>
      </c>
      <c r="D3994" t="inlineStr">
        <is>
          <t>Ceaco Thomas Kinkade The Disney Collection Beauty and the Beast Dancing in the Moonlight Jigsaw Puzzle, 750 Pieces</t>
        </is>
      </c>
      <c r="E3994" s="2">
        <f>HYPERLINK("https://www.amazon.com/Thomas-Kinkade-Collection-Dancing-Moonlight/dp/B075WWBVFC/ref=sr_1_3?keywords=Beauty+and+The+Beast+Puzzle&amp;qid=1695566019&amp;sr=8-3", "https://www.amazon.com/Thomas-Kinkade-Collection-Dancing-Moonlight/dp/B075WWBVFC/ref=sr_1_3?keywords=Beauty+and+The+Beast+Puzzle&amp;qid=1695566019&amp;sr=8-3")</f>
        <v/>
      </c>
      <c r="F3994" t="inlineStr">
        <is>
          <t>B075WWBVFC</t>
        </is>
      </c>
      <c r="G3994">
        <f>_xlfn.IMAGE("https://faoschwarz.com/cdn/shop/products/ravensburger-puzzles-beauty-and-the-beast-puzzle-29430709813335_1080x.jpg?v=1661732875")</f>
        <v/>
      </c>
      <c r="H3994">
        <f>_xlfn.IMAGE("https://m.media-amazon.com/images/I/81enANmYOKL._AC_UL320_.jpg")</f>
        <v/>
      </c>
      <c r="K3994" t="inlineStr">
        <is>
          <t>18.0</t>
        </is>
      </c>
      <c r="L3994" t="n">
        <v>11.97</v>
      </c>
      <c r="M3994" s="1" t="inlineStr">
        <is>
          <t>-33.50%</t>
        </is>
      </c>
      <c r="N3994" t="n">
        <v>4.7</v>
      </c>
      <c r="O3994" t="n">
        <v>834</v>
      </c>
      <c r="Q3994" t="inlineStr">
        <is>
          <t>InStock</t>
        </is>
      </c>
      <c r="R3994" t="inlineStr">
        <is>
          <t>undefined</t>
        </is>
      </c>
      <c r="S3994" t="inlineStr">
        <is>
          <t>6800645816407</t>
        </is>
      </c>
    </row>
    <row r="3995" ht="75" customHeight="1">
      <c r="A3995" s="2">
        <f>HYPERLINK("https://faoschwarz.com/products/beauty-and-the-beast-puzzle", "https://faoschwarz.com/products/beauty-and-the-beast-puzzle")</f>
        <v/>
      </c>
      <c r="B3995" s="2">
        <f>HYPERLINK("https://faoschwarz.com/products/beauty-and-the-beast-puzzle", "https://faoschwarz.com/products/beauty-and-the-beast-puzzle")</f>
        <v/>
      </c>
      <c r="C3995" t="inlineStr">
        <is>
          <t>Beauty and The Beast Puzzle</t>
        </is>
      </c>
      <c r="D3995" t="inlineStr">
        <is>
          <t>Ceaco - Beauty &amp; The Beast Falling in Love - 1000 Oversized Piece Jigsaw Puzzle</t>
        </is>
      </c>
      <c r="E3995" s="2">
        <f>HYPERLINK("https://www.amazon.com/Ceaco-Beauty-Falling-Oversized-Jigsaw/dp/B0BS5KMMJS/ref=sr_1_4?keywords=Beauty+and+The+Beast+Puzzle&amp;qid=1695566019&amp;sr=8-4", "https://www.amazon.com/Ceaco-Beauty-Falling-Oversized-Jigsaw/dp/B0BS5KMMJS/ref=sr_1_4?keywords=Beauty+and+The+Beast+Puzzle&amp;qid=1695566019&amp;sr=8-4")</f>
        <v/>
      </c>
      <c r="F3995" t="inlineStr">
        <is>
          <t>B0BS5KMMJS</t>
        </is>
      </c>
      <c r="G3995">
        <f>_xlfn.IMAGE("https://faoschwarz.com/cdn/shop/products/ravensburger-puzzles-beauty-and-the-beast-puzzle-29430709813335_1080x.jpg?v=1661732875")</f>
        <v/>
      </c>
      <c r="H3995">
        <f>_xlfn.IMAGE("https://m.media-amazon.com/images/I/910bw-8KAmL._AC_UL320_.jpg")</f>
        <v/>
      </c>
      <c r="K3995" t="inlineStr">
        <is>
          <t>18.0</t>
        </is>
      </c>
      <c r="L3995" t="n">
        <v>11.71</v>
      </c>
      <c r="M3995" s="1" t="inlineStr">
        <is>
          <t>-34.94%</t>
        </is>
      </c>
      <c r="N3995" t="n">
        <v>4.2</v>
      </c>
      <c r="O3995" t="n">
        <v>9</v>
      </c>
      <c r="Q3995" t="inlineStr">
        <is>
          <t>InStock</t>
        </is>
      </c>
      <c r="R3995" t="inlineStr">
        <is>
          <t>undefined</t>
        </is>
      </c>
      <c r="S3995" t="inlineStr">
        <is>
          <t>6800645816407</t>
        </is>
      </c>
    </row>
    <row r="3996" ht="75" customHeight="1">
      <c r="A3996" s="2">
        <f>HYPERLINK("https://faoschwarz.com/products/beauty-and-the-beast-puzzle", "https://faoschwarz.com/products/beauty-and-the-beast-puzzle")</f>
        <v/>
      </c>
      <c r="B3996" s="2">
        <f>HYPERLINK("https://faoschwarz.com/products/beauty-and-the-beast-puzzle", "https://faoschwarz.com/products/beauty-and-the-beast-puzzle")</f>
        <v/>
      </c>
      <c r="C3996" t="inlineStr">
        <is>
          <t>Beauty and The Beast Puzzle</t>
        </is>
      </c>
      <c r="D3996" t="inlineStr">
        <is>
          <t>Ceaco - Thomas Kinkade - Disney Dreams Collection - Beauty and The Beast's Winter Enchantment - 750 Piece Jigsaw Puzzle</t>
        </is>
      </c>
      <c r="E3996" s="2">
        <f>HYPERLINK("https://www.amazon.com/Ceaco-Thomas-Kinkade-Collection-Enchantment/dp/B09SBNV1L6/ref=sr_1_5?keywords=Beauty+and+The+Beast+Puzzle&amp;qid=1695566019&amp;sr=8-5", "https://www.amazon.com/Ceaco-Thomas-Kinkade-Collection-Enchantment/dp/B09SBNV1L6/ref=sr_1_5?keywords=Beauty+and+The+Beast+Puzzle&amp;qid=1695566019&amp;sr=8-5")</f>
        <v/>
      </c>
      <c r="F3996" t="inlineStr">
        <is>
          <t>B09SBNV1L6</t>
        </is>
      </c>
      <c r="G3996">
        <f>_xlfn.IMAGE("https://faoschwarz.com/cdn/shop/products/ravensburger-puzzles-beauty-and-the-beast-puzzle-29430709813335_1080x.jpg?v=1661732875")</f>
        <v/>
      </c>
      <c r="H3996">
        <f>_xlfn.IMAGE("https://m.media-amazon.com/images/I/91fDa2hXTSL._AC_UL320_.jpg")</f>
        <v/>
      </c>
      <c r="K3996" t="inlineStr">
        <is>
          <t>18.0</t>
        </is>
      </c>
      <c r="L3996" t="n">
        <v>10.99</v>
      </c>
      <c r="M3996" s="1" t="inlineStr">
        <is>
          <t>-38.94%</t>
        </is>
      </c>
      <c r="N3996" t="n">
        <v>4.8</v>
      </c>
      <c r="O3996" t="n">
        <v>224</v>
      </c>
      <c r="Q3996" t="inlineStr">
        <is>
          <t>InStock</t>
        </is>
      </c>
      <c r="R3996" t="inlineStr">
        <is>
          <t>undefined</t>
        </is>
      </c>
      <c r="S3996" t="inlineStr">
        <is>
          <t>6800645816407</t>
        </is>
      </c>
    </row>
    <row r="3997" ht="75" customHeight="1">
      <c r="A3997" s="2">
        <f>HYPERLINK("https://faoschwarz.com/products/beauty-and-the-beast-puzzle", "https://faoschwarz.com/products/beauty-and-the-beast-puzzle")</f>
        <v/>
      </c>
      <c r="B3997" s="2">
        <f>HYPERLINK("https://faoschwarz.com/products/beauty-and-the-beast-puzzle", "https://faoschwarz.com/products/beauty-and-the-beast-puzzle")</f>
        <v/>
      </c>
      <c r="C3997" t="inlineStr">
        <is>
          <t>Beauty and The Beast Puzzle</t>
        </is>
      </c>
      <c r="D3997" t="inlineStr">
        <is>
          <t>500-Piece Adult Jigsaw Puzzle in Plastic Retro Blockbuster VHS Video Case, Beauty and The Beast</t>
        </is>
      </c>
      <c r="E3997" s="2">
        <f>HYPERLINK("https://www.amazon.com/500-Piece-Jigsaw-Puzzle-Plastic-Blockbuster/dp/B08QLXV3FM/ref=sr_1_10?keywords=Beauty+and+The+Beast+Puzzle&amp;qid=1695566019&amp;sr=8-10", "https://www.amazon.com/500-Piece-Jigsaw-Puzzle-Plastic-Blockbuster/dp/B08QLXV3FM/ref=sr_1_10?keywords=Beauty+and+The+Beast+Puzzle&amp;qid=1695566019&amp;sr=8-10")</f>
        <v/>
      </c>
      <c r="F3997" t="inlineStr">
        <is>
          <t>B08QLXV3FM</t>
        </is>
      </c>
      <c r="G3997">
        <f>_xlfn.IMAGE("https://faoschwarz.com/cdn/shop/products/ravensburger-puzzles-beauty-and-the-beast-puzzle-29430709813335_1080x.jpg?v=1661732875")</f>
        <v/>
      </c>
      <c r="H3997">
        <f>_xlfn.IMAGE("https://m.media-amazon.com/images/I/81Sg7GCqMPL._AC_UL320_.jpg")</f>
        <v/>
      </c>
      <c r="K3997" t="inlineStr">
        <is>
          <t>18.0</t>
        </is>
      </c>
      <c r="L3997" t="n">
        <v>10.88</v>
      </c>
      <c r="M3997" s="1" t="inlineStr">
        <is>
          <t>-39.56%</t>
        </is>
      </c>
      <c r="N3997" t="n">
        <v>4.7</v>
      </c>
      <c r="O3997" t="n">
        <v>464</v>
      </c>
      <c r="Q3997" t="inlineStr">
        <is>
          <t>InStock</t>
        </is>
      </c>
      <c r="R3997" t="inlineStr">
        <is>
          <t>undefined</t>
        </is>
      </c>
      <c r="S3997" t="inlineStr">
        <is>
          <t>6800645816407</t>
        </is>
      </c>
    </row>
    <row r="3998" ht="75" customHeight="1">
      <c r="A3998" s="2">
        <f>HYPERLINK("https://faoschwarz.com/products/beauty-and-the-beast-puzzle", "https://faoschwarz.com/products/beauty-and-the-beast-puzzle")</f>
        <v/>
      </c>
      <c r="B3998" s="2">
        <f>HYPERLINK("https://faoschwarz.com/products/beauty-and-the-beast-puzzle", "https://faoschwarz.com/products/beauty-and-the-beast-puzzle")</f>
        <v/>
      </c>
      <c r="C3998" t="inlineStr">
        <is>
          <t>Beauty and The Beast Puzzle</t>
        </is>
      </c>
      <c r="D3998" t="inlineStr">
        <is>
          <t>Ceaco - Thomas Kinkade - Disney Dreams Collection - Beauty and The Beast Dancing in The Moonlight - 300 Piece Jigsaw Puzzle</t>
        </is>
      </c>
      <c r="E3998" s="2">
        <f>HYPERLINK("https://www.amazon.com/Thomas-Kinkade-Disney-Dreams-Moonlight/dp/B0849GLTRH/ref=sr_1_8?keywords=Beauty+and+The+Beast+Puzzle&amp;qid=1695566019&amp;sr=8-8", "https://www.amazon.com/Thomas-Kinkade-Disney-Dreams-Moonlight/dp/B0849GLTRH/ref=sr_1_8?keywords=Beauty+and+The+Beast+Puzzle&amp;qid=1695566019&amp;sr=8-8")</f>
        <v/>
      </c>
      <c r="F3998" t="inlineStr">
        <is>
          <t>B0849GLTRH</t>
        </is>
      </c>
      <c r="G3998">
        <f>_xlfn.IMAGE("https://faoschwarz.com/cdn/shop/products/ravensburger-puzzles-beauty-and-the-beast-puzzle-29430709813335_1080x.jpg?v=1661732875")</f>
        <v/>
      </c>
      <c r="H3998">
        <f>_xlfn.IMAGE("https://m.media-amazon.com/images/I/A17v+5QNmaL._AC_UL320_.jpg")</f>
        <v/>
      </c>
      <c r="K3998" t="inlineStr">
        <is>
          <t>18.0</t>
        </is>
      </c>
      <c r="L3998" t="n">
        <v>9.970000000000001</v>
      </c>
      <c r="M3998" s="1" t="inlineStr">
        <is>
          <t>-44.61%</t>
        </is>
      </c>
      <c r="N3998" t="n">
        <v>4.7</v>
      </c>
      <c r="O3998" t="n">
        <v>245</v>
      </c>
      <c r="Q3998" t="inlineStr">
        <is>
          <t>InStock</t>
        </is>
      </c>
      <c r="R3998" t="inlineStr">
        <is>
          <t>undefined</t>
        </is>
      </c>
      <c r="S3998" t="inlineStr">
        <is>
          <t>6800645816407</t>
        </is>
      </c>
    </row>
    <row r="3999" ht="75" customHeight="1">
      <c r="A3999" s="2">
        <f>HYPERLINK("https://faoschwarz.com/products/beauty-salon", "https://faoschwarz.com/products/beauty-salon")</f>
        <v/>
      </c>
      <c r="B3999" s="2">
        <f>HYPERLINK("https://faoschwarz.com/products/beauty-salon", "https://faoschwarz.com/products/beauty-salon")</f>
        <v/>
      </c>
      <c r="C3999" t="inlineStr">
        <is>
          <t>Beauty Salon</t>
        </is>
      </c>
      <c r="D3999" t="inlineStr">
        <is>
          <t>Melissa &amp; Doug Wooden Beauty Salon Play Set With Accessories (18 pcs) - Pretend Hair Salon, Toddler Makeup Vanity, Fashion Role For Kids Ages 3+</t>
        </is>
      </c>
      <c r="E3999" s="2">
        <f>HYPERLINK("https://www.amazon.com/Melissa-Doug-Wooden-Beauty-Accessories/dp/B06XTJ76X2/ref=sr_1_1?keywords=Beauty+Salon&amp;qid=1695565930&amp;sr=8-1", "https://www.amazon.com/Melissa-Doug-Wooden-Beauty-Accessories/dp/B06XTJ76X2/ref=sr_1_1?keywords=Beauty+Salon&amp;qid=1695565930&amp;sr=8-1")</f>
        <v/>
      </c>
      <c r="F3999" t="inlineStr">
        <is>
          <t>B06XTJ76X2</t>
        </is>
      </c>
      <c r="G3999">
        <f>_xlfn.IMAGE("https://faoschwarz.com/cdn/shop/products/wonder-wise-preschool-beauty-salon-28601916194903_1080x.jpg?v=1656013383")</f>
        <v/>
      </c>
      <c r="H3999">
        <f>_xlfn.IMAGE("https://m.media-amazon.com/images/I/61iXI4wknYL._AC_UL320_.jpg")</f>
        <v/>
      </c>
      <c r="K3999" t="inlineStr">
        <is>
          <t>169.0</t>
        </is>
      </c>
      <c r="L3999" t="n">
        <v>54</v>
      </c>
      <c r="M3999" s="1" t="inlineStr">
        <is>
          <t>-68.05%</t>
        </is>
      </c>
      <c r="N3999" t="n">
        <v>4.8</v>
      </c>
      <c r="O3999" t="n">
        <v>4894</v>
      </c>
      <c r="Q3999" t="inlineStr">
        <is>
          <t>InStock</t>
        </is>
      </c>
      <c r="R3999" t="inlineStr">
        <is>
          <t>undefined</t>
        </is>
      </c>
      <c r="S3999" t="inlineStr">
        <is>
          <t>4658086379607</t>
        </is>
      </c>
    </row>
    <row r="4000" ht="75" customHeight="1">
      <c r="A4000" s="2">
        <f>HYPERLINK("https://faoschwarz.com/products/beauty-salon", "https://faoschwarz.com/products/beauty-salon")</f>
        <v/>
      </c>
      <c r="B4000" s="2">
        <f>HYPERLINK("https://faoschwarz.com/products/beauty-salon", "https://faoschwarz.com/products/beauty-salon")</f>
        <v/>
      </c>
      <c r="C4000" t="inlineStr">
        <is>
          <t>Beauty Salon</t>
        </is>
      </c>
      <c r="D4000" t="inlineStr">
        <is>
          <t>Beauty Salon Neon Signs for Wall Decor, Pink Beauty Business Logo Barber Neon Light Salon LED Signs, USB Powered for Neon Light Wall Decor Art Beauty Room Make Up Lashes Nail Decor(15.7 * 9.4in)</t>
        </is>
      </c>
      <c r="E4000" s="2">
        <f>HYPERLINK("https://www.amazon.com/Beauty-Business-Barber-Powered-Lashes/dp/B0BXKN1MNK/ref=sr_1_6?keywords=Beauty+Salon&amp;qid=1695565930&amp;sr=8-6", "https://www.amazon.com/Beauty-Business-Barber-Powered-Lashes/dp/B0BXKN1MNK/ref=sr_1_6?keywords=Beauty+Salon&amp;qid=1695565930&amp;sr=8-6")</f>
        <v/>
      </c>
      <c r="F4000" t="inlineStr">
        <is>
          <t>B0BXKN1MNK</t>
        </is>
      </c>
      <c r="G4000">
        <f>_xlfn.IMAGE("https://faoschwarz.com/cdn/shop/products/wonder-wise-preschool-beauty-salon-28601916194903_1080x.jpg?v=1656013383")</f>
        <v/>
      </c>
      <c r="H4000">
        <f>_xlfn.IMAGE("https://m.media-amazon.com/images/I/81rsv6QaB+L._AC_UL320_.jpg")</f>
        <v/>
      </c>
      <c r="K4000" t="inlineStr">
        <is>
          <t>169.0</t>
        </is>
      </c>
      <c r="L4000" t="n">
        <v>35.99</v>
      </c>
      <c r="M4000" s="1" t="inlineStr">
        <is>
          <t>-78.70%</t>
        </is>
      </c>
      <c r="N4000" t="n">
        <v>4.1</v>
      </c>
      <c r="O4000" t="n">
        <v>5</v>
      </c>
      <c r="Q4000" t="inlineStr">
        <is>
          <t>InStock</t>
        </is>
      </c>
      <c r="R4000" t="inlineStr">
        <is>
          <t>undefined</t>
        </is>
      </c>
      <c r="S4000" t="inlineStr">
        <is>
          <t>4658086379607</t>
        </is>
      </c>
    </row>
    <row r="4001" ht="75" customHeight="1">
      <c r="A4001" s="2">
        <f>HYPERLINK("https://faoschwarz.com/products/beauty-salon", "https://faoschwarz.com/products/beauty-salon")</f>
        <v/>
      </c>
      <c r="B4001" s="2">
        <f>HYPERLINK("https://faoschwarz.com/products/beauty-salon", "https://faoschwarz.com/products/beauty-salon")</f>
        <v/>
      </c>
      <c r="C4001" t="inlineStr">
        <is>
          <t>Beauty Salon</t>
        </is>
      </c>
      <c r="D4001" t="inlineStr">
        <is>
          <t>Beauty Room Neon Sign For Spa Beauty Room Nail Brows Lashed Salon Studio LED Wall Art Decor For Business Stores Logo Barber Shops Led Word Indoor Custom Neon Lights 5V USB Powered Warm White 40×14.4cm</t>
        </is>
      </c>
      <c r="E4001" s="2">
        <f>HYPERLINK("https://www.amazon.com/Business-Stores-Logo-Shops-Led-Indoor-Custom-40%C3%9714-4cm/dp/B0BS3M67PL/ref=sr_1_2?keywords=Beauty+Salon&amp;qid=1695565930&amp;sr=8-2", "https://www.amazon.com/Business-Stores-Logo-Shops-Led-Indoor-Custom-40%C3%9714-4cm/dp/B0BS3M67PL/ref=sr_1_2?keywords=Beauty+Salon&amp;qid=1695565930&amp;sr=8-2")</f>
        <v/>
      </c>
      <c r="F4001" t="inlineStr">
        <is>
          <t>B0BS3M67PL</t>
        </is>
      </c>
      <c r="G4001">
        <f>_xlfn.IMAGE("https://faoschwarz.com/cdn/shop/products/wonder-wise-preschool-beauty-salon-28601916194903_1080x.jpg?v=1656013383")</f>
        <v/>
      </c>
      <c r="H4001">
        <f>_xlfn.IMAGE("https://m.media-amazon.com/images/I/81FDzx-sDdL._AC_UL320_.jpg")</f>
        <v/>
      </c>
      <c r="K4001" t="inlineStr">
        <is>
          <t>169.0</t>
        </is>
      </c>
      <c r="L4001" t="n">
        <v>33.99</v>
      </c>
      <c r="M4001" s="1" t="inlineStr">
        <is>
          <t>-79.89%</t>
        </is>
      </c>
      <c r="N4001" t="n">
        <v>4.6</v>
      </c>
      <c r="O4001" t="n">
        <v>28</v>
      </c>
      <c r="Q4001" t="inlineStr">
        <is>
          <t>InStock</t>
        </is>
      </c>
      <c r="R4001" t="inlineStr">
        <is>
          <t>undefined</t>
        </is>
      </c>
      <c r="S4001" t="inlineStr">
        <is>
          <t>4658086379607</t>
        </is>
      </c>
    </row>
    <row r="4002" ht="75" customHeight="1">
      <c r="A4002" s="2">
        <f>HYPERLINK("https://faoschwarz.com/products/beauty-salon", "https://faoschwarz.com/products/beauty-salon")</f>
        <v/>
      </c>
      <c r="B4002" s="2">
        <f>HYPERLINK("https://faoschwarz.com/products/beauty-salon", "https://faoschwarz.com/products/beauty-salon")</f>
        <v/>
      </c>
      <c r="C4002" t="inlineStr">
        <is>
          <t>Beauty Salon</t>
        </is>
      </c>
      <c r="D4002" t="inlineStr">
        <is>
          <t>NEW Beauty Salon Shampoo Bowl Faucet Beauty Salon Spray Hose</t>
        </is>
      </c>
      <c r="E4002" s="2">
        <f>HYPERLINK("https://www.amazon.com/Beauty-Salon-Shampoo-Faucet-Spray/dp/B079Q84JG8/ref=sr_1_9?keywords=Beauty+Salon&amp;qid=1695565930&amp;sr=8-9", "https://www.amazon.com/Beauty-Salon-Shampoo-Faucet-Spray/dp/B079Q84JG8/ref=sr_1_9?keywords=Beauty+Salon&amp;qid=1695565930&amp;sr=8-9")</f>
        <v/>
      </c>
      <c r="F4002" t="inlineStr">
        <is>
          <t>B079Q84JG8</t>
        </is>
      </c>
      <c r="G4002">
        <f>_xlfn.IMAGE("https://faoschwarz.com/cdn/shop/products/wonder-wise-preschool-beauty-salon-28601916194903_1080x.jpg?v=1656013383")</f>
        <v/>
      </c>
      <c r="H4002">
        <f>_xlfn.IMAGE("https://m.media-amazon.com/images/I/71J014gKw+L._AC_UL320_.jpg")</f>
        <v/>
      </c>
      <c r="K4002" t="inlineStr">
        <is>
          <t>169.0</t>
        </is>
      </c>
      <c r="L4002" t="n">
        <v>30.99</v>
      </c>
      <c r="M4002" s="1" t="inlineStr">
        <is>
          <t>-81.66%</t>
        </is>
      </c>
      <c r="N4002" t="n">
        <v>4.4</v>
      </c>
      <c r="O4002" t="n">
        <v>67</v>
      </c>
      <c r="Q4002" t="inlineStr">
        <is>
          <t>InStock</t>
        </is>
      </c>
      <c r="R4002" t="inlineStr">
        <is>
          <t>undefined</t>
        </is>
      </c>
      <c r="S4002" t="inlineStr">
        <is>
          <t>4658086379607</t>
        </is>
      </c>
    </row>
    <row r="4003" ht="75" customHeight="1">
      <c r="A4003" s="2">
        <f>HYPERLINK("https://faoschwarz.com/products/beauty-salon", "https://faoschwarz.com/products/beauty-salon")</f>
        <v/>
      </c>
      <c r="B4003" s="2">
        <f>HYPERLINK("https://faoschwarz.com/products/beauty-salon", "https://faoschwarz.com/products/beauty-salon")</f>
        <v/>
      </c>
      <c r="C4003" t="inlineStr">
        <is>
          <t>Beauty Salon</t>
        </is>
      </c>
      <c r="D4003" t="inlineStr">
        <is>
          <t>Gifts2U Hair Salon Toys for Girls, 26 Pcs Realistic Girl Beauty Salon Playset Hair Styling Set with Blow Dryer, Barber Costume Apron, Scissors and Stylist Accessories.</t>
        </is>
      </c>
      <c r="E4003" s="2">
        <f>HYPERLINK("https://www.amazon.com/Gifts2U-Realistic-Playset-Scissors-Accessories/dp/B0C279RQZ6/ref=sr_1_3?keywords=Beauty+Salon&amp;qid=1695565930&amp;sr=8-3", "https://www.amazon.com/Gifts2U-Realistic-Playset-Scissors-Accessories/dp/B0C279RQZ6/ref=sr_1_3?keywords=Beauty+Salon&amp;qid=1695565930&amp;sr=8-3")</f>
        <v/>
      </c>
      <c r="F4003" t="inlineStr">
        <is>
          <t>B0C279RQZ6</t>
        </is>
      </c>
      <c r="G4003">
        <f>_xlfn.IMAGE("https://faoschwarz.com/cdn/shop/products/wonder-wise-preschool-beauty-salon-28601916194903_1080x.jpg?v=1656013383")</f>
        <v/>
      </c>
      <c r="H4003">
        <f>_xlfn.IMAGE("https://m.media-amazon.com/images/I/71TLvThxa0L._AC_UL320_.jpg")</f>
        <v/>
      </c>
      <c r="K4003" t="inlineStr">
        <is>
          <t>169.0</t>
        </is>
      </c>
      <c r="L4003" t="n">
        <v>25.99</v>
      </c>
      <c r="M4003" s="1" t="inlineStr">
        <is>
          <t>-84.62%</t>
        </is>
      </c>
      <c r="N4003" t="n">
        <v>3.8</v>
      </c>
      <c r="O4003" t="n">
        <v>8</v>
      </c>
      <c r="Q4003" t="inlineStr">
        <is>
          <t>InStock</t>
        </is>
      </c>
      <c r="R4003" t="inlineStr">
        <is>
          <t>undefined</t>
        </is>
      </c>
      <c r="S4003" t="inlineStr">
        <is>
          <t>4658086379607</t>
        </is>
      </c>
    </row>
    <row r="4004" ht="75" customHeight="1">
      <c r="A4004" s="2">
        <f>HYPERLINK("https://faoschwarz.com/products/beauty-salon", "https://faoschwarz.com/products/beauty-salon")</f>
        <v/>
      </c>
      <c r="B4004" s="2">
        <f>HYPERLINK("https://faoschwarz.com/products/beauty-salon", "https://faoschwarz.com/products/beauty-salon")</f>
        <v/>
      </c>
      <c r="C4004" t="inlineStr">
        <is>
          <t>Beauty Salon</t>
        </is>
      </c>
      <c r="D4004" t="inlineStr">
        <is>
          <t>Hapgo Girls Beauty Salon Set Pretend Play Stylist Hair Cutting Kit Hairdresser Toys with Hair Dryer, Scissors, Barber Apron and Styling Accessories</t>
        </is>
      </c>
      <c r="E4004" s="2">
        <f>HYPERLINK("https://www.amazon.com/Hapgo-Pretend-Hairdresser-Scissors-Accessories/dp/B08H5GSHR1/ref=sr_1_4?keywords=Beauty+Salon&amp;qid=1695565930&amp;sr=8-4", "https://www.amazon.com/Hapgo-Pretend-Hairdresser-Scissors-Accessories/dp/B08H5GSHR1/ref=sr_1_4?keywords=Beauty+Salon&amp;qid=1695565930&amp;sr=8-4")</f>
        <v/>
      </c>
      <c r="F4004" t="inlineStr">
        <is>
          <t>B08H5GSHR1</t>
        </is>
      </c>
      <c r="G4004">
        <f>_xlfn.IMAGE("https://faoschwarz.com/cdn/shop/products/wonder-wise-preschool-beauty-salon-28601916194903_1080x.jpg?v=1656013383")</f>
        <v/>
      </c>
      <c r="H4004">
        <f>_xlfn.IMAGE("https://m.media-amazon.com/images/I/719rA0RqF8L._AC_UL320_.jpg")</f>
        <v/>
      </c>
      <c r="K4004" t="inlineStr">
        <is>
          <t>169.0</t>
        </is>
      </c>
      <c r="L4004" t="n">
        <v>19.99</v>
      </c>
      <c r="M4004" s="1" t="inlineStr">
        <is>
          <t>-88.17%</t>
        </is>
      </c>
      <c r="N4004" t="n">
        <v>4.3</v>
      </c>
      <c r="O4004" t="n">
        <v>951</v>
      </c>
      <c r="Q4004" t="inlineStr">
        <is>
          <t>InStock</t>
        </is>
      </c>
      <c r="R4004" t="inlineStr">
        <is>
          <t>undefined</t>
        </is>
      </c>
      <c r="S4004" t="inlineStr">
        <is>
          <t>4658086379607</t>
        </is>
      </c>
    </row>
    <row r="4005" ht="75" customHeight="1">
      <c r="A4005" s="2">
        <f>HYPERLINK("https://faoschwarz.com/products/beauty-salon", "https://faoschwarz.com/products/beauty-salon")</f>
        <v/>
      </c>
      <c r="B4005" s="2">
        <f>HYPERLINK("https://faoschwarz.com/products/beauty-salon", "https://faoschwarz.com/products/beauty-salon")</f>
        <v/>
      </c>
      <c r="C4005" t="inlineStr">
        <is>
          <t>Beauty Salon</t>
        </is>
      </c>
      <c r="D4005" t="inlineStr">
        <is>
          <t>Hair Salon Toys for Girls: Unicorn Toy Gift for Girls 3 4 5 6 7 8, Hapgo Pretend Play Beauty Salon Playset, Hair Styling Set with Unicorn Styling Head, Blow Dryer and Stylist Accessories</t>
        </is>
      </c>
      <c r="E4005" s="2">
        <f>HYPERLINK("https://www.amazon.com/Hair-Salon-Toys-Girls-Playsetwith/dp/B0B41TJCQ4/ref=sr_1_8?keywords=Beauty+Salon&amp;qid=1695565930&amp;sr=8-8", "https://www.amazon.com/Hair-Salon-Toys-Girls-Playsetwith/dp/B0B41TJCQ4/ref=sr_1_8?keywords=Beauty+Salon&amp;qid=1695565930&amp;sr=8-8")</f>
        <v/>
      </c>
      <c r="F4005" t="inlineStr">
        <is>
          <t>B0B41TJCQ4</t>
        </is>
      </c>
      <c r="G4005">
        <f>_xlfn.IMAGE("https://faoschwarz.com/cdn/shop/products/wonder-wise-preschool-beauty-salon-28601916194903_1080x.jpg?v=1656013383")</f>
        <v/>
      </c>
      <c r="H4005">
        <f>_xlfn.IMAGE("https://m.media-amazon.com/images/I/81KPwLrmEwL._AC_UL320_.jpg")</f>
        <v/>
      </c>
      <c r="K4005" t="inlineStr">
        <is>
          <t>169.0</t>
        </is>
      </c>
      <c r="L4005" t="n">
        <v>14.99</v>
      </c>
      <c r="M4005" s="1" t="inlineStr">
        <is>
          <t>-91.13%</t>
        </is>
      </c>
      <c r="N4005" t="n">
        <v>4</v>
      </c>
      <c r="O4005" t="n">
        <v>79</v>
      </c>
      <c r="Q4005" t="inlineStr">
        <is>
          <t>InStock</t>
        </is>
      </c>
      <c r="R4005" t="inlineStr">
        <is>
          <t>undefined</t>
        </is>
      </c>
      <c r="S4005" t="inlineStr">
        <is>
          <t>4658086379607</t>
        </is>
      </c>
    </row>
    <row r="4006" ht="75" customHeight="1">
      <c r="A4006" s="2">
        <f>HYPERLINK("https://faoschwarz.com/products/beauty-salon", "https://faoschwarz.com/products/beauty-salon")</f>
        <v/>
      </c>
      <c r="B4006" s="2">
        <f>HYPERLINK("https://faoschwarz.com/products/beauty-salon", "https://faoschwarz.com/products/beauty-salon")</f>
        <v/>
      </c>
      <c r="C4006" t="inlineStr">
        <is>
          <t>Beauty Salon</t>
        </is>
      </c>
      <c r="D4006" t="inlineStr">
        <is>
          <t>Tifara Beauty Salon Heatless Flexible Hair Rollers Curlers 42-pack 7" Soft Foam Flexi Twist Curling Rods for Short Long Hair</t>
        </is>
      </c>
      <c r="E4006" s="2">
        <f>HYPERLINK("https://www.amazon.com/Tifara-Beauty-42-pack-Flexible-Curling/dp/B0182XCOGE/ref=sr_1_10?keywords=Beauty+Salon&amp;qid=1695565930&amp;sr=8-10", "https://www.amazon.com/Tifara-Beauty-42-pack-Flexible-Curling/dp/B0182XCOGE/ref=sr_1_10?keywords=Beauty+Salon&amp;qid=1695565930&amp;sr=8-10")</f>
        <v/>
      </c>
      <c r="F4006" t="inlineStr">
        <is>
          <t>B0182XCOGE</t>
        </is>
      </c>
      <c r="G4006">
        <f>_xlfn.IMAGE("https://faoschwarz.com/cdn/shop/products/wonder-wise-preschool-beauty-salon-28601916194903_1080x.jpg?v=1656013383")</f>
        <v/>
      </c>
      <c r="H4006">
        <f>_xlfn.IMAGE("https://m.media-amazon.com/images/I/81L16rMIoQL._AC_UL320_.jpg")</f>
        <v/>
      </c>
      <c r="K4006" t="inlineStr">
        <is>
          <t>169.0</t>
        </is>
      </c>
      <c r="L4006" t="n">
        <v>13.99</v>
      </c>
      <c r="M4006" s="1" t="inlineStr">
        <is>
          <t>-91.72%</t>
        </is>
      </c>
      <c r="N4006" t="n">
        <v>4.2</v>
      </c>
      <c r="O4006" t="n">
        <v>41934</v>
      </c>
      <c r="Q4006" t="inlineStr">
        <is>
          <t>InStock</t>
        </is>
      </c>
      <c r="R4006" t="inlineStr">
        <is>
          <t>undefined</t>
        </is>
      </c>
      <c r="S4006" t="inlineStr">
        <is>
          <t>4658086379607</t>
        </is>
      </c>
    </row>
    <row r="4007" ht="75" customHeight="1">
      <c r="A4007" s="2">
        <f>HYPERLINK("https://faoschwarz.com/products/beauty-salon", "https://faoschwarz.com/products/beauty-salon")</f>
        <v/>
      </c>
      <c r="B4007" s="2">
        <f>HYPERLINK("https://faoschwarz.com/products/beauty-salon", "https://faoschwarz.com/products/beauty-salon")</f>
        <v/>
      </c>
      <c r="C4007" t="inlineStr">
        <is>
          <t>Beauty Salon</t>
        </is>
      </c>
      <c r="D4007" t="inlineStr">
        <is>
          <t>Manicure Set Nail Clipper Set Men Women 12 in 1 Nail Care Kit with Portable Case Travel Manicure Pedicure Tools Grooming Kit Beauty Salon(Rose Gold)</t>
        </is>
      </c>
      <c r="E4007" s="2">
        <f>HYPERLINK("https://www.amazon.com/Manicure-Clipper-Portable-Pedicure-Grooming/dp/B0CCJ3C2G4/ref=sr_1_7?keywords=Beauty+Salon&amp;qid=1695565930&amp;sr=8-7", "https://www.amazon.com/Manicure-Clipper-Portable-Pedicure-Grooming/dp/B0CCJ3C2G4/ref=sr_1_7?keywords=Beauty+Salon&amp;qid=1695565930&amp;sr=8-7")</f>
        <v/>
      </c>
      <c r="F4007" t="inlineStr">
        <is>
          <t>B0CCJ3C2G4</t>
        </is>
      </c>
      <c r="G4007">
        <f>_xlfn.IMAGE("https://faoschwarz.com/cdn/shop/products/wonder-wise-preschool-beauty-salon-28601916194903_1080x.jpg?v=1656013383")</f>
        <v/>
      </c>
      <c r="H4007">
        <f>_xlfn.IMAGE("https://m.media-amazon.com/images/I/81jrxgTAt0L._AC_UL320_.jpg")</f>
        <v/>
      </c>
      <c r="K4007" t="inlineStr">
        <is>
          <t>169.0</t>
        </is>
      </c>
      <c r="L4007" t="n">
        <v>7.99</v>
      </c>
      <c r="M4007" s="1" t="inlineStr">
        <is>
          <t>-95.27%</t>
        </is>
      </c>
      <c r="N4007" t="n">
        <v>4.7</v>
      </c>
      <c r="O4007" t="n">
        <v>49</v>
      </c>
      <c r="Q4007" t="inlineStr">
        <is>
          <t>InStock</t>
        </is>
      </c>
      <c r="R4007" t="inlineStr">
        <is>
          <t>undefined</t>
        </is>
      </c>
      <c r="S4007" t="inlineStr">
        <is>
          <t>4658086379607</t>
        </is>
      </c>
    </row>
    <row r="4008" ht="75" customHeight="1">
      <c r="A4008" s="2">
        <f>HYPERLINK("https://faoschwarz.com/products/beyblade-burst-quaddrive-collision-nebula-beyblade-stadium-battle-set", "https://faoschwarz.com/products/beyblade-burst-quaddrive-collision-nebula-beyblade-stadium-battle-set")</f>
        <v/>
      </c>
      <c r="B4008" s="2">
        <f>HYPERLINK("https://faoschwarz.com/products/beyblade-burst-quaddrive-collision-nebula-beyblade-stadium-battle-set", "https://faoschwarz.com/products/beyblade-burst-quaddrive-collision-nebula-beyblade-stadium-battle-set")</f>
        <v/>
      </c>
      <c r="C4008" t="inlineStr">
        <is>
          <t>Beyblade Burst QuadDrive Collision Nebula Beyblade Stadium Battle Set</t>
        </is>
      </c>
      <c r="D4008" t="inlineStr">
        <is>
          <t>BEYBLADE Burst QuadDrive Interstellar Drop Battle Set, Set Stadium, 2 Battling Tops and 2 Launchers, Toys for 8 Year Old Boys &amp; Girls &amp; Up</t>
        </is>
      </c>
      <c r="E4008" s="2">
        <f>HYPERLINK("https://www.amazon.com/BEYBLADE-QuadDrive-Interstellar-Battling-Launchers/dp/B09NZBGCDK/ref=sr_1_1?keywords=Beyblade+Burst+QuadDrive+Collision+Nebula+Beyblade+Stadium+Battle+Set&amp;qid=1695565974&amp;sr=8-1", "https://www.amazon.com/BEYBLADE-QuadDrive-Interstellar-Battling-Launchers/dp/B09NZBGCDK/ref=sr_1_1?keywords=Beyblade+Burst+QuadDrive+Collision+Nebula+Beyblade+Stadium+Battle+Set&amp;qid=1695565974&amp;sr=8-1")</f>
        <v/>
      </c>
      <c r="F4008" t="inlineStr">
        <is>
          <t>B09NZBGCDK</t>
        </is>
      </c>
      <c r="G4008">
        <f>_xlfn.IMAGE("https://faoschwarz.com/cdn/shop/files/bey-blade-games-beyblade-burst-quaddrive-collision-nebula-beyblade-stadium-battle-set-30255557509207_1080x.jpg?v=1684972195")</f>
        <v/>
      </c>
      <c r="H4008">
        <f>_xlfn.IMAGE("https://m.media-amazon.com/images/I/81XyAo-f3dL._AC_UL320_.jpg")</f>
        <v/>
      </c>
      <c r="K4008" t="inlineStr">
        <is>
          <t>42.5</t>
        </is>
      </c>
      <c r="L4008" t="n">
        <v>49.99</v>
      </c>
      <c r="M4008" s="1" t="inlineStr">
        <is>
          <t>17.62%</t>
        </is>
      </c>
      <c r="N4008" t="n">
        <v>4.1</v>
      </c>
      <c r="O4008" t="n">
        <v>525</v>
      </c>
      <c r="Q4008" t="inlineStr">
        <is>
          <t>InStock</t>
        </is>
      </c>
      <c r="R4008" t="inlineStr">
        <is>
          <t>85.0</t>
        </is>
      </c>
      <c r="S4008" t="inlineStr">
        <is>
          <t>6874982252631</t>
        </is>
      </c>
    </row>
    <row r="4009" ht="75" customHeight="1">
      <c r="A4009" s="2">
        <f>HYPERLINK("https://faoschwarz.com/products/beyblade-burst-quaddrive-collision-nebula-beyblade-stadium-battle-set", "https://faoschwarz.com/products/beyblade-burst-quaddrive-collision-nebula-beyblade-stadium-battle-set")</f>
        <v/>
      </c>
      <c r="B4009" s="2">
        <f>HYPERLINK("https://faoschwarz.com/products/beyblade-burst-quaddrive-collision-nebula-beyblade-stadium-battle-set", "https://faoschwarz.com/products/beyblade-burst-quaddrive-collision-nebula-beyblade-stadium-battle-set")</f>
        <v/>
      </c>
      <c r="C4009" t="inlineStr">
        <is>
          <t>Beyblade Burst QuadDrive Collision Nebula Beyblade Stadium Battle Set</t>
        </is>
      </c>
      <c r="D4009" t="inlineStr">
        <is>
          <t>BEYBLADE Burst QuadDrive Cosmic Vector Battle Set with Beystadium, 2 Top Toys and 2 Launchers for Ages 8 and Up</t>
        </is>
      </c>
      <c r="E4009" s="2">
        <f>HYPERLINK("https://www.amazon.com/BEYBLADE-QuadDrive-Beystadium-Battling-Launchers/dp/B09KJSB4WJ/ref=sr_1_10?keywords=Beyblade+Burst+QuadDrive+Collision+Nebula+Beyblade+Stadium+Battle+Set&amp;qid=1695565974&amp;sr=8-10", "https://www.amazon.com/BEYBLADE-QuadDrive-Beystadium-Battling-Launchers/dp/B09KJSB4WJ/ref=sr_1_10?keywords=Beyblade+Burst+QuadDrive+Collision+Nebula+Beyblade+Stadium+Battle+Set&amp;qid=1695565974&amp;sr=8-10")</f>
        <v/>
      </c>
      <c r="F4009" t="inlineStr">
        <is>
          <t>B09KJSB4WJ</t>
        </is>
      </c>
      <c r="G4009">
        <f>_xlfn.IMAGE("https://faoschwarz.com/cdn/shop/files/bey-blade-games-beyblade-burst-quaddrive-collision-nebula-beyblade-stadium-battle-set-30255557509207_1080x.jpg?v=1684972195")</f>
        <v/>
      </c>
      <c r="H4009">
        <f>_xlfn.IMAGE("https://m.media-amazon.com/images/I/81aqMx4psbL._AC_UL320_.jpg")</f>
        <v/>
      </c>
      <c r="K4009" t="inlineStr">
        <is>
          <t>42.5</t>
        </is>
      </c>
      <c r="L4009" t="n">
        <v>43.95</v>
      </c>
      <c r="M4009" s="1" t="inlineStr">
        <is>
          <t>3.41%</t>
        </is>
      </c>
      <c r="N4009" t="n">
        <v>4.3</v>
      </c>
      <c r="O4009" t="n">
        <v>304</v>
      </c>
      <c r="Q4009" t="inlineStr">
        <is>
          <t>InStock</t>
        </is>
      </c>
      <c r="R4009" t="inlineStr">
        <is>
          <t>85.0</t>
        </is>
      </c>
      <c r="S4009" t="inlineStr">
        <is>
          <t>6874982252631</t>
        </is>
      </c>
    </row>
    <row r="4010" ht="75" customHeight="1">
      <c r="A4010" s="2">
        <f>HYPERLINK("https://faoschwarz.com/products/beyblade-burst-quaddrive-collision-nebula-beyblade-stadium-battle-set", "https://faoschwarz.com/products/beyblade-burst-quaddrive-collision-nebula-beyblade-stadium-battle-set")</f>
        <v/>
      </c>
      <c r="B4010" s="2">
        <f>HYPERLINK("https://faoschwarz.com/products/beyblade-burst-quaddrive-collision-nebula-beyblade-stadium-battle-set", "https://faoschwarz.com/products/beyblade-burst-quaddrive-collision-nebula-beyblade-stadium-battle-set")</f>
        <v/>
      </c>
      <c r="C4010" t="inlineStr">
        <is>
          <t>Beyblade Burst QuadDrive Collision Nebula Beyblade Stadium Battle Set</t>
        </is>
      </c>
      <c r="D4010" t="inlineStr">
        <is>
          <t>BEYBLADE Burst QuadDrive Cosmic Vector Battle Set - Battle Game Set with Beystadium, 2 Battling Top Toys and 2 Launchers for Ages 8 and Up</t>
        </is>
      </c>
      <c r="E4010" s="2">
        <f>HYPERLINK("https://www.amazon.com/BEYBLADE-QuadDrive-Beystadium-Battling-Launchers/dp/B09H1MJV4K/ref=sr_1_2?keywords=Beyblade+Burst+QuadDrive+Collision+Nebula+Beyblade+Stadium+Battle+Set&amp;qid=1695565974&amp;sr=8-2", "https://www.amazon.com/BEYBLADE-QuadDrive-Beystadium-Battling-Launchers/dp/B09H1MJV4K/ref=sr_1_2?keywords=Beyblade+Burst+QuadDrive+Collision+Nebula+Beyblade+Stadium+Battle+Set&amp;qid=1695565974&amp;sr=8-2")</f>
        <v/>
      </c>
      <c r="F4010" t="inlineStr">
        <is>
          <t>B09H1MJV4K</t>
        </is>
      </c>
      <c r="G4010">
        <f>_xlfn.IMAGE("https://faoschwarz.com/cdn/shop/files/bey-blade-games-beyblade-burst-quaddrive-collision-nebula-beyblade-stadium-battle-set-30255557509207_1080x.jpg?v=1684972195")</f>
        <v/>
      </c>
      <c r="H4010">
        <f>_xlfn.IMAGE("https://m.media-amazon.com/images/I/81aqMx4psbL._AC_UL320_.jpg")</f>
        <v/>
      </c>
      <c r="K4010" t="inlineStr">
        <is>
          <t>42.5</t>
        </is>
      </c>
      <c r="L4010" t="n">
        <v>40.99</v>
      </c>
      <c r="M4010" s="1" t="inlineStr">
        <is>
          <t>-3.55%</t>
        </is>
      </c>
      <c r="N4010" t="n">
        <v>4.6</v>
      </c>
      <c r="O4010" t="n">
        <v>310</v>
      </c>
      <c r="Q4010" t="inlineStr">
        <is>
          <t>InStock</t>
        </is>
      </c>
      <c r="R4010" t="inlineStr">
        <is>
          <t>85.0</t>
        </is>
      </c>
      <c r="S4010" t="inlineStr">
        <is>
          <t>6874982252631</t>
        </is>
      </c>
    </row>
    <row r="4011" ht="75" customHeight="1">
      <c r="A4011" s="2">
        <f>HYPERLINK("https://faoschwarz.com/products/big-boggle", "https://faoschwarz.com/products/big-boggle")</f>
        <v/>
      </c>
      <c r="B4011" s="2">
        <f>HYPERLINK("https://faoschwarz.com/products/big-boggle", "https://faoschwarz.com/products/big-boggle")</f>
        <v/>
      </c>
      <c r="C4011" t="inlineStr">
        <is>
          <t>Big Boggle</t>
        </is>
      </c>
      <c r="D4011" t="inlineStr">
        <is>
          <t>Winning Moves Games BIG BOGGLE, THE CLASSIC EDITION, for Ages 8 and up</t>
        </is>
      </c>
      <c r="E4011" s="2">
        <f>HYPERLINK("https://www.amazon.com/Winning-Moves-Games-Boggle-Classic/dp/1223063119/ref=sr_1_1?keywords=Big+Boggle&amp;qid=1695565989&amp;sr=8-1", "https://www.amazon.com/Winning-Moves-Games-Boggle-Classic/dp/1223063119/ref=sr_1_1?keywords=Big+Boggle&amp;qid=1695565989&amp;sr=8-1")</f>
        <v/>
      </c>
      <c r="F4011" t="inlineStr">
        <is>
          <t>1223063119</t>
        </is>
      </c>
      <c r="G4011">
        <f>_xlfn.IMAGE("https://faoschwarz.com/cdn/shop/products/winning-moves-games-big-boggle-14148238344279_1080x.jpg?v=1656078843")</f>
        <v/>
      </c>
      <c r="H4011">
        <f>_xlfn.IMAGE("https://m.media-amazon.com/images/I/81Gt6WBI2MS._AC_UL320_.jpg")</f>
        <v/>
      </c>
      <c r="K4011" t="inlineStr">
        <is>
          <t>22.0</t>
        </is>
      </c>
      <c r="L4011" t="n">
        <v>19.99</v>
      </c>
      <c r="M4011" s="1" t="inlineStr">
        <is>
          <t>-9.14%</t>
        </is>
      </c>
      <c r="N4011" t="n">
        <v>4.8</v>
      </c>
      <c r="O4011" t="n">
        <v>4962</v>
      </c>
      <c r="Q4011" t="inlineStr">
        <is>
          <t>InStock</t>
        </is>
      </c>
      <c r="R4011" t="inlineStr">
        <is>
          <t>undefined</t>
        </is>
      </c>
      <c r="S4011" t="inlineStr">
        <is>
          <t>4518196543575</t>
        </is>
      </c>
    </row>
    <row r="4012" ht="75" customHeight="1">
      <c r="A4012" s="2">
        <f>HYPERLINK("https://faoschwarz.com/products/big-boggle", "https://faoschwarz.com/products/big-boggle")</f>
        <v/>
      </c>
      <c r="B4012" s="2">
        <f>HYPERLINK("https://faoschwarz.com/products/big-boggle", "https://faoschwarz.com/products/big-boggle")</f>
        <v/>
      </c>
      <c r="C4012" t="inlineStr">
        <is>
          <t>Big Boggle</t>
        </is>
      </c>
      <c r="D4012" t="inlineStr">
        <is>
          <t>Super Big Boggle</t>
        </is>
      </c>
      <c r="E4012" s="2">
        <f>HYPERLINK("https://www.amazon.com/Winning-Moves-Games-Super-Boggle/dp/B008GCT8ZM/ref=sr_1_2?keywords=Big+Boggle&amp;qid=1695565989&amp;sr=8-2", "https://www.amazon.com/Winning-Moves-Games-Super-Boggle/dp/B008GCT8ZM/ref=sr_1_2?keywords=Big+Boggle&amp;qid=1695565989&amp;sr=8-2")</f>
        <v/>
      </c>
      <c r="F4012" t="inlineStr">
        <is>
          <t>B008GCT8ZM</t>
        </is>
      </c>
      <c r="G4012">
        <f>_xlfn.IMAGE("https://faoschwarz.com/cdn/shop/products/winning-moves-games-big-boggle-14148238344279_1080x.jpg?v=1656078843")</f>
        <v/>
      </c>
      <c r="H4012">
        <f>_xlfn.IMAGE("https://m.media-amazon.com/images/I/71PScKpoT3S._AC_UL320_.jpg")</f>
        <v/>
      </c>
      <c r="K4012" t="inlineStr">
        <is>
          <t>22.0</t>
        </is>
      </c>
      <c r="L4012" t="n">
        <v>18.32</v>
      </c>
      <c r="M4012" s="1" t="inlineStr">
        <is>
          <t>-16.73%</t>
        </is>
      </c>
      <c r="N4012" t="n">
        <v>4.8</v>
      </c>
      <c r="O4012" t="n">
        <v>2384</v>
      </c>
      <c r="Q4012" t="inlineStr">
        <is>
          <t>InStock</t>
        </is>
      </c>
      <c r="R4012" t="inlineStr">
        <is>
          <t>undefined</t>
        </is>
      </c>
      <c r="S4012" t="inlineStr">
        <is>
          <t>4518196543575</t>
        </is>
      </c>
    </row>
    <row r="4013" ht="75" customHeight="1">
      <c r="A4013" s="2">
        <f>HYPERLINK("https://faoschwarz.com/products/big-boggle", "https://faoschwarz.com/products/big-boggle")</f>
        <v/>
      </c>
      <c r="B4013" s="2">
        <f>HYPERLINK("https://faoschwarz.com/products/big-boggle", "https://faoschwarz.com/products/big-boggle")</f>
        <v/>
      </c>
      <c r="C4013" t="inlineStr">
        <is>
          <t>Big Boggle</t>
        </is>
      </c>
      <c r="D4013" t="inlineStr">
        <is>
          <t>Winning Moves Games BIG BOGGLE, THE CLASSIC EDITION, for Ages 8 and up</t>
        </is>
      </c>
      <c r="E4013" s="2">
        <f>HYPERLINK("https://www.amazon.com/Winning-Moves-Games-Boggle-Classic/dp/1223063119/ref=sr_1_1?keywords=Big+Boggle&amp;qid=1695565989&amp;sr=8-1", "https://www.amazon.com/Winning-Moves-Games-Boggle-Classic/dp/1223063119/ref=sr_1_1?keywords=Big+Boggle&amp;qid=1695565989&amp;sr=8-1")</f>
        <v/>
      </c>
      <c r="F4013" t="inlineStr">
        <is>
          <t>1223063119</t>
        </is>
      </c>
      <c r="G4013">
        <f>_xlfn.IMAGE("https://faoschwarz.com/cdn/shop/products/winning-moves-games-big-boggle-14148238344279_1080x.jpg?v=1656078843")</f>
        <v/>
      </c>
      <c r="H4013">
        <f>_xlfn.IMAGE("https://m.media-amazon.com/images/I/81Gt6WBI2MS._AC_UL320_.jpg")</f>
        <v/>
      </c>
      <c r="K4013" t="inlineStr">
        <is>
          <t>22.0</t>
        </is>
      </c>
      <c r="L4013" t="n">
        <v>19.99</v>
      </c>
      <c r="M4013" s="1" t="inlineStr">
        <is>
          <t>-9.14%</t>
        </is>
      </c>
      <c r="N4013" t="n">
        <v>4.8</v>
      </c>
      <c r="O4013" t="n">
        <v>4962</v>
      </c>
      <c r="Q4013" t="inlineStr">
        <is>
          <t>InStock</t>
        </is>
      </c>
      <c r="R4013" t="inlineStr">
        <is>
          <t>undefined</t>
        </is>
      </c>
      <c r="S4013" t="inlineStr">
        <is>
          <t>4518196543575</t>
        </is>
      </c>
    </row>
    <row r="4014" ht="75" customHeight="1">
      <c r="A4014" s="2">
        <f>HYPERLINK("https://faoschwarz.com/products/big-boggle", "https://faoschwarz.com/products/big-boggle")</f>
        <v/>
      </c>
      <c r="B4014" s="2">
        <f>HYPERLINK("https://faoschwarz.com/products/big-boggle", "https://faoschwarz.com/products/big-boggle")</f>
        <v/>
      </c>
      <c r="C4014" t="inlineStr">
        <is>
          <t>Big Boggle</t>
        </is>
      </c>
      <c r="D4014" t="inlineStr">
        <is>
          <t>Super Big Boggle</t>
        </is>
      </c>
      <c r="E4014" s="2">
        <f>HYPERLINK("https://www.amazon.com/Winning-Moves-Games-Super-Boggle/dp/B008GCT8ZM/ref=sr_1_2?keywords=Big+Boggle&amp;qid=1695565989&amp;sr=8-2", "https://www.amazon.com/Winning-Moves-Games-Super-Boggle/dp/B008GCT8ZM/ref=sr_1_2?keywords=Big+Boggle&amp;qid=1695565989&amp;sr=8-2")</f>
        <v/>
      </c>
      <c r="F4014" t="inlineStr">
        <is>
          <t>B008GCT8ZM</t>
        </is>
      </c>
      <c r="G4014">
        <f>_xlfn.IMAGE("https://faoschwarz.com/cdn/shop/products/winning-moves-games-big-boggle-14148238344279_1080x.jpg?v=1656078843")</f>
        <v/>
      </c>
      <c r="H4014">
        <f>_xlfn.IMAGE("https://m.media-amazon.com/images/I/71PScKpoT3S._AC_UL320_.jpg")</f>
        <v/>
      </c>
      <c r="K4014" t="inlineStr">
        <is>
          <t>22.0</t>
        </is>
      </c>
      <c r="L4014" t="n">
        <v>18.32</v>
      </c>
      <c r="M4014" s="1" t="inlineStr">
        <is>
          <t>-16.73%</t>
        </is>
      </c>
      <c r="N4014" t="n">
        <v>4.8</v>
      </c>
      <c r="O4014" t="n">
        <v>2384</v>
      </c>
      <c r="Q4014" t="inlineStr">
        <is>
          <t>InStock</t>
        </is>
      </c>
      <c r="R4014" t="inlineStr">
        <is>
          <t>undefined</t>
        </is>
      </c>
      <c r="S4014" t="inlineStr">
        <is>
          <t>4518196543575</t>
        </is>
      </c>
    </row>
    <row r="4015" ht="75" customHeight="1">
      <c r="A4015" s="2">
        <f>HYPERLINK("https://faoschwarz.com/products/big-cat-nap-200-piece-puzzle", "https://faoschwarz.com/products/big-cat-nap-200-piece-puzzle")</f>
        <v/>
      </c>
      <c r="B4015" s="2">
        <f>HYPERLINK("https://faoschwarz.com/products/big-cat-nap-200-piece-puzzle", "https://faoschwarz.com/products/big-cat-nap-200-piece-puzzle")</f>
        <v/>
      </c>
      <c r="C4015" t="inlineStr">
        <is>
          <t>Big Cat Nap 200 Piece Puzzle</t>
        </is>
      </c>
      <c r="D4015" t="inlineStr">
        <is>
          <t>Ravensburger Ocean Turtles - 200 Piece Jigsaw Puzzle for Kids &amp; Big Cat Nap 200 Piece Jigsaw Puzzle for Kids – Every Piece is Unique, Pieces Fit Together Perfectly</t>
        </is>
      </c>
      <c r="E4015" s="2">
        <f>HYPERLINK("https://www.amazon.com/Ravensburger-Ocean-Turtles-Together-Perfectly/dp/B0BS334YJ6/ref=sr_1_7?keywords=Big+Cat+Nap+200+Piece+Puzzle&amp;qid=1695566004&amp;sr=8-7", "https://www.amazon.com/Ravensburger-Ocean-Turtles-Together-Perfectly/dp/B0BS334YJ6/ref=sr_1_7?keywords=Big+Cat+Nap+200+Piece+Puzzle&amp;qid=1695566004&amp;sr=8-7")</f>
        <v/>
      </c>
      <c r="F4015" t="inlineStr">
        <is>
          <t>B0BS334YJ6</t>
        </is>
      </c>
      <c r="G4015">
        <f>_xlfn.IMAGE("https://faoschwarz.com/cdn/shop/products/ravensburger-puzzles-big-cat-nap-200-piece-puzzle-29430709780567_1080x.jpg?v=1661732875")</f>
        <v/>
      </c>
      <c r="H4015">
        <f>_xlfn.IMAGE("https://m.media-amazon.com/images/I/612GKqeAIKL._AC_UL320_.jpg")</f>
        <v/>
      </c>
      <c r="K4015" t="inlineStr">
        <is>
          <t>17.0</t>
        </is>
      </c>
      <c r="L4015" t="n">
        <v>41.94</v>
      </c>
      <c r="M4015" s="1" t="inlineStr">
        <is>
          <t>146.71%</t>
        </is>
      </c>
      <c r="N4015" t="n">
        <v>5</v>
      </c>
      <c r="O4015" t="n">
        <v>2</v>
      </c>
      <c r="Q4015" t="inlineStr">
        <is>
          <t>InStock</t>
        </is>
      </c>
      <c r="R4015" t="inlineStr">
        <is>
          <t>undefined</t>
        </is>
      </c>
      <c r="S4015" t="inlineStr">
        <is>
          <t>6800645783639</t>
        </is>
      </c>
    </row>
    <row r="4016" ht="75" customHeight="1">
      <c r="A4016" s="2">
        <f>HYPERLINK("https://faoschwarz.com/products/big-cat-nap-200-piece-puzzle", "https://faoschwarz.com/products/big-cat-nap-200-piece-puzzle")</f>
        <v/>
      </c>
      <c r="B4016" s="2">
        <f>HYPERLINK("https://faoschwarz.com/products/big-cat-nap-200-piece-puzzle", "https://faoschwarz.com/products/big-cat-nap-200-piece-puzzle")</f>
        <v/>
      </c>
      <c r="C4016" t="inlineStr">
        <is>
          <t>Big Cat Nap 200 Piece Puzzle</t>
        </is>
      </c>
      <c r="D4016" t="inlineStr">
        <is>
          <t>Ravensburger Big Cat Nap 200 Piece Jigsaw Puzzle for Kids – Every Piece is Unique, Pieces Fit Together Perfectly</t>
        </is>
      </c>
      <c r="E4016" s="2">
        <f>HYPERLINK("https://www.amazon.com/Ravensburger-Piece-Jigsaw-Puzzle-Kids/dp/B0002HR6MQ/ref=sr_1_5?keywords=Big+Cat+Nap+200+Piece+Puzzle&amp;qid=1695566004&amp;sr=8-5", "https://www.amazon.com/Ravensburger-Piece-Jigsaw-Puzzle-Kids/dp/B0002HR6MQ/ref=sr_1_5?keywords=Big+Cat+Nap+200+Piece+Puzzle&amp;qid=1695566004&amp;sr=8-5")</f>
        <v/>
      </c>
      <c r="F4016" t="inlineStr">
        <is>
          <t>B0002HR6MQ</t>
        </is>
      </c>
      <c r="G4016">
        <f>_xlfn.IMAGE("https://faoschwarz.com/cdn/shop/products/ravensburger-puzzles-big-cat-nap-200-piece-puzzle-29430709780567_1080x.jpg?v=1661732875")</f>
        <v/>
      </c>
      <c r="H4016">
        <f>_xlfn.IMAGE("https://m.media-amazon.com/images/I/81MEYSmsiqL._AC_UL320_.jpg")</f>
        <v/>
      </c>
      <c r="K4016" t="inlineStr">
        <is>
          <t>17.0</t>
        </is>
      </c>
      <c r="L4016" t="n">
        <v>16.99</v>
      </c>
      <c r="M4016" s="1" t="inlineStr">
        <is>
          <t>-0.06%</t>
        </is>
      </c>
      <c r="N4016" t="n">
        <v>4.8</v>
      </c>
      <c r="O4016" t="n">
        <v>2419</v>
      </c>
      <c r="Q4016" t="inlineStr">
        <is>
          <t>InStock</t>
        </is>
      </c>
      <c r="R4016" t="inlineStr">
        <is>
          <t>undefined</t>
        </is>
      </c>
      <c r="S4016" t="inlineStr">
        <is>
          <t>6800645783639</t>
        </is>
      </c>
    </row>
    <row r="4017" ht="75" customHeight="1">
      <c r="A4017" s="2">
        <f>HYPERLINK("https://faoschwarz.com/products/big-cat-nap-200-piece-puzzle", "https://faoschwarz.com/products/big-cat-nap-200-piece-puzzle")</f>
        <v/>
      </c>
      <c r="B4017" s="2">
        <f>HYPERLINK("https://faoschwarz.com/products/big-cat-nap-200-piece-puzzle", "https://faoschwarz.com/products/big-cat-nap-200-piece-puzzle")</f>
        <v/>
      </c>
      <c r="C4017" t="inlineStr">
        <is>
          <t>Big Cat Nap 200 Piece Puzzle</t>
        </is>
      </c>
      <c r="D4017" t="inlineStr">
        <is>
          <t>Ravensburger Big Cat Nap 200 Piece Jigsaw Puzzle for Kids – Every Piece is Unique, Pieces Fit Together Perfectly</t>
        </is>
      </c>
      <c r="E4017" s="2" t="n"/>
      <c r="F4017" t="inlineStr">
        <is>
          <t>B0002HR6MQ</t>
        </is>
      </c>
      <c r="G4017">
        <f>_xlfn.IMAGE("https://faoschwarz.com/cdn/shop/products/ravensburger-puzzles-big-cat-nap-200-piece-puzzle-29430709780567_1080x.jpg?v=1661732875")</f>
        <v/>
      </c>
      <c r="H4017">
        <f>_xlfn.IMAGE("https://m.media-amazon.com/images/I/81MEYSmsiqL._AC_UL320_.jpg")</f>
        <v/>
      </c>
      <c r="K4017" t="inlineStr">
        <is>
          <t>17.0</t>
        </is>
      </c>
      <c r="L4017" t="n">
        <v>16.99</v>
      </c>
      <c r="M4017" s="1" t="inlineStr">
        <is>
          <t>-0.06%</t>
        </is>
      </c>
      <c r="N4017" t="n">
        <v>4.8</v>
      </c>
      <c r="O4017" t="n">
        <v>2419</v>
      </c>
      <c r="Q4017" t="inlineStr">
        <is>
          <t>InStock</t>
        </is>
      </c>
      <c r="R4017" t="inlineStr">
        <is>
          <t>undefined</t>
        </is>
      </c>
      <c r="S4017" t="inlineStr">
        <is>
          <t>6800645783639</t>
        </is>
      </c>
    </row>
    <row r="4018" ht="75" customHeight="1">
      <c r="A4018" s="2">
        <f>HYPERLINK("https://faoschwarz.com/products/blues-clues-you-birthday-party-play-set", "https://faoschwarz.com/products/blues-clues-you-birthday-party-play-set")</f>
        <v/>
      </c>
      <c r="B4018" s="2">
        <f>HYPERLINK("https://faoschwarz.com/products/blues-clues-you-birthday-party-play-set", "https://faoschwarz.com/products/blues-clues-you-birthday-party-play-set")</f>
        <v/>
      </c>
      <c r="C4018" t="inlineStr">
        <is>
          <t>Blues Clues &amp; You - Birthday Party Play Set</t>
        </is>
      </c>
      <c r="D4018" t="inlineStr">
        <is>
          <t>Melissa &amp; Doug Blues Clues &amp; You! Share with Blue Picnic Play Set</t>
        </is>
      </c>
      <c r="E4018" s="2">
        <f>HYPERLINK("https://www.amazon.com/Melissa-Doug-Blues-Picnic-Puppet/dp/B09RZ2BRMW/ref=sr_1_2?keywords=blue%27s+clues&amp;qid=1695565928&amp;sr=8-2", "https://www.amazon.com/Melissa-Doug-Blues-Picnic-Puppet/dp/B09RZ2BRMW/ref=sr_1_2?keywords=blue%27s+clues&amp;qid=1695565928&amp;sr=8-2")</f>
        <v/>
      </c>
      <c r="F4018" t="inlineStr">
        <is>
          <t>B09RZ2BRMW</t>
        </is>
      </c>
      <c r="G4018">
        <f>_xlfn.IMAGE("https://faoschwarz.com/cdn/shop/products/melissa-doug-preschool-blues-clues-you-birthday-party-play-set-28242491277399_1080x.jpg?v=1656128823")</f>
        <v/>
      </c>
      <c r="H4018">
        <f>_xlfn.IMAGE("https://m.media-amazon.com/images/I/81lnt+vwQiL._AC_UY218_.jpg")</f>
        <v/>
      </c>
      <c r="K4018" t="inlineStr">
        <is>
          <t>23.8</t>
        </is>
      </c>
      <c r="L4018" t="n">
        <v>14.57</v>
      </c>
      <c r="M4018" s="1" t="inlineStr">
        <is>
          <t>-38.78%</t>
        </is>
      </c>
      <c r="N4018" t="n">
        <v>4.8</v>
      </c>
      <c r="O4018" t="n">
        <v>225</v>
      </c>
      <c r="Q4018" t="inlineStr">
        <is>
          <t>InStock</t>
        </is>
      </c>
      <c r="R4018" t="inlineStr">
        <is>
          <t>34.0</t>
        </is>
      </c>
      <c r="S4018" t="inlineStr">
        <is>
          <t>4681002549335</t>
        </is>
      </c>
    </row>
    <row r="4019" ht="75" customHeight="1">
      <c r="A4019" s="2">
        <f>HYPERLINK("https://faoschwarz.com/products/blues-clues-you-cooking-play-set", "https://faoschwarz.com/products/blues-clues-you-cooking-play-set")</f>
        <v/>
      </c>
      <c r="B4019" s="2">
        <f>HYPERLINK("https://faoschwarz.com/products/blues-clues-you-cooking-play-set", "https://faoschwarz.com/products/blues-clues-you-cooking-play-set")</f>
        <v/>
      </c>
      <c r="C4019" t="inlineStr">
        <is>
          <t>Blues Clues &amp; You Cooking Play Set</t>
        </is>
      </c>
      <c r="D4019" t="inlineStr">
        <is>
          <t>Blue's Clues &amp; You! Check-Up Time Blue Lights and Sounds Interactive 13-Inch Plush, 7-Piece Pretend Play Doctor Set, Kids Toys for Ages 3 Up by Just Play</t>
        </is>
      </c>
      <c r="E4019" s="2">
        <f>HYPERLINK("https://www.amazon.com/Blues-Clues-Check-Up-Time-Blue/dp/B08S462GYM/ref=sr_1_9?keywords=Blues+Clues+%26+You+Cooking+Play+Set&amp;qid=1695565930&amp;sr=8-9", "https://www.amazon.com/Blues-Clues-Check-Up-Time-Blue/dp/B08S462GYM/ref=sr_1_9?keywords=Blues+Clues+%26+You+Cooking+Play+Set&amp;qid=1695565930&amp;sr=8-9")</f>
        <v/>
      </c>
      <c r="F4019" t="inlineStr">
        <is>
          <t>B08S462GYM</t>
        </is>
      </c>
      <c r="G4019">
        <f>_xlfn.IMAGE("https://faoschwarz.com/cdn/shop/products/melissa-doug-preschool-blues-clues-you-cooking-play-set-28242490818647_1080x.jpg?v=1656144644")</f>
        <v/>
      </c>
      <c r="H4019">
        <f>_xlfn.IMAGE("https://m.media-amazon.com/images/I/91uIvanPSGS._AC_UL320_.jpg")</f>
        <v/>
      </c>
      <c r="K4019" t="inlineStr">
        <is>
          <t>43.4</t>
        </is>
      </c>
      <c r="L4019" t="n">
        <v>31.48</v>
      </c>
      <c r="M4019" s="1" t="inlineStr">
        <is>
          <t>-27.47%</t>
        </is>
      </c>
      <c r="N4019" t="n">
        <v>4.7</v>
      </c>
      <c r="O4019" t="n">
        <v>908</v>
      </c>
      <c r="Q4019" t="inlineStr">
        <is>
          <t>InStock</t>
        </is>
      </c>
      <c r="R4019" t="inlineStr">
        <is>
          <t>62.0</t>
        </is>
      </c>
      <c r="S4019" t="inlineStr">
        <is>
          <t>4681003040855</t>
        </is>
      </c>
    </row>
    <row r="4020" ht="75" customHeight="1">
      <c r="A4020" s="2">
        <f>HYPERLINK("https://faoschwarz.com/products/blues-clues-you-cooking-play-set", "https://faoschwarz.com/products/blues-clues-you-cooking-play-set")</f>
        <v/>
      </c>
      <c r="B4020" s="2">
        <f>HYPERLINK("https://faoschwarz.com/products/blues-clues-you-cooking-play-set", "https://faoschwarz.com/products/blues-clues-you-cooking-play-set")</f>
        <v/>
      </c>
      <c r="C4020" t="inlineStr">
        <is>
          <t>Blues Clues &amp; You Cooking Play Set</t>
        </is>
      </c>
      <c r="D4020" t="inlineStr">
        <is>
          <t>Melissa &amp; Doug Melissa &amp; Doug Blues Clues &amp; You! 38-pc. Birthday Party Play Set</t>
        </is>
      </c>
      <c r="E4020" s="2">
        <f>HYPERLINK("https://www.amazon.com/Melissa-Doug-Wooden-Birthday-Pieces/dp/B08XTXV37D/ref=sr_1_5?keywords=Blues+Clues+%26+You+Cooking+Play+Set&amp;qid=1695565930&amp;sr=8-5", "https://www.amazon.com/Melissa-Doug-Wooden-Birthday-Pieces/dp/B08XTXV37D/ref=sr_1_5?keywords=Blues+Clues+%26+You+Cooking+Play+Set&amp;qid=1695565930&amp;sr=8-5")</f>
        <v/>
      </c>
      <c r="F4020" t="inlineStr">
        <is>
          <t>B08XTXV37D</t>
        </is>
      </c>
      <c r="G4020">
        <f>_xlfn.IMAGE("https://faoschwarz.com/cdn/shop/products/melissa-doug-preschool-blues-clues-you-cooking-play-set-28242490818647_1080x.jpg?v=1656144644")</f>
        <v/>
      </c>
      <c r="H4020">
        <f>_xlfn.IMAGE("https://m.media-amazon.com/images/I/81Diyl-D+BL._AC_UL320_.jpg")</f>
        <v/>
      </c>
      <c r="K4020" t="inlineStr">
        <is>
          <t>43.4</t>
        </is>
      </c>
      <c r="L4020" t="n">
        <v>24.97</v>
      </c>
      <c r="M4020" s="1" t="inlineStr">
        <is>
          <t>-42.47%</t>
        </is>
      </c>
      <c r="N4020" t="n">
        <v>4.8</v>
      </c>
      <c r="O4020" t="n">
        <v>739</v>
      </c>
      <c r="Q4020" t="inlineStr">
        <is>
          <t>InStock</t>
        </is>
      </c>
      <c r="R4020" t="inlineStr">
        <is>
          <t>62.0</t>
        </is>
      </c>
      <c r="S4020" t="inlineStr">
        <is>
          <t>4681003040855</t>
        </is>
      </c>
    </row>
    <row r="4021" ht="75" customHeight="1">
      <c r="A4021" s="2">
        <f>HYPERLINK("https://faoschwarz.com/products/blues-clues-you-cooking-play-set", "https://faoschwarz.com/products/blues-clues-you-cooking-play-set")</f>
        <v/>
      </c>
      <c r="B4021" s="2">
        <f>HYPERLINK("https://faoschwarz.com/products/blues-clues-you-cooking-play-set", "https://faoschwarz.com/products/blues-clues-you-cooking-play-set")</f>
        <v/>
      </c>
      <c r="C4021" t="inlineStr">
        <is>
          <t>Blues Clues &amp; You Cooking Play Set</t>
        </is>
      </c>
      <c r="D4021" t="inlineStr">
        <is>
          <t>Blue's Clues &amp; You! Deluxe Play-Along Friends Set, 14-Piece Figure Set, Kids Toys for Ages 3 Up by Just Play</t>
        </is>
      </c>
      <c r="E4021" s="2">
        <f>HYPERLINK("https://www.amazon.com/Blues-Clues-You-Deluxe-Figure/dp/B083FM59VF/ref=sr_1_8?keywords=Blues+Clues+%26+You+Cooking+Play+Set&amp;qid=1695565930&amp;sr=8-8", "https://www.amazon.com/Blues-Clues-You-Deluxe-Figure/dp/B083FM59VF/ref=sr_1_8?keywords=Blues+Clues+%26+You+Cooking+Play+Set&amp;qid=1695565930&amp;sr=8-8")</f>
        <v/>
      </c>
      <c r="F4021" t="inlineStr">
        <is>
          <t>B083FM59VF</t>
        </is>
      </c>
      <c r="G4021">
        <f>_xlfn.IMAGE("https://faoschwarz.com/cdn/shop/products/melissa-doug-preschool-blues-clues-you-cooking-play-set-28242490818647_1080x.jpg?v=1656144644")</f>
        <v/>
      </c>
      <c r="H4021">
        <f>_xlfn.IMAGE("https://m.media-amazon.com/images/I/81ATtRqU41L._AC_UL320_.jpg")</f>
        <v/>
      </c>
      <c r="K4021" t="inlineStr">
        <is>
          <t>43.4</t>
        </is>
      </c>
      <c r="L4021" t="n">
        <v>24.88</v>
      </c>
      <c r="M4021" s="1" t="inlineStr">
        <is>
          <t>-42.67%</t>
        </is>
      </c>
      <c r="N4021" t="n">
        <v>4.8</v>
      </c>
      <c r="O4021" t="n">
        <v>3450</v>
      </c>
      <c r="Q4021" t="inlineStr">
        <is>
          <t>InStock</t>
        </is>
      </c>
      <c r="R4021" t="inlineStr">
        <is>
          <t>62.0</t>
        </is>
      </c>
      <c r="S4021" t="inlineStr">
        <is>
          <t>4681003040855</t>
        </is>
      </c>
    </row>
    <row r="4022" ht="75" customHeight="1">
      <c r="A4022" s="2">
        <f>HYPERLINK("https://faoschwarz.com/products/blues-clues-you-cooking-play-set", "https://faoschwarz.com/products/blues-clues-you-cooking-play-set")</f>
        <v/>
      </c>
      <c r="B4022" s="2">
        <f>HYPERLINK("https://faoschwarz.com/products/blues-clues-you-cooking-play-set", "https://faoschwarz.com/products/blues-clues-you-cooking-play-set")</f>
        <v/>
      </c>
      <c r="C4022" t="inlineStr">
        <is>
          <t>Blues Clues &amp; You Cooking Play Set</t>
        </is>
      </c>
      <c r="D4022" t="inlineStr">
        <is>
          <t>Blue's Clues &amp; You! Collectible Figure Set, by Just Play</t>
        </is>
      </c>
      <c r="E4022" s="2">
        <f>HYPERLINK("https://www.amazon.com/Blues-Clues-You-Collectible-Figure/dp/B083X5G32F/ref=sr_1_6?keywords=Blues+Clues+%26+You+Cooking+Play+Set&amp;qid=1695565930&amp;sr=8-6", "https://www.amazon.com/Blues-Clues-You-Collectible-Figure/dp/B083X5G32F/ref=sr_1_6?keywords=Blues+Clues+%26+You+Cooking+Play+Set&amp;qid=1695565930&amp;sr=8-6")</f>
        <v/>
      </c>
      <c r="F4022" t="inlineStr">
        <is>
          <t>B083X5G32F</t>
        </is>
      </c>
      <c r="G4022">
        <f>_xlfn.IMAGE("https://faoschwarz.com/cdn/shop/products/melissa-doug-preschool-blues-clues-you-cooking-play-set-28242490818647_1080x.jpg?v=1656144644")</f>
        <v/>
      </c>
      <c r="H4022">
        <f>_xlfn.IMAGE("https://m.media-amazon.com/images/I/81BIHE0Q7hL._AC_UL320_.jpg")</f>
        <v/>
      </c>
      <c r="K4022" t="inlineStr">
        <is>
          <t>43.4</t>
        </is>
      </c>
      <c r="L4022" t="n">
        <v>23</v>
      </c>
      <c r="M4022" s="1" t="inlineStr">
        <is>
          <t>-47.00%</t>
        </is>
      </c>
      <c r="N4022" t="n">
        <v>4.8</v>
      </c>
      <c r="O4022" t="n">
        <v>1940</v>
      </c>
      <c r="Q4022" t="inlineStr">
        <is>
          <t>InStock</t>
        </is>
      </c>
      <c r="R4022" t="inlineStr">
        <is>
          <t>62.0</t>
        </is>
      </c>
      <c r="S4022" t="inlineStr">
        <is>
          <t>4681003040855</t>
        </is>
      </c>
    </row>
    <row r="4023" ht="75" customHeight="1">
      <c r="A4023" s="2">
        <f>HYPERLINK("https://faoschwarz.com/products/blues-clues-you-cooking-play-set", "https://faoschwarz.com/products/blues-clues-you-cooking-play-set")</f>
        <v/>
      </c>
      <c r="B4023" s="2">
        <f>HYPERLINK("https://faoschwarz.com/products/blues-clues-you-cooking-play-set", "https://faoschwarz.com/products/blues-clues-you-cooking-play-set")</f>
        <v/>
      </c>
      <c r="C4023" t="inlineStr">
        <is>
          <t>Blues Clues &amp; You Cooking Play Set</t>
        </is>
      </c>
      <c r="D4023" t="inlineStr">
        <is>
          <t>Melissa &amp; Doug Blue's Clues &amp; You! Wooden Cooking Play Set (42 Pieces)</t>
        </is>
      </c>
      <c r="E4023" s="2">
        <f>HYPERLINK("https://www.amazon.com/Melissa-Doug-Wooden-Cooking-Pieces/dp/B08XV6NZQ7/ref=sr_1_1?keywords=Blues+Clues+%26+You+Cooking+Play+Set&amp;qid=1695565930&amp;sr=8-1", "https://www.amazon.com/Melissa-Doug-Wooden-Cooking-Pieces/dp/B08XV6NZQ7/ref=sr_1_1?keywords=Blues+Clues+%26+You+Cooking+Play+Set&amp;qid=1695565930&amp;sr=8-1")</f>
        <v/>
      </c>
      <c r="F4023" t="inlineStr">
        <is>
          <t>B08XV6NZQ7</t>
        </is>
      </c>
      <c r="G4023">
        <f>_xlfn.IMAGE("https://faoschwarz.com/cdn/shop/products/melissa-doug-preschool-blues-clues-you-cooking-play-set-28242490818647_1080x.jpg?v=1656144644")</f>
        <v/>
      </c>
      <c r="H4023">
        <f>_xlfn.IMAGE("https://m.media-amazon.com/images/I/71OQbWsKjCS._AC_UL320_.jpg")</f>
        <v/>
      </c>
      <c r="K4023" t="inlineStr">
        <is>
          <t>43.4</t>
        </is>
      </c>
      <c r="L4023" t="n">
        <v>22.99</v>
      </c>
      <c r="M4023" s="1" t="inlineStr">
        <is>
          <t>-47.03%</t>
        </is>
      </c>
      <c r="N4023" t="n">
        <v>4.7</v>
      </c>
      <c r="O4023" t="n">
        <v>793</v>
      </c>
      <c r="Q4023" t="inlineStr">
        <is>
          <t>InStock</t>
        </is>
      </c>
      <c r="R4023" t="inlineStr">
        <is>
          <t>62.0</t>
        </is>
      </c>
      <c r="S4023" t="inlineStr">
        <is>
          <t>4681003040855</t>
        </is>
      </c>
    </row>
    <row r="4024" ht="75" customHeight="1">
      <c r="A4024" s="2">
        <f>HYPERLINK("https://faoschwarz.com/products/blues-clues-you-cooking-play-set", "https://faoschwarz.com/products/blues-clues-you-cooking-play-set")</f>
        <v/>
      </c>
      <c r="B4024" s="2">
        <f>HYPERLINK("https://faoschwarz.com/products/blues-clues-you-cooking-play-set", "https://faoschwarz.com/products/blues-clues-you-cooking-play-set")</f>
        <v/>
      </c>
      <c r="C4024" t="inlineStr">
        <is>
          <t>Blues Clues &amp; You Cooking Play Set</t>
        </is>
      </c>
      <c r="D4024" t="inlineStr">
        <is>
          <t>Blue's Clues &amp; You! Present Store Cash Register, 14-Piece Pretend Play Set with Lights and Sounds, Kids Toys for Ages 3 Up by Just Play</t>
        </is>
      </c>
      <c r="E4024" s="2">
        <f>HYPERLINK("https://www.amazon.com/Blues-Clues-Present-Store-Register/dp/B08S47B617/ref=sr_1_7?keywords=Blues+Clues+%26+You+Cooking+Play+Set&amp;qid=1695565930&amp;sr=8-7", "https://www.amazon.com/Blues-Clues-Present-Store-Register/dp/B08S47B617/ref=sr_1_7?keywords=Blues+Clues+%26+You+Cooking+Play+Set&amp;qid=1695565930&amp;sr=8-7")</f>
        <v/>
      </c>
      <c r="F4024" t="inlineStr">
        <is>
          <t>B08S47B617</t>
        </is>
      </c>
      <c r="G4024">
        <f>_xlfn.IMAGE("https://faoschwarz.com/cdn/shop/products/melissa-doug-preschool-blues-clues-you-cooking-play-set-28242490818647_1080x.jpg?v=1656144644")</f>
        <v/>
      </c>
      <c r="H4024">
        <f>_xlfn.IMAGE("https://m.media-amazon.com/images/I/8120SmztNKS._AC_UL320_.jpg")</f>
        <v/>
      </c>
      <c r="K4024" t="inlineStr">
        <is>
          <t>43.4</t>
        </is>
      </c>
      <c r="L4024" t="n">
        <v>21.99</v>
      </c>
      <c r="M4024" s="1" t="inlineStr">
        <is>
          <t>-49.33%</t>
        </is>
      </c>
      <c r="N4024" t="n">
        <v>4.6</v>
      </c>
      <c r="O4024" t="n">
        <v>598</v>
      </c>
      <c r="Q4024" t="inlineStr">
        <is>
          <t>InStock</t>
        </is>
      </c>
      <c r="R4024" t="inlineStr">
        <is>
          <t>62.0</t>
        </is>
      </c>
      <c r="S4024" t="inlineStr">
        <is>
          <t>4681003040855</t>
        </is>
      </c>
    </row>
    <row r="4025" ht="75" customHeight="1">
      <c r="A4025" s="2">
        <f>HYPERLINK("https://faoschwarz.com/products/blues-clues-you-cooking-play-set", "https://faoschwarz.com/products/blues-clues-you-cooking-play-set")</f>
        <v/>
      </c>
      <c r="B4025" s="2">
        <f>HYPERLINK("https://faoschwarz.com/products/blues-clues-you-cooking-play-set", "https://faoschwarz.com/products/blues-clues-you-cooking-play-set")</f>
        <v/>
      </c>
      <c r="C4025" t="inlineStr">
        <is>
          <t>Blues Clues &amp; You Cooking Play Set</t>
        </is>
      </c>
      <c r="D4025" t="inlineStr">
        <is>
          <t>Melissa &amp; Doug Melissa &amp; Doug Blues Clues &amp; You! Share with Blue Picnic Play Set</t>
        </is>
      </c>
      <c r="E4025" s="2">
        <f>HYPERLINK("https://www.amazon.com/Melissa-Doug-Blues-Picnic-Puppet/dp/B09RZ2BRMW/ref=sr_1_10?keywords=Blues+Clues+%26+You+Cooking+Play+Set&amp;qid=1695565930&amp;sr=8-10", "https://www.amazon.com/Melissa-Doug-Blues-Picnic-Puppet/dp/B09RZ2BRMW/ref=sr_1_10?keywords=Blues+Clues+%26+You+Cooking+Play+Set&amp;qid=1695565930&amp;sr=8-10")</f>
        <v/>
      </c>
      <c r="F4025" t="inlineStr">
        <is>
          <t>B09RZ2BRMW</t>
        </is>
      </c>
      <c r="G4025">
        <f>_xlfn.IMAGE("https://faoschwarz.com/cdn/shop/products/melissa-doug-preschool-blues-clues-you-cooking-play-set-28242490818647_1080x.jpg?v=1656144644")</f>
        <v/>
      </c>
      <c r="H4025">
        <f>_xlfn.IMAGE("https://m.media-amazon.com/images/I/81lnt+vwQiL._AC_UL320_.jpg")</f>
        <v/>
      </c>
      <c r="K4025" t="inlineStr">
        <is>
          <t>43.4</t>
        </is>
      </c>
      <c r="L4025" t="n">
        <v>14.57</v>
      </c>
      <c r="M4025" s="1" t="inlineStr">
        <is>
          <t>-66.43%</t>
        </is>
      </c>
      <c r="N4025" t="n">
        <v>4.8</v>
      </c>
      <c r="O4025" t="n">
        <v>225</v>
      </c>
      <c r="Q4025" t="inlineStr">
        <is>
          <t>InStock</t>
        </is>
      </c>
      <c r="R4025" t="inlineStr">
        <is>
          <t>62.0</t>
        </is>
      </c>
      <c r="S4025" t="inlineStr">
        <is>
          <t>4681003040855</t>
        </is>
      </c>
    </row>
    <row r="4026" ht="75" customHeight="1">
      <c r="A4026" s="2">
        <f>HYPERLINK("https://faoschwarz.com/products/blues-clues-you-cooking-play-set", "https://faoschwarz.com/products/blues-clues-you-cooking-play-set")</f>
        <v/>
      </c>
      <c r="B4026" s="2">
        <f>HYPERLINK("https://faoschwarz.com/products/blues-clues-you-cooking-play-set", "https://faoschwarz.com/products/blues-clues-you-cooking-play-set")</f>
        <v/>
      </c>
      <c r="C4026" t="inlineStr">
        <is>
          <t>Blues Clues &amp; You Cooking Play Set</t>
        </is>
      </c>
      <c r="D4026" t="inlineStr">
        <is>
          <t>Melissa &amp; Doug Melissa &amp; Doug Blue's Clues &amp; You! Mailbox Play Set</t>
        </is>
      </c>
      <c r="E4026" s="2">
        <f>HYPERLINK("https://www.amazon.com/Melissa-Doug-Wooden-Mailbox-Pieces/dp/B08XTGWGFD/ref=sr_1_4?keywords=Blues+Clues+%26+You+Cooking+Play+Set&amp;qid=1695565930&amp;sr=8-4", "https://www.amazon.com/Melissa-Doug-Wooden-Mailbox-Pieces/dp/B08XTGWGFD/ref=sr_1_4?keywords=Blues+Clues+%26+You+Cooking+Play+Set&amp;qid=1695565930&amp;sr=8-4")</f>
        <v/>
      </c>
      <c r="F4026" t="inlineStr">
        <is>
          <t>B08XTGWGFD</t>
        </is>
      </c>
      <c r="G4026">
        <f>_xlfn.IMAGE("https://faoschwarz.com/cdn/shop/products/melissa-doug-preschool-blues-clues-you-cooking-play-set-28242490818647_1080x.jpg?v=1656144644")</f>
        <v/>
      </c>
      <c r="H4026">
        <f>_xlfn.IMAGE("https://m.media-amazon.com/images/I/81ErcvbUH8L._AC_UL320_.jpg")</f>
        <v/>
      </c>
      <c r="K4026" t="inlineStr">
        <is>
          <t>43.4</t>
        </is>
      </c>
      <c r="L4026" t="n">
        <v>13.16</v>
      </c>
      <c r="M4026" s="1" t="inlineStr">
        <is>
          <t>-69.68%</t>
        </is>
      </c>
      <c r="N4026" t="n">
        <v>4.8</v>
      </c>
      <c r="O4026" t="n">
        <v>1240</v>
      </c>
      <c r="Q4026" t="inlineStr">
        <is>
          <t>InStock</t>
        </is>
      </c>
      <c r="R4026" t="inlineStr">
        <is>
          <t>62.0</t>
        </is>
      </c>
      <c r="S4026" t="inlineStr">
        <is>
          <t>4681003040855</t>
        </is>
      </c>
    </row>
    <row r="4027" ht="75" customHeight="1">
      <c r="A4027" s="2">
        <f>HYPERLINK("https://faoschwarz.com/products/blues-clues-you-cooking-play-set", "https://faoschwarz.com/products/blues-clues-you-cooking-play-set")</f>
        <v/>
      </c>
      <c r="B4027" s="2">
        <f>HYPERLINK("https://faoschwarz.com/products/blues-clues-you-cooking-play-set", "https://faoschwarz.com/products/blues-clues-you-cooking-play-set")</f>
        <v/>
      </c>
      <c r="C4027" t="inlineStr">
        <is>
          <t>Blues Clues &amp; You Cooking Play Set</t>
        </is>
      </c>
      <c r="D4027" t="inlineStr">
        <is>
          <t>Blue's Clues &amp; You! Musical Drum Set, Kids Toy Instruments, Drum, Tambourine, Washboard, Clackers, Shakers, Kids Toys for Ages 3 Up by Just Play</t>
        </is>
      </c>
      <c r="E4027" s="2">
        <f>HYPERLINK("https://www.amazon.com/Instruments-Tambourine-Washboard-Just-Play/dp/B08BSJFY4C/ref=sr_1_2?keywords=Blues+Clues+%26+You+Cooking+Play+Set&amp;qid=1695565930&amp;sr=8-2", "https://www.amazon.com/Instruments-Tambourine-Washboard-Just-Play/dp/B08BSJFY4C/ref=sr_1_2?keywords=Blues+Clues+%26+You+Cooking+Play+Set&amp;qid=1695565930&amp;sr=8-2")</f>
        <v/>
      </c>
      <c r="F4027" t="inlineStr">
        <is>
          <t>B08BSJFY4C</t>
        </is>
      </c>
      <c r="G4027">
        <f>_xlfn.IMAGE("https://faoschwarz.com/cdn/shop/products/melissa-doug-preschool-blues-clues-you-cooking-play-set-28242490818647_1080x.jpg?v=1656144644")</f>
        <v/>
      </c>
      <c r="H4027">
        <f>_xlfn.IMAGE("https://m.media-amazon.com/images/I/81PVk-+raUS._AC_UL320_.jpg")</f>
        <v/>
      </c>
      <c r="K4027" t="inlineStr">
        <is>
          <t>43.4</t>
        </is>
      </c>
      <c r="L4027" t="n">
        <v>12.99</v>
      </c>
      <c r="M4027" s="1" t="inlineStr">
        <is>
          <t>-70.07%</t>
        </is>
      </c>
      <c r="N4027" t="n">
        <v>4.8</v>
      </c>
      <c r="O4027" t="n">
        <v>1228</v>
      </c>
      <c r="Q4027" t="inlineStr">
        <is>
          <t>InStock</t>
        </is>
      </c>
      <c r="R4027" t="inlineStr">
        <is>
          <t>62.0</t>
        </is>
      </c>
      <c r="S4027" t="inlineStr">
        <is>
          <t>4681003040855</t>
        </is>
      </c>
    </row>
    <row r="4028" ht="75" customHeight="1">
      <c r="A4028" s="2">
        <f>HYPERLINK("https://faoschwarz.com/products/blues-clues-you-cooking-play-set", "https://faoschwarz.com/products/blues-clues-you-cooking-play-set")</f>
        <v/>
      </c>
      <c r="B4028" s="2">
        <f>HYPERLINK("https://faoschwarz.com/products/blues-clues-you-cooking-play-set", "https://faoschwarz.com/products/blues-clues-you-cooking-play-set")</f>
        <v/>
      </c>
      <c r="C4028" t="inlineStr">
        <is>
          <t>Blues Clues &amp; You Cooking Play Set</t>
        </is>
      </c>
      <c r="D4028" t="inlineStr">
        <is>
          <t>Blues Clues &amp; You! Presto Magix Re-Stickable Sticker Play Set, Multicolor</t>
        </is>
      </c>
      <c r="E4028" s="2">
        <f>HYPERLINK("https://www.amazon.com/Blues-Clues-Re-Stickable-Sticker-Multicolor/dp/B098GZPWG7/ref=sr_1_3?keywords=Blues+Clues+%26+You+Cooking+Play+Set&amp;qid=1695565930&amp;sr=8-3", "https://www.amazon.com/Blues-Clues-Re-Stickable-Sticker-Multicolor/dp/B098GZPWG7/ref=sr_1_3?keywords=Blues+Clues+%26+You+Cooking+Play+Set&amp;qid=1695565930&amp;sr=8-3")</f>
        <v/>
      </c>
      <c r="F4028" t="inlineStr">
        <is>
          <t>B098GZPWG7</t>
        </is>
      </c>
      <c r="G4028">
        <f>_xlfn.IMAGE("https://faoschwarz.com/cdn/shop/products/melissa-doug-preschool-blues-clues-you-cooking-play-set-28242490818647_1080x.jpg?v=1656144644")</f>
        <v/>
      </c>
      <c r="H4028">
        <f>_xlfn.IMAGE("https://m.media-amazon.com/images/I/91xNWI3C+MS._AC_UL320_.jpg")</f>
        <v/>
      </c>
      <c r="K4028" t="inlineStr">
        <is>
          <t>43.4</t>
        </is>
      </c>
      <c r="L4028" t="n">
        <v>11.85</v>
      </c>
      <c r="M4028" s="1" t="inlineStr">
        <is>
          <t>-72.70%</t>
        </is>
      </c>
      <c r="N4028" t="n">
        <v>4.2</v>
      </c>
      <c r="O4028" t="n">
        <v>58</v>
      </c>
      <c r="Q4028" t="inlineStr">
        <is>
          <t>InStock</t>
        </is>
      </c>
      <c r="R4028" t="inlineStr">
        <is>
          <t>62.0</t>
        </is>
      </c>
      <c r="S4028" t="inlineStr">
        <is>
          <t>4681003040855</t>
        </is>
      </c>
    </row>
    <row r="4029" ht="75" customHeight="1">
      <c r="A4029" s="2">
        <f>HYPERLINK("https://faoschwarz.com/products/blues-clues-you-mailbox-play-set", "https://faoschwarz.com/products/blues-clues-you-mailbox-play-set")</f>
        <v/>
      </c>
      <c r="B4029" s="2">
        <f>HYPERLINK("https://faoschwarz.com/products/blues-clues-you-mailbox-play-set", "https://faoschwarz.com/products/blues-clues-you-mailbox-play-set")</f>
        <v/>
      </c>
      <c r="C4029" t="inlineStr">
        <is>
          <t>Blues Clues &amp; You Mailbox Play Set</t>
        </is>
      </c>
      <c r="D4029" t="inlineStr">
        <is>
          <t>Melissa &amp; Doug Melissa &amp; Doug Blues Clues &amp; You! Share with Blue Picnic Play Set</t>
        </is>
      </c>
      <c r="E4029" s="2">
        <f>HYPERLINK("https://www.amazon.com/Melissa-Doug-Blues-Picnic-Puppet/dp/B09RZ2BRMW/ref=sr_1_4?keywords=blue%27s+clues&amp;qid=1695565932&amp;sr=8-4", "https://www.amazon.com/Melissa-Doug-Blues-Picnic-Puppet/dp/B09RZ2BRMW/ref=sr_1_4?keywords=blue%27s+clues&amp;qid=1695565932&amp;sr=8-4")</f>
        <v/>
      </c>
      <c r="F4029" t="inlineStr">
        <is>
          <t>B09RZ2BRMW</t>
        </is>
      </c>
      <c r="G4029">
        <f>_xlfn.IMAGE("https://faoschwarz.com/cdn/shop/products/melissa-doug-preschool-blues-clues-you-mailbox-play-set-28242508611671_1080x.jpg?v=1656128119")</f>
        <v/>
      </c>
      <c r="H4029">
        <f>_xlfn.IMAGE("https://m.media-amazon.com/images/I/81lnt+vwQiL._AC_UY218_.jpg")</f>
        <v/>
      </c>
      <c r="K4029" t="inlineStr">
        <is>
          <t>20.3</t>
        </is>
      </c>
      <c r="L4029" t="n">
        <v>14.57</v>
      </c>
      <c r="M4029" s="1" t="inlineStr">
        <is>
          <t>-28.23%</t>
        </is>
      </c>
      <c r="N4029" t="n">
        <v>4.8</v>
      </c>
      <c r="O4029" t="n">
        <v>225</v>
      </c>
      <c r="Q4029" t="inlineStr">
        <is>
          <t>InStock</t>
        </is>
      </c>
      <c r="R4029" t="inlineStr">
        <is>
          <t>29.0</t>
        </is>
      </c>
      <c r="S4029" t="inlineStr">
        <is>
          <t>4681003008087</t>
        </is>
      </c>
    </row>
    <row r="4030" ht="75" customHeight="1">
      <c r="A4030" s="2">
        <f>HYPERLINK("https://faoschwarz.com/products/blues-clues-you-mailbox-play-set", "https://faoschwarz.com/products/blues-clues-you-mailbox-play-set")</f>
        <v/>
      </c>
      <c r="B4030" s="2">
        <f>HYPERLINK("https://faoschwarz.com/products/blues-clues-you-mailbox-play-set", "https://faoschwarz.com/products/blues-clues-you-mailbox-play-set")</f>
        <v/>
      </c>
      <c r="C4030" t="inlineStr">
        <is>
          <t>Blues Clues &amp; You Mailbox Play Set</t>
        </is>
      </c>
      <c r="D4030" t="inlineStr">
        <is>
          <t>Melissa &amp; Doug Melissa &amp; Doug Blue's Clues &amp; You! Mailbox Play Set</t>
        </is>
      </c>
      <c r="E4030" s="2" t="n"/>
      <c r="F4030" t="inlineStr">
        <is>
          <t>B08XTGWGFD</t>
        </is>
      </c>
      <c r="G4030">
        <f>_xlfn.IMAGE("https://faoschwarz.com/cdn/shop/products/melissa-doug-preschool-blues-clues-you-mailbox-play-set-28242508611671_1080x.jpg?v=1656128119")</f>
        <v/>
      </c>
      <c r="H4030">
        <f>_xlfn.IMAGE("https://m.media-amazon.com/images/I/81ErcvbUH8L._AC_UY218_.jpg")</f>
        <v/>
      </c>
      <c r="K4030" t="inlineStr">
        <is>
          <t>20.3</t>
        </is>
      </c>
      <c r="L4030" t="n">
        <v>13.16</v>
      </c>
      <c r="M4030" s="1" t="inlineStr">
        <is>
          <t>-35.17%</t>
        </is>
      </c>
      <c r="N4030" t="n">
        <v>4.8</v>
      </c>
      <c r="O4030" t="n">
        <v>1240</v>
      </c>
      <c r="Q4030" t="inlineStr">
        <is>
          <t>InStock</t>
        </is>
      </c>
      <c r="R4030" t="inlineStr">
        <is>
          <t>29.0</t>
        </is>
      </c>
      <c r="S4030" t="inlineStr">
        <is>
          <t>4681003008087</t>
        </is>
      </c>
    </row>
    <row r="4031" ht="75" customHeight="1">
      <c r="A4031" s="2">
        <f>HYPERLINK("https://faoschwarz.com/products/blues-clues-you-play-tent", "https://faoschwarz.com/products/blues-clues-you-play-tent")</f>
        <v/>
      </c>
      <c r="B4031" s="2">
        <f>HYPERLINK("https://faoschwarz.com/products/blues-clues-you-play-tent", "https://faoschwarz.com/products/blues-clues-you-play-tent")</f>
        <v/>
      </c>
      <c r="C4031" t="inlineStr">
        <is>
          <t>Blues Clues &amp; You Play Tent</t>
        </is>
      </c>
      <c r="D4031" t="inlineStr">
        <is>
          <t>Melissa &amp; Doug Melissa &amp; Doug Blues Clues &amp; You! Share with Blue Picnic Play Set</t>
        </is>
      </c>
      <c r="E4031" s="2">
        <f>HYPERLINK("https://www.amazon.com/Melissa-Doug-Blues-Picnic-Puppet/dp/B09RZ2BRMW/ref=sr_1_2?keywords=blue%27s+clues&amp;qid=1695565927&amp;sr=8-2", "https://www.amazon.com/Melissa-Doug-Blues-Picnic-Puppet/dp/B09RZ2BRMW/ref=sr_1_2?keywords=blue%27s+clues&amp;qid=1695565927&amp;sr=8-2")</f>
        <v/>
      </c>
      <c r="F4031" t="inlineStr">
        <is>
          <t>B09RZ2BRMW</t>
        </is>
      </c>
      <c r="G4031">
        <f>_xlfn.IMAGE("https://faoschwarz.com/cdn/shop/products/melissa-doug-preschool-blues-clues-you-play-tent-28242539151447_1080x.jpg?v=1656217819")</f>
        <v/>
      </c>
      <c r="H4031">
        <f>_xlfn.IMAGE("https://m.media-amazon.com/images/I/81lnt+vwQiL._AC_UY218_.jpg")</f>
        <v/>
      </c>
      <c r="K4031" t="inlineStr">
        <is>
          <t>47.6</t>
        </is>
      </c>
      <c r="L4031" t="n">
        <v>14.57</v>
      </c>
      <c r="M4031" s="1" t="inlineStr">
        <is>
          <t>-69.39%</t>
        </is>
      </c>
      <c r="N4031" t="n">
        <v>4.8</v>
      </c>
      <c r="O4031" t="n">
        <v>225</v>
      </c>
      <c r="Q4031" t="inlineStr">
        <is>
          <t>InStock</t>
        </is>
      </c>
      <c r="R4031" t="inlineStr">
        <is>
          <t>68.0</t>
        </is>
      </c>
      <c r="S4031" t="inlineStr">
        <is>
          <t>4681003204695</t>
        </is>
      </c>
    </row>
    <row r="4032" ht="75" customHeight="1">
      <c r="A4032" s="2">
        <f>HYPERLINK("https://faoschwarz.com/products/boggle-vintage-bookshelf-edition", "https://faoschwarz.com/products/boggle-vintage-bookshelf-edition")</f>
        <v/>
      </c>
      <c r="B4032" s="2">
        <f>HYPERLINK("https://faoschwarz.com/products/boggle-vintage-bookshelf-edition", "https://faoschwarz.com/products/boggle-vintage-bookshelf-edition")</f>
        <v/>
      </c>
      <c r="C4032" t="inlineStr">
        <is>
          <t>Boggle Vintage Bookshelf Edition</t>
        </is>
      </c>
      <c r="D4032" t="inlineStr">
        <is>
          <t>WS Game Company The Game of Life Vintage Bookshelf Edition</t>
        </is>
      </c>
      <c r="E4032" s="2">
        <f>HYPERLINK("https://www.amazon.com/Winning-Solutions-Linen-Vintage-Board/dp/B075SDMMMT/ref=sr_1_8?keywords=Boggle+Vintage+Bookshelf+Edition&amp;qid=1695565999&amp;sr=8-8", "https://www.amazon.com/Winning-Solutions-Linen-Vintage-Board/dp/B075SDMMMT/ref=sr_1_8?keywords=Boggle+Vintage+Bookshelf+Edition&amp;qid=1695565999&amp;sr=8-8")</f>
        <v/>
      </c>
      <c r="F4032" t="inlineStr">
        <is>
          <t>B075SDMMMT</t>
        </is>
      </c>
      <c r="G4032">
        <f>_xlfn.IMAGE("https://faoschwarz.com/cdn/shop/products/ws-game-company-games-boggle-vintage-bookshelf-edition-28900042145879_1080x.jpg?v=1655993676")</f>
        <v/>
      </c>
      <c r="H4032">
        <f>_xlfn.IMAGE("https://m.media-amazon.com/images/I/91GMf7H9POL._AC_UL320_.jpg")</f>
        <v/>
      </c>
      <c r="K4032" t="inlineStr">
        <is>
          <t>40.0</t>
        </is>
      </c>
      <c r="L4032" t="n">
        <v>44.99</v>
      </c>
      <c r="M4032" s="1" t="inlineStr">
        <is>
          <t>12.48%</t>
        </is>
      </c>
      <c r="N4032" t="n">
        <v>4.7</v>
      </c>
      <c r="O4032" t="n">
        <v>49</v>
      </c>
      <c r="Q4032" t="inlineStr">
        <is>
          <t>InStock</t>
        </is>
      </c>
      <c r="R4032" t="inlineStr">
        <is>
          <t>undefined</t>
        </is>
      </c>
      <c r="S4032" t="inlineStr">
        <is>
          <t>6715353366615</t>
        </is>
      </c>
    </row>
    <row r="4033" ht="75" customHeight="1">
      <c r="A4033" s="2">
        <f>HYPERLINK("https://faoschwarz.com/products/boggle-vintage-bookshelf-edition", "https://faoschwarz.com/products/boggle-vintage-bookshelf-edition")</f>
        <v/>
      </c>
      <c r="B4033" s="2">
        <f>HYPERLINK("https://faoschwarz.com/products/boggle-vintage-bookshelf-edition", "https://faoschwarz.com/products/boggle-vintage-bookshelf-edition")</f>
        <v/>
      </c>
      <c r="C4033" t="inlineStr">
        <is>
          <t>Boggle Vintage Bookshelf Edition</t>
        </is>
      </c>
      <c r="D4033" t="inlineStr">
        <is>
          <t>WS Game Company Chutes and Ladders Vintage Bookshelf Edition</t>
        </is>
      </c>
      <c r="E4033" s="2">
        <f>HYPERLINK("https://www.amazon.com/WS-Game-Company-Ladders-Bookshelf/dp/B0844Q7YMY/ref=sr_1_10?keywords=Boggle+Vintage+Bookshelf+Edition&amp;qid=1695565999&amp;sr=8-10", "https://www.amazon.com/WS-Game-Company-Ladders-Bookshelf/dp/B0844Q7YMY/ref=sr_1_10?keywords=Boggle+Vintage+Bookshelf+Edition&amp;qid=1695565999&amp;sr=8-10")</f>
        <v/>
      </c>
      <c r="F4033" t="inlineStr">
        <is>
          <t>B0844Q7YMY</t>
        </is>
      </c>
      <c r="G4033">
        <f>_xlfn.IMAGE("https://faoschwarz.com/cdn/shop/products/ws-game-company-games-boggle-vintage-bookshelf-edition-28900042145879_1080x.jpg?v=1655993676")</f>
        <v/>
      </c>
      <c r="H4033">
        <f>_xlfn.IMAGE("https://m.media-amazon.com/images/I/91NxzqaaD5L._AC_UL320_.jpg")</f>
        <v/>
      </c>
      <c r="K4033" t="inlineStr">
        <is>
          <t>40.0</t>
        </is>
      </c>
      <c r="L4033" t="n">
        <v>39.99</v>
      </c>
      <c r="M4033" s="1" t="inlineStr">
        <is>
          <t>-0.02%</t>
        </is>
      </c>
      <c r="N4033" t="n">
        <v>4.8</v>
      </c>
      <c r="O4033" t="n">
        <v>167</v>
      </c>
      <c r="Q4033" t="inlineStr">
        <is>
          <t>InStock</t>
        </is>
      </c>
      <c r="R4033" t="inlineStr">
        <is>
          <t>undefined</t>
        </is>
      </c>
      <c r="S4033" t="inlineStr">
        <is>
          <t>6715353366615</t>
        </is>
      </c>
    </row>
    <row r="4034" ht="75" customHeight="1">
      <c r="A4034" s="2">
        <f>HYPERLINK("https://faoschwarz.com/products/boggle-vintage-bookshelf-edition", "https://faoschwarz.com/products/boggle-vintage-bookshelf-edition")</f>
        <v/>
      </c>
      <c r="B4034" s="2">
        <f>HYPERLINK("https://faoschwarz.com/products/boggle-vintage-bookshelf-edition", "https://faoschwarz.com/products/boggle-vintage-bookshelf-edition")</f>
        <v/>
      </c>
      <c r="C4034" t="inlineStr">
        <is>
          <t>Boggle Vintage Bookshelf Edition</t>
        </is>
      </c>
      <c r="D4034" t="inlineStr">
        <is>
          <t>WS Game Company Boggle Vintage Bookshelf Edition</t>
        </is>
      </c>
      <c r="E4034" s="2">
        <f>HYPERLINK("https://www.amazon.com/WS-Game-Company-Vintage-Bookshelf/dp/B07YB5HK2K/ref=sr_1_1?keywords=Boggle+Vintage+Bookshelf+Edition&amp;qid=1695565999&amp;sr=8-1", "https://www.amazon.com/WS-Game-Company-Vintage-Bookshelf/dp/B07YB5HK2K/ref=sr_1_1?keywords=Boggle+Vintage+Bookshelf+Edition&amp;qid=1695565999&amp;sr=8-1")</f>
        <v/>
      </c>
      <c r="F4034" t="inlineStr">
        <is>
          <t>B07YB5HK2K</t>
        </is>
      </c>
      <c r="G4034">
        <f>_xlfn.IMAGE("https://faoschwarz.com/cdn/shop/products/ws-game-company-games-boggle-vintage-bookshelf-edition-28900042145879_1080x.jpg?v=1655993676")</f>
        <v/>
      </c>
      <c r="H4034">
        <f>_xlfn.IMAGE("https://m.media-amazon.com/images/I/81NpZQNNrBL._AC_UL320_.jpg")</f>
        <v/>
      </c>
      <c r="K4034" t="inlineStr">
        <is>
          <t>40.0</t>
        </is>
      </c>
      <c r="L4034" t="n">
        <v>39.99</v>
      </c>
      <c r="M4034" s="1" t="inlineStr">
        <is>
          <t>-0.02%</t>
        </is>
      </c>
      <c r="N4034" t="n">
        <v>4.8</v>
      </c>
      <c r="O4034" t="n">
        <v>307</v>
      </c>
      <c r="Q4034" t="inlineStr">
        <is>
          <t>InStock</t>
        </is>
      </c>
      <c r="R4034" t="inlineStr">
        <is>
          <t>undefined</t>
        </is>
      </c>
      <c r="S4034" t="inlineStr">
        <is>
          <t>6715353366615</t>
        </is>
      </c>
    </row>
    <row r="4035" ht="75" customHeight="1">
      <c r="A4035" s="2">
        <f>HYPERLINK("https://faoschwarz.com/products/boggle-vintage-bookshelf-edition", "https://faoschwarz.com/products/boggle-vintage-bookshelf-edition")</f>
        <v/>
      </c>
      <c r="B4035" s="2">
        <f>HYPERLINK("https://faoschwarz.com/products/boggle-vintage-bookshelf-edition", "https://faoschwarz.com/products/boggle-vintage-bookshelf-edition")</f>
        <v/>
      </c>
      <c r="C4035" t="inlineStr">
        <is>
          <t>Boggle Vintage Bookshelf Edition</t>
        </is>
      </c>
      <c r="D4035" t="inlineStr">
        <is>
          <t>Scrabble Vintage Bookshelf Edition</t>
        </is>
      </c>
      <c r="E4035" s="2">
        <f>HYPERLINK("https://www.amazon.com/WS-Game-Company-21420-Bookshelf/dp/B01CPUSHSO/ref=sr_1_3?keywords=Boggle+Vintage+Bookshelf+Edition&amp;qid=1695565999&amp;sr=8-3", "https://www.amazon.com/WS-Game-Company-21420-Bookshelf/dp/B01CPUSHSO/ref=sr_1_3?keywords=Boggle+Vintage+Bookshelf+Edition&amp;qid=1695565999&amp;sr=8-3")</f>
        <v/>
      </c>
      <c r="F4035" t="inlineStr">
        <is>
          <t>B01CPUSHSO</t>
        </is>
      </c>
      <c r="G4035">
        <f>_xlfn.IMAGE("https://faoschwarz.com/cdn/shop/products/ws-game-company-games-boggle-vintage-bookshelf-edition-28900042145879_1080x.jpg?v=1655993676")</f>
        <v/>
      </c>
      <c r="H4035">
        <f>_xlfn.IMAGE("https://m.media-amazon.com/images/I/81UMj2xiq3L._AC_UL320_.jpg")</f>
        <v/>
      </c>
      <c r="K4035" t="inlineStr">
        <is>
          <t>40.0</t>
        </is>
      </c>
      <c r="L4035" t="n">
        <v>35</v>
      </c>
      <c r="M4035" s="1" t="inlineStr">
        <is>
          <t>-12.50%</t>
        </is>
      </c>
      <c r="N4035" t="n">
        <v>4.8</v>
      </c>
      <c r="O4035" t="n">
        <v>840</v>
      </c>
      <c r="Q4035" t="inlineStr">
        <is>
          <t>InStock</t>
        </is>
      </c>
      <c r="R4035" t="inlineStr">
        <is>
          <t>undefined</t>
        </is>
      </c>
      <c r="S4035" t="inlineStr">
        <is>
          <t>6715353366615</t>
        </is>
      </c>
    </row>
    <row r="4036" ht="75" customHeight="1">
      <c r="A4036" s="2">
        <f>HYPERLINK("https://faoschwarz.com/products/boggle-vintage-bookshelf-edition", "https://faoschwarz.com/products/boggle-vintage-bookshelf-edition")</f>
        <v/>
      </c>
      <c r="B4036" s="2">
        <f>HYPERLINK("https://faoschwarz.com/products/boggle-vintage-bookshelf-edition", "https://faoschwarz.com/products/boggle-vintage-bookshelf-edition")</f>
        <v/>
      </c>
      <c r="C4036" t="inlineStr">
        <is>
          <t>Boggle Vintage Bookshelf Edition</t>
        </is>
      </c>
      <c r="D4036" t="inlineStr">
        <is>
          <t>WS Game Company Monopoly Vintage Bookshelf Edition</t>
        </is>
      </c>
      <c r="E4036" s="2">
        <f>HYPERLINK("https://www.amazon.com/Winning-Solutions-21410-Monopoly-Bookshelf/dp/B01CPUJVOI/ref=sr_1_7?keywords=Boggle+Vintage+Bookshelf+Edition&amp;qid=1695565999&amp;sr=8-7", "https://www.amazon.com/Winning-Solutions-21410-Monopoly-Bookshelf/dp/B01CPUJVOI/ref=sr_1_7?keywords=Boggle+Vintage+Bookshelf+Edition&amp;qid=1695565999&amp;sr=8-7")</f>
        <v/>
      </c>
      <c r="F4036" t="inlineStr">
        <is>
          <t>B01CPUJVOI</t>
        </is>
      </c>
      <c r="G4036">
        <f>_xlfn.IMAGE("https://faoschwarz.com/cdn/shop/products/ws-game-company-games-boggle-vintage-bookshelf-edition-28900042145879_1080x.jpg?v=1655993676")</f>
        <v/>
      </c>
      <c r="H4036">
        <f>_xlfn.IMAGE("https://m.media-amazon.com/images/I/71elDkuW9UL._AC_UL320_.jpg")</f>
        <v/>
      </c>
      <c r="K4036" t="inlineStr">
        <is>
          <t>40.0</t>
        </is>
      </c>
      <c r="L4036" t="n">
        <v>35</v>
      </c>
      <c r="M4036" s="1" t="inlineStr">
        <is>
          <t>-12.50%</t>
        </is>
      </c>
      <c r="N4036" t="n">
        <v>4.8</v>
      </c>
      <c r="O4036" t="n">
        <v>1124</v>
      </c>
      <c r="Q4036" t="inlineStr">
        <is>
          <t>InStock</t>
        </is>
      </c>
      <c r="R4036" t="inlineStr">
        <is>
          <t>undefined</t>
        </is>
      </c>
      <c r="S4036" t="inlineStr">
        <is>
          <t>6715353366615</t>
        </is>
      </c>
    </row>
    <row r="4037" ht="75" customHeight="1">
      <c r="A4037" s="2">
        <f>HYPERLINK("https://faoschwarz.com/products/boggle-vintage-bookshelf-edition", "https://faoschwarz.com/products/boggle-vintage-bookshelf-edition")</f>
        <v/>
      </c>
      <c r="B4037" s="2">
        <f>HYPERLINK("https://faoschwarz.com/products/boggle-vintage-bookshelf-edition", "https://faoschwarz.com/products/boggle-vintage-bookshelf-edition")</f>
        <v/>
      </c>
      <c r="C4037" t="inlineStr">
        <is>
          <t>Boggle Vintage Bookshelf Edition</t>
        </is>
      </c>
      <c r="D4037" t="inlineStr">
        <is>
          <t>Scattergories Vintage Bookshelf Edition</t>
        </is>
      </c>
      <c r="E4037" s="2">
        <f>HYPERLINK("https://www.amazon.com/Winning-Solutions-Scattergories-Linen-Vintage/dp/B075SD7T4S/ref=sr_1_9?keywords=Boggle+Vintage+Bookshelf+Edition&amp;qid=1695565999&amp;sr=8-9", "https://www.amazon.com/Winning-Solutions-Scattergories-Linen-Vintage/dp/B075SD7T4S/ref=sr_1_9?keywords=Boggle+Vintage+Bookshelf+Edition&amp;qid=1695565999&amp;sr=8-9")</f>
        <v/>
      </c>
      <c r="F4037" t="inlineStr">
        <is>
          <t>B075SD7T4S</t>
        </is>
      </c>
      <c r="G4037">
        <f>_xlfn.IMAGE("https://faoschwarz.com/cdn/shop/products/ws-game-company-games-boggle-vintage-bookshelf-edition-28900042145879_1080x.jpg?v=1655993676")</f>
        <v/>
      </c>
      <c r="H4037">
        <f>_xlfn.IMAGE("https://m.media-amazon.com/images/I/91EVC5kAH1L._AC_UL320_.jpg")</f>
        <v/>
      </c>
      <c r="K4037" t="inlineStr">
        <is>
          <t>40.0</t>
        </is>
      </c>
      <c r="L4037" t="n">
        <v>34.27</v>
      </c>
      <c r="M4037" s="1" t="inlineStr">
        <is>
          <t>-14.32%</t>
        </is>
      </c>
      <c r="N4037" t="n">
        <v>4.8</v>
      </c>
      <c r="O4037" t="n">
        <v>391</v>
      </c>
      <c r="Q4037" t="inlineStr">
        <is>
          <t>InStock</t>
        </is>
      </c>
      <c r="R4037" t="inlineStr">
        <is>
          <t>undefined</t>
        </is>
      </c>
      <c r="S4037" t="inlineStr">
        <is>
          <t>6715353366615</t>
        </is>
      </c>
    </row>
    <row r="4038" ht="75" customHeight="1">
      <c r="A4038" s="2">
        <f>HYPERLINK("https://faoschwarz.com/products/boggle-vintage-bookshelf-edition", "https://faoschwarz.com/products/boggle-vintage-bookshelf-edition")</f>
        <v/>
      </c>
      <c r="B4038" s="2">
        <f>HYPERLINK("https://faoschwarz.com/products/boggle-vintage-bookshelf-edition", "https://faoschwarz.com/products/boggle-vintage-bookshelf-edition")</f>
        <v/>
      </c>
      <c r="C4038" t="inlineStr">
        <is>
          <t>Boggle Vintage Bookshelf Edition</t>
        </is>
      </c>
      <c r="D4038" t="inlineStr">
        <is>
          <t>Scrabble Vintage Bookshelf Edition</t>
        </is>
      </c>
      <c r="E4038" s="2">
        <f>HYPERLINK("https://www.amazon.com/WS-Game-Company-21420-Bookshelf/dp/B01CPUSHSO/ref=sr_1_3?keywords=Boggle+Vintage+Bookshelf+Edition&amp;qid=1695565999&amp;sr=8-3", "https://www.amazon.com/WS-Game-Company-21420-Bookshelf/dp/B01CPUSHSO/ref=sr_1_3?keywords=Boggle+Vintage+Bookshelf+Edition&amp;qid=1695565999&amp;sr=8-3")</f>
        <v/>
      </c>
      <c r="F4038" t="inlineStr">
        <is>
          <t>B01CPUSHSO</t>
        </is>
      </c>
      <c r="G4038">
        <f>_xlfn.IMAGE("https://faoschwarz.com/cdn/shop/products/ws-game-company-games-boggle-vintage-bookshelf-edition-28900042145879_1080x.jpg?v=1655993676")</f>
        <v/>
      </c>
      <c r="H4038">
        <f>_xlfn.IMAGE("https://m.media-amazon.com/images/I/81UMj2xiq3L._AC_UL320_.jpg")</f>
        <v/>
      </c>
      <c r="K4038" t="inlineStr">
        <is>
          <t>40.0</t>
        </is>
      </c>
      <c r="L4038" t="n">
        <v>35</v>
      </c>
      <c r="M4038" s="1" t="inlineStr">
        <is>
          <t>-12.50%</t>
        </is>
      </c>
      <c r="N4038" t="n">
        <v>4.8</v>
      </c>
      <c r="O4038" t="n">
        <v>840</v>
      </c>
      <c r="Q4038" t="inlineStr">
        <is>
          <t>InStock</t>
        </is>
      </c>
      <c r="R4038" t="inlineStr">
        <is>
          <t>undefined</t>
        </is>
      </c>
      <c r="S4038" t="inlineStr">
        <is>
          <t>6715353366615</t>
        </is>
      </c>
    </row>
    <row r="4039" ht="75" customHeight="1">
      <c r="A4039" s="2">
        <f>HYPERLINK("https://faoschwarz.com/products/boggle-vintage-bookshelf-edition", "https://faoschwarz.com/products/boggle-vintage-bookshelf-edition")</f>
        <v/>
      </c>
      <c r="B4039" s="2">
        <f>HYPERLINK("https://faoschwarz.com/products/boggle-vintage-bookshelf-edition", "https://faoschwarz.com/products/boggle-vintage-bookshelf-edition")</f>
        <v/>
      </c>
      <c r="C4039" t="inlineStr">
        <is>
          <t>Boggle Vintage Bookshelf Edition</t>
        </is>
      </c>
      <c r="D4039" t="inlineStr">
        <is>
          <t>WS Game Company Monopoly Vintage Bookshelf Edition</t>
        </is>
      </c>
      <c r="E4039" s="2">
        <f>HYPERLINK("https://www.amazon.com/Winning-Solutions-21410-Monopoly-Bookshelf/dp/B01CPUJVOI/ref=sr_1_7?keywords=Boggle+Vintage+Bookshelf+Edition&amp;qid=1695565999&amp;sr=8-7", "https://www.amazon.com/Winning-Solutions-21410-Monopoly-Bookshelf/dp/B01CPUJVOI/ref=sr_1_7?keywords=Boggle+Vintage+Bookshelf+Edition&amp;qid=1695565999&amp;sr=8-7")</f>
        <v/>
      </c>
      <c r="F4039" t="inlineStr">
        <is>
          <t>B01CPUJVOI</t>
        </is>
      </c>
      <c r="G4039">
        <f>_xlfn.IMAGE("https://faoschwarz.com/cdn/shop/products/ws-game-company-games-boggle-vintage-bookshelf-edition-28900042145879_1080x.jpg?v=1655993676")</f>
        <v/>
      </c>
      <c r="H4039">
        <f>_xlfn.IMAGE("https://m.media-amazon.com/images/I/71elDkuW9UL._AC_UL320_.jpg")</f>
        <v/>
      </c>
      <c r="K4039" t="inlineStr">
        <is>
          <t>40.0</t>
        </is>
      </c>
      <c r="L4039" t="n">
        <v>35</v>
      </c>
      <c r="M4039" s="1" t="inlineStr">
        <is>
          <t>-12.50%</t>
        </is>
      </c>
      <c r="N4039" t="n">
        <v>4.8</v>
      </c>
      <c r="O4039" t="n">
        <v>1124</v>
      </c>
      <c r="Q4039" t="inlineStr">
        <is>
          <t>InStock</t>
        </is>
      </c>
      <c r="R4039" t="inlineStr">
        <is>
          <t>undefined</t>
        </is>
      </c>
      <c r="S4039" t="inlineStr">
        <is>
          <t>6715353366615</t>
        </is>
      </c>
    </row>
    <row r="4040" ht="75" customHeight="1">
      <c r="A4040" s="2">
        <f>HYPERLINK("https://faoschwarz.com/products/boggle-vintage-bookshelf-edition", "https://faoschwarz.com/products/boggle-vintage-bookshelf-edition")</f>
        <v/>
      </c>
      <c r="B4040" s="2">
        <f>HYPERLINK("https://faoschwarz.com/products/boggle-vintage-bookshelf-edition", "https://faoschwarz.com/products/boggle-vintage-bookshelf-edition")</f>
        <v/>
      </c>
      <c r="C4040" t="inlineStr">
        <is>
          <t>Boggle Vintage Bookshelf Edition</t>
        </is>
      </c>
      <c r="D4040" t="inlineStr">
        <is>
          <t>Scattergories Vintage Bookshelf Edition</t>
        </is>
      </c>
      <c r="E4040" s="2">
        <f>HYPERLINK("https://www.amazon.com/Winning-Solutions-Scattergories-Linen-Vintage/dp/B075SD7T4S/ref=sr_1_9?keywords=Boggle+Vintage+Bookshelf+Edition&amp;qid=1695565999&amp;sr=8-9", "https://www.amazon.com/Winning-Solutions-Scattergories-Linen-Vintage/dp/B075SD7T4S/ref=sr_1_9?keywords=Boggle+Vintage+Bookshelf+Edition&amp;qid=1695565999&amp;sr=8-9")</f>
        <v/>
      </c>
      <c r="F4040" t="inlineStr">
        <is>
          <t>B075SD7T4S</t>
        </is>
      </c>
      <c r="G4040">
        <f>_xlfn.IMAGE("https://faoschwarz.com/cdn/shop/products/ws-game-company-games-boggle-vintage-bookshelf-edition-28900042145879_1080x.jpg?v=1655993676")</f>
        <v/>
      </c>
      <c r="H4040">
        <f>_xlfn.IMAGE("https://m.media-amazon.com/images/I/91EVC5kAH1L._AC_UL320_.jpg")</f>
        <v/>
      </c>
      <c r="K4040" t="inlineStr">
        <is>
          <t>40.0</t>
        </is>
      </c>
      <c r="L4040" t="n">
        <v>34.27</v>
      </c>
      <c r="M4040" s="1" t="inlineStr">
        <is>
          <t>-14.32%</t>
        </is>
      </c>
      <c r="N4040" t="n">
        <v>4.8</v>
      </c>
      <c r="O4040" t="n">
        <v>391</v>
      </c>
      <c r="Q4040" t="inlineStr">
        <is>
          <t>InStock</t>
        </is>
      </c>
      <c r="R4040" t="inlineStr">
        <is>
          <t>undefined</t>
        </is>
      </c>
      <c r="S4040" t="inlineStr">
        <is>
          <t>6715353366615</t>
        </is>
      </c>
    </row>
    <row r="4041" ht="75" customHeight="1">
      <c r="A4041" s="2">
        <f>HYPERLINK("https://faoschwarz.com/products/bunny-hop-mixer-wooden-pretend-cooking-set", "https://faoschwarz.com/products/bunny-hop-mixer-wooden-pretend-cooking-set")</f>
        <v/>
      </c>
      <c r="B4041" s="2">
        <f>HYPERLINK("https://faoschwarz.com/products/bunny-hop-mixer-wooden-pretend-cooking-set", "https://faoschwarz.com/products/bunny-hop-mixer-wooden-pretend-cooking-set")</f>
        <v/>
      </c>
      <c r="C4041" t="inlineStr">
        <is>
          <t>Bunny Hop Mixer Wooden Pretend Cooking Set</t>
        </is>
      </c>
      <c r="D4041" t="inlineStr">
        <is>
          <t>New Classic Toys Wooden Mixer Set Pretend Play Toy for Kids Cooking Simulation Educational Toys and Color Perception Toy for Preschool Age Toddlers Boys Girls , Red,White</t>
        </is>
      </c>
      <c r="E4041" s="2">
        <f>HYPERLINK("https://www.amazon.com/Simulation-Educational-Perception-Preschool-Toddlers/dp/B07C7B866H/ref=sr_1_3?keywords=Bunny+Hop+Mixer+Wooden+Pretend+Cooking+Set&amp;qid=1695565940&amp;sr=8-3", "https://www.amazon.com/Simulation-Educational-Perception-Preschool-Toddlers/dp/B07C7B866H/ref=sr_1_3?keywords=Bunny+Hop+Mixer+Wooden+Pretend+Cooking+Set&amp;qid=1695565940&amp;sr=8-3")</f>
        <v/>
      </c>
      <c r="F4041" t="inlineStr">
        <is>
          <t>B07C7B866H</t>
        </is>
      </c>
      <c r="G4041">
        <f>_xlfn.IMAGE("https://faoschwarz.com/cdn/shop/products/manhattan-toy-preschool-bunny-hop-mixer-wooden-pretend-cooking-set-29530476314711_1080x.jpg?v=1664229420")</f>
        <v/>
      </c>
      <c r="H4041">
        <f>_xlfn.IMAGE("https://m.media-amazon.com/images/I/61JBl2ikg3L._AC_UL320_.jpg")</f>
        <v/>
      </c>
      <c r="K4041" t="inlineStr">
        <is>
          <t>48.0</t>
        </is>
      </c>
      <c r="L4041" t="n">
        <v>39.99</v>
      </c>
      <c r="M4041" s="1" t="inlineStr">
        <is>
          <t>-16.69%</t>
        </is>
      </c>
      <c r="N4041" t="n">
        <v>4.8</v>
      </c>
      <c r="O4041" t="n">
        <v>494</v>
      </c>
      <c r="Q4041" t="inlineStr">
        <is>
          <t>InStock</t>
        </is>
      </c>
      <c r="R4041" t="inlineStr">
        <is>
          <t>undefined</t>
        </is>
      </c>
      <c r="S4041" t="inlineStr">
        <is>
          <t>6807961206871</t>
        </is>
      </c>
    </row>
    <row r="4042" ht="75" customHeight="1">
      <c r="A4042" s="2">
        <f>HYPERLINK("https://faoschwarz.com/products/bunny-hop-mixer-wooden-pretend-cooking-set", "https://faoschwarz.com/products/bunny-hop-mixer-wooden-pretend-cooking-set")</f>
        <v/>
      </c>
      <c r="B4042" s="2">
        <f>HYPERLINK("https://faoschwarz.com/products/bunny-hop-mixer-wooden-pretend-cooking-set", "https://faoschwarz.com/products/bunny-hop-mixer-wooden-pretend-cooking-set")</f>
        <v/>
      </c>
      <c r="C4042" t="inlineStr">
        <is>
          <t>Bunny Hop Mixer Wooden Pretend Cooking Set</t>
        </is>
      </c>
      <c r="D4042" t="inlineStr">
        <is>
          <t>Manhattan Toy Bunny Hop Mixer Toddler &amp; Kids Pretend Play Cooking Toy Set</t>
        </is>
      </c>
      <c r="E4042" s="2">
        <f>HYPERLINK("https://www.amazon.com/Manhattan-Toy-Toddler-Pretend-Cooking/dp/B0916C256N/ref=sr_1_1?keywords=Bunny+Hop+Mixer+Wooden+Pretend+Cooking+Set&amp;qid=1695565940&amp;sr=8-1", "https://www.amazon.com/Manhattan-Toy-Toddler-Pretend-Cooking/dp/B0916C256N/ref=sr_1_1?keywords=Bunny+Hop+Mixer+Wooden+Pretend+Cooking+Set&amp;qid=1695565940&amp;sr=8-1")</f>
        <v/>
      </c>
      <c r="F4042" t="inlineStr">
        <is>
          <t>B0916C256N</t>
        </is>
      </c>
      <c r="G4042">
        <f>_xlfn.IMAGE("https://faoschwarz.com/cdn/shop/products/manhattan-toy-preschool-bunny-hop-mixer-wooden-pretend-cooking-set-29530476314711_1080x.jpg?v=1664229420")</f>
        <v/>
      </c>
      <c r="H4042">
        <f>_xlfn.IMAGE("https://m.media-amazon.com/images/I/81U-HYWk-wL._AC_UL320_.jpg")</f>
        <v/>
      </c>
      <c r="K4042" t="inlineStr">
        <is>
          <t>48.0</t>
        </is>
      </c>
      <c r="L4042" t="n">
        <v>33.95</v>
      </c>
      <c r="M4042" s="1" t="inlineStr">
        <is>
          <t>-29.27%</t>
        </is>
      </c>
      <c r="N4042" t="n">
        <v>4.8</v>
      </c>
      <c r="O4042" t="n">
        <v>62</v>
      </c>
      <c r="Q4042" t="inlineStr">
        <is>
          <t>InStock</t>
        </is>
      </c>
      <c r="R4042" t="inlineStr">
        <is>
          <t>undefined</t>
        </is>
      </c>
      <c r="S4042" t="inlineStr">
        <is>
          <t>6807961206871</t>
        </is>
      </c>
    </row>
    <row r="4043" ht="75" customHeight="1">
      <c r="A4043" s="2">
        <f>HYPERLINK("https://faoschwarz.com/products/bunny-hop-mixer-wooden-pretend-cooking-set", "https://faoschwarz.com/products/bunny-hop-mixer-wooden-pretend-cooking-set")</f>
        <v/>
      </c>
      <c r="B4043" s="2">
        <f>HYPERLINK("https://faoschwarz.com/products/bunny-hop-mixer-wooden-pretend-cooking-set", "https://faoschwarz.com/products/bunny-hop-mixer-wooden-pretend-cooking-set")</f>
        <v/>
      </c>
      <c r="C4043" t="inlineStr">
        <is>
          <t>Bunny Hop Mixer Wooden Pretend Cooking Set</t>
        </is>
      </c>
      <c r="D4043" t="inlineStr">
        <is>
          <t>MONT PLEASANT Play Kitchen Accessories, Pretend Play Food Sets for Kids Kitchen, Wooden Toy Mixer Set, Blender Bake Cookies Playset Cooking Kitchen Accessories Toys for Boys Girls Ages 3+</t>
        </is>
      </c>
      <c r="E4043" s="2">
        <f>HYPERLINK("https://www.amazon.com/MONT-PLEASANT-Kitchen-Accessories-Pretend/dp/B0BY4BSSVG/ref=sr_1_2?keywords=Bunny+Hop+Mixer+Wooden+Pretend+Cooking+Set&amp;qid=1695565940&amp;sr=8-2", "https://www.amazon.com/MONT-PLEASANT-Kitchen-Accessories-Pretend/dp/B0BY4BSSVG/ref=sr_1_2?keywords=Bunny+Hop+Mixer+Wooden+Pretend+Cooking+Set&amp;qid=1695565940&amp;sr=8-2")</f>
        <v/>
      </c>
      <c r="F4043" t="inlineStr">
        <is>
          <t>B0BY4BSSVG</t>
        </is>
      </c>
      <c r="G4043">
        <f>_xlfn.IMAGE("https://faoschwarz.com/cdn/shop/products/manhattan-toy-preschool-bunny-hop-mixer-wooden-pretend-cooking-set-29530476314711_1080x.jpg?v=1664229420")</f>
        <v/>
      </c>
      <c r="H4043">
        <f>_xlfn.IMAGE("https://m.media-amazon.com/images/I/51OdGDYBUUL._AC_UL320_.jpg")</f>
        <v/>
      </c>
      <c r="K4043" t="inlineStr">
        <is>
          <t>48.0</t>
        </is>
      </c>
      <c r="L4043" t="n">
        <v>29.99</v>
      </c>
      <c r="M4043" s="1" t="inlineStr">
        <is>
          <t>-37.52%</t>
        </is>
      </c>
      <c r="N4043" t="n">
        <v>5</v>
      </c>
      <c r="O4043" t="n">
        <v>1</v>
      </c>
      <c r="Q4043" t="inlineStr">
        <is>
          <t>InStock</t>
        </is>
      </c>
      <c r="R4043" t="inlineStr">
        <is>
          <t>undefined</t>
        </is>
      </c>
      <c r="S4043" t="inlineStr">
        <is>
          <t>6807961206871</t>
        </is>
      </c>
    </row>
    <row r="4044" ht="75" customHeight="1">
      <c r="A4044" s="2">
        <f>HYPERLINK("https://faoschwarz.com/products/bunny-hop-mixer-wooden-pretend-cooking-set", "https://faoschwarz.com/products/bunny-hop-mixer-wooden-pretend-cooking-set")</f>
        <v/>
      </c>
      <c r="B4044" s="2">
        <f>HYPERLINK("https://faoschwarz.com/products/bunny-hop-mixer-wooden-pretend-cooking-set", "https://faoschwarz.com/products/bunny-hop-mixer-wooden-pretend-cooking-set")</f>
        <v/>
      </c>
      <c r="C4044" t="inlineStr">
        <is>
          <t>Bunny Hop Mixer Wooden Pretend Cooking Set</t>
        </is>
      </c>
      <c r="D4044" t="inlineStr">
        <is>
          <t>BESTING Wooden Blender Toys Set with Kitchen Accessories Mixer Toy Pretend Play Game Interactive Food Cookies Rolling Pins Play Set for Kids Entertainment Cooking Simulation Education Gift(LT334)</t>
        </is>
      </c>
      <c r="E4044" s="2">
        <f>HYPERLINK("https://www.amazon.com/BESTING-Blender-Accessories-Entertainment-Education/dp/B0B3XM2772/ref=sr_1_8?keywords=Bunny+Hop+Mixer+Wooden+Pretend+Cooking+Set&amp;qid=1695565940&amp;sr=8-8", "https://www.amazon.com/BESTING-Blender-Accessories-Entertainment-Education/dp/B0B3XM2772/ref=sr_1_8?keywords=Bunny+Hop+Mixer+Wooden+Pretend+Cooking+Set&amp;qid=1695565940&amp;sr=8-8")</f>
        <v/>
      </c>
      <c r="F4044" t="inlineStr">
        <is>
          <t>B0B3XM2772</t>
        </is>
      </c>
      <c r="G4044">
        <f>_xlfn.IMAGE("https://faoschwarz.com/cdn/shop/products/manhattan-toy-preschool-bunny-hop-mixer-wooden-pretend-cooking-set-29530476314711_1080x.jpg?v=1664229420")</f>
        <v/>
      </c>
      <c r="H4044">
        <f>_xlfn.IMAGE("https://m.media-amazon.com/images/I/61OGCRMRJcL._AC_UL320_.jpg")</f>
        <v/>
      </c>
      <c r="K4044" t="inlineStr">
        <is>
          <t>48.0</t>
        </is>
      </c>
      <c r="L4044" t="n">
        <v>15.99</v>
      </c>
      <c r="M4044" s="1" t="inlineStr">
        <is>
          <t>-66.69%</t>
        </is>
      </c>
      <c r="N4044" t="n">
        <v>4.2</v>
      </c>
      <c r="O4044" t="n">
        <v>15</v>
      </c>
      <c r="Q4044" t="inlineStr">
        <is>
          <t>InStock</t>
        </is>
      </c>
      <c r="R4044" t="inlineStr">
        <is>
          <t>undefined</t>
        </is>
      </c>
      <c r="S4044" t="inlineStr">
        <is>
          <t>6807961206871</t>
        </is>
      </c>
    </row>
    <row r="4045" ht="75" customHeight="1">
      <c r="A4045" s="2">
        <f>HYPERLINK("https://faoschwarz.com/products/candy-land-nostalgia-tin", "https://faoschwarz.com/products/candy-land-nostalgia-tin")</f>
        <v/>
      </c>
      <c r="B4045" s="2">
        <f>HYPERLINK("https://faoschwarz.com/products/candy-land-nostalgia-tin", "https://faoschwarz.com/products/candy-land-nostalgia-tin")</f>
        <v/>
      </c>
      <c r="C4045" t="inlineStr">
        <is>
          <t>Candy Land Nostalgia Tin</t>
        </is>
      </c>
      <c r="D4045" t="inlineStr">
        <is>
          <t>WS Game Company Candy Land Nostalgia Edition in Collectible Tin</t>
        </is>
      </c>
      <c r="E4045" s="2">
        <f>HYPERLINK("https://www.amazon.com/Candyland-Nostalgia-Collectors-Winning-Solutions/dp/B0065M962A/ref=sr_1_2?keywords=Candy+Land+Nostalgia+Tin&amp;qid=1695566002&amp;sr=8-2", "https://www.amazon.com/Candyland-Nostalgia-Collectors-Winning-Solutions/dp/B0065M962A/ref=sr_1_2?keywords=Candy+Land+Nostalgia+Tin&amp;qid=1695566002&amp;sr=8-2")</f>
        <v/>
      </c>
      <c r="F4045" t="inlineStr">
        <is>
          <t>B0065M962A</t>
        </is>
      </c>
      <c r="G4045">
        <f>_xlfn.IMAGE("https://faoschwarz.com/cdn/shop/products/ws-game-company-games-candy-land-nostalgia-tin-28896814039127_1080x.jpg?v=1655985020")</f>
        <v/>
      </c>
      <c r="H4045">
        <f>_xlfn.IMAGE("https://m.media-amazon.com/images/I/81uxY355yoL._AC_UL320_.jpg")</f>
        <v/>
      </c>
      <c r="K4045" t="inlineStr">
        <is>
          <t>35.0</t>
        </is>
      </c>
      <c r="L4045" t="n">
        <v>26.99</v>
      </c>
      <c r="M4045" s="1" t="inlineStr">
        <is>
          <t>-22.89%</t>
        </is>
      </c>
      <c r="N4045" t="n">
        <v>4.8</v>
      </c>
      <c r="O4045" t="n">
        <v>287</v>
      </c>
      <c r="Q4045" t="inlineStr">
        <is>
          <t>InStock</t>
        </is>
      </c>
      <c r="R4045" t="inlineStr">
        <is>
          <t>undefined</t>
        </is>
      </c>
      <c r="S4045" t="inlineStr">
        <is>
          <t>6715354021975</t>
        </is>
      </c>
    </row>
    <row r="4046" ht="75" customHeight="1">
      <c r="A4046" s="2">
        <f>HYPERLINK("https://faoschwarz.com/products/candy-land-nostalgia-tin", "https://faoschwarz.com/products/candy-land-nostalgia-tin")</f>
        <v/>
      </c>
      <c r="B4046" s="2">
        <f>HYPERLINK("https://faoschwarz.com/products/candy-land-nostalgia-tin", "https://faoschwarz.com/products/candy-land-nostalgia-tin")</f>
        <v/>
      </c>
      <c r="C4046" t="inlineStr">
        <is>
          <t>Candy Land Nostalgia Tin</t>
        </is>
      </c>
      <c r="D4046" t="inlineStr">
        <is>
          <t>WS Game Company Candy Land Nostalgia Edition in Collectible Tin</t>
        </is>
      </c>
      <c r="E4046" s="2">
        <f>HYPERLINK("https://www.amazon.com/Candyland-Nostalgia-Collectors-Winning-Solutions/dp/B0065M962A/ref=sr_1_2?keywords=Candy+Land+Nostalgia+Tin&amp;qid=1695566002&amp;sr=8-2", "https://www.amazon.com/Candyland-Nostalgia-Collectors-Winning-Solutions/dp/B0065M962A/ref=sr_1_2?keywords=Candy+Land+Nostalgia+Tin&amp;qid=1695566002&amp;sr=8-2")</f>
        <v/>
      </c>
      <c r="F4046" t="inlineStr">
        <is>
          <t>B0065M962A</t>
        </is>
      </c>
      <c r="G4046">
        <f>_xlfn.IMAGE("https://faoschwarz.com/cdn/shop/products/ws-game-company-games-candy-land-nostalgia-tin-28896814039127_1080x.jpg?v=1655985020")</f>
        <v/>
      </c>
      <c r="H4046">
        <f>_xlfn.IMAGE("https://m.media-amazon.com/images/I/81uxY355yoL._AC_UL320_.jpg")</f>
        <v/>
      </c>
      <c r="K4046" t="inlineStr">
        <is>
          <t>35.0</t>
        </is>
      </c>
      <c r="L4046" t="n">
        <v>26.99</v>
      </c>
      <c r="M4046" s="1" t="inlineStr">
        <is>
          <t>-22.89%</t>
        </is>
      </c>
      <c r="N4046" t="n">
        <v>4.8</v>
      </c>
      <c r="O4046" t="n">
        <v>287</v>
      </c>
      <c r="Q4046" t="inlineStr">
        <is>
          <t>InStock</t>
        </is>
      </c>
      <c r="R4046" t="inlineStr">
        <is>
          <t>undefined</t>
        </is>
      </c>
      <c r="S4046" t="inlineStr">
        <is>
          <t>6715354021975</t>
        </is>
      </c>
    </row>
    <row r="4047" ht="75" customHeight="1">
      <c r="A4047" s="2">
        <f>HYPERLINK("https://faoschwarz.com/products/candy-land-vintage-bookshelf-edition", "https://faoschwarz.com/products/candy-land-vintage-bookshelf-edition")</f>
        <v/>
      </c>
      <c r="B4047" s="2">
        <f>HYPERLINK("https://faoschwarz.com/products/candy-land-vintage-bookshelf-edition", "https://faoschwarz.com/products/candy-land-vintage-bookshelf-edition")</f>
        <v/>
      </c>
      <c r="C4047" t="inlineStr">
        <is>
          <t>Candy Land Vintage Bookshelf Edition</t>
        </is>
      </c>
      <c r="D4047" t="inlineStr">
        <is>
          <t>WS Game Company Candy Land Vintage Bookshelf Edition</t>
        </is>
      </c>
      <c r="E4047" s="2">
        <f>HYPERLINK("https://www.amazon.com/WS-Game-Company-Vintage-Bookshelf/dp/B0844NRKT3/ref=sr_1_1?keywords=Candy+Land+Vintage+Bookshelf+Edition&amp;qid=1695566003&amp;sr=8-1", "https://www.amazon.com/WS-Game-Company-Vintage-Bookshelf/dp/B0844NRKT3/ref=sr_1_1?keywords=Candy+Land+Vintage+Bookshelf+Edition&amp;qid=1695566003&amp;sr=8-1")</f>
        <v/>
      </c>
      <c r="F4047" t="inlineStr">
        <is>
          <t>B0844NRKT3</t>
        </is>
      </c>
      <c r="G4047">
        <f>_xlfn.IMAGE("https://faoschwarz.com/cdn/shop/products/ws-game-company-games-candy-land-vintage-bookshelf-edition-29077171798103_1080x.jpg?v=1655945360")</f>
        <v/>
      </c>
      <c r="H4047">
        <f>_xlfn.IMAGE("https://m.media-amazon.com/images/I/915Jx+kTAuL._AC_UL320_.jpg")</f>
        <v/>
      </c>
      <c r="K4047" t="inlineStr">
        <is>
          <t>40.0</t>
        </is>
      </c>
      <c r="L4047" t="n">
        <v>27.56</v>
      </c>
      <c r="M4047" s="1" t="inlineStr">
        <is>
          <t>-31.10%</t>
        </is>
      </c>
      <c r="N4047" t="n">
        <v>4.9</v>
      </c>
      <c r="O4047" t="n">
        <v>298</v>
      </c>
      <c r="Q4047" t="inlineStr">
        <is>
          <t>InStock</t>
        </is>
      </c>
      <c r="R4047" t="inlineStr">
        <is>
          <t>undefined</t>
        </is>
      </c>
      <c r="S4047" t="inlineStr">
        <is>
          <t>6715353661527</t>
        </is>
      </c>
    </row>
    <row r="4048" ht="75" customHeight="1">
      <c r="A4048" s="2">
        <f>HYPERLINK("https://faoschwarz.com/products/candy-land-vintage-bookshelf-edition", "https://faoschwarz.com/products/candy-land-vintage-bookshelf-edition")</f>
        <v/>
      </c>
      <c r="B4048" s="2">
        <f>HYPERLINK("https://faoschwarz.com/products/candy-land-vintage-bookshelf-edition", "https://faoschwarz.com/products/candy-land-vintage-bookshelf-edition")</f>
        <v/>
      </c>
      <c r="C4048" t="inlineStr">
        <is>
          <t>Candy Land Vintage Bookshelf Edition</t>
        </is>
      </c>
      <c r="D4048" t="inlineStr">
        <is>
          <t>WS Game Company Candy Land Vintage Bookshelf Edition</t>
        </is>
      </c>
      <c r="E4048" s="2">
        <f>HYPERLINK("https://www.amazon.com/WS-Game-Company-Vintage-Bookshelf/dp/B0844NRKT3/ref=sr_1_1?keywords=Candy+Land+Vintage+Bookshelf+Edition&amp;qid=1695566003&amp;sr=8-1", "https://www.amazon.com/WS-Game-Company-Vintage-Bookshelf/dp/B0844NRKT3/ref=sr_1_1?keywords=Candy+Land+Vintage+Bookshelf+Edition&amp;qid=1695566003&amp;sr=8-1")</f>
        <v/>
      </c>
      <c r="F4048" t="inlineStr">
        <is>
          <t>B0844NRKT3</t>
        </is>
      </c>
      <c r="G4048">
        <f>_xlfn.IMAGE("https://faoschwarz.com/cdn/shop/products/ws-game-company-games-candy-land-vintage-bookshelf-edition-29077171798103_1080x.jpg?v=1655945360")</f>
        <v/>
      </c>
      <c r="H4048">
        <f>_xlfn.IMAGE("https://m.media-amazon.com/images/I/915Jx+kTAuL._AC_UL320_.jpg")</f>
        <v/>
      </c>
      <c r="K4048" t="inlineStr">
        <is>
          <t>40.0</t>
        </is>
      </c>
      <c r="L4048" t="n">
        <v>27.56</v>
      </c>
      <c r="M4048" s="1" t="inlineStr">
        <is>
          <t>-31.10%</t>
        </is>
      </c>
      <c r="N4048" t="n">
        <v>4.9</v>
      </c>
      <c r="O4048" t="n">
        <v>298</v>
      </c>
      <c r="Q4048" t="inlineStr">
        <is>
          <t>InStock</t>
        </is>
      </c>
      <c r="R4048" t="inlineStr">
        <is>
          <t>undefined</t>
        </is>
      </c>
      <c r="S4048" t="inlineStr">
        <is>
          <t>6715353661527</t>
        </is>
      </c>
    </row>
    <row r="4049" ht="75" customHeight="1">
      <c r="A4049" s="2">
        <f>HYPERLINK("https://faoschwarz.com/products/car-bruno-roadster-red", "https://faoschwarz.com/products/car-bruno-roadster-red")</f>
        <v/>
      </c>
      <c r="B4049" s="2">
        <f>HYPERLINK("https://faoschwarz.com/products/car-bruno-roadster-red", "https://faoschwarz.com/products/car-bruno-roadster-red")</f>
        <v/>
      </c>
      <c r="C4049" t="inlineStr">
        <is>
          <t>Bruno Roadster Car Toy - Red</t>
        </is>
      </c>
      <c r="D4049" t="inlineStr">
        <is>
          <t>Jada Toys Disney Junior Mickey Mouse Clubhouse Roadster RC Car Red, 7"</t>
        </is>
      </c>
      <c r="E4049" s="2">
        <f>HYPERLINK("https://www.amazon.com/Jada-Clubhouse-Roadster-Control-Vehicle/dp/B00GM1R5O0/ref=sr_1_2?keywords=Bruno+Roadster+Car+Toy+-+Red&amp;qid=1695565946&amp;sr=8-2", "https://www.amazon.com/Jada-Clubhouse-Roadster-Control-Vehicle/dp/B00GM1R5O0/ref=sr_1_2?keywords=Bruno+Roadster+Car+Toy+-+Red&amp;qid=1695565946&amp;sr=8-2")</f>
        <v/>
      </c>
      <c r="F4049" t="inlineStr">
        <is>
          <t>B00GM1R5O0</t>
        </is>
      </c>
      <c r="G4049">
        <f>_xlfn.IMAGE("https://faoschwarz.com/cdn/shop/products/playforever-vehicles-bruno-roadster-car-toy-red-29449277046871_1080x.jpg?v=1664355183")</f>
        <v/>
      </c>
      <c r="H4049">
        <f>_xlfn.IMAGE("https://m.media-amazon.com/images/I/71JxuG6DHmL._AC_UL320_.jpg")</f>
        <v/>
      </c>
      <c r="K4049" t="inlineStr">
        <is>
          <t>75.0</t>
        </is>
      </c>
      <c r="L4049" t="n">
        <v>15.39</v>
      </c>
      <c r="M4049" s="1" t="inlineStr">
        <is>
          <t>-79.48%</t>
        </is>
      </c>
      <c r="N4049" t="n">
        <v>4.5</v>
      </c>
      <c r="O4049" t="n">
        <v>2940</v>
      </c>
      <c r="Q4049" t="inlineStr">
        <is>
          <t>InStock</t>
        </is>
      </c>
      <c r="R4049" t="inlineStr">
        <is>
          <t>undefined</t>
        </is>
      </c>
      <c r="S4049" t="inlineStr">
        <is>
          <t>6792967684183</t>
        </is>
      </c>
    </row>
    <row r="4050" ht="75" customHeight="1">
      <c r="A4050" s="2">
        <f>HYPERLINK("https://faoschwarz.com/products/car-maverick-heat-shadow-black", "https://faoschwarz.com/products/car-maverick-heat-shadow-black")</f>
        <v/>
      </c>
      <c r="B4050" s="2">
        <f>HYPERLINK("https://faoschwarz.com/products/car-maverick-heat-shadow-black", "https://faoschwarz.com/products/car-maverick-heat-shadow-black")</f>
        <v/>
      </c>
      <c r="C4050" t="inlineStr">
        <is>
          <t>Maverick Heat Police Car Toy - Black</t>
        </is>
      </c>
      <c r="D4050" t="inlineStr">
        <is>
          <t>BDTCTK 1/36 GT Police Car Model Zinc Alloy Die-Cast Pull Back Vehicles Kid Toys for Boy Girl Gift (Black)</t>
        </is>
      </c>
      <c r="E4050" s="2">
        <f>HYPERLINK("https://www.amazon.com/BDTCTK-Mustang-Police-Die-Cast-Vehicles/dp/B08889CD62/ref=sr_1_8?keywords=Maverick+Heat+Police+Car+Toy+-+Black&amp;qid=1695565935&amp;sr=8-8", "https://www.amazon.com/BDTCTK-Mustang-Police-Die-Cast-Vehicles/dp/B08889CD62/ref=sr_1_8?keywords=Maverick+Heat+Police+Car+Toy+-+Black&amp;qid=1695565935&amp;sr=8-8")</f>
        <v/>
      </c>
      <c r="F4050" t="inlineStr">
        <is>
          <t>B08889CD62</t>
        </is>
      </c>
      <c r="G4050">
        <f>_xlfn.IMAGE("https://faoschwarz.com/cdn/shop/products/playforever-vehicles-maverick-heat-police-car-toy-black-29448114143319_1080x.jpg?v=1664207850")</f>
        <v/>
      </c>
      <c r="H4050">
        <f>_xlfn.IMAGE("https://m.media-amazon.com/images/I/51+q3DR0WHL._AC_UL320_.jpg")</f>
        <v/>
      </c>
      <c r="K4050" t="inlineStr">
        <is>
          <t>60.0</t>
        </is>
      </c>
      <c r="L4050" t="n">
        <v>13.99</v>
      </c>
      <c r="M4050" s="1" t="inlineStr">
        <is>
          <t>-76.68%</t>
        </is>
      </c>
      <c r="N4050" t="n">
        <v>4.4</v>
      </c>
      <c r="O4050" t="n">
        <v>202</v>
      </c>
      <c r="Q4050" t="inlineStr">
        <is>
          <t>InStock</t>
        </is>
      </c>
      <c r="R4050" t="inlineStr">
        <is>
          <t>undefined</t>
        </is>
      </c>
      <c r="S4050" t="inlineStr">
        <is>
          <t>6792967258199</t>
        </is>
      </c>
    </row>
    <row r="4051" ht="75" customHeight="1">
      <c r="A4051" s="2">
        <f>HYPERLINK("https://faoschwarz.com/products/car-maverick-heat-shadow-black", "https://faoschwarz.com/products/car-maverick-heat-shadow-black")</f>
        <v/>
      </c>
      <c r="B4051" s="2">
        <f>HYPERLINK("https://faoschwarz.com/products/car-maverick-heat-shadow-black", "https://faoschwarz.com/products/car-maverick-heat-shadow-black")</f>
        <v/>
      </c>
      <c r="C4051" t="inlineStr">
        <is>
          <t>Maverick Heat Police Car Toy - Black</t>
        </is>
      </c>
      <c r="D4051" t="inlineStr">
        <is>
          <t>KiNSMART 2015 Ford Mustang GT Police, Black 5386DP - 1/38 Scale Diecast Model Toy Car but NO Box</t>
        </is>
      </c>
      <c r="E4051" s="2">
        <f>HYPERLINK("https://www.amazon.com/Kinsmart-Mustang-Police-Black-5386DP/dp/B07BFD5HQK/ref=sr_1_6?keywords=Maverick+Heat+Police+Car+Toy+-+Black&amp;qid=1695565935&amp;sr=8-6", "https://www.amazon.com/Kinsmart-Mustang-Police-Black-5386DP/dp/B07BFD5HQK/ref=sr_1_6?keywords=Maverick+Heat+Police+Car+Toy+-+Black&amp;qid=1695565935&amp;sr=8-6")</f>
        <v/>
      </c>
      <c r="F4051" t="inlineStr">
        <is>
          <t>B07BFD5HQK</t>
        </is>
      </c>
      <c r="G4051">
        <f>_xlfn.IMAGE("https://faoschwarz.com/cdn/shop/products/playforever-vehicles-maverick-heat-police-car-toy-black-29448114143319_1080x.jpg?v=1664207850")</f>
        <v/>
      </c>
      <c r="H4051">
        <f>_xlfn.IMAGE("https://m.media-amazon.com/images/I/51i7rRK-PqL._AC_UL320_.jpg")</f>
        <v/>
      </c>
      <c r="K4051" t="inlineStr">
        <is>
          <t>60.0</t>
        </is>
      </c>
      <c r="L4051" t="n">
        <v>9.949999999999999</v>
      </c>
      <c r="M4051" s="1" t="inlineStr">
        <is>
          <t>-83.42%</t>
        </is>
      </c>
      <c r="N4051" t="n">
        <v>4.3</v>
      </c>
      <c r="O4051" t="n">
        <v>166</v>
      </c>
      <c r="Q4051" t="inlineStr">
        <is>
          <t>InStock</t>
        </is>
      </c>
      <c r="R4051" t="inlineStr">
        <is>
          <t>undefined</t>
        </is>
      </c>
      <c r="S4051" t="inlineStr">
        <is>
          <t>6792967258199</t>
        </is>
      </c>
    </row>
    <row r="4052" ht="75" customHeight="1">
      <c r="A4052" s="2">
        <f>HYPERLINK("https://faoschwarz.com/products/car-mini-speedy-le-mans-blue", "https://faoschwarz.com/products/car-mini-speedy-le-mans-blue")</f>
        <v/>
      </c>
      <c r="B4052" s="2">
        <f>HYPERLINK("https://faoschwarz.com/products/car-mini-speedy-le-mans-blue", "https://faoschwarz.com/products/car-mini-speedy-le-mans-blue")</f>
        <v/>
      </c>
      <c r="C4052" t="inlineStr">
        <is>
          <t>Mini Speedy Le Mans Car Toy - Blue</t>
        </is>
      </c>
      <c r="D4052" t="inlineStr">
        <is>
          <t>Force1 Whirler 360 Stunt Car Mini RC Car for Kids - Fast Remote Control Mini Stunt Car 5 Wheels LEDs 360 Flips Standing Rotating Small RC Car 2.4 GHZ Remote Control Car Toy for Boys Girls (Blue/Red)</t>
        </is>
      </c>
      <c r="E4052" s="2">
        <f>HYPERLINK("https://www.amazon.com/Force1-Whirler-Stunt-Mini-Kids/dp/B0B3TZ6H1D/ref=sr_1_1?keywords=Mini+Speedy+Le+Mans+Car+Toy+-+Blue&amp;qid=1695565936&amp;sr=8-1", "https://www.amazon.com/Force1-Whirler-Stunt-Mini-Kids/dp/B0B3TZ6H1D/ref=sr_1_1?keywords=Mini+Speedy+Le+Mans+Car+Toy+-+Blue&amp;qid=1695565936&amp;sr=8-1")</f>
        <v/>
      </c>
      <c r="F4052" t="inlineStr">
        <is>
          <t>B0B3TZ6H1D</t>
        </is>
      </c>
      <c r="G4052">
        <f>_xlfn.IMAGE("https://faoschwarz.com/cdn/shop/products/playforever-vehicles-mini-speedy-le-mans-car-toy-blue-29448229158999_1080x.jpg?v=1664207846")</f>
        <v/>
      </c>
      <c r="H4052">
        <f>_xlfn.IMAGE("https://m.media-amazon.com/images/I/816OmD3y9jL._AC_UL320_.jpg")</f>
        <v/>
      </c>
      <c r="K4052" t="inlineStr">
        <is>
          <t>45.0</t>
        </is>
      </c>
      <c r="L4052" t="n">
        <v>15.99</v>
      </c>
      <c r="M4052" s="1" t="inlineStr">
        <is>
          <t>-64.47%</t>
        </is>
      </c>
      <c r="N4052" t="n">
        <v>4.4</v>
      </c>
      <c r="O4052" t="n">
        <v>677</v>
      </c>
      <c r="Q4052" t="inlineStr">
        <is>
          <t>InStock</t>
        </is>
      </c>
      <c r="R4052" t="inlineStr">
        <is>
          <t>undefined</t>
        </is>
      </c>
      <c r="S4052" t="inlineStr">
        <is>
          <t>6792967454807</t>
        </is>
      </c>
    </row>
    <row r="4053" ht="75" customHeight="1">
      <c r="A4053" s="2">
        <f>HYPERLINK("https://faoschwarz.com/products/carrom-board-black", "https://faoschwarz.com/products/carrom-board-black")</f>
        <v/>
      </c>
      <c r="B4053" s="2">
        <f>HYPERLINK("https://faoschwarz.com/products/carrom-board-black", "https://faoschwarz.com/products/carrom-board-black")</f>
        <v/>
      </c>
      <c r="C4053" t="inlineStr">
        <is>
          <t>Carrom Board-Black</t>
        </is>
      </c>
      <c r="D4053" t="inlineStr">
        <is>
          <t>Stag Black Carrom Board Game with Coins and Striker (Black)</t>
        </is>
      </c>
      <c r="E4053" s="2">
        <f>HYPERLINK("https://www.amazon.com/Stag-Black-Carrom-Board-Striker/dp/B091S5RS16/ref=sr_1_1?keywords=Carrom+Board-Black&amp;qid=1695566003&amp;sr=8-1", "https://www.amazon.com/Stag-Black-Carrom-Board-Striker/dp/B091S5RS16/ref=sr_1_1?keywords=Carrom+Board-Black&amp;qid=1695566003&amp;sr=8-1")</f>
        <v/>
      </c>
      <c r="F4053" t="inlineStr">
        <is>
          <t>B091S5RS16</t>
        </is>
      </c>
      <c r="G4053">
        <f>_xlfn.IMAGE("https://faoschwarz.com/cdn/shop/products/stag-games-carrom-board-black-28288050495575_1080x.jpg?v=1656259683")</f>
        <v/>
      </c>
      <c r="H4053">
        <f>_xlfn.IMAGE("https://m.media-amazon.com/images/I/61wiXzYLOaL._AC_UL320_.jpg")</f>
        <v/>
      </c>
      <c r="K4053" t="inlineStr">
        <is>
          <t>190.0</t>
        </is>
      </c>
      <c r="L4053" t="n">
        <v>177.67</v>
      </c>
      <c r="M4053" s="1" t="inlineStr">
        <is>
          <t>-6.49%</t>
        </is>
      </c>
      <c r="N4053" t="n">
        <v>3.5</v>
      </c>
      <c r="O4053" t="n">
        <v>10</v>
      </c>
      <c r="Q4053" t="inlineStr">
        <is>
          <t>InStock</t>
        </is>
      </c>
      <c r="R4053" t="inlineStr">
        <is>
          <t>undefined</t>
        </is>
      </c>
      <c r="S4053" t="inlineStr">
        <is>
          <t>6560297746519</t>
        </is>
      </c>
    </row>
    <row r="4054" ht="75" customHeight="1">
      <c r="A4054" s="2">
        <f>HYPERLINK("https://faoschwarz.com/products/carrom-board-black", "https://faoschwarz.com/products/carrom-board-black")</f>
        <v/>
      </c>
      <c r="B4054" s="2">
        <f>HYPERLINK("https://faoschwarz.com/products/carrom-board-black", "https://faoschwarz.com/products/carrom-board-black")</f>
        <v/>
      </c>
      <c r="C4054" t="inlineStr">
        <is>
          <t>Carrom Board-Black</t>
        </is>
      </c>
      <c r="D4054" t="inlineStr">
        <is>
          <t>Precise Finest 12mm Carrom Board with Coins, Striker, and Powder by Tabakh, Black</t>
        </is>
      </c>
      <c r="E4054" s="2">
        <f>HYPERLINK("https://www.amazon.com/KD-Wooden-Carrom-Striker-Powder/dp/B07BZ7QYVY/ref=sr_1_4?keywords=Carrom+Board-Black&amp;qid=1695566003&amp;sr=8-4", "https://www.amazon.com/KD-Wooden-Carrom-Striker-Powder/dp/B07BZ7QYVY/ref=sr_1_4?keywords=Carrom+Board-Black&amp;qid=1695566003&amp;sr=8-4")</f>
        <v/>
      </c>
      <c r="F4054" t="inlineStr">
        <is>
          <t>B07BZ7QYVY</t>
        </is>
      </c>
      <c r="G4054">
        <f>_xlfn.IMAGE("https://faoschwarz.com/cdn/shop/products/stag-games-carrom-board-black-28288050495575_1080x.jpg?v=1656259683")</f>
        <v/>
      </c>
      <c r="H4054">
        <f>_xlfn.IMAGE("https://m.media-amazon.com/images/I/61q+J0Hf29S._AC_UL320_.jpg")</f>
        <v/>
      </c>
      <c r="K4054" t="inlineStr">
        <is>
          <t>190.0</t>
        </is>
      </c>
      <c r="L4054" t="n">
        <v>164.99</v>
      </c>
      <c r="M4054" s="1" t="inlineStr">
        <is>
          <t>-13.16%</t>
        </is>
      </c>
      <c r="N4054" t="n">
        <v>4.2</v>
      </c>
      <c r="O4054" t="n">
        <v>45</v>
      </c>
      <c r="Q4054" t="inlineStr">
        <is>
          <t>InStock</t>
        </is>
      </c>
      <c r="R4054" t="inlineStr">
        <is>
          <t>undefined</t>
        </is>
      </c>
      <c r="S4054" t="inlineStr">
        <is>
          <t>6560297746519</t>
        </is>
      </c>
    </row>
    <row r="4055" ht="75" customHeight="1">
      <c r="A4055" s="2">
        <f>HYPERLINK("https://faoschwarz.com/products/carrom-board-black", "https://faoschwarz.com/products/carrom-board-black")</f>
        <v/>
      </c>
      <c r="B4055" s="2">
        <f>HYPERLINK("https://faoschwarz.com/products/carrom-board-black", "https://faoschwarz.com/products/carrom-board-black")</f>
        <v/>
      </c>
      <c r="C4055" t="inlineStr">
        <is>
          <t>Carrom Board-Black</t>
        </is>
      </c>
      <c r="D4055" t="inlineStr">
        <is>
          <t>Hey! Play! Carrom Board Game - Wooden Strike and Pocket Game Set with Group of Black and Beige Coins, 2 Red Queen Coins, Striker Coin, and Cue Sticks, Brown</t>
        </is>
      </c>
      <c r="E4055" s="2">
        <f>HYPERLINK("https://www.amazon.com/Classic-Striker-Hey-Play-162435CGU/dp/B09FFPS796/ref=sr_1_2?keywords=Carrom+Board-Black&amp;qid=1695566003&amp;sr=8-2", "https://www.amazon.com/Classic-Striker-Hey-Play-162435CGU/dp/B09FFPS796/ref=sr_1_2?keywords=Carrom+Board-Black&amp;qid=1695566003&amp;sr=8-2")</f>
        <v/>
      </c>
      <c r="F4055" t="inlineStr">
        <is>
          <t>B09FFPS796</t>
        </is>
      </c>
      <c r="G4055">
        <f>_xlfn.IMAGE("https://faoschwarz.com/cdn/shop/products/stag-games-carrom-board-black-28288050495575_1080x.jpg?v=1656259683")</f>
        <v/>
      </c>
      <c r="H4055">
        <f>_xlfn.IMAGE("https://m.media-amazon.com/images/I/81iQ7UJ9wDL._AC_UL320_.jpg")</f>
        <v/>
      </c>
      <c r="K4055" t="inlineStr">
        <is>
          <t>190.0</t>
        </is>
      </c>
      <c r="L4055" t="n">
        <v>65.76000000000001</v>
      </c>
      <c r="M4055" s="1" t="inlineStr">
        <is>
          <t>-65.39%</t>
        </is>
      </c>
      <c r="N4055" t="n">
        <v>3.9</v>
      </c>
      <c r="O4055" t="n">
        <v>110</v>
      </c>
      <c r="Q4055" t="inlineStr">
        <is>
          <t>InStock</t>
        </is>
      </c>
      <c r="R4055" t="inlineStr">
        <is>
          <t>undefined</t>
        </is>
      </c>
      <c r="S4055" t="inlineStr">
        <is>
          <t>6560297746519</t>
        </is>
      </c>
    </row>
    <row r="4056" ht="75" customHeight="1">
      <c r="A4056" s="2">
        <f>HYPERLINK("https://faoschwarz.com/products/carrom-board-black", "https://faoschwarz.com/products/carrom-board-black")</f>
        <v/>
      </c>
      <c r="B4056" s="2">
        <f>HYPERLINK("https://faoschwarz.com/products/carrom-board-black", "https://faoschwarz.com/products/carrom-board-black")</f>
        <v/>
      </c>
      <c r="C4056" t="inlineStr">
        <is>
          <t>Carrom Board-Black</t>
        </is>
      </c>
      <c r="D4056" t="inlineStr">
        <is>
          <t>Carrom Board Wooden Coins and Tournament Striker Professional Set, ( 24 Carrom Board Pieces + 4 Striker Random Design with Case) – White/Red/Black</t>
        </is>
      </c>
      <c r="E4056" s="2">
        <f>HYPERLINK("https://www.amazon.com/Carrom-Wooden-Tournament-Striker-Professional/dp/B089LLQZ7B/ref=sr_1_10?keywords=Carrom+Board-Black&amp;qid=1695566003&amp;sr=8-10", "https://www.amazon.com/Carrom-Wooden-Tournament-Striker-Professional/dp/B089LLQZ7B/ref=sr_1_10?keywords=Carrom+Board-Black&amp;qid=1695566003&amp;sr=8-10")</f>
        <v/>
      </c>
      <c r="F4056" t="inlineStr">
        <is>
          <t>B089LLQZ7B</t>
        </is>
      </c>
      <c r="G4056">
        <f>_xlfn.IMAGE("https://faoschwarz.com/cdn/shop/products/stag-games-carrom-board-black-28288050495575_1080x.jpg?v=1656259683")</f>
        <v/>
      </c>
      <c r="H4056">
        <f>_xlfn.IMAGE("https://m.media-amazon.com/images/I/61Bv-+NMC8L._AC_UL320_.jpg")</f>
        <v/>
      </c>
      <c r="K4056" t="inlineStr">
        <is>
          <t>190.0</t>
        </is>
      </c>
      <c r="L4056" t="n">
        <v>27</v>
      </c>
      <c r="M4056" s="1" t="inlineStr">
        <is>
          <t>-85.79%</t>
        </is>
      </c>
      <c r="N4056" t="n">
        <v>4.1</v>
      </c>
      <c r="O4056" t="n">
        <v>15</v>
      </c>
      <c r="Q4056" t="inlineStr">
        <is>
          <t>InStock</t>
        </is>
      </c>
      <c r="R4056" t="inlineStr">
        <is>
          <t>undefined</t>
        </is>
      </c>
      <c r="S4056" t="inlineStr">
        <is>
          <t>6560297746519</t>
        </is>
      </c>
    </row>
    <row r="4057" ht="75" customHeight="1">
      <c r="A4057" s="2">
        <f>HYPERLINK("https://faoschwarz.com/products/carrom-board-black", "https://faoschwarz.com/products/carrom-board-black")</f>
        <v/>
      </c>
      <c r="B4057" s="2">
        <f>HYPERLINK("https://faoschwarz.com/products/carrom-board-black", "https://faoschwarz.com/products/carrom-board-black")</f>
        <v/>
      </c>
      <c r="C4057" t="inlineStr">
        <is>
          <t>Carrom Board-Black</t>
        </is>
      </c>
      <c r="D4057" t="inlineStr">
        <is>
          <t>AnNafi® 6MM Carrom Coins Board Game with Free Simple/Printed Striker | Acrylic Carrom Coin Red, White &amp; Black Carrom Coins + Simple Carrom Striker Free| Family Indoor Game (Coins with Simple Striker)</t>
        </is>
      </c>
      <c r="E4057" s="2">
        <f>HYPERLINK("https://www.amazon.com/AnNafi-Acrylic-Carrom-Printed-Striker/dp/B097JYR36P/ref=sr_1_6?keywords=Carrom+Board-Black&amp;qid=1695566003&amp;sr=8-6", "https://www.amazon.com/AnNafi-Acrylic-Carrom-Printed-Striker/dp/B097JYR36P/ref=sr_1_6?keywords=Carrom+Board-Black&amp;qid=1695566003&amp;sr=8-6")</f>
        <v/>
      </c>
      <c r="F4057" t="inlineStr">
        <is>
          <t>B097JYR36P</t>
        </is>
      </c>
      <c r="G4057">
        <f>_xlfn.IMAGE("https://faoschwarz.com/cdn/shop/products/stag-games-carrom-board-black-28288050495575_1080x.jpg?v=1656259683")</f>
        <v/>
      </c>
      <c r="H4057">
        <f>_xlfn.IMAGE("https://m.media-amazon.com/images/I/51afCuKvHrL._AC_UL320_.jpg")</f>
        <v/>
      </c>
      <c r="K4057" t="inlineStr">
        <is>
          <t>190.0</t>
        </is>
      </c>
      <c r="L4057" t="n">
        <v>19.99</v>
      </c>
      <c r="M4057" s="1" t="inlineStr">
        <is>
          <t>-89.48%</t>
        </is>
      </c>
      <c r="N4057" t="n">
        <v>3.4</v>
      </c>
      <c r="O4057" t="n">
        <v>21</v>
      </c>
      <c r="Q4057" t="inlineStr">
        <is>
          <t>InStock</t>
        </is>
      </c>
      <c r="R4057" t="inlineStr">
        <is>
          <t>undefined</t>
        </is>
      </c>
      <c r="S4057" t="inlineStr">
        <is>
          <t>6560297746519</t>
        </is>
      </c>
    </row>
    <row r="4058" ht="75" customHeight="1">
      <c r="A4058" s="2">
        <f>HYPERLINK("https://faoschwarz.com/products/carrom-board-black", "https://faoschwarz.com/products/carrom-board-black")</f>
        <v/>
      </c>
      <c r="B4058" s="2">
        <f>HYPERLINK("https://faoschwarz.com/products/carrom-board-black", "https://faoschwarz.com/products/carrom-board-black")</f>
        <v/>
      </c>
      <c r="C4058" t="inlineStr">
        <is>
          <t>Carrom Board-Black</t>
        </is>
      </c>
      <c r="D4058" t="inlineStr">
        <is>
          <t>Acrylic 6mm Carrom Coins Board Game with Two Printed Striker | Acrylic Carrom Coin Red, White &amp; Black Carrom Coins Family Indoor Game (Coins with Printed Striker)</t>
        </is>
      </c>
      <c r="E4058" s="2">
        <f>HYPERLINK("https://www.amazon.com/Acrylic-Carrom-Printed-Striker-Family/dp/B0BNSYH18X/ref=sr_1_5?keywords=Carrom+Board-Black&amp;qid=1695566003&amp;sr=8-5", "https://www.amazon.com/Acrylic-Carrom-Printed-Striker-Family/dp/B0BNSYH18X/ref=sr_1_5?keywords=Carrom+Board-Black&amp;qid=1695566003&amp;sr=8-5")</f>
        <v/>
      </c>
      <c r="F4058" t="inlineStr">
        <is>
          <t>B0BNSYH18X</t>
        </is>
      </c>
      <c r="G4058">
        <f>_xlfn.IMAGE("https://faoschwarz.com/cdn/shop/products/stag-games-carrom-board-black-28288050495575_1080x.jpg?v=1656259683")</f>
        <v/>
      </c>
      <c r="H4058">
        <f>_xlfn.IMAGE("https://m.media-amazon.com/images/I/61uZqRm39dL._AC_UL320_.jpg")</f>
        <v/>
      </c>
      <c r="K4058" t="inlineStr">
        <is>
          <t>190.0</t>
        </is>
      </c>
      <c r="L4058" t="n">
        <v>19.98</v>
      </c>
      <c r="M4058" s="1" t="inlineStr">
        <is>
          <t>-89.48%</t>
        </is>
      </c>
      <c r="N4058" t="n">
        <v>1</v>
      </c>
      <c r="O4058" t="n">
        <v>2</v>
      </c>
      <c r="Q4058" t="inlineStr">
        <is>
          <t>InStock</t>
        </is>
      </c>
      <c r="R4058" t="inlineStr">
        <is>
          <t>undefined</t>
        </is>
      </c>
      <c r="S4058" t="inlineStr">
        <is>
          <t>6560297746519</t>
        </is>
      </c>
    </row>
    <row r="4059" ht="75" customHeight="1">
      <c r="A4059" s="2">
        <f>HYPERLINK("https://faoschwarz.com/products/carrom-board-black", "https://faoschwarz.com/products/carrom-board-black")</f>
        <v/>
      </c>
      <c r="B4059" s="2">
        <f>HYPERLINK("https://faoschwarz.com/products/carrom-board-black", "https://faoschwarz.com/products/carrom-board-black")</f>
        <v/>
      </c>
      <c r="C4059" t="inlineStr">
        <is>
          <t>Carrom Board-Black</t>
        </is>
      </c>
      <c r="D4059" t="inlineStr">
        <is>
          <t>Family Cart Carom Board Coins Wooden Solid Set and Green Tournament Striker with Case ( 24 Carrom Board Pieces with Cover/Striker + 1 Green + 1 Kids Small Striker Random Design) – White/Red/Black</t>
        </is>
      </c>
      <c r="E4059" s="2">
        <f>HYPERLINK("https://www.amazon.com/Family-Cart-Wooden-Tournament-Striker/dp/B089LS8L2D/ref=sr_1_8?keywords=Carrom+Board-Black&amp;qid=1695566003&amp;sr=8-8", "https://www.amazon.com/Family-Cart-Wooden-Tournament-Striker/dp/B089LS8L2D/ref=sr_1_8?keywords=Carrom+Board-Black&amp;qid=1695566003&amp;sr=8-8")</f>
        <v/>
      </c>
      <c r="F4059" t="inlineStr">
        <is>
          <t>B089LS8L2D</t>
        </is>
      </c>
      <c r="G4059">
        <f>_xlfn.IMAGE("https://faoschwarz.com/cdn/shop/products/stag-games-carrom-board-black-28288050495575_1080x.jpg?v=1656259683")</f>
        <v/>
      </c>
      <c r="H4059">
        <f>_xlfn.IMAGE("https://m.media-amazon.com/images/I/61ufhM4xSeL._AC_UL320_.jpg")</f>
        <v/>
      </c>
      <c r="K4059" t="inlineStr">
        <is>
          <t>190.0</t>
        </is>
      </c>
      <c r="L4059" t="n">
        <v>19.6</v>
      </c>
      <c r="M4059" s="1" t="inlineStr">
        <is>
          <t>-89.68%</t>
        </is>
      </c>
      <c r="N4059" t="n">
        <v>4.3</v>
      </c>
      <c r="O4059" t="n">
        <v>3</v>
      </c>
      <c r="Q4059" t="inlineStr">
        <is>
          <t>InStock</t>
        </is>
      </c>
      <c r="R4059" t="inlineStr">
        <is>
          <t>undefined</t>
        </is>
      </c>
      <c r="S4059" t="inlineStr">
        <is>
          <t>6560297746519</t>
        </is>
      </c>
    </row>
    <row r="4060" ht="75" customHeight="1">
      <c r="A4060" s="2">
        <f>HYPERLINK("https://faoschwarz.com/products/carrom-board-black", "https://faoschwarz.com/products/carrom-board-black")</f>
        <v/>
      </c>
      <c r="B4060" s="2">
        <f>HYPERLINK("https://faoschwarz.com/products/carrom-board-black", "https://faoschwarz.com/products/carrom-board-black")</f>
        <v/>
      </c>
      <c r="C4060" t="inlineStr">
        <is>
          <t>Carrom Board-Black</t>
        </is>
      </c>
      <c r="D4060" t="inlineStr">
        <is>
          <t>Carrom Board Coins and Striker Professional Solid Set, Wooden Checkers with Stackable Ridge ( 24 Carrom Board Pieces with Cover/Striker Case + 2 Striker Random Color ) – White/Red/Black</t>
        </is>
      </c>
      <c r="E4060" s="2">
        <f>HYPERLINK("https://www.amazon.com/Carrom-Striker-Professional-Checkers-Stackable/dp/B08P9457SZ/ref=sr_1_3?keywords=Carrom+Board-Black&amp;qid=1695566003&amp;sr=8-3", "https://www.amazon.com/Carrom-Striker-Professional-Checkers-Stackable/dp/B08P9457SZ/ref=sr_1_3?keywords=Carrom+Board-Black&amp;qid=1695566003&amp;sr=8-3")</f>
        <v/>
      </c>
      <c r="F4060" t="inlineStr">
        <is>
          <t>B08P9457SZ</t>
        </is>
      </c>
      <c r="G4060">
        <f>_xlfn.IMAGE("https://faoschwarz.com/cdn/shop/products/stag-games-carrom-board-black-28288050495575_1080x.jpg?v=1656259683")</f>
        <v/>
      </c>
      <c r="H4060">
        <f>_xlfn.IMAGE("https://m.media-amazon.com/images/I/719KwpRIglL._AC_UL320_.jpg")</f>
        <v/>
      </c>
      <c r="K4060" t="inlineStr">
        <is>
          <t>190.0</t>
        </is>
      </c>
      <c r="L4060" t="n">
        <v>18.31</v>
      </c>
      <c r="M4060" s="1" t="inlineStr">
        <is>
          <t>-90.36%</t>
        </is>
      </c>
      <c r="N4060" t="n">
        <v>2.9</v>
      </c>
      <c r="O4060" t="n">
        <v>8</v>
      </c>
      <c r="Q4060" t="inlineStr">
        <is>
          <t>InStock</t>
        </is>
      </c>
      <c r="R4060" t="inlineStr">
        <is>
          <t>undefined</t>
        </is>
      </c>
      <c r="S4060" t="inlineStr">
        <is>
          <t>6560297746519</t>
        </is>
      </c>
    </row>
    <row r="4061" ht="75" customHeight="1">
      <c r="A4061" s="2">
        <f>HYPERLINK("https://faoschwarz.com/products/carrom-board-black", "https://faoschwarz.com/products/carrom-board-black")</f>
        <v/>
      </c>
      <c r="B4061" s="2">
        <f>HYPERLINK("https://faoschwarz.com/products/carrom-board-black", "https://faoschwarz.com/products/carrom-board-black")</f>
        <v/>
      </c>
      <c r="C4061" t="inlineStr">
        <is>
          <t>Carrom Board-Black</t>
        </is>
      </c>
      <c r="D4061" t="inlineStr">
        <is>
          <t>Family Cart Carom Board Coins Wooden Solid Set and Blue Tournament Striker with Fancy Case ( 24 Carrom Board Pieces with Cover/Striker + 1 Blue Striker Random Design) – White/Red/Black</t>
        </is>
      </c>
      <c r="E4061" s="2">
        <f>HYPERLINK("https://www.amazon.com/Family-Cart-Wooden-Tournament-Striker/dp/B089LYWB3T/ref=sr_1_9?keywords=Carrom+Board-Black&amp;qid=1695566003&amp;sr=8-9", "https://www.amazon.com/Family-Cart-Wooden-Tournament-Striker/dp/B089LYWB3T/ref=sr_1_9?keywords=Carrom+Board-Black&amp;qid=1695566003&amp;sr=8-9")</f>
        <v/>
      </c>
      <c r="F4061" t="inlineStr">
        <is>
          <t>B089LYWB3T</t>
        </is>
      </c>
      <c r="G4061">
        <f>_xlfn.IMAGE("https://faoschwarz.com/cdn/shop/products/stag-games-carrom-board-black-28288050495575_1080x.jpg?v=1656259683")</f>
        <v/>
      </c>
      <c r="H4061">
        <f>_xlfn.IMAGE("https://m.media-amazon.com/images/I/61gcNGqY-kL._AC_UL320_.jpg")</f>
        <v/>
      </c>
      <c r="K4061" t="inlineStr">
        <is>
          <t>190.0</t>
        </is>
      </c>
      <c r="L4061" t="n">
        <v>9.98</v>
      </c>
      <c r="M4061" s="1" t="inlineStr">
        <is>
          <t>-94.75%</t>
        </is>
      </c>
      <c r="N4061" t="n">
        <v>2.6</v>
      </c>
      <c r="O4061" t="n">
        <v>3</v>
      </c>
      <c r="Q4061" t="inlineStr">
        <is>
          <t>InStock</t>
        </is>
      </c>
      <c r="R4061" t="inlineStr">
        <is>
          <t>undefined</t>
        </is>
      </c>
      <c r="S4061" t="inlineStr">
        <is>
          <t>6560297746519</t>
        </is>
      </c>
    </row>
    <row r="4062" ht="75" customHeight="1">
      <c r="A4062" s="2">
        <f>HYPERLINK("https://faoschwarz.com/products/carrom-board-black", "https://faoschwarz.com/products/carrom-board-black")</f>
        <v/>
      </c>
      <c r="B4062" s="2">
        <f>HYPERLINK("https://faoschwarz.com/products/carrom-board-black", "https://faoschwarz.com/products/carrom-board-black")</f>
        <v/>
      </c>
      <c r="C4062" t="inlineStr">
        <is>
          <t>Carrom Board-Black</t>
        </is>
      </c>
      <c r="D4062" t="inlineStr">
        <is>
          <t>Precise Finest 12mm Carrom Board with Coins, Striker, and Powder by Tabakh, Black</t>
        </is>
      </c>
      <c r="E4062" s="2">
        <f>HYPERLINK("https://www.amazon.com/KD-Wooden-Carrom-Striker-Powder/dp/B07BZ7QYVY/ref=sr_1_4?keywords=Carrom+Board-Black&amp;qid=1695566003&amp;sr=8-4", "https://www.amazon.com/KD-Wooden-Carrom-Striker-Powder/dp/B07BZ7QYVY/ref=sr_1_4?keywords=Carrom+Board-Black&amp;qid=1695566003&amp;sr=8-4")</f>
        <v/>
      </c>
      <c r="F4062" t="inlineStr">
        <is>
          <t>B07BZ7QYVY</t>
        </is>
      </c>
      <c r="G4062">
        <f>_xlfn.IMAGE("https://faoschwarz.com/cdn/shop/products/stag-games-carrom-board-black-28288050495575_1080x.jpg?v=1656259683")</f>
        <v/>
      </c>
      <c r="H4062">
        <f>_xlfn.IMAGE("https://m.media-amazon.com/images/I/61q+J0Hf29S._AC_UL320_.jpg")</f>
        <v/>
      </c>
      <c r="K4062" t="inlineStr">
        <is>
          <t>190.0</t>
        </is>
      </c>
      <c r="L4062" t="n">
        <v>164.99</v>
      </c>
      <c r="M4062" s="1" t="inlineStr">
        <is>
          <t>-13.16%</t>
        </is>
      </c>
      <c r="N4062" t="n">
        <v>4.2</v>
      </c>
      <c r="O4062" t="n">
        <v>45</v>
      </c>
      <c r="Q4062" t="inlineStr">
        <is>
          <t>InStock</t>
        </is>
      </c>
      <c r="R4062" t="inlineStr">
        <is>
          <t>undefined</t>
        </is>
      </c>
      <c r="S4062" t="inlineStr">
        <is>
          <t>6560297746519</t>
        </is>
      </c>
    </row>
    <row r="4063" ht="75" customHeight="1">
      <c r="A4063" s="2">
        <f>HYPERLINK("https://faoschwarz.com/products/carrom-board-black", "https://faoschwarz.com/products/carrom-board-black")</f>
        <v/>
      </c>
      <c r="B4063" s="2">
        <f>HYPERLINK("https://faoschwarz.com/products/carrom-board-black", "https://faoschwarz.com/products/carrom-board-black")</f>
        <v/>
      </c>
      <c r="C4063" t="inlineStr">
        <is>
          <t>Carrom Board-Black</t>
        </is>
      </c>
      <c r="D4063" t="inlineStr">
        <is>
          <t>Hey! Play! Carrom Board Game - Wooden Strike and Pocket Game Set with Group of Black and Beige Coins, 2 Red Queen Coins, Striker Coin, and Cue Sticks, Brown</t>
        </is>
      </c>
      <c r="E4063" s="2">
        <f>HYPERLINK("https://www.amazon.com/Classic-Striker-Hey-Play-162435CGU/dp/B09FFPS796/ref=sr_1_2?keywords=Carrom+Board-Black&amp;qid=1695566003&amp;sr=8-2", "https://www.amazon.com/Classic-Striker-Hey-Play-162435CGU/dp/B09FFPS796/ref=sr_1_2?keywords=Carrom+Board-Black&amp;qid=1695566003&amp;sr=8-2")</f>
        <v/>
      </c>
      <c r="F4063" t="inlineStr">
        <is>
          <t>B09FFPS796</t>
        </is>
      </c>
      <c r="G4063">
        <f>_xlfn.IMAGE("https://faoschwarz.com/cdn/shop/products/stag-games-carrom-board-black-28288050495575_1080x.jpg?v=1656259683")</f>
        <v/>
      </c>
      <c r="H4063">
        <f>_xlfn.IMAGE("https://m.media-amazon.com/images/I/81iQ7UJ9wDL._AC_UL320_.jpg")</f>
        <v/>
      </c>
      <c r="K4063" t="inlineStr">
        <is>
          <t>190.0</t>
        </is>
      </c>
      <c r="L4063" t="n">
        <v>65.76000000000001</v>
      </c>
      <c r="M4063" s="1" t="inlineStr">
        <is>
          <t>-65.39%</t>
        </is>
      </c>
      <c r="N4063" t="n">
        <v>3.9</v>
      </c>
      <c r="O4063" t="n">
        <v>110</v>
      </c>
      <c r="Q4063" t="inlineStr">
        <is>
          <t>InStock</t>
        </is>
      </c>
      <c r="R4063" t="inlineStr">
        <is>
          <t>undefined</t>
        </is>
      </c>
      <c r="S4063" t="inlineStr">
        <is>
          <t>6560297746519</t>
        </is>
      </c>
    </row>
    <row r="4064" ht="75" customHeight="1">
      <c r="A4064" s="2">
        <f>HYPERLINK("https://faoschwarz.com/products/carrom-board-black", "https://faoschwarz.com/products/carrom-board-black")</f>
        <v/>
      </c>
      <c r="B4064" s="2">
        <f>HYPERLINK("https://faoschwarz.com/products/carrom-board-black", "https://faoschwarz.com/products/carrom-board-black")</f>
        <v/>
      </c>
      <c r="C4064" t="inlineStr">
        <is>
          <t>Carrom Board-Black</t>
        </is>
      </c>
      <c r="D4064" t="inlineStr">
        <is>
          <t>Carrom Board Wooden Coins and Tournament Striker Professional Set, ( 24 Carrom Board Pieces + 4 Striker Random Design with Case) – White/Red/Black</t>
        </is>
      </c>
      <c r="E4064" s="2">
        <f>HYPERLINK("https://www.amazon.com/Carrom-Wooden-Tournament-Striker-Professional/dp/B089LLQZ7B/ref=sr_1_10?keywords=Carrom+Board-Black&amp;qid=1695566003&amp;sr=8-10", "https://www.amazon.com/Carrom-Wooden-Tournament-Striker-Professional/dp/B089LLQZ7B/ref=sr_1_10?keywords=Carrom+Board-Black&amp;qid=1695566003&amp;sr=8-10")</f>
        <v/>
      </c>
      <c r="F4064" t="inlineStr">
        <is>
          <t>B089LLQZ7B</t>
        </is>
      </c>
      <c r="G4064">
        <f>_xlfn.IMAGE("https://faoschwarz.com/cdn/shop/products/stag-games-carrom-board-black-28288050495575_1080x.jpg?v=1656259683")</f>
        <v/>
      </c>
      <c r="H4064">
        <f>_xlfn.IMAGE("https://m.media-amazon.com/images/I/61Bv-+NMC8L._AC_UL320_.jpg")</f>
        <v/>
      </c>
      <c r="K4064" t="inlineStr">
        <is>
          <t>190.0</t>
        </is>
      </c>
      <c r="L4064" t="n">
        <v>27</v>
      </c>
      <c r="M4064" s="1" t="inlineStr">
        <is>
          <t>-85.79%</t>
        </is>
      </c>
      <c r="N4064" t="n">
        <v>4.1</v>
      </c>
      <c r="O4064" t="n">
        <v>15</v>
      </c>
      <c r="Q4064" t="inlineStr">
        <is>
          <t>InStock</t>
        </is>
      </c>
      <c r="R4064" t="inlineStr">
        <is>
          <t>undefined</t>
        </is>
      </c>
      <c r="S4064" t="inlineStr">
        <is>
          <t>6560297746519</t>
        </is>
      </c>
    </row>
    <row r="4065" ht="75" customHeight="1">
      <c r="A4065" s="2">
        <f>HYPERLINK("https://faoschwarz.com/products/carrom-board-black", "https://faoschwarz.com/products/carrom-board-black")</f>
        <v/>
      </c>
      <c r="B4065" s="2">
        <f>HYPERLINK("https://faoschwarz.com/products/carrom-board-black", "https://faoschwarz.com/products/carrom-board-black")</f>
        <v/>
      </c>
      <c r="C4065" t="inlineStr">
        <is>
          <t>Carrom Board-Black</t>
        </is>
      </c>
      <c r="D4065" t="inlineStr">
        <is>
          <t>AnNafi® 6MM Carrom Coins Board Game with Free Simple/Printed Striker | Acrylic Carrom Coin Red, White &amp; Black Carrom Coins + Simple Carrom Striker Free| Family Indoor Game (Coins with Simple Striker)</t>
        </is>
      </c>
      <c r="E4065" s="2">
        <f>HYPERLINK("https://www.amazon.com/AnNafi-Acrylic-Carrom-Printed-Striker/dp/B097JYR36P/ref=sr_1_6?keywords=Carrom+Board-Black&amp;qid=1695566003&amp;sr=8-6", "https://www.amazon.com/AnNafi-Acrylic-Carrom-Printed-Striker/dp/B097JYR36P/ref=sr_1_6?keywords=Carrom+Board-Black&amp;qid=1695566003&amp;sr=8-6")</f>
        <v/>
      </c>
      <c r="F4065" t="inlineStr">
        <is>
          <t>B097JYR36P</t>
        </is>
      </c>
      <c r="G4065">
        <f>_xlfn.IMAGE("https://faoschwarz.com/cdn/shop/products/stag-games-carrom-board-black-28288050495575_1080x.jpg?v=1656259683")</f>
        <v/>
      </c>
      <c r="H4065">
        <f>_xlfn.IMAGE("https://m.media-amazon.com/images/I/51afCuKvHrL._AC_UL320_.jpg")</f>
        <v/>
      </c>
      <c r="K4065" t="inlineStr">
        <is>
          <t>190.0</t>
        </is>
      </c>
      <c r="L4065" t="n">
        <v>19.99</v>
      </c>
      <c r="M4065" s="1" t="inlineStr">
        <is>
          <t>-89.48%</t>
        </is>
      </c>
      <c r="N4065" t="n">
        <v>3.4</v>
      </c>
      <c r="O4065" t="n">
        <v>21</v>
      </c>
      <c r="Q4065" t="inlineStr">
        <is>
          <t>InStock</t>
        </is>
      </c>
      <c r="R4065" t="inlineStr">
        <is>
          <t>undefined</t>
        </is>
      </c>
      <c r="S4065" t="inlineStr">
        <is>
          <t>6560297746519</t>
        </is>
      </c>
    </row>
    <row r="4066" ht="75" customHeight="1">
      <c r="A4066" s="2">
        <f>HYPERLINK("https://faoschwarz.com/products/carrom-board-black", "https://faoschwarz.com/products/carrom-board-black")</f>
        <v/>
      </c>
      <c r="B4066" s="2">
        <f>HYPERLINK("https://faoschwarz.com/products/carrom-board-black", "https://faoschwarz.com/products/carrom-board-black")</f>
        <v/>
      </c>
      <c r="C4066" t="inlineStr">
        <is>
          <t>Carrom Board-Black</t>
        </is>
      </c>
      <c r="D4066" t="inlineStr">
        <is>
          <t>Acrylic 6mm Carrom Coins Board Game with Two Printed Striker | Acrylic Carrom Coin Red, White &amp; Black Carrom Coins Family Indoor Game (Coins with Printed Striker)</t>
        </is>
      </c>
      <c r="E4066" s="2">
        <f>HYPERLINK("https://www.amazon.com/Acrylic-Carrom-Printed-Striker-Family/dp/B0BNSYH18X/ref=sr_1_5?keywords=Carrom+Board-Black&amp;qid=1695566003&amp;sr=8-5", "https://www.amazon.com/Acrylic-Carrom-Printed-Striker-Family/dp/B0BNSYH18X/ref=sr_1_5?keywords=Carrom+Board-Black&amp;qid=1695566003&amp;sr=8-5")</f>
        <v/>
      </c>
      <c r="F4066" t="inlineStr">
        <is>
          <t>B0BNSYH18X</t>
        </is>
      </c>
      <c r="G4066">
        <f>_xlfn.IMAGE("https://faoschwarz.com/cdn/shop/products/stag-games-carrom-board-black-28288050495575_1080x.jpg?v=1656259683")</f>
        <v/>
      </c>
      <c r="H4066">
        <f>_xlfn.IMAGE("https://m.media-amazon.com/images/I/61uZqRm39dL._AC_UL320_.jpg")</f>
        <v/>
      </c>
      <c r="K4066" t="inlineStr">
        <is>
          <t>190.0</t>
        </is>
      </c>
      <c r="L4066" t="n">
        <v>19.98</v>
      </c>
      <c r="M4066" s="1" t="inlineStr">
        <is>
          <t>-89.48%</t>
        </is>
      </c>
      <c r="N4066" t="n">
        <v>1</v>
      </c>
      <c r="O4066" t="n">
        <v>2</v>
      </c>
      <c r="Q4066" t="inlineStr">
        <is>
          <t>InStock</t>
        </is>
      </c>
      <c r="R4066" t="inlineStr">
        <is>
          <t>undefined</t>
        </is>
      </c>
      <c r="S4066" t="inlineStr">
        <is>
          <t>6560297746519</t>
        </is>
      </c>
    </row>
    <row r="4067" ht="75" customHeight="1">
      <c r="A4067" s="2">
        <f>HYPERLINK("https://faoschwarz.com/products/carrom-board-black", "https://faoschwarz.com/products/carrom-board-black")</f>
        <v/>
      </c>
      <c r="B4067" s="2">
        <f>HYPERLINK("https://faoschwarz.com/products/carrom-board-black", "https://faoschwarz.com/products/carrom-board-black")</f>
        <v/>
      </c>
      <c r="C4067" t="inlineStr">
        <is>
          <t>Carrom Board-Black</t>
        </is>
      </c>
      <c r="D4067" t="inlineStr">
        <is>
          <t>Family Cart Carom Board Coins Wooden Solid Set and Green Tournament Striker with Case ( 24 Carrom Board Pieces with Cover/Striker + 1 Green + 1 Kids Small Striker Random Design) – White/Red/Black</t>
        </is>
      </c>
      <c r="E4067" s="2">
        <f>HYPERLINK("https://www.amazon.com/Family-Cart-Wooden-Tournament-Striker/dp/B089LS8L2D/ref=sr_1_8?keywords=Carrom+Board-Black&amp;qid=1695566003&amp;sr=8-8", "https://www.amazon.com/Family-Cart-Wooden-Tournament-Striker/dp/B089LS8L2D/ref=sr_1_8?keywords=Carrom+Board-Black&amp;qid=1695566003&amp;sr=8-8")</f>
        <v/>
      </c>
      <c r="F4067" t="inlineStr">
        <is>
          <t>B089LS8L2D</t>
        </is>
      </c>
      <c r="G4067">
        <f>_xlfn.IMAGE("https://faoschwarz.com/cdn/shop/products/stag-games-carrom-board-black-28288050495575_1080x.jpg?v=1656259683")</f>
        <v/>
      </c>
      <c r="H4067">
        <f>_xlfn.IMAGE("https://m.media-amazon.com/images/I/61ufhM4xSeL._AC_UL320_.jpg")</f>
        <v/>
      </c>
      <c r="K4067" t="inlineStr">
        <is>
          <t>190.0</t>
        </is>
      </c>
      <c r="L4067" t="n">
        <v>19.6</v>
      </c>
      <c r="M4067" s="1" t="inlineStr">
        <is>
          <t>-89.68%</t>
        </is>
      </c>
      <c r="N4067" t="n">
        <v>4.3</v>
      </c>
      <c r="O4067" t="n">
        <v>3</v>
      </c>
      <c r="Q4067" t="inlineStr">
        <is>
          <t>InStock</t>
        </is>
      </c>
      <c r="R4067" t="inlineStr">
        <is>
          <t>undefined</t>
        </is>
      </c>
      <c r="S4067" t="inlineStr">
        <is>
          <t>6560297746519</t>
        </is>
      </c>
    </row>
    <row r="4068" ht="75" customHeight="1">
      <c r="A4068" s="2">
        <f>HYPERLINK("https://faoschwarz.com/products/carrom-board-black", "https://faoschwarz.com/products/carrom-board-black")</f>
        <v/>
      </c>
      <c r="B4068" s="2">
        <f>HYPERLINK("https://faoschwarz.com/products/carrom-board-black", "https://faoschwarz.com/products/carrom-board-black")</f>
        <v/>
      </c>
      <c r="C4068" t="inlineStr">
        <is>
          <t>Carrom Board-Black</t>
        </is>
      </c>
      <c r="D4068" t="inlineStr">
        <is>
          <t>Carrom Board Coins and Striker Professional Solid Set, Wooden Checkers with Stackable Ridge ( 24 Carrom Board Pieces with Cover/Striker Case + 2 Striker Random Color ) – White/Red/Black</t>
        </is>
      </c>
      <c r="E4068" s="2">
        <f>HYPERLINK("https://www.amazon.com/Carrom-Striker-Professional-Checkers-Stackable/dp/B08P9457SZ/ref=sr_1_3?keywords=Carrom+Board-Black&amp;qid=1695566003&amp;sr=8-3", "https://www.amazon.com/Carrom-Striker-Professional-Checkers-Stackable/dp/B08P9457SZ/ref=sr_1_3?keywords=Carrom+Board-Black&amp;qid=1695566003&amp;sr=8-3")</f>
        <v/>
      </c>
      <c r="F4068" t="inlineStr">
        <is>
          <t>B08P9457SZ</t>
        </is>
      </c>
      <c r="G4068">
        <f>_xlfn.IMAGE("https://faoschwarz.com/cdn/shop/products/stag-games-carrom-board-black-28288050495575_1080x.jpg?v=1656259683")</f>
        <v/>
      </c>
      <c r="H4068">
        <f>_xlfn.IMAGE("https://m.media-amazon.com/images/I/719KwpRIglL._AC_UL320_.jpg")</f>
        <v/>
      </c>
      <c r="K4068" t="inlineStr">
        <is>
          <t>190.0</t>
        </is>
      </c>
      <c r="L4068" t="n">
        <v>18.31</v>
      </c>
      <c r="M4068" s="1" t="inlineStr">
        <is>
          <t>-90.36%</t>
        </is>
      </c>
      <c r="N4068" t="n">
        <v>2.9</v>
      </c>
      <c r="O4068" t="n">
        <v>8</v>
      </c>
      <c r="Q4068" t="inlineStr">
        <is>
          <t>InStock</t>
        </is>
      </c>
      <c r="R4068" t="inlineStr">
        <is>
          <t>undefined</t>
        </is>
      </c>
      <c r="S4068" t="inlineStr">
        <is>
          <t>6560297746519</t>
        </is>
      </c>
    </row>
    <row r="4069" ht="75" customHeight="1">
      <c r="A4069" s="2">
        <f>HYPERLINK("https://faoschwarz.com/products/carrom-board-black", "https://faoschwarz.com/products/carrom-board-black")</f>
        <v/>
      </c>
      <c r="B4069" s="2">
        <f>HYPERLINK("https://faoschwarz.com/products/carrom-board-black", "https://faoschwarz.com/products/carrom-board-black")</f>
        <v/>
      </c>
      <c r="C4069" t="inlineStr">
        <is>
          <t>Carrom Board-Black</t>
        </is>
      </c>
      <c r="D4069" t="inlineStr">
        <is>
          <t>Family Cart Carom Board Coins Wooden Solid Set and Blue Tournament Striker with Fancy Case ( 24 Carrom Board Pieces with Cover/Striker + 1 Blue Striker Random Design) – White/Red/Black</t>
        </is>
      </c>
      <c r="E4069" s="2">
        <f>HYPERLINK("https://www.amazon.com/Family-Cart-Wooden-Tournament-Striker/dp/B089LYWB3T/ref=sr_1_9?keywords=Carrom+Board-Black&amp;qid=1695566003&amp;sr=8-9", "https://www.amazon.com/Family-Cart-Wooden-Tournament-Striker/dp/B089LYWB3T/ref=sr_1_9?keywords=Carrom+Board-Black&amp;qid=1695566003&amp;sr=8-9")</f>
        <v/>
      </c>
      <c r="F4069" t="inlineStr">
        <is>
          <t>B089LYWB3T</t>
        </is>
      </c>
      <c r="G4069">
        <f>_xlfn.IMAGE("https://faoschwarz.com/cdn/shop/products/stag-games-carrom-board-black-28288050495575_1080x.jpg?v=1656259683")</f>
        <v/>
      </c>
      <c r="H4069">
        <f>_xlfn.IMAGE("https://m.media-amazon.com/images/I/61gcNGqY-kL._AC_UL320_.jpg")</f>
        <v/>
      </c>
      <c r="K4069" t="inlineStr">
        <is>
          <t>190.0</t>
        </is>
      </c>
      <c r="L4069" t="n">
        <v>9.98</v>
      </c>
      <c r="M4069" s="1" t="inlineStr">
        <is>
          <t>-94.75%</t>
        </is>
      </c>
      <c r="N4069" t="n">
        <v>2.6</v>
      </c>
      <c r="O4069" t="n">
        <v>3</v>
      </c>
      <c r="Q4069" t="inlineStr">
        <is>
          <t>InStock</t>
        </is>
      </c>
      <c r="R4069" t="inlineStr">
        <is>
          <t>undefined</t>
        </is>
      </c>
      <c r="S4069" t="inlineStr">
        <is>
          <t>6560297746519</t>
        </is>
      </c>
    </row>
    <row r="4070" ht="75" customHeight="1">
      <c r="A4070" s="2">
        <f>HYPERLINK("https://faoschwarz.com/products/car-rufus-red", "https://faoschwarz.com/products/car-rufus-red")</f>
        <v/>
      </c>
      <c r="B4070" s="2">
        <f>HYPERLINK("https://faoschwarz.com/products/car-rufus-red", "https://faoschwarz.com/products/car-rufus-red")</f>
        <v/>
      </c>
      <c r="C4070" t="inlineStr">
        <is>
          <t>Rufus Car Toy - Red</t>
        </is>
      </c>
      <c r="D4070" t="inlineStr">
        <is>
          <t>GT500 Toy Cars for Boys Die Cast Metal Cars Toys Pull Back Toy Car with Sounds and Lights Toy Gifts for 3+ Years Old Kids(Red)</t>
        </is>
      </c>
      <c r="E4070" s="2">
        <f>HYPERLINK("https://www.amazon.com/Diecast-GT500-Metal-Sounds-Lights/dp/B09822RC7F/ref=sr_1_4?keywords=Rufus+Car+Toy+-+Red&amp;qid=1695565939&amp;sr=8-4", "https://www.amazon.com/Diecast-GT500-Metal-Sounds-Lights/dp/B09822RC7F/ref=sr_1_4?keywords=Rufus+Car+Toy+-+Red&amp;qid=1695565939&amp;sr=8-4")</f>
        <v/>
      </c>
      <c r="F4070" t="inlineStr">
        <is>
          <t>B09822RC7F</t>
        </is>
      </c>
      <c r="G4070">
        <f>_xlfn.IMAGE("https://faoschwarz.com/cdn/shop/products/playforever-vehicles-rufus-car-toy-red-29448229388375_1080x.jpg?v=1664207847")</f>
        <v/>
      </c>
      <c r="H4070">
        <f>_xlfn.IMAGE("https://m.media-amazon.com/images/I/713hS9Sea1L._AC_UL320_.jpg")</f>
        <v/>
      </c>
      <c r="K4070" t="inlineStr">
        <is>
          <t>70.0</t>
        </is>
      </c>
      <c r="L4070" t="n">
        <v>18.99</v>
      </c>
      <c r="M4070" s="1" t="inlineStr">
        <is>
          <t>-72.87%</t>
        </is>
      </c>
      <c r="N4070" t="n">
        <v>4.6</v>
      </c>
      <c r="O4070" t="n">
        <v>216</v>
      </c>
      <c r="Q4070" t="inlineStr">
        <is>
          <t>InStock</t>
        </is>
      </c>
      <c r="R4070" t="inlineStr">
        <is>
          <t>undefined</t>
        </is>
      </c>
      <c r="S4070" t="inlineStr">
        <is>
          <t>6792967487575</t>
        </is>
      </c>
    </row>
    <row r="4071" ht="75" customHeight="1">
      <c r="A4071" s="2">
        <f>HYPERLINK("https://faoschwarz.com/products/car-rufus-red", "https://faoschwarz.com/products/car-rufus-red")</f>
        <v/>
      </c>
      <c r="B4071" s="2">
        <f>HYPERLINK("https://faoschwarz.com/products/car-rufus-red", "https://faoschwarz.com/products/car-rufus-red")</f>
        <v/>
      </c>
      <c r="C4071" t="inlineStr">
        <is>
          <t>Rufus Car Toy - Red</t>
        </is>
      </c>
      <c r="D4071" t="inlineStr">
        <is>
          <t>SASBSC Toy Cars Model S Die Cast Metal Model Cars with Door Open Light and Sound Pull Back Car Toys for Boys and Girls 3-12 Years Old (RED)</t>
        </is>
      </c>
      <c r="E4071" s="2">
        <f>HYPERLINK("https://www.amazon.com/SASBSC-Model-Alloy-Cars-Years/dp/B08B349KX7/ref=sr_1_5?keywords=Rufus+Car+Toy+-+Red&amp;qid=1695565939&amp;sr=8-5", "https://www.amazon.com/SASBSC-Model-Alloy-Cars-Years/dp/B08B349KX7/ref=sr_1_5?keywords=Rufus+Car+Toy+-+Red&amp;qid=1695565939&amp;sr=8-5")</f>
        <v/>
      </c>
      <c r="F4071" t="inlineStr">
        <is>
          <t>B08B349KX7</t>
        </is>
      </c>
      <c r="G4071">
        <f>_xlfn.IMAGE("https://faoschwarz.com/cdn/shop/products/playforever-vehicles-rufus-car-toy-red-29448229388375_1080x.jpg?v=1664207847")</f>
        <v/>
      </c>
      <c r="H4071">
        <f>_xlfn.IMAGE("https://m.media-amazon.com/images/I/71nLREoc3+L._AC_UL320_.jpg")</f>
        <v/>
      </c>
      <c r="K4071" t="inlineStr">
        <is>
          <t>70.0</t>
        </is>
      </c>
      <c r="L4071" t="n">
        <v>18.99</v>
      </c>
      <c r="M4071" s="1" t="inlineStr">
        <is>
          <t>-72.87%</t>
        </is>
      </c>
      <c r="N4071" t="n">
        <v>4.6</v>
      </c>
      <c r="O4071" t="n">
        <v>1368</v>
      </c>
      <c r="Q4071" t="inlineStr">
        <is>
          <t>InStock</t>
        </is>
      </c>
      <c r="R4071" t="inlineStr">
        <is>
          <t>undefined</t>
        </is>
      </c>
      <c r="S4071" t="inlineStr">
        <is>
          <t>6792967487575</t>
        </is>
      </c>
    </row>
    <row r="4072" ht="75" customHeight="1">
      <c r="A4072" s="2">
        <f>HYPERLINK("https://faoschwarz.com/products/car-rufus-red", "https://faoschwarz.com/products/car-rufus-red")</f>
        <v/>
      </c>
      <c r="B4072" s="2">
        <f>HYPERLINK("https://faoschwarz.com/products/car-rufus-red", "https://faoschwarz.com/products/car-rufus-red")</f>
        <v/>
      </c>
      <c r="C4072" t="inlineStr">
        <is>
          <t>Rufus Car Toy - Red</t>
        </is>
      </c>
      <c r="D4072" t="inlineStr">
        <is>
          <t>TGRCM-CZ Diecast Model Cars Toy Cars, Wrangler 1:32 Scale Alloy Pull Back Toy Car with Sound and Light Toy for Girls and Boys Kids Toys (Red)</t>
        </is>
      </c>
      <c r="E4072" s="2">
        <f>HYPERLINK("https://www.amazon.com/TGRCM-CZ-Diecast-Model-Cars-Wrangler/dp/B07RKY72RD/ref=sr_1_3?keywords=Rufus+Car+Toy+-+Red&amp;qid=1695565939&amp;sr=8-3", "https://www.amazon.com/TGRCM-CZ-Diecast-Model-Cars-Wrangler/dp/B07RKY72RD/ref=sr_1_3?keywords=Rufus+Car+Toy+-+Red&amp;qid=1695565939&amp;sr=8-3")</f>
        <v/>
      </c>
      <c r="F4072" t="inlineStr">
        <is>
          <t>B07RKY72RD</t>
        </is>
      </c>
      <c r="G4072">
        <f>_xlfn.IMAGE("https://faoschwarz.com/cdn/shop/products/playforever-vehicles-rufus-car-toy-red-29448229388375_1080x.jpg?v=1664207847")</f>
        <v/>
      </c>
      <c r="H4072">
        <f>_xlfn.IMAGE("https://m.media-amazon.com/images/I/71BKxI5sduL._AC_UL320_.jpg")</f>
        <v/>
      </c>
      <c r="K4072" t="inlineStr">
        <is>
          <t>70.0</t>
        </is>
      </c>
      <c r="L4072" t="n">
        <v>18.99</v>
      </c>
      <c r="M4072" s="1" t="inlineStr">
        <is>
          <t>-72.87%</t>
        </is>
      </c>
      <c r="N4072" t="n">
        <v>4.7</v>
      </c>
      <c r="O4072" t="n">
        <v>1203</v>
      </c>
      <c r="Q4072" t="inlineStr">
        <is>
          <t>InStock</t>
        </is>
      </c>
      <c r="R4072" t="inlineStr">
        <is>
          <t>undefined</t>
        </is>
      </c>
      <c r="S4072" t="inlineStr">
        <is>
          <t>6792967487575</t>
        </is>
      </c>
    </row>
    <row r="4073" ht="75" customHeight="1">
      <c r="A4073" s="2">
        <f>HYPERLINK("https://faoschwarz.com/products/car-rufus-red", "https://faoschwarz.com/products/car-rufus-red")</f>
        <v/>
      </c>
      <c r="B4073" s="2">
        <f>HYPERLINK("https://faoschwarz.com/products/car-rufus-red", "https://faoschwarz.com/products/car-rufus-red")</f>
        <v/>
      </c>
      <c r="C4073" t="inlineStr">
        <is>
          <t>Rufus Car Toy - Red</t>
        </is>
      </c>
      <c r="D4073" t="inlineStr">
        <is>
          <t>TGRCM-CZ 1/36 Scale Aventador LP700-4 Casting Car Model, Zinc Alloy Toy Car for Kids, Pull Back Vehicles Toy Car for Toddlers Kids Boys Girls Gift (Red)</t>
        </is>
      </c>
      <c r="E4073" s="2">
        <f>HYPERLINK("https://www.amazon.com/TGRCM-CZ-Aventador-LP700-4-Vehicles-Toddlers/dp/B07RFN6W62/ref=sr_1_1?keywords=Rufus+Car+Toy+-+Red&amp;qid=1695565939&amp;sr=8-1", "https://www.amazon.com/TGRCM-CZ-Aventador-LP700-4-Vehicles-Toddlers/dp/B07RFN6W62/ref=sr_1_1?keywords=Rufus+Car+Toy+-+Red&amp;qid=1695565939&amp;sr=8-1")</f>
        <v/>
      </c>
      <c r="F4073" t="inlineStr">
        <is>
          <t>B07RFN6W62</t>
        </is>
      </c>
      <c r="G4073">
        <f>_xlfn.IMAGE("https://faoschwarz.com/cdn/shop/products/playforever-vehicles-rufus-car-toy-red-29448229388375_1080x.jpg?v=1664207847")</f>
        <v/>
      </c>
      <c r="H4073">
        <f>_xlfn.IMAGE("https://m.media-amazon.com/images/I/516kz4piLgL._AC_UL320_.jpg")</f>
        <v/>
      </c>
      <c r="K4073" t="inlineStr">
        <is>
          <t>70.0</t>
        </is>
      </c>
      <c r="L4073" t="n">
        <v>13.99</v>
      </c>
      <c r="M4073" s="1" t="inlineStr">
        <is>
          <t>-80.01%</t>
        </is>
      </c>
      <c r="N4073" t="n">
        <v>4.4</v>
      </c>
      <c r="O4073" t="n">
        <v>2818</v>
      </c>
      <c r="Q4073" t="inlineStr">
        <is>
          <t>InStock</t>
        </is>
      </c>
      <c r="R4073" t="inlineStr">
        <is>
          <t>undefined</t>
        </is>
      </c>
      <c r="S4073" t="inlineStr">
        <is>
          <t>6792967487575</t>
        </is>
      </c>
    </row>
    <row r="4074" ht="75" customHeight="1">
      <c r="A4074" s="2">
        <f>HYPERLINK("https://faoschwarz.com/products/car-rufus-red", "https://faoschwarz.com/products/car-rufus-red")</f>
        <v/>
      </c>
      <c r="B4074" s="2">
        <f>HYPERLINK("https://faoschwarz.com/products/car-rufus-red", "https://faoschwarz.com/products/car-rufus-red")</f>
        <v/>
      </c>
      <c r="C4074" t="inlineStr">
        <is>
          <t>Rufus Car Toy - Red</t>
        </is>
      </c>
      <c r="D4074" t="inlineStr">
        <is>
          <t>TGRCM-CZ 1/36 Scale 918 Casting Car Model, Zinc Alloy Toy Car for Kids, Pull Back Vehicles Toy Car for Toddlers Kids Boys Girls Gift (Red)</t>
        </is>
      </c>
      <c r="E4074" s="2">
        <f>HYPERLINK("https://www.amazon.com/TGRCM-CZ-Scale-Casting-Vehicles-Toddlers/dp/B08HWRTTV3/ref=sr_1_2?keywords=Rufus+Car+Toy+-+Red&amp;qid=1695565939&amp;sr=8-2", "https://www.amazon.com/TGRCM-CZ-Scale-Casting-Vehicles-Toddlers/dp/B08HWRTTV3/ref=sr_1_2?keywords=Rufus+Car+Toy+-+Red&amp;qid=1695565939&amp;sr=8-2")</f>
        <v/>
      </c>
      <c r="F4074" t="inlineStr">
        <is>
          <t>B08HWRTTV3</t>
        </is>
      </c>
      <c r="G4074">
        <f>_xlfn.IMAGE("https://faoschwarz.com/cdn/shop/products/playforever-vehicles-rufus-car-toy-red-29448229388375_1080x.jpg?v=1664207847")</f>
        <v/>
      </c>
      <c r="H4074">
        <f>_xlfn.IMAGE("https://m.media-amazon.com/images/I/61VYjwYwxKL._AC_UL320_.jpg")</f>
        <v/>
      </c>
      <c r="K4074" t="inlineStr">
        <is>
          <t>70.0</t>
        </is>
      </c>
      <c r="L4074" t="n">
        <v>12.99</v>
      </c>
      <c r="M4074" s="1" t="inlineStr">
        <is>
          <t>-81.44%</t>
        </is>
      </c>
      <c r="N4074" t="n">
        <v>4.4</v>
      </c>
      <c r="O4074" t="n">
        <v>7</v>
      </c>
      <c r="Q4074" t="inlineStr">
        <is>
          <t>InStock</t>
        </is>
      </c>
      <c r="R4074" t="inlineStr">
        <is>
          <t>undefined</t>
        </is>
      </c>
      <c r="S4074" t="inlineStr">
        <is>
          <t>6792967487575</t>
        </is>
      </c>
    </row>
    <row r="4075" ht="75" customHeight="1">
      <c r="A4075" s="2">
        <f>HYPERLINK("https://faoschwarz.com/products/championship-carrom-board", "https://faoschwarz.com/products/championship-carrom-board")</f>
        <v/>
      </c>
      <c r="B4075" s="2">
        <f>HYPERLINK("https://faoschwarz.com/products/championship-carrom-board", "https://faoschwarz.com/products/championship-carrom-board")</f>
        <v/>
      </c>
      <c r="C4075" t="inlineStr">
        <is>
          <t>Championship Carrom Board</t>
        </is>
      </c>
      <c r="D4075" t="inlineStr">
        <is>
          <t>Stag Championship Carrom Board Game with Coins and Striker (Championship)</t>
        </is>
      </c>
      <c r="E4075" s="2">
        <f>HYPERLINK("https://www.amazon.com/Stag-Championship-Carrom-Board-Striker/dp/B08TF7Y87H/ref=sr_1_1?keywords=Championship+Carrom+Board&amp;qid=1695565982&amp;sr=8-1", "https://www.amazon.com/Stag-Championship-Carrom-Board-Striker/dp/B08TF7Y87H/ref=sr_1_1?keywords=Championship+Carrom+Board&amp;qid=1695565982&amp;sr=8-1")</f>
        <v/>
      </c>
      <c r="F4075" t="inlineStr">
        <is>
          <t>B08TF7Y87H</t>
        </is>
      </c>
      <c r="G4075">
        <f>_xlfn.IMAGE("https://faoschwarz.com/cdn/shop/products/stag-games-championship-carrom-board-28489911074903_1080x.jpg?v=1656076836")</f>
        <v/>
      </c>
      <c r="H4075">
        <f>_xlfn.IMAGE("https://m.media-amazon.com/images/I/71F0zVJRorL._AC_UL320_.jpg")</f>
        <v/>
      </c>
      <c r="K4075" t="inlineStr">
        <is>
          <t>200.0</t>
        </is>
      </c>
      <c r="L4075" t="n">
        <v>200.5</v>
      </c>
      <c r="M4075" s="1" t="inlineStr">
        <is>
          <t>0.25%</t>
        </is>
      </c>
      <c r="N4075" t="n">
        <v>3.2</v>
      </c>
      <c r="O4075" t="n">
        <v>6</v>
      </c>
      <c r="Q4075" t="inlineStr">
        <is>
          <t>InStock</t>
        </is>
      </c>
      <c r="R4075" t="inlineStr">
        <is>
          <t>undefined</t>
        </is>
      </c>
      <c r="S4075" t="inlineStr">
        <is>
          <t>6560297844823</t>
        </is>
      </c>
    </row>
    <row r="4076" ht="75" customHeight="1">
      <c r="A4076" s="2">
        <f>HYPERLINK("https://faoschwarz.com/products/chess-multi-game-heirloom-edition", "https://faoschwarz.com/products/chess-multi-game-heirloom-edition")</f>
        <v/>
      </c>
      <c r="B4076" s="2">
        <f>HYPERLINK("https://faoschwarz.com/products/chess-multi-game-heirloom-edition", "https://faoschwarz.com/products/chess-multi-game-heirloom-edition")</f>
        <v/>
      </c>
      <c r="C4076" t="inlineStr">
        <is>
          <t>Chess 7-in-1 Heirloom Edition</t>
        </is>
      </c>
      <c r="D4076" t="inlineStr">
        <is>
          <t>WS Game Company Chess 7-in-1 Heirloom Edition</t>
        </is>
      </c>
      <c r="E4076" s="2">
        <f>HYPERLINK("https://www.amazon.com/WS-Game-Company-Chess-Heirloom/dp/B07WF2BKZS/ref=sr_1_1?keywords=Chess+7-in-1+Heirloom+Edition&amp;qid=1695565974&amp;sr=8-1", "https://www.amazon.com/WS-Game-Company-Chess-Heirloom/dp/B07WF2BKZS/ref=sr_1_1?keywords=Chess+7-in-1+Heirloom+Edition&amp;qid=1695565974&amp;sr=8-1")</f>
        <v/>
      </c>
      <c r="F4076" t="inlineStr">
        <is>
          <t>B07WF2BKZS</t>
        </is>
      </c>
      <c r="G4076">
        <f>_xlfn.IMAGE("https://faoschwarz.com/cdn/shop/products/ws-game-company-games-chess-multi-game-heirloom-edition-29023525077079_1080x.jpg?v=1655966223")</f>
        <v/>
      </c>
      <c r="H4076">
        <f>_xlfn.IMAGE("https://m.media-amazon.com/images/I/71etJ1+bo2L._AC_UL320_.jpg")</f>
        <v/>
      </c>
      <c r="K4076" t="inlineStr">
        <is>
          <t>430.0</t>
        </is>
      </c>
      <c r="L4076" t="n">
        <v>299</v>
      </c>
      <c r="M4076" s="1" t="inlineStr">
        <is>
          <t>-30.47%</t>
        </is>
      </c>
      <c r="N4076" t="n">
        <v>4.8</v>
      </c>
      <c r="O4076" t="n">
        <v>8</v>
      </c>
      <c r="Q4076" t="inlineStr">
        <is>
          <t>InStock</t>
        </is>
      </c>
      <c r="R4076" t="inlineStr">
        <is>
          <t>undefined</t>
        </is>
      </c>
      <c r="S4076" t="inlineStr">
        <is>
          <t>6609457184855</t>
        </is>
      </c>
    </row>
    <row r="4077" ht="75" customHeight="1">
      <c r="A4077" s="2">
        <f>HYPERLINK("https://faoschwarz.com/products/chess-multi-game-heirloom-edition", "https://faoschwarz.com/products/chess-multi-game-heirloom-edition")</f>
        <v/>
      </c>
      <c r="B4077" s="2">
        <f>HYPERLINK("https://faoschwarz.com/products/chess-multi-game-heirloom-edition", "https://faoschwarz.com/products/chess-multi-game-heirloom-edition")</f>
        <v/>
      </c>
      <c r="C4077" t="inlineStr">
        <is>
          <t>Chess 7-in-1 Heirloom Edition</t>
        </is>
      </c>
      <c r="D4077" t="inlineStr">
        <is>
          <t>WS Game Company Chess 7-in-1 Heirloom Edition</t>
        </is>
      </c>
      <c r="E4077" s="2">
        <f>HYPERLINK("https://www.amazon.com/WS-Game-Company-Chess-Heirloom/dp/B07WF2BKZS/ref=sr_1_1?keywords=Chess+7-in-1+Heirloom+Edition&amp;qid=1695565974&amp;sr=8-1", "https://www.amazon.com/WS-Game-Company-Chess-Heirloom/dp/B07WF2BKZS/ref=sr_1_1?keywords=Chess+7-in-1+Heirloom+Edition&amp;qid=1695565974&amp;sr=8-1")</f>
        <v/>
      </c>
      <c r="F4077" t="inlineStr">
        <is>
          <t>B07WF2BKZS</t>
        </is>
      </c>
      <c r="G4077">
        <f>_xlfn.IMAGE("https://faoschwarz.com/cdn/shop/products/ws-game-company-games-chess-multi-game-heirloom-edition-29023525077079_1080x.jpg?v=1655966223")</f>
        <v/>
      </c>
      <c r="H4077">
        <f>_xlfn.IMAGE("https://m.media-amazon.com/images/I/71etJ1+bo2L._AC_UL320_.jpg")</f>
        <v/>
      </c>
      <c r="K4077" t="inlineStr">
        <is>
          <t>430.0</t>
        </is>
      </c>
      <c r="L4077" t="n">
        <v>299</v>
      </c>
      <c r="M4077" s="1" t="inlineStr">
        <is>
          <t>-30.47%</t>
        </is>
      </c>
      <c r="N4077" t="n">
        <v>4.8</v>
      </c>
      <c r="O4077" t="n">
        <v>8</v>
      </c>
      <c r="Q4077" t="inlineStr">
        <is>
          <t>InStock</t>
        </is>
      </c>
      <c r="R4077" t="inlineStr">
        <is>
          <t>undefined</t>
        </is>
      </c>
      <c r="S4077" t="inlineStr">
        <is>
          <t>6609457184855</t>
        </is>
      </c>
    </row>
    <row r="4078" ht="75" customHeight="1">
      <c r="A4078" s="2">
        <f>HYPERLINK("https://faoschwarz.com/products/chess-vintage-bookshelf-edition", "https://faoschwarz.com/products/chess-vintage-bookshelf-edition")</f>
        <v/>
      </c>
      <c r="B4078" s="2">
        <f>HYPERLINK("https://faoschwarz.com/products/chess-vintage-bookshelf-edition", "https://faoschwarz.com/products/chess-vintage-bookshelf-edition")</f>
        <v/>
      </c>
      <c r="C4078" t="inlineStr">
        <is>
          <t>Chess Vintage Bookshelf Edition</t>
        </is>
      </c>
      <c r="D4078" t="inlineStr">
        <is>
          <t>WS Game Company The Game of Life Vintage Bookshelf Edition</t>
        </is>
      </c>
      <c r="E4078" s="2">
        <f>HYPERLINK("https://www.amazon.com/Winning-Solutions-Linen-Vintage-Board/dp/B075SDMMMT/ref=sr_1_8?keywords=Chess+Vintage+Bookshelf+Edition&amp;qid=1695565999&amp;sr=8-8", "https://www.amazon.com/Winning-Solutions-Linen-Vintage-Board/dp/B075SDMMMT/ref=sr_1_8?keywords=Chess+Vintage+Bookshelf+Edition&amp;qid=1695565999&amp;sr=8-8")</f>
        <v/>
      </c>
      <c r="F4078" t="inlineStr">
        <is>
          <t>B075SDMMMT</t>
        </is>
      </c>
      <c r="G4078">
        <f>_xlfn.IMAGE("https://faoschwarz.com/cdn/shop/products/ws-game-company-games-chess-vintage-bookshelf-edition-28900029333591_1080x.jpg?v=1655984823")</f>
        <v/>
      </c>
      <c r="H4078">
        <f>_xlfn.IMAGE("https://m.media-amazon.com/images/I/91GMf7H9POL._AC_UL320_.jpg")</f>
        <v/>
      </c>
      <c r="K4078" t="inlineStr">
        <is>
          <t>40.0</t>
        </is>
      </c>
      <c r="L4078" t="n">
        <v>44.99</v>
      </c>
      <c r="M4078" s="1" t="inlineStr">
        <is>
          <t>12.48%</t>
        </is>
      </c>
      <c r="N4078" t="n">
        <v>4.7</v>
      </c>
      <c r="O4078" t="n">
        <v>49</v>
      </c>
      <c r="Q4078" t="inlineStr">
        <is>
          <t>InStock</t>
        </is>
      </c>
      <c r="R4078" t="inlineStr">
        <is>
          <t>undefined</t>
        </is>
      </c>
      <c r="S4078" t="inlineStr">
        <is>
          <t>6715354054743</t>
        </is>
      </c>
    </row>
    <row r="4079" ht="75" customHeight="1">
      <c r="A4079" s="2">
        <f>HYPERLINK("https://faoschwarz.com/products/chess-vintage-bookshelf-edition", "https://faoschwarz.com/products/chess-vintage-bookshelf-edition")</f>
        <v/>
      </c>
      <c r="B4079" s="2">
        <f>HYPERLINK("https://faoschwarz.com/products/chess-vintage-bookshelf-edition", "https://faoschwarz.com/products/chess-vintage-bookshelf-edition")</f>
        <v/>
      </c>
      <c r="C4079" t="inlineStr">
        <is>
          <t>Chess Vintage Bookshelf Edition</t>
        </is>
      </c>
      <c r="D4079" t="inlineStr">
        <is>
          <t>WS Game Company Boggle Vintage Bookshelf Edition</t>
        </is>
      </c>
      <c r="E4079" s="2">
        <f>HYPERLINK("https://www.amazon.com/WS-Game-Company-Vintage-Bookshelf/dp/B07YB5HK2K/ref=sr_1_7?keywords=Chess+Vintage+Bookshelf+Edition&amp;qid=1695565999&amp;sr=8-7", "https://www.amazon.com/WS-Game-Company-Vintage-Bookshelf/dp/B07YB5HK2K/ref=sr_1_7?keywords=Chess+Vintage+Bookshelf+Edition&amp;qid=1695565999&amp;sr=8-7")</f>
        <v/>
      </c>
      <c r="F4079" t="inlineStr">
        <is>
          <t>B07YB5HK2K</t>
        </is>
      </c>
      <c r="G4079">
        <f>_xlfn.IMAGE("https://faoschwarz.com/cdn/shop/products/ws-game-company-games-chess-vintage-bookshelf-edition-28900029333591_1080x.jpg?v=1655984823")</f>
        <v/>
      </c>
      <c r="H4079">
        <f>_xlfn.IMAGE("https://m.media-amazon.com/images/I/81NpZQNNrBL._AC_UL320_.jpg")</f>
        <v/>
      </c>
      <c r="K4079" t="inlineStr">
        <is>
          <t>40.0</t>
        </is>
      </c>
      <c r="L4079" t="n">
        <v>39.99</v>
      </c>
      <c r="M4079" s="1" t="inlineStr">
        <is>
          <t>-0.02%</t>
        </is>
      </c>
      <c r="N4079" t="n">
        <v>4.8</v>
      </c>
      <c r="O4079" t="n">
        <v>307</v>
      </c>
      <c r="Q4079" t="inlineStr">
        <is>
          <t>InStock</t>
        </is>
      </c>
      <c r="R4079" t="inlineStr">
        <is>
          <t>undefined</t>
        </is>
      </c>
      <c r="S4079" t="inlineStr">
        <is>
          <t>6715354054743</t>
        </is>
      </c>
    </row>
    <row r="4080" ht="75" customHeight="1">
      <c r="A4080" s="2">
        <f>HYPERLINK("https://faoschwarz.com/products/chess-vintage-bookshelf-edition", "https://faoschwarz.com/products/chess-vintage-bookshelf-edition")</f>
        <v/>
      </c>
      <c r="B4080" s="2">
        <f>HYPERLINK("https://faoschwarz.com/products/chess-vintage-bookshelf-edition", "https://faoschwarz.com/products/chess-vintage-bookshelf-edition")</f>
        <v/>
      </c>
      <c r="C4080" t="inlineStr">
        <is>
          <t>Chess Vintage Bookshelf Edition</t>
        </is>
      </c>
      <c r="D4080" t="inlineStr">
        <is>
          <t>WS Game Company Clue Vintage Bookshelf Edition</t>
        </is>
      </c>
      <c r="E4080" s="2">
        <f>HYPERLINK("https://www.amazon.com/Clue-Linen-Book-Vintage-Board/dp/B01CPTT716/ref=sr_1_3?keywords=Chess+Vintage+Bookshelf+Edition&amp;qid=1695565999&amp;sr=8-3", "https://www.amazon.com/Clue-Linen-Book-Vintage-Board/dp/B01CPTT716/ref=sr_1_3?keywords=Chess+Vintage+Bookshelf+Edition&amp;qid=1695565999&amp;sr=8-3")</f>
        <v/>
      </c>
      <c r="F4080" t="inlineStr">
        <is>
          <t>B01CPTT716</t>
        </is>
      </c>
      <c r="G4080">
        <f>_xlfn.IMAGE("https://faoschwarz.com/cdn/shop/products/ws-game-company-games-chess-vintage-bookshelf-edition-28900029333591_1080x.jpg?v=1655984823")</f>
        <v/>
      </c>
      <c r="H4080">
        <f>_xlfn.IMAGE("https://m.media-amazon.com/images/I/81MHz0qbqQL._AC_UL320_.jpg")</f>
        <v/>
      </c>
      <c r="K4080" t="inlineStr">
        <is>
          <t>40.0</t>
        </is>
      </c>
      <c r="L4080" t="n">
        <v>39.99</v>
      </c>
      <c r="M4080" s="1" t="inlineStr">
        <is>
          <t>-0.02%</t>
        </is>
      </c>
      <c r="N4080" t="n">
        <v>4.8</v>
      </c>
      <c r="O4080" t="n">
        <v>711</v>
      </c>
      <c r="Q4080" t="inlineStr">
        <is>
          <t>InStock</t>
        </is>
      </c>
      <c r="R4080" t="inlineStr">
        <is>
          <t>undefined</t>
        </is>
      </c>
      <c r="S4080" t="inlineStr">
        <is>
          <t>6715354054743</t>
        </is>
      </c>
    </row>
    <row r="4081" ht="75" customHeight="1">
      <c r="A4081" s="2">
        <f>HYPERLINK("https://faoschwarz.com/products/chess-vintage-bookshelf-edition", "https://faoschwarz.com/products/chess-vintage-bookshelf-edition")</f>
        <v/>
      </c>
      <c r="B4081" s="2">
        <f>HYPERLINK("https://faoschwarz.com/products/chess-vintage-bookshelf-edition", "https://faoschwarz.com/products/chess-vintage-bookshelf-edition")</f>
        <v/>
      </c>
      <c r="C4081" t="inlineStr">
        <is>
          <t>Chess Vintage Bookshelf Edition</t>
        </is>
      </c>
      <c r="D4081" t="inlineStr">
        <is>
          <t>WS Game Company Chutes and Ladders Vintage Bookshelf Edition</t>
        </is>
      </c>
      <c r="E4081" s="2">
        <f>HYPERLINK("https://www.amazon.com/WS-Game-Company-Ladders-Bookshelf/dp/B0844Q7YMY/ref=sr_1_9?keywords=Chess+Vintage+Bookshelf+Edition&amp;qid=1695565999&amp;sr=8-9", "https://www.amazon.com/WS-Game-Company-Ladders-Bookshelf/dp/B0844Q7YMY/ref=sr_1_9?keywords=Chess+Vintage+Bookshelf+Edition&amp;qid=1695565999&amp;sr=8-9")</f>
        <v/>
      </c>
      <c r="F4081" t="inlineStr">
        <is>
          <t>B0844Q7YMY</t>
        </is>
      </c>
      <c r="G4081">
        <f>_xlfn.IMAGE("https://faoschwarz.com/cdn/shop/products/ws-game-company-games-chess-vintage-bookshelf-edition-28900029333591_1080x.jpg?v=1655984823")</f>
        <v/>
      </c>
      <c r="H4081">
        <f>_xlfn.IMAGE("https://m.media-amazon.com/images/I/91NxzqaaD5L._AC_UL320_.jpg")</f>
        <v/>
      </c>
      <c r="K4081" t="inlineStr">
        <is>
          <t>40.0</t>
        </is>
      </c>
      <c r="L4081" t="n">
        <v>35</v>
      </c>
      <c r="M4081" s="1" t="inlineStr">
        <is>
          <t>-12.50%</t>
        </is>
      </c>
      <c r="N4081" t="n">
        <v>4.8</v>
      </c>
      <c r="O4081" t="n">
        <v>167</v>
      </c>
      <c r="Q4081" t="inlineStr">
        <is>
          <t>InStock</t>
        </is>
      </c>
      <c r="R4081" t="inlineStr">
        <is>
          <t>undefined</t>
        </is>
      </c>
      <c r="S4081" t="inlineStr">
        <is>
          <t>6715354054743</t>
        </is>
      </c>
    </row>
    <row r="4082" ht="75" customHeight="1">
      <c r="A4082" s="2">
        <f>HYPERLINK("https://faoschwarz.com/products/chess-vintage-bookshelf-edition", "https://faoschwarz.com/products/chess-vintage-bookshelf-edition")</f>
        <v/>
      </c>
      <c r="B4082" s="2">
        <f>HYPERLINK("https://faoschwarz.com/products/chess-vintage-bookshelf-edition", "https://faoschwarz.com/products/chess-vintage-bookshelf-edition")</f>
        <v/>
      </c>
      <c r="C4082" t="inlineStr">
        <is>
          <t>Chess Vintage Bookshelf Edition</t>
        </is>
      </c>
      <c r="D4082" t="inlineStr">
        <is>
          <t>WS Game Company Chess Vintage Bookshelf Edition</t>
        </is>
      </c>
      <c r="E4082" s="2">
        <f>HYPERLINK("https://www.amazon.com/WS-Game-Company-Vintage-Bookshelf/dp/B09N451M4X/ref=sr_1_1?keywords=Chess+Vintage+Bookshelf+Edition&amp;qid=1695565999&amp;sr=8-1", "https://www.amazon.com/WS-Game-Company-Vintage-Bookshelf/dp/B09N451M4X/ref=sr_1_1?keywords=Chess+Vintage+Bookshelf+Edition&amp;qid=1695565999&amp;sr=8-1")</f>
        <v/>
      </c>
      <c r="F4082" t="inlineStr">
        <is>
          <t>B09N451M4X</t>
        </is>
      </c>
      <c r="G4082">
        <f>_xlfn.IMAGE("https://faoschwarz.com/cdn/shop/products/ws-game-company-games-chess-vintage-bookshelf-edition-28900029333591_1080x.jpg?v=1655984823")</f>
        <v/>
      </c>
      <c r="H4082">
        <f>_xlfn.IMAGE("https://m.media-amazon.com/images/I/81yVQWnPdbL._AC_UL320_.jpg")</f>
        <v/>
      </c>
      <c r="K4082" t="inlineStr">
        <is>
          <t>40.0</t>
        </is>
      </c>
      <c r="L4082" t="n">
        <v>35</v>
      </c>
      <c r="M4082" s="1" t="inlineStr">
        <is>
          <t>-12.50%</t>
        </is>
      </c>
      <c r="N4082" t="n">
        <v>4.9</v>
      </c>
      <c r="O4082" t="n">
        <v>94</v>
      </c>
      <c r="Q4082" t="inlineStr">
        <is>
          <t>InStock</t>
        </is>
      </c>
      <c r="R4082" t="inlineStr">
        <is>
          <t>undefined</t>
        </is>
      </c>
      <c r="S4082" t="inlineStr">
        <is>
          <t>6715354054743</t>
        </is>
      </c>
    </row>
    <row r="4083" ht="75" customHeight="1">
      <c r="A4083" s="2">
        <f>HYPERLINK("https://faoschwarz.com/products/chess-vintage-bookshelf-edition", "https://faoschwarz.com/products/chess-vintage-bookshelf-edition")</f>
        <v/>
      </c>
      <c r="B4083" s="2">
        <f>HYPERLINK("https://faoschwarz.com/products/chess-vintage-bookshelf-edition", "https://faoschwarz.com/products/chess-vintage-bookshelf-edition")</f>
        <v/>
      </c>
      <c r="C4083" t="inlineStr">
        <is>
          <t>Chess Vintage Bookshelf Edition</t>
        </is>
      </c>
      <c r="D4083" t="inlineStr">
        <is>
          <t>WS Game Company Candy Land Vintage Bookshelf Edition</t>
        </is>
      </c>
      <c r="E4083" s="2">
        <f>HYPERLINK("https://www.amazon.com/WS-Game-Company-Vintage-Bookshelf/dp/B0844NRKT3/ref=sr_1_6?keywords=Chess+Vintage+Bookshelf+Edition&amp;qid=1695565999&amp;sr=8-6", "https://www.amazon.com/WS-Game-Company-Vintage-Bookshelf/dp/B0844NRKT3/ref=sr_1_6?keywords=Chess+Vintage+Bookshelf+Edition&amp;qid=1695565999&amp;sr=8-6")</f>
        <v/>
      </c>
      <c r="F4083" t="inlineStr">
        <is>
          <t>B0844NRKT3</t>
        </is>
      </c>
      <c r="G4083">
        <f>_xlfn.IMAGE("https://faoschwarz.com/cdn/shop/products/ws-game-company-games-chess-vintage-bookshelf-edition-28900029333591_1080x.jpg?v=1655984823")</f>
        <v/>
      </c>
      <c r="H4083">
        <f>_xlfn.IMAGE("https://m.media-amazon.com/images/I/915Jx+kTAuL._AC_UL320_.jpg")</f>
        <v/>
      </c>
      <c r="K4083" t="inlineStr">
        <is>
          <t>40.0</t>
        </is>
      </c>
      <c r="L4083" t="n">
        <v>27.56</v>
      </c>
      <c r="M4083" s="1" t="inlineStr">
        <is>
          <t>-31.10%</t>
        </is>
      </c>
      <c r="N4083" t="n">
        <v>4.9</v>
      </c>
      <c r="O4083" t="n">
        <v>298</v>
      </c>
      <c r="Q4083" t="inlineStr">
        <is>
          <t>InStock</t>
        </is>
      </c>
      <c r="R4083" t="inlineStr">
        <is>
          <t>undefined</t>
        </is>
      </c>
      <c r="S4083" t="inlineStr">
        <is>
          <t>6715354054743</t>
        </is>
      </c>
    </row>
    <row r="4084" ht="75" customHeight="1">
      <c r="A4084" s="2">
        <f>HYPERLINK("https://faoschwarz.com/products/chess-vintage-bookshelf-edition", "https://faoschwarz.com/products/chess-vintage-bookshelf-edition")</f>
        <v/>
      </c>
      <c r="B4084" s="2">
        <f>HYPERLINK("https://faoschwarz.com/products/chess-vintage-bookshelf-edition", "https://faoschwarz.com/products/chess-vintage-bookshelf-edition")</f>
        <v/>
      </c>
      <c r="C4084" t="inlineStr">
        <is>
          <t>Chess Vintage Bookshelf Edition</t>
        </is>
      </c>
      <c r="D4084" t="inlineStr">
        <is>
          <t>WS Game Company Chutes and Ladders Vintage Bookshelf Edition</t>
        </is>
      </c>
      <c r="E4084" s="2">
        <f>HYPERLINK("https://www.amazon.com/WS-Game-Company-Ladders-Bookshelf/dp/B0844Q7YMY/ref=sr_1_9?keywords=Chess+Vintage+Bookshelf+Edition&amp;qid=1695565999&amp;sr=8-9", "https://www.amazon.com/WS-Game-Company-Ladders-Bookshelf/dp/B0844Q7YMY/ref=sr_1_9?keywords=Chess+Vintage+Bookshelf+Edition&amp;qid=1695565999&amp;sr=8-9")</f>
        <v/>
      </c>
      <c r="F4084" t="inlineStr">
        <is>
          <t>B0844Q7YMY</t>
        </is>
      </c>
      <c r="G4084">
        <f>_xlfn.IMAGE("https://faoschwarz.com/cdn/shop/products/ws-game-company-games-chess-vintage-bookshelf-edition-28900029333591_1080x.jpg?v=1655984823")</f>
        <v/>
      </c>
      <c r="H4084">
        <f>_xlfn.IMAGE("https://m.media-amazon.com/images/I/91NxzqaaD5L._AC_UL320_.jpg")</f>
        <v/>
      </c>
      <c r="K4084" t="inlineStr">
        <is>
          <t>40.0</t>
        </is>
      </c>
      <c r="L4084" t="n">
        <v>35</v>
      </c>
      <c r="M4084" s="1" t="inlineStr">
        <is>
          <t>-12.50%</t>
        </is>
      </c>
      <c r="N4084" t="n">
        <v>4.8</v>
      </c>
      <c r="O4084" t="n">
        <v>167</v>
      </c>
      <c r="Q4084" t="inlineStr">
        <is>
          <t>InStock</t>
        </is>
      </c>
      <c r="R4084" t="inlineStr">
        <is>
          <t>undefined</t>
        </is>
      </c>
      <c r="S4084" t="inlineStr">
        <is>
          <t>6715354054743</t>
        </is>
      </c>
    </row>
    <row r="4085" ht="75" customHeight="1">
      <c r="A4085" s="2">
        <f>HYPERLINK("https://faoschwarz.com/products/chess-vintage-bookshelf-edition", "https://faoschwarz.com/products/chess-vintage-bookshelf-edition")</f>
        <v/>
      </c>
      <c r="B4085" s="2">
        <f>HYPERLINK("https://faoschwarz.com/products/chess-vintage-bookshelf-edition", "https://faoschwarz.com/products/chess-vintage-bookshelf-edition")</f>
        <v/>
      </c>
      <c r="C4085" t="inlineStr">
        <is>
          <t>Chess Vintage Bookshelf Edition</t>
        </is>
      </c>
      <c r="D4085" t="inlineStr">
        <is>
          <t>WS Game Company Chess Vintage Bookshelf Edition</t>
        </is>
      </c>
      <c r="E4085" s="2">
        <f>HYPERLINK("https://www.amazon.com/WS-Game-Company-Vintage-Bookshelf/dp/B09N451M4X/ref=sr_1_1?keywords=Chess+Vintage+Bookshelf+Edition&amp;qid=1695565999&amp;sr=8-1", "https://www.amazon.com/WS-Game-Company-Vintage-Bookshelf/dp/B09N451M4X/ref=sr_1_1?keywords=Chess+Vintage+Bookshelf+Edition&amp;qid=1695565999&amp;sr=8-1")</f>
        <v/>
      </c>
      <c r="F4085" t="inlineStr">
        <is>
          <t>B09N451M4X</t>
        </is>
      </c>
      <c r="G4085">
        <f>_xlfn.IMAGE("https://faoschwarz.com/cdn/shop/products/ws-game-company-games-chess-vintage-bookshelf-edition-28900029333591_1080x.jpg?v=1655984823")</f>
        <v/>
      </c>
      <c r="H4085">
        <f>_xlfn.IMAGE("https://m.media-amazon.com/images/I/81yVQWnPdbL._AC_UL320_.jpg")</f>
        <v/>
      </c>
      <c r="K4085" t="inlineStr">
        <is>
          <t>40.0</t>
        </is>
      </c>
      <c r="L4085" t="n">
        <v>35</v>
      </c>
      <c r="M4085" s="1" t="inlineStr">
        <is>
          <t>-12.50%</t>
        </is>
      </c>
      <c r="N4085" t="n">
        <v>4.9</v>
      </c>
      <c r="O4085" t="n">
        <v>94</v>
      </c>
      <c r="Q4085" t="inlineStr">
        <is>
          <t>InStock</t>
        </is>
      </c>
      <c r="R4085" t="inlineStr">
        <is>
          <t>undefined</t>
        </is>
      </c>
      <c r="S4085" t="inlineStr">
        <is>
          <t>6715354054743</t>
        </is>
      </c>
    </row>
    <row r="4086" ht="75" customHeight="1">
      <c r="A4086" s="2">
        <f>HYPERLINK("https://faoschwarz.com/products/chess-vintage-bookshelf-edition", "https://faoschwarz.com/products/chess-vintage-bookshelf-edition")</f>
        <v/>
      </c>
      <c r="B4086" s="2">
        <f>HYPERLINK("https://faoschwarz.com/products/chess-vintage-bookshelf-edition", "https://faoschwarz.com/products/chess-vintage-bookshelf-edition")</f>
        <v/>
      </c>
      <c r="C4086" t="inlineStr">
        <is>
          <t>Chess Vintage Bookshelf Edition</t>
        </is>
      </c>
      <c r="D4086" t="inlineStr">
        <is>
          <t>WS Game Company Candy Land Vintage Bookshelf Edition</t>
        </is>
      </c>
      <c r="E4086" s="2">
        <f>HYPERLINK("https://www.amazon.com/WS-Game-Company-Vintage-Bookshelf/dp/B0844NRKT3/ref=sr_1_6?keywords=Chess+Vintage+Bookshelf+Edition&amp;qid=1695565999&amp;sr=8-6", "https://www.amazon.com/WS-Game-Company-Vintage-Bookshelf/dp/B0844NRKT3/ref=sr_1_6?keywords=Chess+Vintage+Bookshelf+Edition&amp;qid=1695565999&amp;sr=8-6")</f>
        <v/>
      </c>
      <c r="F4086" t="inlineStr">
        <is>
          <t>B0844NRKT3</t>
        </is>
      </c>
      <c r="G4086">
        <f>_xlfn.IMAGE("https://faoschwarz.com/cdn/shop/products/ws-game-company-games-chess-vintage-bookshelf-edition-28900029333591_1080x.jpg?v=1655984823")</f>
        <v/>
      </c>
      <c r="H4086">
        <f>_xlfn.IMAGE("https://m.media-amazon.com/images/I/915Jx+kTAuL._AC_UL320_.jpg")</f>
        <v/>
      </c>
      <c r="K4086" t="inlineStr">
        <is>
          <t>40.0</t>
        </is>
      </c>
      <c r="L4086" t="n">
        <v>27.56</v>
      </c>
      <c r="M4086" s="1" t="inlineStr">
        <is>
          <t>-31.10%</t>
        </is>
      </c>
      <c r="N4086" t="n">
        <v>4.9</v>
      </c>
      <c r="O4086" t="n">
        <v>298</v>
      </c>
      <c r="Q4086" t="inlineStr">
        <is>
          <t>InStock</t>
        </is>
      </c>
      <c r="R4086" t="inlineStr">
        <is>
          <t>undefined</t>
        </is>
      </c>
      <c r="S4086" t="inlineStr">
        <is>
          <t>6715354054743</t>
        </is>
      </c>
    </row>
    <row r="4087" ht="75" customHeight="1">
      <c r="A4087" s="2">
        <f>HYPERLINK("https://faoschwarz.com/products/classic-bocce-set", "https://faoschwarz.com/products/classic-bocce-set")</f>
        <v/>
      </c>
      <c r="B4087" s="2">
        <f>HYPERLINK("https://faoschwarz.com/products/classic-bocce-set", "https://faoschwarz.com/products/classic-bocce-set")</f>
        <v/>
      </c>
      <c r="C4087" t="inlineStr">
        <is>
          <t>Classic Bocce Set</t>
        </is>
      </c>
      <c r="D4087" t="inlineStr">
        <is>
          <t>Champion Sports Bocce Ball Set: Tournament Series Classic Family, Party and Lawn Game</t>
        </is>
      </c>
      <c r="E4087" s="2">
        <f>HYPERLINK("https://www.amazon.com/Champion-Sports-Bocce-Ball-Set/dp/B01JC0G64W/ref=sr_1_10?keywords=Classic+Bocce+Set&amp;qid=1695565994&amp;sr=8-10", "https://www.amazon.com/Champion-Sports-Bocce-Ball-Set/dp/B01JC0G64W/ref=sr_1_10?keywords=Classic+Bocce+Set&amp;qid=1695565994&amp;sr=8-10")</f>
        <v/>
      </c>
      <c r="F4087" t="inlineStr">
        <is>
          <t>B01JC0G64W</t>
        </is>
      </c>
      <c r="G4087">
        <f>_xlfn.IMAGE("https://faoschwarz.com/cdn/shop/products/lucio-londero-games-classic-bocce-set-14083405512791_1080x.jpg?v=1656105260")</f>
        <v/>
      </c>
      <c r="H4087">
        <f>_xlfn.IMAGE("https://m.media-amazon.com/images/I/71v5XX8TgNL._AC_UL320_.jpg")</f>
        <v/>
      </c>
      <c r="K4087" t="inlineStr">
        <is>
          <t>90.0</t>
        </is>
      </c>
      <c r="L4087" t="n">
        <v>96.98999999999999</v>
      </c>
      <c r="M4087" s="1" t="inlineStr">
        <is>
          <t>7.77%</t>
        </is>
      </c>
      <c r="N4087" t="n">
        <v>4.6</v>
      </c>
      <c r="O4087" t="n">
        <v>95</v>
      </c>
      <c r="Q4087" t="inlineStr">
        <is>
          <t>InStock</t>
        </is>
      </c>
      <c r="R4087" t="inlineStr">
        <is>
          <t>undefined</t>
        </is>
      </c>
      <c r="S4087" t="inlineStr">
        <is>
          <t>4496972021847</t>
        </is>
      </c>
    </row>
    <row r="4088" ht="75" customHeight="1">
      <c r="A4088" s="2">
        <f>HYPERLINK("https://faoschwarz.com/products/classic-bocce-set", "https://faoschwarz.com/products/classic-bocce-set")</f>
        <v/>
      </c>
      <c r="B4088" s="2">
        <f>HYPERLINK("https://faoschwarz.com/products/classic-bocce-set", "https://faoschwarz.com/products/classic-bocce-set")</f>
        <v/>
      </c>
      <c r="C4088" t="inlineStr">
        <is>
          <t>Classic Bocce Set</t>
        </is>
      </c>
      <c r="D4088" t="inlineStr">
        <is>
          <t>Londero Classic Bocce Set, (10-09004)</t>
        </is>
      </c>
      <c r="E4088" s="2">
        <f>HYPERLINK("https://www.amazon.com/Toymarketing-International-Classic-Bocce-Set/dp/B002ECGORU/ref=sr_1_3?keywords=Classic+Bocce+Set&amp;qid=1695565994&amp;sr=8-3", "https://www.amazon.com/Toymarketing-International-Classic-Bocce-Set/dp/B002ECGORU/ref=sr_1_3?keywords=Classic+Bocce+Set&amp;qid=1695565994&amp;sr=8-3")</f>
        <v/>
      </c>
      <c r="F4088" t="inlineStr">
        <is>
          <t>B002ECGORU</t>
        </is>
      </c>
      <c r="G4088">
        <f>_xlfn.IMAGE("https://faoschwarz.com/cdn/shop/products/lucio-londero-games-classic-bocce-set-14083405512791_1080x.jpg?v=1656105260")</f>
        <v/>
      </c>
      <c r="H4088">
        <f>_xlfn.IMAGE("https://m.media-amazon.com/images/I/51mNRcvA7eL._AC_UL320_.jpg")</f>
        <v/>
      </c>
      <c r="K4088" t="inlineStr">
        <is>
          <t>90.0</t>
        </is>
      </c>
      <c r="L4088" t="n">
        <v>79.95</v>
      </c>
      <c r="M4088" s="1" t="inlineStr">
        <is>
          <t>-11.17%</t>
        </is>
      </c>
      <c r="N4088" t="n">
        <v>4.5</v>
      </c>
      <c r="O4088" t="n">
        <v>78</v>
      </c>
      <c r="Q4088" t="inlineStr">
        <is>
          <t>InStock</t>
        </is>
      </c>
      <c r="R4088" t="inlineStr">
        <is>
          <t>undefined</t>
        </is>
      </c>
      <c r="S4088" t="inlineStr">
        <is>
          <t>4496972021847</t>
        </is>
      </c>
    </row>
    <row r="4089" ht="75" customHeight="1">
      <c r="A4089" s="2">
        <f>HYPERLINK("https://faoschwarz.com/products/classic-bocce-set", "https://faoschwarz.com/products/classic-bocce-set")</f>
        <v/>
      </c>
      <c r="B4089" s="2">
        <f>HYPERLINK("https://faoschwarz.com/products/classic-bocce-set", "https://faoschwarz.com/products/classic-bocce-set")</f>
        <v/>
      </c>
      <c r="C4089" t="inlineStr">
        <is>
          <t>Classic Bocce Set</t>
        </is>
      </c>
      <c r="D4089" t="inlineStr">
        <is>
          <t>Bocce Ball Set, 90mm Classic Bocce Ball Set with 8 Resin Bocce Balls/1 Pallino/Nylon Zippered Bag/Measuring Tape - Outdoor Family Games for Backyard/Lawn/Beach (Red &amp; Green)</t>
        </is>
      </c>
      <c r="E4089" s="2">
        <f>HYPERLINK("https://www.amazon.com/Pointyard-Classic-Pallino-Nylon-Zippered-Measuring/dp/B08FX9R73L/ref=sr_1_2?keywords=Classic+Bocce+Set&amp;qid=1695565994&amp;sr=8-2", "https://www.amazon.com/Pointyard-Classic-Pallino-Nylon-Zippered-Measuring/dp/B08FX9R73L/ref=sr_1_2?keywords=Classic+Bocce+Set&amp;qid=1695565994&amp;sr=8-2")</f>
        <v/>
      </c>
      <c r="F4089" t="inlineStr">
        <is>
          <t>B08FX9R73L</t>
        </is>
      </c>
      <c r="G4089">
        <f>_xlfn.IMAGE("https://faoschwarz.com/cdn/shop/products/lucio-londero-games-classic-bocce-set-14083405512791_1080x.jpg?v=1656105260")</f>
        <v/>
      </c>
      <c r="H4089">
        <f>_xlfn.IMAGE("https://m.media-amazon.com/images/I/81B040zI3XS._AC_UL320_.jpg")</f>
        <v/>
      </c>
      <c r="K4089" t="inlineStr">
        <is>
          <t>90.0</t>
        </is>
      </c>
      <c r="L4089" t="n">
        <v>49.99</v>
      </c>
      <c r="M4089" s="1" t="inlineStr">
        <is>
          <t>-44.46%</t>
        </is>
      </c>
      <c r="N4089" t="n">
        <v>4.6</v>
      </c>
      <c r="O4089" t="n">
        <v>61</v>
      </c>
      <c r="Q4089" t="inlineStr">
        <is>
          <t>InStock</t>
        </is>
      </c>
      <c r="R4089" t="inlineStr">
        <is>
          <t>undefined</t>
        </is>
      </c>
      <c r="S4089" t="inlineStr">
        <is>
          <t>4496972021847</t>
        </is>
      </c>
    </row>
    <row r="4090" ht="75" customHeight="1">
      <c r="A4090" s="2">
        <f>HYPERLINK("https://faoschwarz.com/products/classic-bocce-set", "https://faoschwarz.com/products/classic-bocce-set")</f>
        <v/>
      </c>
      <c r="B4090" s="2">
        <f>HYPERLINK("https://faoschwarz.com/products/classic-bocce-set", "https://faoschwarz.com/products/classic-bocce-set")</f>
        <v/>
      </c>
      <c r="C4090" t="inlineStr">
        <is>
          <t>Classic Bocce Set</t>
        </is>
      </c>
      <c r="D4090" t="inlineStr">
        <is>
          <t>Triumph Sports Triumph 100mm Classic Bocce Ball Set - Includes 8 Bocce Balls, Jack and Carry Case</t>
        </is>
      </c>
      <c r="E4090" s="2">
        <f>HYPERLINK("https://www.amazon.com/Triumph-Recreational-Outdoor-Bocce-Sports/dp/B00K8TFUIA/ref=sr_1_1?keywords=Classic+Bocce+Set&amp;qid=1695565994&amp;sr=8-1", "https://www.amazon.com/Triumph-Recreational-Outdoor-Bocce-Sports/dp/B00K8TFUIA/ref=sr_1_1?keywords=Classic+Bocce+Set&amp;qid=1695565994&amp;sr=8-1")</f>
        <v/>
      </c>
      <c r="F4090" t="inlineStr">
        <is>
          <t>B00K8TFUIA</t>
        </is>
      </c>
      <c r="G4090">
        <f>_xlfn.IMAGE("https://faoschwarz.com/cdn/shop/products/lucio-londero-games-classic-bocce-set-14083405512791_1080x.jpg?v=1656105260")</f>
        <v/>
      </c>
      <c r="H4090">
        <f>_xlfn.IMAGE("https://m.media-amazon.com/images/I/81apBP-r7fL._AC_UL320_.jpg")</f>
        <v/>
      </c>
      <c r="K4090" t="inlineStr">
        <is>
          <t>90.0</t>
        </is>
      </c>
      <c r="L4090" t="n">
        <v>33.1</v>
      </c>
      <c r="M4090" s="1" t="inlineStr">
        <is>
          <t>-63.22%</t>
        </is>
      </c>
      <c r="N4090" t="n">
        <v>4.3</v>
      </c>
      <c r="O4090" t="n">
        <v>140</v>
      </c>
      <c r="Q4090" t="inlineStr">
        <is>
          <t>InStock</t>
        </is>
      </c>
      <c r="R4090" t="inlineStr">
        <is>
          <t>undefined</t>
        </is>
      </c>
      <c r="S4090" t="inlineStr">
        <is>
          <t>4496972021847</t>
        </is>
      </c>
    </row>
    <row r="4091" ht="75" customHeight="1">
      <c r="A4091" s="2">
        <f>HYPERLINK("https://faoschwarz.com/products/classic-bocce-set", "https://faoschwarz.com/products/classic-bocce-set")</f>
        <v/>
      </c>
      <c r="B4091" s="2">
        <f>HYPERLINK("https://faoschwarz.com/products/classic-bocce-set", "https://faoschwarz.com/products/classic-bocce-set")</f>
        <v/>
      </c>
      <c r="C4091" t="inlineStr">
        <is>
          <t>Classic Bocce Set</t>
        </is>
      </c>
      <c r="D4091" t="inlineStr">
        <is>
          <t>Londero Classic Bocce Set, (10-09004)</t>
        </is>
      </c>
      <c r="E4091" s="2">
        <f>HYPERLINK("https://www.amazon.com/Toymarketing-International-Classic-Bocce-Set/dp/B002ECGORU/ref=sr_1_3?keywords=Classic+Bocce+Set&amp;qid=1695565994&amp;sr=8-3", "https://www.amazon.com/Toymarketing-International-Classic-Bocce-Set/dp/B002ECGORU/ref=sr_1_3?keywords=Classic+Bocce+Set&amp;qid=1695565994&amp;sr=8-3")</f>
        <v/>
      </c>
      <c r="F4091" t="inlineStr">
        <is>
          <t>B002ECGORU</t>
        </is>
      </c>
      <c r="G4091">
        <f>_xlfn.IMAGE("https://faoschwarz.com/cdn/shop/products/lucio-londero-games-classic-bocce-set-14083405512791_1080x.jpg?v=1656105260")</f>
        <v/>
      </c>
      <c r="H4091">
        <f>_xlfn.IMAGE("https://m.media-amazon.com/images/I/51mNRcvA7eL._AC_UL320_.jpg")</f>
        <v/>
      </c>
      <c r="K4091" t="inlineStr">
        <is>
          <t>90.0</t>
        </is>
      </c>
      <c r="L4091" t="n">
        <v>79.95</v>
      </c>
      <c r="M4091" s="1" t="inlineStr">
        <is>
          <t>-11.17%</t>
        </is>
      </c>
      <c r="N4091" t="n">
        <v>4.5</v>
      </c>
      <c r="O4091" t="n">
        <v>78</v>
      </c>
      <c r="Q4091" t="inlineStr">
        <is>
          <t>InStock</t>
        </is>
      </c>
      <c r="R4091" t="inlineStr">
        <is>
          <t>undefined</t>
        </is>
      </c>
      <c r="S4091" t="inlineStr">
        <is>
          <t>4496972021847</t>
        </is>
      </c>
    </row>
    <row r="4092" ht="75" customHeight="1">
      <c r="A4092" s="2">
        <f>HYPERLINK("https://faoschwarz.com/products/classic-bocce-set", "https://faoschwarz.com/products/classic-bocce-set")</f>
        <v/>
      </c>
      <c r="B4092" s="2">
        <f>HYPERLINK("https://faoschwarz.com/products/classic-bocce-set", "https://faoschwarz.com/products/classic-bocce-set")</f>
        <v/>
      </c>
      <c r="C4092" t="inlineStr">
        <is>
          <t>Classic Bocce Set</t>
        </is>
      </c>
      <c r="D4092" t="inlineStr">
        <is>
          <t>Bocce Ball Set, 90mm Classic Bocce Ball Set with 8 Resin Bocce Balls/1 Pallino/Nylon Zippered Bag/Measuring Tape - Outdoor Family Games for Backyard/Lawn/Beach (Red &amp; Green)</t>
        </is>
      </c>
      <c r="E4092" s="2">
        <f>HYPERLINK("https://www.amazon.com/Pointyard-Classic-Pallino-Nylon-Zippered-Measuring/dp/B08FX9R73L/ref=sr_1_2?keywords=Classic+Bocce+Set&amp;qid=1695565994&amp;sr=8-2", "https://www.amazon.com/Pointyard-Classic-Pallino-Nylon-Zippered-Measuring/dp/B08FX9R73L/ref=sr_1_2?keywords=Classic+Bocce+Set&amp;qid=1695565994&amp;sr=8-2")</f>
        <v/>
      </c>
      <c r="F4092" t="inlineStr">
        <is>
          <t>B08FX9R73L</t>
        </is>
      </c>
      <c r="G4092">
        <f>_xlfn.IMAGE("https://faoschwarz.com/cdn/shop/products/lucio-londero-games-classic-bocce-set-14083405512791_1080x.jpg?v=1656105260")</f>
        <v/>
      </c>
      <c r="H4092">
        <f>_xlfn.IMAGE("https://m.media-amazon.com/images/I/81B040zI3XS._AC_UL320_.jpg")</f>
        <v/>
      </c>
      <c r="K4092" t="inlineStr">
        <is>
          <t>90.0</t>
        </is>
      </c>
      <c r="L4092" t="n">
        <v>49.99</v>
      </c>
      <c r="M4092" s="1" t="inlineStr">
        <is>
          <t>-44.46%</t>
        </is>
      </c>
      <c r="N4092" t="n">
        <v>4.6</v>
      </c>
      <c r="O4092" t="n">
        <v>61</v>
      </c>
      <c r="Q4092" t="inlineStr">
        <is>
          <t>InStock</t>
        </is>
      </c>
      <c r="R4092" t="inlineStr">
        <is>
          <t>undefined</t>
        </is>
      </c>
      <c r="S4092" t="inlineStr">
        <is>
          <t>4496972021847</t>
        </is>
      </c>
    </row>
    <row r="4093" ht="75" customHeight="1">
      <c r="A4093" s="2">
        <f>HYPERLINK("https://faoschwarz.com/products/classic-bocce-set", "https://faoschwarz.com/products/classic-bocce-set")</f>
        <v/>
      </c>
      <c r="B4093" s="2">
        <f>HYPERLINK("https://faoschwarz.com/products/classic-bocce-set", "https://faoschwarz.com/products/classic-bocce-set")</f>
        <v/>
      </c>
      <c r="C4093" t="inlineStr">
        <is>
          <t>Classic Bocce Set</t>
        </is>
      </c>
      <c r="D4093" t="inlineStr">
        <is>
          <t>Triumph Sports Triumph 100mm Classic Bocce Ball Set - Includes 8 Bocce Balls, Jack and Carry Case</t>
        </is>
      </c>
      <c r="E4093" s="2">
        <f>HYPERLINK("https://www.amazon.com/Triumph-Recreational-Outdoor-Bocce-Sports/dp/B00K8TFUIA/ref=sr_1_1?keywords=Classic+Bocce+Set&amp;qid=1695565994&amp;sr=8-1", "https://www.amazon.com/Triumph-Recreational-Outdoor-Bocce-Sports/dp/B00K8TFUIA/ref=sr_1_1?keywords=Classic+Bocce+Set&amp;qid=1695565994&amp;sr=8-1")</f>
        <v/>
      </c>
      <c r="F4093" t="inlineStr">
        <is>
          <t>B00K8TFUIA</t>
        </is>
      </c>
      <c r="G4093">
        <f>_xlfn.IMAGE("https://faoschwarz.com/cdn/shop/products/lucio-londero-games-classic-bocce-set-14083405512791_1080x.jpg?v=1656105260")</f>
        <v/>
      </c>
      <c r="H4093">
        <f>_xlfn.IMAGE("https://m.media-amazon.com/images/I/81apBP-r7fL._AC_UL320_.jpg")</f>
        <v/>
      </c>
      <c r="K4093" t="inlineStr">
        <is>
          <t>90.0</t>
        </is>
      </c>
      <c r="L4093" t="n">
        <v>33.1</v>
      </c>
      <c r="M4093" s="1" t="inlineStr">
        <is>
          <t>-63.22%</t>
        </is>
      </c>
      <c r="N4093" t="n">
        <v>4.3</v>
      </c>
      <c r="O4093" t="n">
        <v>140</v>
      </c>
      <c r="Q4093" t="inlineStr">
        <is>
          <t>InStock</t>
        </is>
      </c>
      <c r="R4093" t="inlineStr">
        <is>
          <t>undefined</t>
        </is>
      </c>
      <c r="S4093" t="inlineStr">
        <is>
          <t>4496972021847</t>
        </is>
      </c>
    </row>
    <row r="4094" ht="75" customHeight="1">
      <c r="A4094" s="2">
        <f>HYPERLINK("https://faoschwarz.com/products/classic-trouble", "https://faoschwarz.com/products/classic-trouble")</f>
        <v/>
      </c>
      <c r="B4094" s="2">
        <f>HYPERLINK("https://faoschwarz.com/products/classic-trouble", "https://faoschwarz.com/products/classic-trouble")</f>
        <v/>
      </c>
      <c r="C4094" t="inlineStr">
        <is>
          <t>Classic Trouble</t>
        </is>
      </c>
      <c r="D4094" t="inlineStr">
        <is>
          <t>Gender Trouble: Feminism and the Subversion of Identity (Routledge Classics)</t>
        </is>
      </c>
      <c r="E4094" s="2">
        <f>HYPERLINK("https://www.amazon.com/Gender-Trouble-Feminism-Subversion-Routledge/dp/0415389550/ref=sr_1_9?keywords=Classic+Trouble&amp;qid=1695566002&amp;sr=8-9", "https://www.amazon.com/Gender-Trouble-Feminism-Subversion-Routledge/dp/0415389550/ref=sr_1_9?keywords=Classic+Trouble&amp;qid=1695566002&amp;sr=8-9")</f>
        <v/>
      </c>
      <c r="F4094" t="inlineStr">
        <is>
          <t>0415389550</t>
        </is>
      </c>
      <c r="G4094">
        <f>_xlfn.IMAGE("https://faoschwarz.com/cdn/shop/products/winning-moves-games-classic-trouble-14085068030039_1080x.jpg?v=1656105380")</f>
        <v/>
      </c>
      <c r="H4094">
        <f>_xlfn.IMAGE("https://m.media-amazon.com/images/I/610RmH1lGvL._AC_UY218_.jpg")</f>
        <v/>
      </c>
      <c r="K4094" t="inlineStr">
        <is>
          <t>18.0</t>
        </is>
      </c>
      <c r="L4094" t="n">
        <v>20.93</v>
      </c>
      <c r="M4094" s="1" t="inlineStr">
        <is>
          <t>16.28%</t>
        </is>
      </c>
      <c r="N4094" t="n">
        <v>4.6</v>
      </c>
      <c r="O4094" t="n">
        <v>562</v>
      </c>
      <c r="Q4094" t="inlineStr">
        <is>
          <t>InStock</t>
        </is>
      </c>
      <c r="R4094" t="inlineStr">
        <is>
          <t>undefined</t>
        </is>
      </c>
      <c r="S4094" t="inlineStr">
        <is>
          <t>4518196609111</t>
        </is>
      </c>
    </row>
    <row r="4095" ht="75" customHeight="1">
      <c r="A4095" s="2">
        <f>HYPERLINK("https://faoschwarz.com/products/classic-trouble", "https://faoschwarz.com/products/classic-trouble")</f>
        <v/>
      </c>
      <c r="B4095" s="2">
        <f>HYPERLINK("https://faoschwarz.com/products/classic-trouble", "https://faoschwarz.com/products/classic-trouble")</f>
        <v/>
      </c>
      <c r="C4095" t="inlineStr">
        <is>
          <t>Classic Trouble</t>
        </is>
      </c>
      <c r="D4095" t="inlineStr">
        <is>
          <t>Winning Moves Games Classic Trouble Board Game,4 players, 1176</t>
        </is>
      </c>
      <c r="E4095" s="2">
        <f>HYPERLINK("https://www.amazon.com/Winning-Moves-Games-Classic-Trouble/dp/B00EIJU40U/ref=sr_1_1?keywords=Classic+Trouble&amp;qid=1695566002&amp;sr=8-1", "https://www.amazon.com/Winning-Moves-Games-Classic-Trouble/dp/B00EIJU40U/ref=sr_1_1?keywords=Classic+Trouble&amp;qid=1695566002&amp;sr=8-1")</f>
        <v/>
      </c>
      <c r="F4095" t="inlineStr">
        <is>
          <t>B00EIJU40U</t>
        </is>
      </c>
      <c r="G4095">
        <f>_xlfn.IMAGE("https://faoschwarz.com/cdn/shop/products/winning-moves-games-classic-trouble-14085068030039_1080x.jpg?v=1656105380")</f>
        <v/>
      </c>
      <c r="H4095">
        <f>_xlfn.IMAGE("https://m.media-amazon.com/images/I/81EoskZwl0S._AC_UY218_.jpg")</f>
        <v/>
      </c>
      <c r="K4095" t="inlineStr">
        <is>
          <t>18.0</t>
        </is>
      </c>
      <c r="L4095" t="n">
        <v>17.99</v>
      </c>
      <c r="M4095" s="1" t="inlineStr">
        <is>
          <t>-0.06%</t>
        </is>
      </c>
      <c r="N4095" t="n">
        <v>4.7</v>
      </c>
      <c r="O4095" t="n">
        <v>5657</v>
      </c>
      <c r="Q4095" t="inlineStr">
        <is>
          <t>InStock</t>
        </is>
      </c>
      <c r="R4095" t="inlineStr">
        <is>
          <t>undefined</t>
        </is>
      </c>
      <c r="S4095" t="inlineStr">
        <is>
          <t>4518196609111</t>
        </is>
      </c>
    </row>
    <row r="4096" ht="75" customHeight="1">
      <c r="A4096" s="2">
        <f>HYPERLINK("https://faoschwarz.com/products/classic-trouble", "https://faoschwarz.com/products/classic-trouble")</f>
        <v/>
      </c>
      <c r="B4096" s="2">
        <f>HYPERLINK("https://faoschwarz.com/products/classic-trouble", "https://faoschwarz.com/products/classic-trouble")</f>
        <v/>
      </c>
      <c r="C4096" t="inlineStr">
        <is>
          <t>Classic Trouble</t>
        </is>
      </c>
      <c r="D4096" t="inlineStr">
        <is>
          <t>Deep Trouble (Classic Goosebumps #2) (2)</t>
        </is>
      </c>
      <c r="E4096" s="2">
        <f>HYPERLINK("https://www.amazon.com/Deep-Trouble-Classic-Goosebumps-2/dp/0545035198/ref=sr_1_4?keywords=Classic+Trouble&amp;qid=1695566002&amp;sr=8-4", "https://www.amazon.com/Deep-Trouble-Classic-Goosebumps-2/dp/0545035198/ref=sr_1_4?keywords=Classic+Trouble&amp;qid=1695566002&amp;sr=8-4")</f>
        <v/>
      </c>
      <c r="F4096" t="inlineStr">
        <is>
          <t>0545035198</t>
        </is>
      </c>
      <c r="G4096">
        <f>_xlfn.IMAGE("https://faoschwarz.com/cdn/shop/products/winning-moves-games-classic-trouble-14085068030039_1080x.jpg?v=1656105380")</f>
        <v/>
      </c>
      <c r="H4096">
        <f>_xlfn.IMAGE("https://m.media-amazon.com/images/I/71WMuAGlrhL._AC_UY218_.jpg")</f>
        <v/>
      </c>
      <c r="K4096" t="inlineStr">
        <is>
          <t>18.0</t>
        </is>
      </c>
      <c r="L4096" t="n">
        <v>7.99</v>
      </c>
      <c r="M4096" s="1" t="inlineStr">
        <is>
          <t>-55.61%</t>
        </is>
      </c>
      <c r="N4096" t="n">
        <v>4.7</v>
      </c>
      <c r="O4096" t="n">
        <v>948</v>
      </c>
      <c r="Q4096" t="inlineStr">
        <is>
          <t>InStock</t>
        </is>
      </c>
      <c r="R4096" t="inlineStr">
        <is>
          <t>undefined</t>
        </is>
      </c>
      <c r="S4096" t="inlineStr">
        <is>
          <t>4518196609111</t>
        </is>
      </c>
    </row>
    <row r="4097" ht="75" customHeight="1">
      <c r="A4097" s="2">
        <f>HYPERLINK("https://faoschwarz.com/products/classic-trouble", "https://faoschwarz.com/products/classic-trouble")</f>
        <v/>
      </c>
      <c r="B4097" s="2">
        <f>HYPERLINK("https://faoschwarz.com/products/classic-trouble", "https://faoschwarz.com/products/classic-trouble")</f>
        <v/>
      </c>
      <c r="C4097" t="inlineStr">
        <is>
          <t>Classic Trouble</t>
        </is>
      </c>
      <c r="D4097" t="inlineStr">
        <is>
          <t>Deep Trouble (Classic Goosebumps #2) (2)</t>
        </is>
      </c>
      <c r="E4097" s="2">
        <f>HYPERLINK("https://www.amazon.com/Deep-Trouble-Classic-Goosebumps-2/dp/0545035198/ref=sr_1_4?keywords=Classic+Trouble&amp;qid=1695566002&amp;sr=8-4", "https://www.amazon.com/Deep-Trouble-Classic-Goosebumps-2/dp/0545035198/ref=sr_1_4?keywords=Classic+Trouble&amp;qid=1695566002&amp;sr=8-4")</f>
        <v/>
      </c>
      <c r="F4097" t="inlineStr">
        <is>
          <t>0545035198</t>
        </is>
      </c>
      <c r="G4097">
        <f>_xlfn.IMAGE("https://faoschwarz.com/cdn/shop/products/winning-moves-games-classic-trouble-14085068030039_1080x.jpg?v=1656105380")</f>
        <v/>
      </c>
      <c r="H4097">
        <f>_xlfn.IMAGE("https://m.media-amazon.com/images/I/71WMuAGlrhL._AC_UY218_.jpg")</f>
        <v/>
      </c>
      <c r="K4097" t="inlineStr">
        <is>
          <t>18.0</t>
        </is>
      </c>
      <c r="L4097" t="n">
        <v>7.99</v>
      </c>
      <c r="M4097" s="1" t="inlineStr">
        <is>
          <t>-55.61%</t>
        </is>
      </c>
      <c r="N4097" t="n">
        <v>4.7</v>
      </c>
      <c r="O4097" t="n">
        <v>948</v>
      </c>
      <c r="Q4097" t="inlineStr">
        <is>
          <t>InStock</t>
        </is>
      </c>
      <c r="R4097" t="inlineStr">
        <is>
          <t>undefined</t>
        </is>
      </c>
      <c r="S4097" t="inlineStr">
        <is>
          <t>4518196609111</t>
        </is>
      </c>
    </row>
    <row r="4098" ht="75" customHeight="1">
      <c r="A4098" s="2">
        <f>HYPERLINK("https://faoschwarz.com/products/climbing-triangle-with-ramp-rainbow", "https://faoschwarz.com/products/climbing-triangle-with-ramp-rainbow")</f>
        <v/>
      </c>
      <c r="B4098" s="2">
        <f>HYPERLINK("https://faoschwarz.com/products/climbing-triangle-with-ramp-rainbow", "https://faoschwarz.com/products/climbing-triangle-with-ramp-rainbow")</f>
        <v/>
      </c>
      <c r="C4098" t="inlineStr">
        <is>
          <t>Climbing Triangle with Ramp – Rainbow</t>
        </is>
      </c>
      <c r="D4098" t="inlineStr">
        <is>
          <t>Set of 3 Triangle for Kids Toddlers Rock with ramp - Montessori Climber Ladder Slide - Learning Waldorf Climbing Arch Toy for Toddler N.Wood+Rainbow (Large Size)</t>
        </is>
      </c>
      <c r="E4098" s="2">
        <f>HYPERLINK("https://www.amazon.com/Pikler-Triangle-Kids-Toddlers-Rock/dp/B08K3K85MN/ref=sr_1_10?keywords=Climbing+Triangle+with+Ramp+%E2%80%93+Rainbow&amp;qid=1695565944&amp;sr=8-10", "https://www.amazon.com/Pikler-Triangle-Kids-Toddlers-Rock/dp/B08K3K85MN/ref=sr_1_10?keywords=Climbing+Triangle+with+Ramp+%E2%80%93+Rainbow&amp;qid=1695565944&amp;sr=8-10")</f>
        <v/>
      </c>
      <c r="F4098" t="inlineStr">
        <is>
          <t>B08K3K85MN</t>
        </is>
      </c>
      <c r="G4098">
        <f>_xlfn.IMAGE("https://faoschwarz.com/cdn/shop/products/cassarokids-preschool-climbing-triangle-with-ramp-rainbow-29503519686743_1080x.jpg?v=1667249991")</f>
        <v/>
      </c>
      <c r="H4098">
        <f>_xlfn.IMAGE("https://m.media-amazon.com/images/I/51EbdyF8+uL._AC_UL320_.jpg")</f>
        <v/>
      </c>
      <c r="K4098" t="inlineStr">
        <is>
          <t>549.0</t>
        </is>
      </c>
      <c r="L4098" t="n">
        <v>224</v>
      </c>
      <c r="M4098" s="1" t="inlineStr">
        <is>
          <t>-59.20%</t>
        </is>
      </c>
      <c r="N4098" t="n">
        <v>4.7</v>
      </c>
      <c r="O4098" t="n">
        <v>28</v>
      </c>
      <c r="Q4098" t="inlineStr">
        <is>
          <t>InStock</t>
        </is>
      </c>
      <c r="R4098" t="inlineStr">
        <is>
          <t>undefined</t>
        </is>
      </c>
      <c r="S4098" t="inlineStr">
        <is>
          <t>6796479037527</t>
        </is>
      </c>
    </row>
    <row r="4099" ht="75" customHeight="1">
      <c r="A4099" s="2">
        <f>HYPERLINK("https://faoschwarz.com/products/climbing-triangle-with-ramp-rainbow", "https://faoschwarz.com/products/climbing-triangle-with-ramp-rainbow")</f>
        <v/>
      </c>
      <c r="B4099" s="2">
        <f>HYPERLINK("https://faoschwarz.com/products/climbing-triangle-with-ramp-rainbow", "https://faoschwarz.com/products/climbing-triangle-with-ramp-rainbow")</f>
        <v/>
      </c>
      <c r="C4099" t="inlineStr">
        <is>
          <t>Climbing Triangle with Ramp – Rainbow</t>
        </is>
      </c>
      <c r="D4099" t="inlineStr">
        <is>
          <t>Dripex Pikler Triangle Climber Set, X-Large Climbing Triangle with Reversible Ramp Rainbow and More Than 20 Playing Modes, Premium Early Learning Montessori Climbing Toys for Toddler Kids</t>
        </is>
      </c>
      <c r="E4099" s="2">
        <f>HYPERLINK("https://www.amazon.com/Dripex-Reversible-Montessori-Playground-Combinations/dp/B0B3RJY37B/ref=sr_1_5?keywords=Climbing+Triangle+with+Ramp+%E2%80%93+Rainbow&amp;qid=1695565944&amp;sr=8-5", "https://www.amazon.com/Dripex-Reversible-Montessori-Playground-Combinations/dp/B0B3RJY37B/ref=sr_1_5?keywords=Climbing+Triangle+with+Ramp+%E2%80%93+Rainbow&amp;qid=1695565944&amp;sr=8-5")</f>
        <v/>
      </c>
      <c r="F4099" t="inlineStr">
        <is>
          <t>B0B3RJY37B</t>
        </is>
      </c>
      <c r="G4099">
        <f>_xlfn.IMAGE("https://faoschwarz.com/cdn/shop/products/cassarokids-preschool-climbing-triangle-with-ramp-rainbow-29503519686743_1080x.jpg?v=1667249991")</f>
        <v/>
      </c>
      <c r="H4099">
        <f>_xlfn.IMAGE("https://m.media-amazon.com/images/I/71kM3wuIcUL._AC_UL320_.jpg")</f>
        <v/>
      </c>
      <c r="K4099" t="inlineStr">
        <is>
          <t>549.0</t>
        </is>
      </c>
      <c r="L4099" t="n">
        <v>199.99</v>
      </c>
      <c r="M4099" s="1" t="inlineStr">
        <is>
          <t>-63.57%</t>
        </is>
      </c>
      <c r="N4099" t="n">
        <v>4.4</v>
      </c>
      <c r="O4099" t="n">
        <v>377</v>
      </c>
      <c r="Q4099" t="inlineStr">
        <is>
          <t>InStock</t>
        </is>
      </c>
      <c r="R4099" t="inlineStr">
        <is>
          <t>undefined</t>
        </is>
      </c>
      <c r="S4099" t="inlineStr">
        <is>
          <t>6796479037527</t>
        </is>
      </c>
    </row>
    <row r="4100" ht="75" customHeight="1">
      <c r="A4100" s="2">
        <f>HYPERLINK("https://faoschwarz.com/products/climbing-triangle-with-ramp-rainbow", "https://faoschwarz.com/products/climbing-triangle-with-ramp-rainbow")</f>
        <v/>
      </c>
      <c r="B4100" s="2">
        <f>HYPERLINK("https://faoschwarz.com/products/climbing-triangle-with-ramp-rainbow", "https://faoschwarz.com/products/climbing-triangle-with-ramp-rainbow")</f>
        <v/>
      </c>
      <c r="C4100" t="inlineStr">
        <is>
          <t>Climbing Triangle with Ramp – Rainbow</t>
        </is>
      </c>
      <c r="D4100" t="inlineStr">
        <is>
          <t>Pikler Triangle Climbing Set with Ramp, Foldable Montessori Climbing Toys Indoor, Wooden Climbing Triangle for Toddlers, Montessori Climber, Colorful Rainbow Pickler Triangle, Slide Ladder Pikler Gym</t>
        </is>
      </c>
      <c r="E4100" s="2">
        <f>HYPERLINK("https://www.amazon.com/FUNOONY-Pikler-Triangle-Climber-Ramp/dp/B08Z23RP2X/ref=sr_1_9?keywords=Climbing+Triangle+with+Ramp+%E2%80%93+Rainbow&amp;qid=1695565944&amp;sr=8-9", "https://www.amazon.com/FUNOONY-Pikler-Triangle-Climber-Ramp/dp/B08Z23RP2X/ref=sr_1_9?keywords=Climbing+Triangle+with+Ramp+%E2%80%93+Rainbow&amp;qid=1695565944&amp;sr=8-9")</f>
        <v/>
      </c>
      <c r="F4100" t="inlineStr">
        <is>
          <t>B08Z23RP2X</t>
        </is>
      </c>
      <c r="G4100">
        <f>_xlfn.IMAGE("https://faoschwarz.com/cdn/shop/products/cassarokids-preschool-climbing-triangle-with-ramp-rainbow-29503519686743_1080x.jpg?v=1667249991")</f>
        <v/>
      </c>
      <c r="H4100">
        <f>_xlfn.IMAGE("https://m.media-amazon.com/images/I/71pjulpRBuL._AC_UL320_.jpg")</f>
        <v/>
      </c>
      <c r="K4100" t="inlineStr">
        <is>
          <t>549.0</t>
        </is>
      </c>
      <c r="L4100" t="n">
        <v>189.97</v>
      </c>
      <c r="M4100" s="1" t="inlineStr">
        <is>
          <t>-65.40%</t>
        </is>
      </c>
      <c r="N4100" t="n">
        <v>4.4</v>
      </c>
      <c r="O4100" t="n">
        <v>51</v>
      </c>
      <c r="Q4100" t="inlineStr">
        <is>
          <t>InStock</t>
        </is>
      </c>
      <c r="R4100" t="inlineStr">
        <is>
          <t>undefined</t>
        </is>
      </c>
      <c r="S4100" t="inlineStr">
        <is>
          <t>6796479037527</t>
        </is>
      </c>
    </row>
    <row r="4101" ht="75" customHeight="1">
      <c r="A4101" s="2">
        <f>HYPERLINK("https://faoschwarz.com/products/climbing-triangle-with-ramp-rainbow", "https://faoschwarz.com/products/climbing-triangle-with-ramp-rainbow")</f>
        <v/>
      </c>
      <c r="B4101" s="2">
        <f>HYPERLINK("https://faoschwarz.com/products/climbing-triangle-with-ramp-rainbow", "https://faoschwarz.com/products/climbing-triangle-with-ramp-rainbow")</f>
        <v/>
      </c>
      <c r="C4101" t="inlineStr">
        <is>
          <t>Climbing Triangle with Ramp – Rainbow</t>
        </is>
      </c>
      <c r="D4101" t="inlineStr">
        <is>
          <t>YOLEO Large Pikler Triangle, Quick Foldable 3 in 1 Early Learning Montessori Climbing Triangle with Thicker Ramp, Wooden Sturdy Indoor Playground and Jungle Gym Climbing Toys for Toddlers Rainbow</t>
        </is>
      </c>
      <c r="E4101" s="2">
        <f>HYPERLINK("https://www.amazon.com/YOLEO-Triangle-Climbing-Toddlers-Foldable/dp/B096VT8JLH/ref=sr_1_3?keywords=Climbing+Triangle+with+Ramp+%E2%80%93+Rainbow&amp;qid=1695565944&amp;sr=8-3", "https://www.amazon.com/YOLEO-Triangle-Climbing-Toddlers-Foldable/dp/B096VT8JLH/ref=sr_1_3?keywords=Climbing+Triangle+with+Ramp+%E2%80%93+Rainbow&amp;qid=1695565944&amp;sr=8-3")</f>
        <v/>
      </c>
      <c r="F4101" t="inlineStr">
        <is>
          <t>B096VT8JLH</t>
        </is>
      </c>
      <c r="G4101">
        <f>_xlfn.IMAGE("https://faoschwarz.com/cdn/shop/products/cassarokids-preschool-climbing-triangle-with-ramp-rainbow-29503519686743_1080x.jpg?v=1667249991")</f>
        <v/>
      </c>
      <c r="H4101">
        <f>_xlfn.IMAGE("https://m.media-amazon.com/images/I/61f7Fy6HTjL._AC_UL320_.jpg")</f>
        <v/>
      </c>
      <c r="K4101" t="inlineStr">
        <is>
          <t>549.0</t>
        </is>
      </c>
      <c r="L4101" t="n">
        <v>179.99</v>
      </c>
      <c r="M4101" s="1" t="inlineStr">
        <is>
          <t>-67.21%</t>
        </is>
      </c>
      <c r="N4101" t="n">
        <v>4.5</v>
      </c>
      <c r="O4101" t="n">
        <v>149</v>
      </c>
      <c r="Q4101" t="inlineStr">
        <is>
          <t>InStock</t>
        </is>
      </c>
      <c r="R4101" t="inlineStr">
        <is>
          <t>undefined</t>
        </is>
      </c>
      <c r="S4101" t="inlineStr">
        <is>
          <t>6796479037527</t>
        </is>
      </c>
    </row>
    <row r="4102" ht="75" customHeight="1">
      <c r="A4102" s="2">
        <f>HYPERLINK("https://faoschwarz.com/products/climbing-triangle-with-ramp-rainbow", "https://faoschwarz.com/products/climbing-triangle-with-ramp-rainbow")</f>
        <v/>
      </c>
      <c r="B4102" s="2">
        <f>HYPERLINK("https://faoschwarz.com/products/climbing-triangle-with-ramp-rainbow", "https://faoschwarz.com/products/climbing-triangle-with-ramp-rainbow")</f>
        <v/>
      </c>
      <c r="C4102" t="inlineStr">
        <is>
          <t>Climbing Triangle with Ramp – Rainbow</t>
        </is>
      </c>
      <c r="D4102" t="inlineStr">
        <is>
          <t>BABY K Rainbow Pikler Triangle Montessori Climber (4 in 1) - Pikler Triangle Climber with Ramp, Slide &amp; Arch - A Foldable Wooden Climbing Set for Toddler Climbers for Outdoor &amp; Indoor Gym for Kids</t>
        </is>
      </c>
      <c r="E4102" s="2">
        <f>HYPERLINK("https://www.amazon.com/BABY-Rainbow-Triangle-Montessori-Climber/dp/B0B9WWTQ1B/ref=sr_1_2?keywords=Climbing+Triangle+with+Ramp+%E2%80%93+Rainbow&amp;qid=1695565944&amp;sr=8-2", "https://www.amazon.com/BABY-Rainbow-Triangle-Montessori-Climber/dp/B0B9WWTQ1B/ref=sr_1_2?keywords=Climbing+Triangle+with+Ramp+%E2%80%93+Rainbow&amp;qid=1695565944&amp;sr=8-2")</f>
        <v/>
      </c>
      <c r="F4102" t="inlineStr">
        <is>
          <t>B0B9WWTQ1B</t>
        </is>
      </c>
      <c r="G4102">
        <f>_xlfn.IMAGE("https://faoschwarz.com/cdn/shop/products/cassarokids-preschool-climbing-triangle-with-ramp-rainbow-29503519686743_1080x.jpg?v=1667249991")</f>
        <v/>
      </c>
      <c r="H4102">
        <f>_xlfn.IMAGE("https://m.media-amazon.com/images/I/91r-7zkYQAL._AC_UL320_.jpg")</f>
        <v/>
      </c>
      <c r="K4102" t="inlineStr">
        <is>
          <t>549.0</t>
        </is>
      </c>
      <c r="L4102" t="n">
        <v>179.99</v>
      </c>
      <c r="M4102" s="1" t="inlineStr">
        <is>
          <t>-67.21%</t>
        </is>
      </c>
      <c r="N4102" t="n">
        <v>4.6</v>
      </c>
      <c r="O4102" t="n">
        <v>21</v>
      </c>
      <c r="Q4102" t="inlineStr">
        <is>
          <t>InStock</t>
        </is>
      </c>
      <c r="R4102" t="inlineStr">
        <is>
          <t>undefined</t>
        </is>
      </c>
      <c r="S4102" t="inlineStr">
        <is>
          <t>6796479037527</t>
        </is>
      </c>
    </row>
    <row r="4103" ht="75" customHeight="1">
      <c r="A4103" s="2">
        <f>HYPERLINK("https://faoschwarz.com/products/climbing-triangle-with-ramp-rainbow", "https://faoschwarz.com/products/climbing-triangle-with-ramp-rainbow")</f>
        <v/>
      </c>
      <c r="B4103" s="2">
        <f>HYPERLINK("https://faoschwarz.com/products/climbing-triangle-with-ramp-rainbow", "https://faoschwarz.com/products/climbing-triangle-with-ramp-rainbow")</f>
        <v/>
      </c>
      <c r="C4103" t="inlineStr">
        <is>
          <t>Climbing Triangle with Ramp – Rainbow</t>
        </is>
      </c>
      <c r="D4103" t="inlineStr">
        <is>
          <t>PDDOO Pikler Triangle Climber Set with Ramp Montessori Climbing Set Toddler Playset 3 in 1 Foldable Indoor Wooden Climbing Toys for Toddlers Play Gym 3Pcs Rainbow</t>
        </is>
      </c>
      <c r="E4103" s="2">
        <f>HYPERLINK("https://www.amazon.com/PDDOO-Triangle-Montessori-Climbing-Foldable/dp/B0BZNQTYJL/ref=sr_1_6?keywords=Climbing+Triangle+with+Ramp+%E2%80%93+Rainbow&amp;qid=1695565944&amp;sr=8-6", "https://www.amazon.com/PDDOO-Triangle-Montessori-Climbing-Foldable/dp/B0BZNQTYJL/ref=sr_1_6?keywords=Climbing+Triangle+with+Ramp+%E2%80%93+Rainbow&amp;qid=1695565944&amp;sr=8-6")</f>
        <v/>
      </c>
      <c r="F4103" t="inlineStr">
        <is>
          <t>B0BZNQTYJL</t>
        </is>
      </c>
      <c r="G4103">
        <f>_xlfn.IMAGE("https://faoschwarz.com/cdn/shop/products/cassarokids-preschool-climbing-triangle-with-ramp-rainbow-29503519686743_1080x.jpg?v=1667249991")</f>
        <v/>
      </c>
      <c r="H4103">
        <f>_xlfn.IMAGE("https://m.media-amazon.com/images/I/61jrbExr3FL._AC_UL320_.jpg")</f>
        <v/>
      </c>
      <c r="K4103" t="inlineStr">
        <is>
          <t>549.0</t>
        </is>
      </c>
      <c r="L4103" t="n">
        <v>169.99</v>
      </c>
      <c r="M4103" s="1" t="inlineStr">
        <is>
          <t>-69.04%</t>
        </is>
      </c>
      <c r="N4103" t="n">
        <v>4.1</v>
      </c>
      <c r="O4103" t="n">
        <v>15</v>
      </c>
      <c r="Q4103" t="inlineStr">
        <is>
          <t>InStock</t>
        </is>
      </c>
      <c r="R4103" t="inlineStr">
        <is>
          <t>undefined</t>
        </is>
      </c>
      <c r="S4103" t="inlineStr">
        <is>
          <t>6796479037527</t>
        </is>
      </c>
    </row>
    <row r="4104" ht="75" customHeight="1">
      <c r="A4104" s="2">
        <f>HYPERLINK("https://faoschwarz.com/products/climbing-triangle-with-ramp-rainbow", "https://faoschwarz.com/products/climbing-triangle-with-ramp-rainbow")</f>
        <v/>
      </c>
      <c r="B4104" s="2">
        <f>HYPERLINK("https://faoschwarz.com/products/climbing-triangle-with-ramp-rainbow", "https://faoschwarz.com/products/climbing-triangle-with-ramp-rainbow")</f>
        <v/>
      </c>
      <c r="C4104" t="inlineStr">
        <is>
          <t>Climbing Triangle with Ramp – Rainbow</t>
        </is>
      </c>
      <c r="D4104" t="inlineStr">
        <is>
          <t>5 in 1 Pikler Triangle Set, Foldable Baby Climbing Toys Indoor Gym for Toddlers 1-3 Wooden Montessori Climbing Set, Adjustable Height Pikler Triangle,Rainbow Kids Toys with Ramp Sliding or Climbing</t>
        </is>
      </c>
      <c r="E4104" s="2">
        <f>HYPERLINK("https://www.amazon.com/Triangle-Foldable-Climbing-Montessori-Adjustable/dp/B0C36W931B/ref=sr_1_1?keywords=Climbing+Triangle+with+Ramp+%E2%80%93+Rainbow&amp;qid=1695565944&amp;sr=8-1", "https://www.amazon.com/Triangle-Foldable-Climbing-Montessori-Adjustable/dp/B0C36W931B/ref=sr_1_1?keywords=Climbing+Triangle+with+Ramp+%E2%80%93+Rainbow&amp;qid=1695565944&amp;sr=8-1")</f>
        <v/>
      </c>
      <c r="F4104" t="inlineStr">
        <is>
          <t>B0C36W931B</t>
        </is>
      </c>
      <c r="G4104">
        <f>_xlfn.IMAGE("https://faoschwarz.com/cdn/shop/products/cassarokids-preschool-climbing-triangle-with-ramp-rainbow-29503519686743_1080x.jpg?v=1667249991")</f>
        <v/>
      </c>
      <c r="H4104">
        <f>_xlfn.IMAGE("https://m.media-amazon.com/images/I/61fbVwo4xmL._AC_UL320_.jpg")</f>
        <v/>
      </c>
      <c r="K4104" t="inlineStr">
        <is>
          <t>549.0</t>
        </is>
      </c>
      <c r="L4104" t="n">
        <v>169.99</v>
      </c>
      <c r="M4104" s="1" t="inlineStr">
        <is>
          <t>-69.04%</t>
        </is>
      </c>
      <c r="N4104" t="n">
        <v>4.5</v>
      </c>
      <c r="O4104" t="n">
        <v>25</v>
      </c>
      <c r="Q4104" t="inlineStr">
        <is>
          <t>InStock</t>
        </is>
      </c>
      <c r="R4104" t="inlineStr">
        <is>
          <t>undefined</t>
        </is>
      </c>
      <c r="S4104" t="inlineStr">
        <is>
          <t>6796479037527</t>
        </is>
      </c>
    </row>
    <row r="4105" ht="75" customHeight="1">
      <c r="A4105" s="2">
        <f>HYPERLINK("https://faoschwarz.com/products/climbing-triangle-with-ramp-rainbow", "https://faoschwarz.com/products/climbing-triangle-with-ramp-rainbow")</f>
        <v/>
      </c>
      <c r="B4105" s="2">
        <f>HYPERLINK("https://faoschwarz.com/products/climbing-triangle-with-ramp-rainbow", "https://faoschwarz.com/products/climbing-triangle-with-ramp-rainbow")</f>
        <v/>
      </c>
      <c r="C4105" t="inlineStr">
        <is>
          <t>Climbing Triangle with Ramp – Rainbow</t>
        </is>
      </c>
      <c r="D4105" t="inlineStr">
        <is>
          <t>4 In 1 Pikler Triangle Gym, Montessori Foldable Climber with Ramp, Indoor for Kids, Climbing Triangle for Toddlers Arch Climber, Rocker, Learning Waldorf Children Toy Structure, Rainbow</t>
        </is>
      </c>
      <c r="E4105" s="2">
        <f>HYPERLINK("https://www.amazon.com/Triangle-Montessori-Foldable-Climbing-Structure/dp/B0B4Z72ZNW/ref=sr_1_4?keywords=Climbing+Triangle+with+Ramp+%E2%80%93+Rainbow&amp;qid=1695565944&amp;sr=8-4", "https://www.amazon.com/Triangle-Montessori-Foldable-Climbing-Structure/dp/B0B4Z72ZNW/ref=sr_1_4?keywords=Climbing+Triangle+with+Ramp+%E2%80%93+Rainbow&amp;qid=1695565944&amp;sr=8-4")</f>
        <v/>
      </c>
      <c r="F4105" t="inlineStr">
        <is>
          <t>B0B4Z72ZNW</t>
        </is>
      </c>
      <c r="G4105">
        <f>_xlfn.IMAGE("https://faoschwarz.com/cdn/shop/products/cassarokids-preschool-climbing-triangle-with-ramp-rainbow-29503519686743_1080x.jpg?v=1667249991")</f>
        <v/>
      </c>
      <c r="H4105">
        <f>_xlfn.IMAGE("https://m.media-amazon.com/images/I/61If50RhcmL._AC_UL320_.jpg")</f>
        <v/>
      </c>
      <c r="K4105" t="inlineStr">
        <is>
          <t>549.0</t>
        </is>
      </c>
      <c r="L4105" t="n">
        <v>149.99</v>
      </c>
      <c r="M4105" s="1" t="inlineStr">
        <is>
          <t>-72.68%</t>
        </is>
      </c>
      <c r="N4105" t="n">
        <v>4.3</v>
      </c>
      <c r="O4105" t="n">
        <v>209</v>
      </c>
      <c r="Q4105" t="inlineStr">
        <is>
          <t>InStock</t>
        </is>
      </c>
      <c r="R4105" t="inlineStr">
        <is>
          <t>undefined</t>
        </is>
      </c>
      <c r="S4105" t="inlineStr">
        <is>
          <t>6796479037527</t>
        </is>
      </c>
    </row>
    <row r="4106" ht="75" customHeight="1">
      <c r="A4106" s="2">
        <f>HYPERLINK("https://faoschwarz.com/products/climbing-triangle-with-ramp-rainbow", "https://faoschwarz.com/products/climbing-triangle-with-ramp-rainbow")</f>
        <v/>
      </c>
      <c r="B4106" s="2">
        <f>HYPERLINK("https://faoschwarz.com/products/climbing-triangle-with-ramp-rainbow", "https://faoschwarz.com/products/climbing-triangle-with-ramp-rainbow")</f>
        <v/>
      </c>
      <c r="C4106" t="inlineStr">
        <is>
          <t>Climbing Triangle with Ramp – Rainbow</t>
        </is>
      </c>
      <c r="D4106" t="inlineStr">
        <is>
          <t>Pickler Triangle with Ramp | 3 in 1 Foldable Montessori Climbing Set | Colorful Rainbow Climbing Toys for Toddler | Wooden Triangle Climber for Sliding and Climbing</t>
        </is>
      </c>
      <c r="E4106" s="2">
        <f>HYPERLINK("https://www.amazon.com/Triangle-Foldable-Montessori-Climbing-Colorful/dp/B0BRL68CQ2/ref=sr_1_7?keywords=Climbing+Triangle+with+Ramp+%E2%80%93+Rainbow&amp;qid=1695565944&amp;sr=8-7", "https://www.amazon.com/Triangle-Foldable-Montessori-Climbing-Colorful/dp/B0BRL68CQ2/ref=sr_1_7?keywords=Climbing+Triangle+with+Ramp+%E2%80%93+Rainbow&amp;qid=1695565944&amp;sr=8-7")</f>
        <v/>
      </c>
      <c r="F4106" t="inlineStr">
        <is>
          <t>B0BRL68CQ2</t>
        </is>
      </c>
      <c r="G4106">
        <f>_xlfn.IMAGE("https://faoschwarz.com/cdn/shop/products/cassarokids-preschool-climbing-triangle-with-ramp-rainbow-29503519686743_1080x.jpg?v=1667249991")</f>
        <v/>
      </c>
      <c r="H4106">
        <f>_xlfn.IMAGE("https://m.media-amazon.com/images/I/414dUSDx0SL._AC_UL320_.jpg")</f>
        <v/>
      </c>
      <c r="K4106" t="inlineStr">
        <is>
          <t>549.0</t>
        </is>
      </c>
      <c r="L4106" t="n">
        <v>117.99</v>
      </c>
      <c r="M4106" s="1" t="inlineStr">
        <is>
          <t>-78.51%</t>
        </is>
      </c>
      <c r="N4106" t="n">
        <v>5</v>
      </c>
      <c r="O4106" t="n">
        <v>8</v>
      </c>
      <c r="Q4106" t="inlineStr">
        <is>
          <t>InStock</t>
        </is>
      </c>
      <c r="R4106" t="inlineStr">
        <is>
          <t>undefined</t>
        </is>
      </c>
      <c r="S4106" t="inlineStr">
        <is>
          <t>6796479037527</t>
        </is>
      </c>
    </row>
    <row r="4107" ht="75" customHeight="1">
      <c r="A4107" s="2">
        <f>HYPERLINK("https://faoschwarz.com/products/clue-luxe-maple-edition", "https://faoschwarz.com/products/clue-luxe-maple-edition")</f>
        <v/>
      </c>
      <c r="B4107" s="2">
        <f>HYPERLINK("https://faoschwarz.com/products/clue-luxe-maple-edition", "https://faoschwarz.com/products/clue-luxe-maple-edition")</f>
        <v/>
      </c>
      <c r="C4107" t="inlineStr">
        <is>
          <t>Clue Luxe Maple Edition</t>
        </is>
      </c>
      <c r="D4107" t="inlineStr">
        <is>
          <t>Clue Luxury Edition Board Game by Winning Solutions with Gold Foil-Stamped Board, Deluxe Storage Box and Accessories</t>
        </is>
      </c>
      <c r="E4107" s="2">
        <f>HYPERLINK("https://www.amazon.com/Game-Winning-Solutions-Foil-Stamped-Accessories/dp/B004SRWHFM/ref=sr_1_2?keywords=Clue+Luxe+Maple+Edition&amp;qid=1695566005&amp;sr=8-2", "https://www.amazon.com/Game-Winning-Solutions-Foil-Stamped-Accessories/dp/B004SRWHFM/ref=sr_1_2?keywords=Clue+Luxe+Maple+Edition&amp;qid=1695566005&amp;sr=8-2")</f>
        <v/>
      </c>
      <c r="F4107" t="inlineStr">
        <is>
          <t>B004SRWHFM</t>
        </is>
      </c>
      <c r="G4107">
        <f>_xlfn.IMAGE("https://faoschwarz.com/cdn/shop/files/ws-game-company-games-clue-luxe-maple-edition-30432201146455_1080x.jpg?v=1693426576")</f>
        <v/>
      </c>
      <c r="H4107">
        <f>_xlfn.IMAGE("https://m.media-amazon.com/images/I/81wXW0YNEeL._AC_UL320_.jpg")</f>
        <v/>
      </c>
      <c r="K4107" t="inlineStr">
        <is>
          <t>200.0</t>
        </is>
      </c>
      <c r="L4107" t="n">
        <v>269.99</v>
      </c>
      <c r="M4107" s="1" t="inlineStr">
        <is>
          <t>35.00%</t>
        </is>
      </c>
      <c r="N4107" t="n">
        <v>4.8</v>
      </c>
      <c r="O4107" t="n">
        <v>193</v>
      </c>
      <c r="Q4107" t="inlineStr">
        <is>
          <t>InStock</t>
        </is>
      </c>
      <c r="R4107" t="inlineStr">
        <is>
          <t>undefined</t>
        </is>
      </c>
      <c r="S4107" t="inlineStr">
        <is>
          <t>6887071023191</t>
        </is>
      </c>
    </row>
    <row r="4108" ht="75" customHeight="1">
      <c r="A4108" s="2">
        <f>HYPERLINK("https://faoschwarz.com/products/clue-luxe-maple-edition", "https://faoschwarz.com/products/clue-luxe-maple-edition")</f>
        <v/>
      </c>
      <c r="B4108" s="2">
        <f>HYPERLINK("https://faoschwarz.com/products/clue-luxe-maple-edition", "https://faoschwarz.com/products/clue-luxe-maple-edition")</f>
        <v/>
      </c>
      <c r="C4108" t="inlineStr">
        <is>
          <t>Clue Luxe Maple Edition</t>
        </is>
      </c>
      <c r="D4108" t="inlineStr">
        <is>
          <t>WS Game Company Clue Luxe Edition with Solid Maple Wood Cabinet</t>
        </is>
      </c>
      <c r="E4108" s="2">
        <f>HYPERLINK("https://www.amazon.com/WS-Game-Company-Solid-Cabinet/dp/B0BJV3JKXP/ref=sr_1_1?keywords=Clue+Luxe+Maple+Edition&amp;qid=1695566005&amp;sr=8-1", "https://www.amazon.com/WS-Game-Company-Solid-Cabinet/dp/B0BJV3JKXP/ref=sr_1_1?keywords=Clue+Luxe+Maple+Edition&amp;qid=1695566005&amp;sr=8-1")</f>
        <v/>
      </c>
      <c r="F4108" t="inlineStr">
        <is>
          <t>B0BJV3JKXP</t>
        </is>
      </c>
      <c r="G4108">
        <f>_xlfn.IMAGE("https://faoschwarz.com/cdn/shop/files/ws-game-company-games-clue-luxe-maple-edition-30432201146455_1080x.jpg?v=1693426576")</f>
        <v/>
      </c>
      <c r="H4108">
        <f>_xlfn.IMAGE("https://m.media-amazon.com/images/I/81FegQ6z-AL._AC_UL320_.jpg")</f>
        <v/>
      </c>
      <c r="K4108" t="inlineStr">
        <is>
          <t>200.0</t>
        </is>
      </c>
      <c r="L4108" t="n">
        <v>189.99</v>
      </c>
      <c r="M4108" s="1" t="inlineStr">
        <is>
          <t>-5.00%</t>
        </is>
      </c>
      <c r="N4108" t="n">
        <v>5</v>
      </c>
      <c r="O4108" t="n">
        <v>1</v>
      </c>
      <c r="Q4108" t="inlineStr">
        <is>
          <t>InStock</t>
        </is>
      </c>
      <c r="R4108" t="inlineStr">
        <is>
          <t>undefined</t>
        </is>
      </c>
      <c r="S4108" t="inlineStr">
        <is>
          <t>6887071023191</t>
        </is>
      </c>
    </row>
    <row r="4109" ht="75" customHeight="1">
      <c r="A4109" s="2">
        <f>HYPERLINK("https://faoschwarz.com/products/clue-luxe-maple-edition", "https://faoschwarz.com/products/clue-luxe-maple-edition")</f>
        <v/>
      </c>
      <c r="B4109" s="2">
        <f>HYPERLINK("https://faoschwarz.com/products/clue-luxe-maple-edition", "https://faoschwarz.com/products/clue-luxe-maple-edition")</f>
        <v/>
      </c>
      <c r="C4109" t="inlineStr">
        <is>
          <t>Clue Luxe Maple Edition</t>
        </is>
      </c>
      <c r="D4109" t="inlineStr">
        <is>
          <t>WS Game Company Monopoly Luxe Maple Edition</t>
        </is>
      </c>
      <c r="E4109" s="2">
        <f>HYPERLINK("https://www.amazon.com/WS-Game-Company-Monopoly-Maple/dp/B08BH9KY8V/ref=sr_1_10?keywords=Clue+Luxe+Maple+Edition&amp;qid=1695566005&amp;sr=8-10", "https://www.amazon.com/WS-Game-Company-Monopoly-Maple/dp/B08BH9KY8V/ref=sr_1_10?keywords=Clue+Luxe+Maple+Edition&amp;qid=1695566005&amp;sr=8-10")</f>
        <v/>
      </c>
      <c r="F4109" t="inlineStr">
        <is>
          <t>B08BH9KY8V</t>
        </is>
      </c>
      <c r="G4109">
        <f>_xlfn.IMAGE("https://faoschwarz.com/cdn/shop/files/ws-game-company-games-clue-luxe-maple-edition-30432201146455_1080x.jpg?v=1693426576")</f>
        <v/>
      </c>
      <c r="H4109">
        <f>_xlfn.IMAGE("https://m.media-amazon.com/images/I/513eduLoNGL._AC_UL320_.jpg")</f>
        <v/>
      </c>
      <c r="K4109" t="inlineStr">
        <is>
          <t>200.0</t>
        </is>
      </c>
      <c r="L4109" t="n">
        <v>182</v>
      </c>
      <c r="M4109" s="1" t="inlineStr">
        <is>
          <t>-9.00%</t>
        </is>
      </c>
      <c r="N4109" t="n">
        <v>4.6</v>
      </c>
      <c r="O4109" t="n">
        <v>106</v>
      </c>
      <c r="Q4109" t="inlineStr">
        <is>
          <t>InStock</t>
        </is>
      </c>
      <c r="R4109" t="inlineStr">
        <is>
          <t>undefined</t>
        </is>
      </c>
      <c r="S4109" t="inlineStr">
        <is>
          <t>6887071023191</t>
        </is>
      </c>
    </row>
    <row r="4110" ht="75" customHeight="1">
      <c r="A4110" s="2">
        <f>HYPERLINK("https://faoschwarz.com/products/clue-luxe-maple-edition", "https://faoschwarz.com/products/clue-luxe-maple-edition")</f>
        <v/>
      </c>
      <c r="B4110" s="2">
        <f>HYPERLINK("https://faoschwarz.com/products/clue-luxe-maple-edition", "https://faoschwarz.com/products/clue-luxe-maple-edition")</f>
        <v/>
      </c>
      <c r="C4110" t="inlineStr">
        <is>
          <t>Clue Luxe Maple Edition</t>
        </is>
      </c>
      <c r="D4110" t="inlineStr">
        <is>
          <t>WS Game Company Monopoly Luxe Maple Edition</t>
        </is>
      </c>
      <c r="E4110" s="2">
        <f>HYPERLINK("https://www.amazon.com/WS-Game-Company-Monopoly-Maple/dp/B08BH9KY8V/ref=sr_1_10?keywords=Clue+Luxe+Maple+Edition&amp;qid=1695566005&amp;sr=8-10", "https://www.amazon.com/WS-Game-Company-Monopoly-Maple/dp/B08BH9KY8V/ref=sr_1_10?keywords=Clue+Luxe+Maple+Edition&amp;qid=1695566005&amp;sr=8-10")</f>
        <v/>
      </c>
      <c r="F4110" t="inlineStr">
        <is>
          <t>B08BH9KY8V</t>
        </is>
      </c>
      <c r="G4110">
        <f>_xlfn.IMAGE("https://faoschwarz.com/cdn/shop/files/ws-game-company-games-clue-luxe-maple-edition-30432201146455_1080x.jpg?v=1693426576")</f>
        <v/>
      </c>
      <c r="H4110">
        <f>_xlfn.IMAGE("https://m.media-amazon.com/images/I/513eduLoNGL._AC_UL320_.jpg")</f>
        <v/>
      </c>
      <c r="K4110" t="inlineStr">
        <is>
          <t>200.0</t>
        </is>
      </c>
      <c r="L4110" t="n">
        <v>182</v>
      </c>
      <c r="M4110" s="1" t="inlineStr">
        <is>
          <t>-9.00%</t>
        </is>
      </c>
      <c r="N4110" t="n">
        <v>4.6</v>
      </c>
      <c r="O4110" t="n">
        <v>106</v>
      </c>
      <c r="Q4110" t="inlineStr">
        <is>
          <t>InStock</t>
        </is>
      </c>
      <c r="R4110" t="inlineStr">
        <is>
          <t>undefined</t>
        </is>
      </c>
      <c r="S4110" t="inlineStr">
        <is>
          <t>6887071023191</t>
        </is>
      </c>
    </row>
    <row r="4111" ht="75" customHeight="1">
      <c r="A4111" s="2">
        <f>HYPERLINK("https://faoschwarz.com/products/clue-luxury-edition", "https://faoschwarz.com/products/clue-luxury-edition")</f>
        <v/>
      </c>
      <c r="B4111" s="2">
        <f>HYPERLINK("https://faoschwarz.com/products/clue-luxury-edition", "https://faoschwarz.com/products/clue-luxury-edition")</f>
        <v/>
      </c>
      <c r="C4111" t="inlineStr">
        <is>
          <t>Clue Luxury Edition</t>
        </is>
      </c>
      <c r="D4111" t="inlineStr">
        <is>
          <t>Clue Luxury Edition Board Game by Winning Solutions with Gold Foil-Stamped Board, Deluxe Storage Box and Accessories</t>
        </is>
      </c>
      <c r="E4111" s="2">
        <f>HYPERLINK("https://www.amazon.com/Game-Winning-Solutions-Foil-Stamped-Accessories/dp/B004SRWHFM/ref=sr_1_1?keywords=Clue+Luxury+Edition&amp;qid=1695565979&amp;sr=8-1", "https://www.amazon.com/Game-Winning-Solutions-Foil-Stamped-Accessories/dp/B004SRWHFM/ref=sr_1_1?keywords=Clue+Luxury+Edition&amp;qid=1695565979&amp;sr=8-1")</f>
        <v/>
      </c>
      <c r="F4111" t="inlineStr">
        <is>
          <t>B004SRWHFM</t>
        </is>
      </c>
      <c r="G4111">
        <f>_xlfn.IMAGE("https://faoschwarz.com/cdn/shop/products/ws-game-company-games-clue-luxury-edition-29064513486935_1080x.jpg?v=1655946064")</f>
        <v/>
      </c>
      <c r="H4111">
        <f>_xlfn.IMAGE("https://m.media-amazon.com/images/I/81wXW0YNEeL._AC_UL320_.jpg")</f>
        <v/>
      </c>
      <c r="K4111" t="inlineStr">
        <is>
          <t>300.0</t>
        </is>
      </c>
      <c r="L4111" t="n">
        <v>269.99</v>
      </c>
      <c r="M4111" s="1" t="inlineStr">
        <is>
          <t>-10.00%</t>
        </is>
      </c>
      <c r="N4111" t="n">
        <v>4.8</v>
      </c>
      <c r="O4111" t="n">
        <v>193</v>
      </c>
      <c r="Q4111" t="inlineStr">
        <is>
          <t>InStock</t>
        </is>
      </c>
      <c r="R4111" t="inlineStr">
        <is>
          <t>undefined</t>
        </is>
      </c>
      <c r="S4111" t="inlineStr">
        <is>
          <t>6715353956439</t>
        </is>
      </c>
    </row>
    <row r="4112" ht="75" customHeight="1">
      <c r="A4112" s="2">
        <f>HYPERLINK("https://faoschwarz.com/products/clue-luxury-edition", "https://faoschwarz.com/products/clue-luxury-edition")</f>
        <v/>
      </c>
      <c r="B4112" s="2">
        <f>HYPERLINK("https://faoschwarz.com/products/clue-luxury-edition", "https://faoschwarz.com/products/clue-luxury-edition")</f>
        <v/>
      </c>
      <c r="C4112" t="inlineStr">
        <is>
          <t>Clue Luxury Edition</t>
        </is>
      </c>
      <c r="D4112" t="inlineStr">
        <is>
          <t>Clue Luxury Edition Board Game by Winning Solutions with Gold Foil-Stamped Board, Deluxe Storage Box and Accessories</t>
        </is>
      </c>
      <c r="E4112" s="2">
        <f>HYPERLINK("https://www.amazon.com/Game-Winning-Solutions-Foil-Stamped-Accessories/dp/B004SRWHFM/ref=sr_1_1?keywords=Clue+Luxury+Edition&amp;qid=1695565979&amp;sr=8-1", "https://www.amazon.com/Game-Winning-Solutions-Foil-Stamped-Accessories/dp/B004SRWHFM/ref=sr_1_1?keywords=Clue+Luxury+Edition&amp;qid=1695565979&amp;sr=8-1")</f>
        <v/>
      </c>
      <c r="F4112" t="inlineStr">
        <is>
          <t>B004SRWHFM</t>
        </is>
      </c>
      <c r="G4112">
        <f>_xlfn.IMAGE("https://faoschwarz.com/cdn/shop/products/ws-game-company-games-clue-luxury-edition-29064513486935_1080x.jpg?v=1655946064")</f>
        <v/>
      </c>
      <c r="H4112">
        <f>_xlfn.IMAGE("https://m.media-amazon.com/images/I/81wXW0YNEeL._AC_UL320_.jpg")</f>
        <v/>
      </c>
      <c r="K4112" t="inlineStr">
        <is>
          <t>300.0</t>
        </is>
      </c>
      <c r="L4112" t="n">
        <v>269.99</v>
      </c>
      <c r="M4112" s="1" t="inlineStr">
        <is>
          <t>-10.00%</t>
        </is>
      </c>
      <c r="N4112" t="n">
        <v>4.8</v>
      </c>
      <c r="O4112" t="n">
        <v>193</v>
      </c>
      <c r="Q4112" t="inlineStr">
        <is>
          <t>InStock</t>
        </is>
      </c>
      <c r="R4112" t="inlineStr">
        <is>
          <t>undefined</t>
        </is>
      </c>
      <c r="S4112" t="inlineStr">
        <is>
          <t>6715353956439</t>
        </is>
      </c>
    </row>
    <row r="4113" ht="75" customHeight="1">
      <c r="A4113" s="2">
        <f>HYPERLINK("https://faoschwarz.com/products/clue-nostalgia-tin", "https://faoschwarz.com/products/clue-nostalgia-tin")</f>
        <v/>
      </c>
      <c r="B4113" s="2">
        <f>HYPERLINK("https://faoschwarz.com/products/clue-nostalgia-tin", "https://faoschwarz.com/products/clue-nostalgia-tin")</f>
        <v/>
      </c>
      <c r="C4113" t="inlineStr">
        <is>
          <t>Clue Nostalgia Tin</t>
        </is>
      </c>
      <c r="D4113" t="inlineStr">
        <is>
          <t>Winning Solutions Clue Nostalgia Tin</t>
        </is>
      </c>
      <c r="E4113" s="2">
        <f>HYPERLINK("https://www.amazon.com/Winning-Solutions-Clue-Nostalgia-Tin/dp/B0099RPZCS/ref=sr_1_2?keywords=Clue+Nostalgia+Tin&amp;qid=1695565975&amp;sr=8-2", "https://www.amazon.com/Winning-Solutions-Clue-Nostalgia-Tin/dp/B0099RPZCS/ref=sr_1_2?keywords=Clue+Nostalgia+Tin&amp;qid=1695565975&amp;sr=8-2")</f>
        <v/>
      </c>
      <c r="F4113" t="inlineStr">
        <is>
          <t>B0099RPZCS</t>
        </is>
      </c>
      <c r="G4113">
        <f>_xlfn.IMAGE("https://faoschwarz.com/cdn/shop/products/ws-game-company-games-clue-nostalgia-tin-29077090828375_1080x.jpg?v=1655945464")</f>
        <v/>
      </c>
      <c r="H4113">
        <f>_xlfn.IMAGE("https://m.media-amazon.com/images/I/810Q4f+SaaL._AC_UL320_.jpg")</f>
        <v/>
      </c>
      <c r="K4113" t="inlineStr">
        <is>
          <t>35.0</t>
        </is>
      </c>
      <c r="L4113" t="n">
        <v>26.69</v>
      </c>
      <c r="M4113" s="1" t="inlineStr">
        <is>
          <t>-23.74%</t>
        </is>
      </c>
      <c r="N4113" t="n">
        <v>4.6</v>
      </c>
      <c r="O4113" t="n">
        <v>173</v>
      </c>
      <c r="Q4113" t="inlineStr">
        <is>
          <t>InStock</t>
        </is>
      </c>
      <c r="R4113" t="inlineStr">
        <is>
          <t>undefined</t>
        </is>
      </c>
      <c r="S4113" t="inlineStr">
        <is>
          <t>6715353497687</t>
        </is>
      </c>
    </row>
    <row r="4114" ht="75" customHeight="1">
      <c r="A4114" s="2">
        <f>HYPERLINK("https://faoschwarz.com/products/clue-nostalgia-tin", "https://faoschwarz.com/products/clue-nostalgia-tin")</f>
        <v/>
      </c>
      <c r="B4114" s="2">
        <f>HYPERLINK("https://faoschwarz.com/products/clue-nostalgia-tin", "https://faoschwarz.com/products/clue-nostalgia-tin")</f>
        <v/>
      </c>
      <c r="C4114" t="inlineStr">
        <is>
          <t>Clue Nostalgia Tin</t>
        </is>
      </c>
      <c r="D4114" t="inlineStr">
        <is>
          <t>Winning Solutions Clue Nostalgia Tin</t>
        </is>
      </c>
      <c r="E4114" s="2">
        <f>HYPERLINK("https://www.amazon.com/Winning-Solutions-Clue-Nostalgia-Tin/dp/B0099RPZCS/ref=sr_1_2?keywords=Clue+Nostalgia+Tin&amp;qid=1695565975&amp;sr=8-2", "https://www.amazon.com/Winning-Solutions-Clue-Nostalgia-Tin/dp/B0099RPZCS/ref=sr_1_2?keywords=Clue+Nostalgia+Tin&amp;qid=1695565975&amp;sr=8-2")</f>
        <v/>
      </c>
      <c r="F4114" t="inlineStr">
        <is>
          <t>B0099RPZCS</t>
        </is>
      </c>
      <c r="G4114">
        <f>_xlfn.IMAGE("https://faoschwarz.com/cdn/shop/products/ws-game-company-games-clue-nostalgia-tin-29077090828375_1080x.jpg?v=1655945464")</f>
        <v/>
      </c>
      <c r="H4114">
        <f>_xlfn.IMAGE("https://m.media-amazon.com/images/I/810Q4f+SaaL._AC_UL320_.jpg")</f>
        <v/>
      </c>
      <c r="K4114" t="inlineStr">
        <is>
          <t>35.0</t>
        </is>
      </c>
      <c r="L4114" t="n">
        <v>26.69</v>
      </c>
      <c r="M4114" s="1" t="inlineStr">
        <is>
          <t>-23.74%</t>
        </is>
      </c>
      <c r="N4114" t="n">
        <v>4.6</v>
      </c>
      <c r="O4114" t="n">
        <v>173</v>
      </c>
      <c r="Q4114" t="inlineStr">
        <is>
          <t>InStock</t>
        </is>
      </c>
      <c r="R4114" t="inlineStr">
        <is>
          <t>undefined</t>
        </is>
      </c>
      <c r="S4114" t="inlineStr">
        <is>
          <t>6715353497687</t>
        </is>
      </c>
    </row>
    <row r="4115" ht="75" customHeight="1">
      <c r="A4115" s="2">
        <f>HYPERLINK("https://faoschwarz.com/products/clue-vintage-bookshelf-edition", "https://faoschwarz.com/products/clue-vintage-bookshelf-edition")</f>
        <v/>
      </c>
      <c r="B4115" s="2">
        <f>HYPERLINK("https://faoschwarz.com/products/clue-vintage-bookshelf-edition", "https://faoschwarz.com/products/clue-vintage-bookshelf-edition")</f>
        <v/>
      </c>
      <c r="C4115" t="inlineStr">
        <is>
          <t>Clue Vintage Bookshelf Edition</t>
        </is>
      </c>
      <c r="D4115" t="inlineStr">
        <is>
          <t>Scrabble, Monopoly, and Clue Vintage Board Game Bookshelf Collection</t>
        </is>
      </c>
      <c r="E4115" s="2">
        <f>HYPERLINK("https://www.amazon.com/Scrabble-Monopoly-Game-Bookshelf-Collection/dp/B07WTNZ1XF/ref=sr_1_2?keywords=Clue+Vintage+Bookshelf+Edition&amp;qid=1695566003&amp;sr=8-2", "https://www.amazon.com/Scrabble-Monopoly-Game-Bookshelf-Collection/dp/B07WTNZ1XF/ref=sr_1_2?keywords=Clue+Vintage+Bookshelf+Edition&amp;qid=1695566003&amp;sr=8-2")</f>
        <v/>
      </c>
      <c r="F4115" t="inlineStr">
        <is>
          <t>B07WTNZ1XF</t>
        </is>
      </c>
      <c r="G4115">
        <f>_xlfn.IMAGE("https://faoschwarz.com/cdn/shop/products/ws-game-company-games-clue-vintage-bookshelf-edition-28896789168215_1080x.jpg?v=1655985140")</f>
        <v/>
      </c>
      <c r="H4115">
        <f>_xlfn.IMAGE("https://m.media-amazon.com/images/I/819IbI0hyFL._AC_UL320_.jpg")</f>
        <v/>
      </c>
      <c r="K4115" t="inlineStr">
        <is>
          <t>40.0</t>
        </is>
      </c>
      <c r="L4115" t="n">
        <v>112.99</v>
      </c>
      <c r="M4115" s="1" t="inlineStr">
        <is>
          <t>182.47%</t>
        </is>
      </c>
      <c r="N4115" t="n">
        <v>4.8</v>
      </c>
      <c r="O4115" t="n">
        <v>434</v>
      </c>
      <c r="Q4115" t="inlineStr">
        <is>
          <t>InStock</t>
        </is>
      </c>
      <c r="R4115" t="inlineStr">
        <is>
          <t>undefined</t>
        </is>
      </c>
      <c r="S4115" t="inlineStr">
        <is>
          <t>6715353235543</t>
        </is>
      </c>
    </row>
    <row r="4116" ht="75" customHeight="1">
      <c r="A4116" s="2">
        <f>HYPERLINK("https://faoschwarz.com/products/clue-vintage-bookshelf-edition", "https://faoschwarz.com/products/clue-vintage-bookshelf-edition")</f>
        <v/>
      </c>
      <c r="B4116" s="2">
        <f>HYPERLINK("https://faoschwarz.com/products/clue-vintage-bookshelf-edition", "https://faoschwarz.com/products/clue-vintage-bookshelf-edition")</f>
        <v/>
      </c>
      <c r="C4116" t="inlineStr">
        <is>
          <t>Clue Vintage Bookshelf Edition</t>
        </is>
      </c>
      <c r="D4116" t="inlineStr">
        <is>
          <t>WS Game Company Taboo Vintage Bookshelf Edition</t>
        </is>
      </c>
      <c r="E4116" s="2">
        <f>HYPERLINK("https://www.amazon.com/WS-Game-Company-Vintage-Bookshelf/dp/B0C4D26SDW/ref=sr_1_10?keywords=Clue+Vintage+Bookshelf+Edition&amp;qid=1695566003&amp;sr=8-10", "https://www.amazon.com/WS-Game-Company-Vintage-Bookshelf/dp/B0C4D26SDW/ref=sr_1_10?keywords=Clue+Vintage+Bookshelf+Edition&amp;qid=1695566003&amp;sr=8-10")</f>
        <v/>
      </c>
      <c r="F4116" t="inlineStr">
        <is>
          <t>B0C4D26SDW</t>
        </is>
      </c>
      <c r="G4116">
        <f>_xlfn.IMAGE("https://faoschwarz.com/cdn/shop/products/ws-game-company-games-clue-vintage-bookshelf-edition-28896789168215_1080x.jpg?v=1655985140")</f>
        <v/>
      </c>
      <c r="H4116">
        <f>_xlfn.IMAGE("https://m.media-amazon.com/images/I/71w+AQ-OvDL._AC_UL320_.jpg")</f>
        <v/>
      </c>
      <c r="K4116" t="inlineStr">
        <is>
          <t>40.0</t>
        </is>
      </c>
      <c r="L4116" t="n">
        <v>39.99</v>
      </c>
      <c r="M4116" s="1" t="inlineStr">
        <is>
          <t>-0.02%</t>
        </is>
      </c>
      <c r="N4116" t="n">
        <v>5</v>
      </c>
      <c r="O4116" t="n">
        <v>7</v>
      </c>
      <c r="Q4116" t="inlineStr">
        <is>
          <t>InStock</t>
        </is>
      </c>
      <c r="R4116" t="inlineStr">
        <is>
          <t>undefined</t>
        </is>
      </c>
      <c r="S4116" t="inlineStr">
        <is>
          <t>6715353235543</t>
        </is>
      </c>
    </row>
    <row r="4117" ht="75" customHeight="1">
      <c r="A4117" s="2">
        <f>HYPERLINK("https://faoschwarz.com/products/clue-vintage-bookshelf-edition", "https://faoschwarz.com/products/clue-vintage-bookshelf-edition")</f>
        <v/>
      </c>
      <c r="B4117" s="2">
        <f>HYPERLINK("https://faoschwarz.com/products/clue-vintage-bookshelf-edition", "https://faoschwarz.com/products/clue-vintage-bookshelf-edition")</f>
        <v/>
      </c>
      <c r="C4117" t="inlineStr">
        <is>
          <t>Clue Vintage Bookshelf Edition</t>
        </is>
      </c>
      <c r="D4117" t="inlineStr">
        <is>
          <t>WS Game Company Boggle Vintage Bookshelf Edition</t>
        </is>
      </c>
      <c r="E4117" s="2">
        <f>HYPERLINK("https://www.amazon.com/WS-Game-Company-Vintage-Bookshelf/dp/B07YB5HK2K/ref=sr_1_9?keywords=Clue+Vintage+Bookshelf+Edition&amp;qid=1695566003&amp;sr=8-9", "https://www.amazon.com/WS-Game-Company-Vintage-Bookshelf/dp/B07YB5HK2K/ref=sr_1_9?keywords=Clue+Vintage+Bookshelf+Edition&amp;qid=1695566003&amp;sr=8-9")</f>
        <v/>
      </c>
      <c r="F4117" t="inlineStr">
        <is>
          <t>B07YB5HK2K</t>
        </is>
      </c>
      <c r="G4117">
        <f>_xlfn.IMAGE("https://faoschwarz.com/cdn/shop/products/ws-game-company-games-clue-vintage-bookshelf-edition-28896789168215_1080x.jpg?v=1655985140")</f>
        <v/>
      </c>
      <c r="H4117">
        <f>_xlfn.IMAGE("https://m.media-amazon.com/images/I/81NpZQNNrBL._AC_UL320_.jpg")</f>
        <v/>
      </c>
      <c r="K4117" t="inlineStr">
        <is>
          <t>40.0</t>
        </is>
      </c>
      <c r="L4117" t="n">
        <v>39.99</v>
      </c>
      <c r="M4117" s="1" t="inlineStr">
        <is>
          <t>-0.02%</t>
        </is>
      </c>
      <c r="N4117" t="n">
        <v>4.8</v>
      </c>
      <c r="O4117" t="n">
        <v>307</v>
      </c>
      <c r="Q4117" t="inlineStr">
        <is>
          <t>InStock</t>
        </is>
      </c>
      <c r="R4117" t="inlineStr">
        <is>
          <t>undefined</t>
        </is>
      </c>
      <c r="S4117" t="inlineStr">
        <is>
          <t>6715353235543</t>
        </is>
      </c>
    </row>
    <row r="4118" ht="75" customHeight="1">
      <c r="A4118" s="2">
        <f>HYPERLINK("https://faoschwarz.com/products/clue-vintage-bookshelf-edition", "https://faoschwarz.com/products/clue-vintage-bookshelf-edition")</f>
        <v/>
      </c>
      <c r="B4118" s="2">
        <f>HYPERLINK("https://faoschwarz.com/products/clue-vintage-bookshelf-edition", "https://faoschwarz.com/products/clue-vintage-bookshelf-edition")</f>
        <v/>
      </c>
      <c r="C4118" t="inlineStr">
        <is>
          <t>Clue Vintage Bookshelf Edition</t>
        </is>
      </c>
      <c r="D4118" t="inlineStr">
        <is>
          <t>WS Game Company Clue Vintage Bookshelf Edition</t>
        </is>
      </c>
      <c r="E4118" s="2">
        <f>HYPERLINK("https://www.amazon.com/Clue-Linen-Book-Vintage-Board/dp/B01CPTT716/ref=sr_1_1?keywords=Clue+Vintage+Bookshelf+Edition&amp;qid=1695566003&amp;sr=8-1", "https://www.amazon.com/Clue-Linen-Book-Vintage-Board/dp/B01CPTT716/ref=sr_1_1?keywords=Clue+Vintage+Bookshelf+Edition&amp;qid=1695566003&amp;sr=8-1")</f>
        <v/>
      </c>
      <c r="F4118" t="inlineStr">
        <is>
          <t>B01CPTT716</t>
        </is>
      </c>
      <c r="G4118">
        <f>_xlfn.IMAGE("https://faoschwarz.com/cdn/shop/products/ws-game-company-games-clue-vintage-bookshelf-edition-28896789168215_1080x.jpg?v=1655985140")</f>
        <v/>
      </c>
      <c r="H4118">
        <f>_xlfn.IMAGE("https://m.media-amazon.com/images/I/81MHz0qbqQL._AC_UL320_.jpg")</f>
        <v/>
      </c>
      <c r="K4118" t="inlineStr">
        <is>
          <t>40.0</t>
        </is>
      </c>
      <c r="L4118" t="n">
        <v>39.99</v>
      </c>
      <c r="M4118" s="1" t="inlineStr">
        <is>
          <t>-0.02%</t>
        </is>
      </c>
      <c r="N4118" t="n">
        <v>4.8</v>
      </c>
      <c r="O4118" t="n">
        <v>711</v>
      </c>
      <c r="Q4118" t="inlineStr">
        <is>
          <t>InStock</t>
        </is>
      </c>
      <c r="R4118" t="inlineStr">
        <is>
          <t>undefined</t>
        </is>
      </c>
      <c r="S4118" t="inlineStr">
        <is>
          <t>6715353235543</t>
        </is>
      </c>
    </row>
    <row r="4119" ht="75" customHeight="1">
      <c r="A4119" s="2">
        <f>HYPERLINK("https://faoschwarz.com/products/clue-vintage-bookshelf-edition", "https://faoschwarz.com/products/clue-vintage-bookshelf-edition")</f>
        <v/>
      </c>
      <c r="B4119" s="2">
        <f>HYPERLINK("https://faoschwarz.com/products/clue-vintage-bookshelf-edition", "https://faoschwarz.com/products/clue-vintage-bookshelf-edition")</f>
        <v/>
      </c>
      <c r="C4119" t="inlineStr">
        <is>
          <t>Clue Vintage Bookshelf Edition</t>
        </is>
      </c>
      <c r="D4119" t="inlineStr">
        <is>
          <t>Yahtzee Vintage Bookshelf Edition</t>
        </is>
      </c>
      <c r="E4119" s="2">
        <f>HYPERLINK("https://www.amazon.com/Winning-Solutions-Yahtzee-Linen-Vintage/dp/B075SCWZND/ref=sr_1_4?keywords=Clue+Vintage+Bookshelf+Edition&amp;qid=1695566003&amp;sr=8-4", "https://www.amazon.com/Winning-Solutions-Yahtzee-Linen-Vintage/dp/B075SCWZND/ref=sr_1_4?keywords=Clue+Vintage+Bookshelf+Edition&amp;qid=1695566003&amp;sr=8-4")</f>
        <v/>
      </c>
      <c r="F4119" t="inlineStr">
        <is>
          <t>B075SCWZND</t>
        </is>
      </c>
      <c r="G4119">
        <f>_xlfn.IMAGE("https://faoschwarz.com/cdn/shop/products/ws-game-company-games-clue-vintage-bookshelf-edition-28896789168215_1080x.jpg?v=1655985140")</f>
        <v/>
      </c>
      <c r="H4119">
        <f>_xlfn.IMAGE("https://m.media-amazon.com/images/I/518FvCklg1L._AC_UL320_.jpg")</f>
        <v/>
      </c>
      <c r="K4119" t="inlineStr">
        <is>
          <t>40.0</t>
        </is>
      </c>
      <c r="L4119" t="n">
        <v>35</v>
      </c>
      <c r="M4119" s="1" t="inlineStr">
        <is>
          <t>-12.50%</t>
        </is>
      </c>
      <c r="N4119" t="n">
        <v>4.8</v>
      </c>
      <c r="O4119" t="n">
        <v>585</v>
      </c>
      <c r="Q4119" t="inlineStr">
        <is>
          <t>InStock</t>
        </is>
      </c>
      <c r="R4119" t="inlineStr">
        <is>
          <t>undefined</t>
        </is>
      </c>
      <c r="S4119" t="inlineStr">
        <is>
          <t>6715353235543</t>
        </is>
      </c>
    </row>
    <row r="4120" ht="75" customHeight="1">
      <c r="A4120" s="2">
        <f>HYPERLINK("https://faoschwarz.com/products/clue-vintage-bookshelf-edition", "https://faoschwarz.com/products/clue-vintage-bookshelf-edition")</f>
        <v/>
      </c>
      <c r="B4120" s="2">
        <f>HYPERLINK("https://faoschwarz.com/products/clue-vintage-bookshelf-edition", "https://faoschwarz.com/products/clue-vintage-bookshelf-edition")</f>
        <v/>
      </c>
      <c r="C4120" t="inlineStr">
        <is>
          <t>Clue Vintage Bookshelf Edition</t>
        </is>
      </c>
      <c r="D4120" t="inlineStr">
        <is>
          <t>WS Game Company Chess Vintage Bookshelf Edition</t>
        </is>
      </c>
      <c r="E4120" s="2">
        <f>HYPERLINK("https://www.amazon.com/WS-Game-Company-Vintage-Bookshelf/dp/B09N451M4X/ref=sr_1_5?keywords=Clue+Vintage+Bookshelf+Edition&amp;qid=1695566003&amp;sr=8-5", "https://www.amazon.com/WS-Game-Company-Vintage-Bookshelf/dp/B09N451M4X/ref=sr_1_5?keywords=Clue+Vintage+Bookshelf+Edition&amp;qid=1695566003&amp;sr=8-5")</f>
        <v/>
      </c>
      <c r="F4120" t="inlineStr">
        <is>
          <t>B09N451M4X</t>
        </is>
      </c>
      <c r="G4120">
        <f>_xlfn.IMAGE("https://faoschwarz.com/cdn/shop/products/ws-game-company-games-clue-vintage-bookshelf-edition-28896789168215_1080x.jpg?v=1655985140")</f>
        <v/>
      </c>
      <c r="H4120">
        <f>_xlfn.IMAGE("https://m.media-amazon.com/images/I/81yVQWnPdbL._AC_UL320_.jpg")</f>
        <v/>
      </c>
      <c r="K4120" t="inlineStr">
        <is>
          <t>40.0</t>
        </is>
      </c>
      <c r="L4120" t="n">
        <v>35</v>
      </c>
      <c r="M4120" s="1" t="inlineStr">
        <is>
          <t>-12.50%</t>
        </is>
      </c>
      <c r="N4120" t="n">
        <v>4.9</v>
      </c>
      <c r="O4120" t="n">
        <v>94</v>
      </c>
      <c r="Q4120" t="inlineStr">
        <is>
          <t>InStock</t>
        </is>
      </c>
      <c r="R4120" t="inlineStr">
        <is>
          <t>undefined</t>
        </is>
      </c>
      <c r="S4120" t="inlineStr">
        <is>
          <t>6715353235543</t>
        </is>
      </c>
    </row>
    <row r="4121" ht="75" customHeight="1">
      <c r="A4121" s="2">
        <f>HYPERLINK("https://faoschwarz.com/products/clue-vintage-bookshelf-edition", "https://faoschwarz.com/products/clue-vintage-bookshelf-edition")</f>
        <v/>
      </c>
      <c r="B4121" s="2">
        <f>HYPERLINK("https://faoschwarz.com/products/clue-vintage-bookshelf-edition", "https://faoschwarz.com/products/clue-vintage-bookshelf-edition")</f>
        <v/>
      </c>
      <c r="C4121" t="inlineStr">
        <is>
          <t>Clue Vintage Bookshelf Edition</t>
        </is>
      </c>
      <c r="D4121" t="inlineStr">
        <is>
          <t>WS Game Company Chutes and Ladders Vintage Bookshelf Edition</t>
        </is>
      </c>
      <c r="E4121" s="2">
        <f>HYPERLINK("https://www.amazon.com/WS-Game-Company-Ladders-Bookshelf/dp/B0844Q7YMY/ref=sr_1_7?keywords=Clue+Vintage+Bookshelf+Edition&amp;qid=1695566003&amp;sr=8-7", "https://www.amazon.com/WS-Game-Company-Ladders-Bookshelf/dp/B0844Q7YMY/ref=sr_1_7?keywords=Clue+Vintage+Bookshelf+Edition&amp;qid=1695566003&amp;sr=8-7")</f>
        <v/>
      </c>
      <c r="F4121" t="inlineStr">
        <is>
          <t>B0844Q7YMY</t>
        </is>
      </c>
      <c r="G4121">
        <f>_xlfn.IMAGE("https://faoschwarz.com/cdn/shop/products/ws-game-company-games-clue-vintage-bookshelf-edition-28896789168215_1080x.jpg?v=1655985140")</f>
        <v/>
      </c>
      <c r="H4121">
        <f>_xlfn.IMAGE("https://m.media-amazon.com/images/I/91NxzqaaD5L._AC_UL320_.jpg")</f>
        <v/>
      </c>
      <c r="K4121" t="inlineStr">
        <is>
          <t>40.0</t>
        </is>
      </c>
      <c r="L4121" t="n">
        <v>35</v>
      </c>
      <c r="M4121" s="1" t="inlineStr">
        <is>
          <t>-12.50%</t>
        </is>
      </c>
      <c r="N4121" t="n">
        <v>4.8</v>
      </c>
      <c r="O4121" t="n">
        <v>167</v>
      </c>
      <c r="Q4121" t="inlineStr">
        <is>
          <t>InStock</t>
        </is>
      </c>
      <c r="R4121" t="inlineStr">
        <is>
          <t>undefined</t>
        </is>
      </c>
      <c r="S4121" t="inlineStr">
        <is>
          <t>6715353235543</t>
        </is>
      </c>
    </row>
    <row r="4122" ht="75" customHeight="1">
      <c r="A4122" s="2">
        <f>HYPERLINK("https://faoschwarz.com/products/clue-vintage-bookshelf-edition", "https://faoschwarz.com/products/clue-vintage-bookshelf-edition")</f>
        <v/>
      </c>
      <c r="B4122" s="2">
        <f>HYPERLINK("https://faoschwarz.com/products/clue-vintage-bookshelf-edition", "https://faoschwarz.com/products/clue-vintage-bookshelf-edition")</f>
        <v/>
      </c>
      <c r="C4122" t="inlineStr">
        <is>
          <t>Clue Vintage Bookshelf Edition</t>
        </is>
      </c>
      <c r="D4122" t="inlineStr">
        <is>
          <t>WS Game Company Sorry! Vintage Bookshelf Edition</t>
        </is>
      </c>
      <c r="E4122" s="2">
        <f>HYPERLINK("https://www.amazon.com/WS-Game-Company-Vintage-Bookshelf/dp/B09N21R993/ref=sr_1_8?keywords=Clue+Vintage+Bookshelf+Edition&amp;qid=1695566003&amp;sr=8-8", "https://www.amazon.com/WS-Game-Company-Vintage-Bookshelf/dp/B09N21R993/ref=sr_1_8?keywords=Clue+Vintage+Bookshelf+Edition&amp;qid=1695566003&amp;sr=8-8")</f>
        <v/>
      </c>
      <c r="F4122" t="inlineStr">
        <is>
          <t>B09N21R993</t>
        </is>
      </c>
      <c r="G4122">
        <f>_xlfn.IMAGE("https://faoschwarz.com/cdn/shop/products/ws-game-company-games-clue-vintage-bookshelf-edition-28896789168215_1080x.jpg?v=1655985140")</f>
        <v/>
      </c>
      <c r="H4122">
        <f>_xlfn.IMAGE("https://m.media-amazon.com/images/I/81K6S3Yn+HL._AC_UL320_.jpg")</f>
        <v/>
      </c>
      <c r="K4122" t="inlineStr">
        <is>
          <t>40.0</t>
        </is>
      </c>
      <c r="L4122" t="n">
        <v>35</v>
      </c>
      <c r="M4122" s="1" t="inlineStr">
        <is>
          <t>-12.50%</t>
        </is>
      </c>
      <c r="N4122" t="n">
        <v>4.9</v>
      </c>
      <c r="O4122" t="n">
        <v>184</v>
      </c>
      <c r="Q4122" t="inlineStr">
        <is>
          <t>InStock</t>
        </is>
      </c>
      <c r="R4122" t="inlineStr">
        <is>
          <t>undefined</t>
        </is>
      </c>
      <c r="S4122" t="inlineStr">
        <is>
          <t>6715353235543</t>
        </is>
      </c>
    </row>
    <row r="4123" ht="75" customHeight="1">
      <c r="A4123" s="2">
        <f>HYPERLINK("https://faoschwarz.com/products/clue-vintage-bookshelf-edition", "https://faoschwarz.com/products/clue-vintage-bookshelf-edition")</f>
        <v/>
      </c>
      <c r="B4123" s="2">
        <f>HYPERLINK("https://faoschwarz.com/products/clue-vintage-bookshelf-edition", "https://faoschwarz.com/products/clue-vintage-bookshelf-edition")</f>
        <v/>
      </c>
      <c r="C4123" t="inlineStr">
        <is>
          <t>Clue Vintage Bookshelf Edition</t>
        </is>
      </c>
      <c r="D4123" t="inlineStr">
        <is>
          <t>Candy Land Vintage Bookshelf Edition</t>
        </is>
      </c>
      <c r="E4123" s="2">
        <f>HYPERLINK("https://www.amazon.com/WS-Game-Company-Vintage-Bookshelf/dp/B0844NRKT3/ref=sr_1_3?keywords=Clue+Vintage+Bookshelf+Edition&amp;qid=1695566003&amp;sr=8-3", "https://www.amazon.com/WS-Game-Company-Vintage-Bookshelf/dp/B0844NRKT3/ref=sr_1_3?keywords=Clue+Vintage+Bookshelf+Edition&amp;qid=1695566003&amp;sr=8-3")</f>
        <v/>
      </c>
      <c r="F4123" t="inlineStr">
        <is>
          <t>B0844NRKT3</t>
        </is>
      </c>
      <c r="G4123">
        <f>_xlfn.IMAGE("https://faoschwarz.com/cdn/shop/products/ws-game-company-games-clue-vintage-bookshelf-edition-28896789168215_1080x.jpg?v=1655985140")</f>
        <v/>
      </c>
      <c r="H4123">
        <f>_xlfn.IMAGE("https://m.media-amazon.com/images/I/915Jx+kTAuL._AC_UL320_.jpg")</f>
        <v/>
      </c>
      <c r="K4123" t="inlineStr">
        <is>
          <t>40.0</t>
        </is>
      </c>
      <c r="L4123" t="n">
        <v>27.56</v>
      </c>
      <c r="M4123" s="1" t="inlineStr">
        <is>
          <t>-31.10%</t>
        </is>
      </c>
      <c r="N4123" t="n">
        <v>4.9</v>
      </c>
      <c r="O4123" t="n">
        <v>298</v>
      </c>
      <c r="Q4123" t="inlineStr">
        <is>
          <t>InStock</t>
        </is>
      </c>
      <c r="R4123" t="inlineStr">
        <is>
          <t>undefined</t>
        </is>
      </c>
      <c r="S4123" t="inlineStr">
        <is>
          <t>6715353235543</t>
        </is>
      </c>
    </row>
    <row r="4124" ht="75" customHeight="1">
      <c r="A4124" s="2">
        <f>HYPERLINK("https://faoschwarz.com/products/clue-vintage-bookshelf-edition", "https://faoschwarz.com/products/clue-vintage-bookshelf-edition")</f>
        <v/>
      </c>
      <c r="B4124" s="2">
        <f>HYPERLINK("https://faoschwarz.com/products/clue-vintage-bookshelf-edition", "https://faoschwarz.com/products/clue-vintage-bookshelf-edition")</f>
        <v/>
      </c>
      <c r="C4124" t="inlineStr">
        <is>
          <t>Clue Vintage Bookshelf Edition</t>
        </is>
      </c>
      <c r="D4124" t="inlineStr">
        <is>
          <t>Yahtzee Vintage Bookshelf Edition</t>
        </is>
      </c>
      <c r="E4124" s="2">
        <f>HYPERLINK("https://www.amazon.com/Winning-Solutions-Yahtzee-Linen-Vintage/dp/B075SCWZND/ref=sr_1_4?keywords=Clue+Vintage+Bookshelf+Edition&amp;qid=1695566003&amp;sr=8-4", "https://www.amazon.com/Winning-Solutions-Yahtzee-Linen-Vintage/dp/B075SCWZND/ref=sr_1_4?keywords=Clue+Vintage+Bookshelf+Edition&amp;qid=1695566003&amp;sr=8-4")</f>
        <v/>
      </c>
      <c r="F4124" t="inlineStr">
        <is>
          <t>B075SCWZND</t>
        </is>
      </c>
      <c r="G4124">
        <f>_xlfn.IMAGE("https://faoschwarz.com/cdn/shop/products/ws-game-company-games-clue-vintage-bookshelf-edition-28896789168215_1080x.jpg?v=1655985140")</f>
        <v/>
      </c>
      <c r="H4124">
        <f>_xlfn.IMAGE("https://m.media-amazon.com/images/I/518FvCklg1L._AC_UL320_.jpg")</f>
        <v/>
      </c>
      <c r="K4124" t="inlineStr">
        <is>
          <t>40.0</t>
        </is>
      </c>
      <c r="L4124" t="n">
        <v>35</v>
      </c>
      <c r="M4124" s="1" t="inlineStr">
        <is>
          <t>-12.50%</t>
        </is>
      </c>
      <c r="N4124" t="n">
        <v>4.8</v>
      </c>
      <c r="O4124" t="n">
        <v>585</v>
      </c>
      <c r="Q4124" t="inlineStr">
        <is>
          <t>InStock</t>
        </is>
      </c>
      <c r="R4124" t="inlineStr">
        <is>
          <t>undefined</t>
        </is>
      </c>
      <c r="S4124" t="inlineStr">
        <is>
          <t>6715353235543</t>
        </is>
      </c>
    </row>
    <row r="4125" ht="75" customHeight="1">
      <c r="A4125" s="2">
        <f>HYPERLINK("https://faoschwarz.com/products/clue-vintage-bookshelf-edition", "https://faoschwarz.com/products/clue-vintage-bookshelf-edition")</f>
        <v/>
      </c>
      <c r="B4125" s="2">
        <f>HYPERLINK("https://faoschwarz.com/products/clue-vintage-bookshelf-edition", "https://faoschwarz.com/products/clue-vintage-bookshelf-edition")</f>
        <v/>
      </c>
      <c r="C4125" t="inlineStr">
        <is>
          <t>Clue Vintage Bookshelf Edition</t>
        </is>
      </c>
      <c r="D4125" t="inlineStr">
        <is>
          <t>WS Game Company Chess Vintage Bookshelf Edition</t>
        </is>
      </c>
      <c r="E4125" s="2">
        <f>HYPERLINK("https://www.amazon.com/WS-Game-Company-Vintage-Bookshelf/dp/B09N451M4X/ref=sr_1_5?keywords=Clue+Vintage+Bookshelf+Edition&amp;qid=1695566003&amp;sr=8-5", "https://www.amazon.com/WS-Game-Company-Vintage-Bookshelf/dp/B09N451M4X/ref=sr_1_5?keywords=Clue+Vintage+Bookshelf+Edition&amp;qid=1695566003&amp;sr=8-5")</f>
        <v/>
      </c>
      <c r="F4125" t="inlineStr">
        <is>
          <t>B09N451M4X</t>
        </is>
      </c>
      <c r="G4125">
        <f>_xlfn.IMAGE("https://faoschwarz.com/cdn/shop/products/ws-game-company-games-clue-vintage-bookshelf-edition-28896789168215_1080x.jpg?v=1655985140")</f>
        <v/>
      </c>
      <c r="H4125">
        <f>_xlfn.IMAGE("https://m.media-amazon.com/images/I/81yVQWnPdbL._AC_UL320_.jpg")</f>
        <v/>
      </c>
      <c r="K4125" t="inlineStr">
        <is>
          <t>40.0</t>
        </is>
      </c>
      <c r="L4125" t="n">
        <v>35</v>
      </c>
      <c r="M4125" s="1" t="inlineStr">
        <is>
          <t>-12.50%</t>
        </is>
      </c>
      <c r="N4125" t="n">
        <v>4.9</v>
      </c>
      <c r="O4125" t="n">
        <v>94</v>
      </c>
      <c r="Q4125" t="inlineStr">
        <is>
          <t>InStock</t>
        </is>
      </c>
      <c r="R4125" t="inlineStr">
        <is>
          <t>undefined</t>
        </is>
      </c>
      <c r="S4125" t="inlineStr">
        <is>
          <t>6715353235543</t>
        </is>
      </c>
    </row>
    <row r="4126" ht="75" customHeight="1">
      <c r="A4126" s="2">
        <f>HYPERLINK("https://faoschwarz.com/products/clue-vintage-bookshelf-edition", "https://faoschwarz.com/products/clue-vintage-bookshelf-edition")</f>
        <v/>
      </c>
      <c r="B4126" s="2">
        <f>HYPERLINK("https://faoschwarz.com/products/clue-vintage-bookshelf-edition", "https://faoschwarz.com/products/clue-vintage-bookshelf-edition")</f>
        <v/>
      </c>
      <c r="C4126" t="inlineStr">
        <is>
          <t>Clue Vintage Bookshelf Edition</t>
        </is>
      </c>
      <c r="D4126" t="inlineStr">
        <is>
          <t>WS Game Company Chutes and Ladders Vintage Bookshelf Edition</t>
        </is>
      </c>
      <c r="E4126" s="2">
        <f>HYPERLINK("https://www.amazon.com/WS-Game-Company-Ladders-Bookshelf/dp/B0844Q7YMY/ref=sr_1_7?keywords=Clue+Vintage+Bookshelf+Edition&amp;qid=1695566003&amp;sr=8-7", "https://www.amazon.com/WS-Game-Company-Ladders-Bookshelf/dp/B0844Q7YMY/ref=sr_1_7?keywords=Clue+Vintage+Bookshelf+Edition&amp;qid=1695566003&amp;sr=8-7")</f>
        <v/>
      </c>
      <c r="F4126" t="inlineStr">
        <is>
          <t>B0844Q7YMY</t>
        </is>
      </c>
      <c r="G4126">
        <f>_xlfn.IMAGE("https://faoschwarz.com/cdn/shop/products/ws-game-company-games-clue-vintage-bookshelf-edition-28896789168215_1080x.jpg?v=1655985140")</f>
        <v/>
      </c>
      <c r="H4126">
        <f>_xlfn.IMAGE("https://m.media-amazon.com/images/I/91NxzqaaD5L._AC_UL320_.jpg")</f>
        <v/>
      </c>
      <c r="K4126" t="inlineStr">
        <is>
          <t>40.0</t>
        </is>
      </c>
      <c r="L4126" t="n">
        <v>35</v>
      </c>
      <c r="M4126" s="1" t="inlineStr">
        <is>
          <t>-12.50%</t>
        </is>
      </c>
      <c r="N4126" t="n">
        <v>4.8</v>
      </c>
      <c r="O4126" t="n">
        <v>167</v>
      </c>
      <c r="Q4126" t="inlineStr">
        <is>
          <t>InStock</t>
        </is>
      </c>
      <c r="R4126" t="inlineStr">
        <is>
          <t>undefined</t>
        </is>
      </c>
      <c r="S4126" t="inlineStr">
        <is>
          <t>6715353235543</t>
        </is>
      </c>
    </row>
    <row r="4127" ht="75" customHeight="1">
      <c r="A4127" s="2">
        <f>HYPERLINK("https://faoschwarz.com/products/clue-vintage-bookshelf-edition", "https://faoschwarz.com/products/clue-vintage-bookshelf-edition")</f>
        <v/>
      </c>
      <c r="B4127" s="2">
        <f>HYPERLINK("https://faoschwarz.com/products/clue-vintage-bookshelf-edition", "https://faoschwarz.com/products/clue-vintage-bookshelf-edition")</f>
        <v/>
      </c>
      <c r="C4127" t="inlineStr">
        <is>
          <t>Clue Vintage Bookshelf Edition</t>
        </is>
      </c>
      <c r="D4127" t="inlineStr">
        <is>
          <t>WS Game Company Sorry! Vintage Bookshelf Edition</t>
        </is>
      </c>
      <c r="E4127" s="2">
        <f>HYPERLINK("https://www.amazon.com/WS-Game-Company-Vintage-Bookshelf/dp/B09N21R993/ref=sr_1_8?keywords=Clue+Vintage+Bookshelf+Edition&amp;qid=1695566003&amp;sr=8-8", "https://www.amazon.com/WS-Game-Company-Vintage-Bookshelf/dp/B09N21R993/ref=sr_1_8?keywords=Clue+Vintage+Bookshelf+Edition&amp;qid=1695566003&amp;sr=8-8")</f>
        <v/>
      </c>
      <c r="F4127" t="inlineStr">
        <is>
          <t>B09N21R993</t>
        </is>
      </c>
      <c r="G4127">
        <f>_xlfn.IMAGE("https://faoschwarz.com/cdn/shop/products/ws-game-company-games-clue-vintage-bookshelf-edition-28896789168215_1080x.jpg?v=1655985140")</f>
        <v/>
      </c>
      <c r="H4127">
        <f>_xlfn.IMAGE("https://m.media-amazon.com/images/I/81K6S3Yn+HL._AC_UL320_.jpg")</f>
        <v/>
      </c>
      <c r="K4127" t="inlineStr">
        <is>
          <t>40.0</t>
        </is>
      </c>
      <c r="L4127" t="n">
        <v>35</v>
      </c>
      <c r="M4127" s="1" t="inlineStr">
        <is>
          <t>-12.50%</t>
        </is>
      </c>
      <c r="N4127" t="n">
        <v>4.9</v>
      </c>
      <c r="O4127" t="n">
        <v>184</v>
      </c>
      <c r="Q4127" t="inlineStr">
        <is>
          <t>InStock</t>
        </is>
      </c>
      <c r="R4127" t="inlineStr">
        <is>
          <t>undefined</t>
        </is>
      </c>
      <c r="S4127" t="inlineStr">
        <is>
          <t>6715353235543</t>
        </is>
      </c>
    </row>
    <row r="4128" ht="75" customHeight="1">
      <c r="A4128" s="2">
        <f>HYPERLINK("https://faoschwarz.com/products/clue-vintage-bookshelf-edition", "https://faoschwarz.com/products/clue-vintage-bookshelf-edition")</f>
        <v/>
      </c>
      <c r="B4128" s="2">
        <f>HYPERLINK("https://faoschwarz.com/products/clue-vintage-bookshelf-edition", "https://faoschwarz.com/products/clue-vintage-bookshelf-edition")</f>
        <v/>
      </c>
      <c r="C4128" t="inlineStr">
        <is>
          <t>Clue Vintage Bookshelf Edition</t>
        </is>
      </c>
      <c r="D4128" t="inlineStr">
        <is>
          <t>Candy Land Vintage Bookshelf Edition</t>
        </is>
      </c>
      <c r="E4128" s="2">
        <f>HYPERLINK("https://www.amazon.com/WS-Game-Company-Vintage-Bookshelf/dp/B0844NRKT3/ref=sr_1_3?keywords=Clue+Vintage+Bookshelf+Edition&amp;qid=1695566003&amp;sr=8-3", "https://www.amazon.com/WS-Game-Company-Vintage-Bookshelf/dp/B0844NRKT3/ref=sr_1_3?keywords=Clue+Vintage+Bookshelf+Edition&amp;qid=1695566003&amp;sr=8-3")</f>
        <v/>
      </c>
      <c r="F4128" t="inlineStr">
        <is>
          <t>B0844NRKT3</t>
        </is>
      </c>
      <c r="G4128">
        <f>_xlfn.IMAGE("https://faoschwarz.com/cdn/shop/products/ws-game-company-games-clue-vintage-bookshelf-edition-28896789168215_1080x.jpg?v=1655985140")</f>
        <v/>
      </c>
      <c r="H4128">
        <f>_xlfn.IMAGE("https://m.media-amazon.com/images/I/915Jx+kTAuL._AC_UL320_.jpg")</f>
        <v/>
      </c>
      <c r="K4128" t="inlineStr">
        <is>
          <t>40.0</t>
        </is>
      </c>
      <c r="L4128" t="n">
        <v>27.56</v>
      </c>
      <c r="M4128" s="1" t="inlineStr">
        <is>
          <t>-31.10%</t>
        </is>
      </c>
      <c r="N4128" t="n">
        <v>4.9</v>
      </c>
      <c r="O4128" t="n">
        <v>298</v>
      </c>
      <c r="Q4128" t="inlineStr">
        <is>
          <t>InStock</t>
        </is>
      </c>
      <c r="R4128" t="inlineStr">
        <is>
          <t>undefined</t>
        </is>
      </c>
      <c r="S4128" t="inlineStr">
        <is>
          <t>6715353235543</t>
        </is>
      </c>
    </row>
    <row r="4129" ht="75" customHeight="1">
      <c r="A4129" s="2">
        <f>HYPERLINK("https://faoschwarz.com/products/cozy-cottage-play-tent", "https://faoschwarz.com/products/cozy-cottage-play-tent")</f>
        <v/>
      </c>
      <c r="B4129" s="2">
        <f>HYPERLINK("https://faoschwarz.com/products/cozy-cottage-play-tent", "https://faoschwarz.com/products/cozy-cottage-play-tent")</f>
        <v/>
      </c>
      <c r="C4129" t="inlineStr">
        <is>
          <t>Cozy Cottage Play Tent</t>
        </is>
      </c>
      <c r="D4129" t="inlineStr">
        <is>
          <t>Kids Play Tent, Razee Large Playhouse, Indoor, Play House, Castle Tent for Girls Boys, Play Cottage</t>
        </is>
      </c>
      <c r="E4129" s="2">
        <f>HYPERLINK("https://www.amazon.com/Razee-Playhouse-Indoor-Castle-Cottage/dp/B08ZXP1Q4W/ref=sr_1_3?keywords=Cozy+Cottage+Play+Tent&amp;qid=1695565931&amp;sr=8-3", "https://www.amazon.com/Razee-Playhouse-Indoor-Castle-Cottage/dp/B08ZXP1Q4W/ref=sr_1_3?keywords=Cozy+Cottage+Play+Tent&amp;qid=1695565931&amp;sr=8-3")</f>
        <v/>
      </c>
      <c r="F4129" t="inlineStr">
        <is>
          <t>B08ZXP1Q4W</t>
        </is>
      </c>
      <c r="G4129">
        <f>_xlfn.IMAGE("https://faoschwarz.com/cdn/shop/products/melissa-doug-preschool-cozy-cottage-play-tent-14735819210839_1080x.jpg?v=1656221797")</f>
        <v/>
      </c>
      <c r="H4129">
        <f>_xlfn.IMAGE("https://m.media-amazon.com/images/I/711UsyKqmyS._AC_UL320_.jpg")</f>
        <v/>
      </c>
      <c r="K4129" t="inlineStr">
        <is>
          <t>39.9</t>
        </is>
      </c>
      <c r="L4129" t="n">
        <v>59.99</v>
      </c>
      <c r="M4129" s="1" t="inlineStr">
        <is>
          <t>50.35%</t>
        </is>
      </c>
      <c r="N4129" t="n">
        <v>4.6</v>
      </c>
      <c r="O4129" t="n">
        <v>1140</v>
      </c>
      <c r="Q4129" t="inlineStr">
        <is>
          <t>InStock</t>
        </is>
      </c>
      <c r="R4129" t="inlineStr">
        <is>
          <t>57.0</t>
        </is>
      </c>
      <c r="S4129" t="inlineStr">
        <is>
          <t>4649318383703</t>
        </is>
      </c>
    </row>
    <row r="4130" ht="75" customHeight="1">
      <c r="A4130" s="2">
        <f>HYPERLINK("https://faoschwarz.com/products/cozy-cottage-play-tent", "https://faoschwarz.com/products/cozy-cottage-play-tent")</f>
        <v/>
      </c>
      <c r="B4130" s="2">
        <f>HYPERLINK("https://faoschwarz.com/products/cozy-cottage-play-tent", "https://faoschwarz.com/products/cozy-cottage-play-tent")</f>
        <v/>
      </c>
      <c r="C4130" t="inlineStr">
        <is>
          <t>Cozy Cottage Play Tent</t>
        </is>
      </c>
      <c r="D4130" t="inlineStr">
        <is>
          <t>Melissa &amp; Doug Cozy Cottage Fabric Play Tent and Storage Tote</t>
        </is>
      </c>
      <c r="E4130" s="2">
        <f>HYPERLINK("https://www.amazon.com/Melissa-Doug-Cottage-Fabric-Storage/dp/B08JD6QGJL/ref=sr_1_1?keywords=Cozy+Cottage+Play+Tent&amp;qid=1695565931&amp;sr=8-1", "https://www.amazon.com/Melissa-Doug-Cottage-Fabric-Storage/dp/B08JD6QGJL/ref=sr_1_1?keywords=Cozy+Cottage+Play+Tent&amp;qid=1695565931&amp;sr=8-1")</f>
        <v/>
      </c>
      <c r="F4130" t="inlineStr">
        <is>
          <t>B08JD6QGJL</t>
        </is>
      </c>
      <c r="G4130">
        <f>_xlfn.IMAGE("https://faoschwarz.com/cdn/shop/products/melissa-doug-preschool-cozy-cottage-play-tent-14735819210839_1080x.jpg?v=1656221797")</f>
        <v/>
      </c>
      <c r="H4130">
        <f>_xlfn.IMAGE("https://m.media-amazon.com/images/I/81+IGFRmrAL._AC_UL320_.jpg")</f>
        <v/>
      </c>
      <c r="K4130" t="inlineStr">
        <is>
          <t>39.9</t>
        </is>
      </c>
      <c r="L4130" t="n">
        <v>38.99</v>
      </c>
      <c r="M4130" s="1" t="inlineStr">
        <is>
          <t>-2.28%</t>
        </is>
      </c>
      <c r="N4130" t="n">
        <v>4.5</v>
      </c>
      <c r="O4130" t="n">
        <v>178</v>
      </c>
      <c r="Q4130" t="inlineStr">
        <is>
          <t>InStock</t>
        </is>
      </c>
      <c r="R4130" t="inlineStr">
        <is>
          <t>57.0</t>
        </is>
      </c>
      <c r="S4130" t="inlineStr">
        <is>
          <t>4649318383703</t>
        </is>
      </c>
    </row>
    <row r="4131" ht="75" customHeight="1">
      <c r="A4131" s="2">
        <f>HYPERLINK("https://faoschwarz.com/products/daniel-tiger-tonie", "https://faoschwarz.com/products/daniel-tiger-tonie")</f>
        <v/>
      </c>
      <c r="B4131" s="2">
        <f>HYPERLINK("https://faoschwarz.com/products/daniel-tiger-tonie", "https://faoschwarz.com/products/daniel-tiger-tonie")</f>
        <v/>
      </c>
      <c r="C4131" t="inlineStr">
        <is>
          <t>Daniel Tiger Tonie</t>
        </is>
      </c>
      <c r="D4131" t="inlineStr">
        <is>
          <t>Tonies Daniel Tiger Audio Play Character</t>
        </is>
      </c>
      <c r="E4131" s="2">
        <f>HYPERLINK("https://www.amazon.com/Tonies-Daniel-Tiger-Audio-Character/dp/B09QMTND6S/ref=sr_1_1?keywords=Daniel+Tiger+Tonie&amp;qid=1695565952&amp;sr=8-1", "https://www.amazon.com/Tonies-Daniel-Tiger-Audio-Character/dp/B09QMTND6S/ref=sr_1_1?keywords=Daniel+Tiger+Tonie&amp;qid=1695565952&amp;sr=8-1")</f>
        <v/>
      </c>
      <c r="F4131" t="inlineStr">
        <is>
          <t>B09QMTND6S</t>
        </is>
      </c>
      <c r="G4131">
        <f>_xlfn.IMAGE("https://faoschwarz.com/cdn/shop/products/tonies-electronics-daniel-tiger-tonie-29619299942487_1080x.jpg?v=1665783713")</f>
        <v/>
      </c>
      <c r="H4131">
        <f>_xlfn.IMAGE("https://m.media-amazon.com/images/I/71hYkuEqhnL._AC_UL320_.jpg")</f>
        <v/>
      </c>
      <c r="K4131" t="inlineStr">
        <is>
          <t>18.0</t>
        </is>
      </c>
      <c r="L4131" t="n">
        <v>17.99</v>
      </c>
      <c r="M4131" s="1" t="inlineStr">
        <is>
          <t>-0.06%</t>
        </is>
      </c>
      <c r="N4131" t="n">
        <v>4.8</v>
      </c>
      <c r="O4131" t="n">
        <v>437</v>
      </c>
      <c r="Q4131" t="inlineStr">
        <is>
          <t>InStock</t>
        </is>
      </c>
      <c r="R4131" t="inlineStr">
        <is>
          <t>undefined</t>
        </is>
      </c>
      <c r="S4131" t="inlineStr">
        <is>
          <t>6782939988055</t>
        </is>
      </c>
    </row>
    <row r="4132" ht="75" customHeight="1">
      <c r="A4132" s="2">
        <f>HYPERLINK("https://faoschwarz.com/products/dovetail-dollhouse", "https://faoschwarz.com/products/dovetail-dollhouse")</f>
        <v/>
      </c>
      <c r="B4132" s="2">
        <f>HYPERLINK("https://faoschwarz.com/products/dovetail-dollhouse", "https://faoschwarz.com/products/dovetail-dollhouse")</f>
        <v/>
      </c>
      <c r="C4132" t="inlineStr">
        <is>
          <t>Dovetail Dollhouse</t>
        </is>
      </c>
      <c r="D4132" t="inlineStr">
        <is>
          <t>Tender Leaf Toys - Dovetail Dollhouse Accessories - Detailed Ultra Stylish Wooden Furniture Sets and Room Decor - Encourage Creative and Imaginative Fun Play for Children 3+ (Dovetail Kitchen Set)</t>
        </is>
      </c>
      <c r="E4132" s="2">
        <f>HYPERLINK("https://www.amazon.com/Tender-Leaf-Toys-Accessories-Imaginative/dp/B07S2TPX8H/ref=sr_1_2?keywords=Dovetail+Dollhouse&amp;qid=1695565946&amp;sr=8-2", "https://www.amazon.com/Tender-Leaf-Toys-Accessories-Imaginative/dp/B07S2TPX8H/ref=sr_1_2?keywords=Dovetail+Dollhouse&amp;qid=1695565946&amp;sr=8-2")</f>
        <v/>
      </c>
      <c r="F4132" t="inlineStr">
        <is>
          <t>B07S2TPX8H</t>
        </is>
      </c>
      <c r="G4132">
        <f>_xlfn.IMAGE("https://faoschwarz.com/cdn/shop/products/tender-leaf-preschool-dovetail-dollhouse-14932703281239_1080x.jpg?v=1656139443")</f>
        <v/>
      </c>
      <c r="H4132">
        <f>_xlfn.IMAGE("https://m.media-amazon.com/images/I/51-oG+czJwL._AC_UL320_.jpg")</f>
        <v/>
      </c>
      <c r="K4132" t="inlineStr">
        <is>
          <t>280.0</t>
        </is>
      </c>
      <c r="L4132" t="n">
        <v>54.99</v>
      </c>
      <c r="M4132" s="1" t="inlineStr">
        <is>
          <t>-80.36%</t>
        </is>
      </c>
      <c r="N4132" t="n">
        <v>4.6</v>
      </c>
      <c r="O4132" t="n">
        <v>174</v>
      </c>
      <c r="Q4132" t="inlineStr">
        <is>
          <t>InStock</t>
        </is>
      </c>
      <c r="R4132" t="inlineStr">
        <is>
          <t>undefined</t>
        </is>
      </c>
      <c r="S4132" t="inlineStr">
        <is>
          <t>4672501514327</t>
        </is>
      </c>
    </row>
    <row r="4133" ht="75" customHeight="1">
      <c r="A4133" s="2">
        <f>HYPERLINK("https://faoschwarz.com/products/dr-seuss-stack-with-the-cat-game", "https://faoschwarz.com/products/dr-seuss-stack-with-the-cat-game")</f>
        <v/>
      </c>
      <c r="B4133" s="2">
        <f>HYPERLINK("https://faoschwarz.com/products/dr-seuss-stack-with-the-cat-game", "https://faoschwarz.com/products/dr-seuss-stack-with-the-cat-game")</f>
        <v/>
      </c>
      <c r="C4133" t="inlineStr">
        <is>
          <t>Dr. Seuss Stack with the Cat Game</t>
        </is>
      </c>
      <c r="D4133" t="inlineStr">
        <is>
          <t>Funko Dr. Seuss Stack with The Cat Game</t>
        </is>
      </c>
      <c r="E4133" s="2">
        <f>HYPERLINK("https://www.amazon.com/Funko-Dr-Seuss-Stack-Game/dp/B08VWJY6QN/ref=sr_1_1?keywords=Dr.+Seuss+Stack+with+the+Cat+Game&amp;qid=1695565974&amp;sr=8-1", "https://www.amazon.com/Funko-Dr-Seuss-Stack-Game/dp/B08VWJY6QN/ref=sr_1_1?keywords=Dr.+Seuss+Stack+with+the+Cat+Game&amp;qid=1695565974&amp;sr=8-1")</f>
        <v/>
      </c>
      <c r="F4133" t="inlineStr">
        <is>
          <t>B08VWJY6QN</t>
        </is>
      </c>
      <c r="G4133">
        <f>_xlfn.IMAGE("https://faoschwarz.com/cdn/shop/files/funko-world-of-funko-dr-seuss-stack-with-the-cat-game-30394575192151_1080x.jpg?v=1693411437")</f>
        <v/>
      </c>
      <c r="H4133">
        <f>_xlfn.IMAGE("https://m.media-amazon.com/images/I/71fBLk7EJFL._AC_UL320_.jpg")</f>
        <v/>
      </c>
      <c r="K4133" t="inlineStr">
        <is>
          <t>25.0</t>
        </is>
      </c>
      <c r="L4133" t="n">
        <v>14.99</v>
      </c>
      <c r="M4133" s="1" t="inlineStr">
        <is>
          <t>-40.04%</t>
        </is>
      </c>
      <c r="N4133" t="n">
        <v>4.6</v>
      </c>
      <c r="O4133" t="n">
        <v>496</v>
      </c>
      <c r="Q4133" t="inlineStr">
        <is>
          <t>InStock</t>
        </is>
      </c>
      <c r="R4133" t="inlineStr">
        <is>
          <t>undefined</t>
        </is>
      </c>
      <c r="S4133" t="inlineStr">
        <is>
          <t>6884919083095</t>
        </is>
      </c>
    </row>
    <row r="4134" ht="75" customHeight="1">
      <c r="A4134" s="2">
        <f>HYPERLINK("https://faoschwarz.com/products/dr-seuss-stack-with-the-cat-game", "https://faoschwarz.com/products/dr-seuss-stack-with-the-cat-game")</f>
        <v/>
      </c>
      <c r="B4134" s="2">
        <f>HYPERLINK("https://faoschwarz.com/products/dr-seuss-stack-with-the-cat-game", "https://faoschwarz.com/products/dr-seuss-stack-with-the-cat-game")</f>
        <v/>
      </c>
      <c r="C4134" t="inlineStr">
        <is>
          <t>Dr. Seuss Stack with the Cat Game</t>
        </is>
      </c>
      <c r="D4134" t="inlineStr">
        <is>
          <t>Funko Dr. Seuss Stack with The Cat Game</t>
        </is>
      </c>
      <c r="E4134" s="2">
        <f>HYPERLINK("https://www.amazon.com/Funko-Dr-Seuss-Stack-Game/dp/B08VWJY6QN/ref=sr_1_1?keywords=Dr.+Seuss+Stack+with+the+Cat+Game&amp;qid=1695565974&amp;sr=8-1", "https://www.amazon.com/Funko-Dr-Seuss-Stack-Game/dp/B08VWJY6QN/ref=sr_1_1?keywords=Dr.+Seuss+Stack+with+the+Cat+Game&amp;qid=1695565974&amp;sr=8-1")</f>
        <v/>
      </c>
      <c r="F4134" t="inlineStr">
        <is>
          <t>B08VWJY6QN</t>
        </is>
      </c>
      <c r="G4134">
        <f>_xlfn.IMAGE("https://faoschwarz.com/cdn/shop/files/funko-world-of-funko-dr-seuss-stack-with-the-cat-game-30394575192151_1080x.jpg?v=1693411437")</f>
        <v/>
      </c>
      <c r="H4134">
        <f>_xlfn.IMAGE("https://m.media-amazon.com/images/I/71fBLk7EJFL._AC_UL320_.jpg")</f>
        <v/>
      </c>
      <c r="K4134" t="inlineStr">
        <is>
          <t>25.0</t>
        </is>
      </c>
      <c r="L4134" t="n">
        <v>14.99</v>
      </c>
      <c r="M4134" s="1" t="inlineStr">
        <is>
          <t>-40.04%</t>
        </is>
      </c>
      <c r="N4134" t="n">
        <v>4.6</v>
      </c>
      <c r="O4134" t="n">
        <v>496</v>
      </c>
      <c r="Q4134" t="inlineStr">
        <is>
          <t>InStock</t>
        </is>
      </c>
      <c r="R4134" t="inlineStr">
        <is>
          <t>undefined</t>
        </is>
      </c>
      <c r="S4134" t="inlineStr">
        <is>
          <t>6884919083095</t>
        </is>
      </c>
    </row>
    <row r="4135" ht="75" customHeight="1">
      <c r="A4135" s="2">
        <f>HYPERLINK("https://faoschwarz.com/products/early-engineers-building-set-87pcs", "https://faoschwarz.com/products/early-engineers-building-set-87pcs")</f>
        <v/>
      </c>
      <c r="B4135" s="2">
        <f>HYPERLINK("https://faoschwarz.com/products/early-engineers-building-set-87pcs", "https://faoschwarz.com/products/early-engineers-building-set-87pcs")</f>
        <v/>
      </c>
      <c r="C4135" t="inlineStr">
        <is>
          <t>Early Engineers Building Set, 87pcs</t>
        </is>
      </c>
      <c r="D4135" t="inlineStr">
        <is>
          <t>Discovery #MINDBLOWN Early Engineers 87-Piece Building Set, Easy &amp; Fun Kids Design Kit, Build Unique Robot Creations with 1 Tool, Educational STEM Learning Toy, Construction Playset for Ages 3 and up</t>
        </is>
      </c>
      <c r="E4135" s="2">
        <f>HYPERLINK("https://www.amazon.com/Discovery-Early-Engineers-Building-Kids/dp/B0BFYRR5S1/ref=sr_1_fkmr0_1?keywords=Early+Engineers+Building+Set%2C+87pcs&amp;qid=1695565923&amp;sr=8-1-fkmr0", "https://www.amazon.com/Discovery-Early-Engineers-Building-Kids/dp/B0BFYRR5S1/ref=sr_1_fkmr0_1?keywords=Early+Engineers+Building+Set%2C+87pcs&amp;qid=1695565923&amp;sr=8-1-fkmr0")</f>
        <v/>
      </c>
      <c r="F4135" t="inlineStr">
        <is>
          <t>B0BFYRR5S1</t>
        </is>
      </c>
      <c r="G4135">
        <f>_xlfn.IMAGE("https://faoschwarz.com/cdn/shop/products/discovery-mindblown-stem-early-engineers-building-set-87pcs-29565076865111_1080x.jpg?v=1665775653")</f>
        <v/>
      </c>
      <c r="H4135">
        <f>_xlfn.IMAGE("https://m.media-amazon.com/images/I/81DE1-MrVKL._AC_UL320_.jpg")</f>
        <v/>
      </c>
      <c r="K4135" t="inlineStr">
        <is>
          <t>32.0</t>
        </is>
      </c>
      <c r="L4135" t="n">
        <v>20.99</v>
      </c>
      <c r="M4135" s="1" t="inlineStr">
        <is>
          <t>-34.41%</t>
        </is>
      </c>
      <c r="N4135" t="n">
        <v>4.8</v>
      </c>
      <c r="O4135" t="n">
        <v>57</v>
      </c>
      <c r="Q4135" t="inlineStr">
        <is>
          <t>InStock</t>
        </is>
      </c>
      <c r="R4135" t="inlineStr">
        <is>
          <t>undefined</t>
        </is>
      </c>
      <c r="S4135" t="inlineStr">
        <is>
          <t>6814782849111</t>
        </is>
      </c>
    </row>
    <row r="4136" ht="75" customHeight="1">
      <c r="A4136" s="2">
        <f>HYPERLINK("https://faoschwarz.com/products/eiffel-tower-night-edition-216-piece-puzzle", "https://faoschwarz.com/products/eiffel-tower-night-edition-216-piece-puzzle")</f>
        <v/>
      </c>
      <c r="B4136" s="2">
        <f>HYPERLINK("https://faoschwarz.com/products/eiffel-tower-night-edition-216-piece-puzzle", "https://faoschwarz.com/products/eiffel-tower-night-edition-216-piece-puzzle")</f>
        <v/>
      </c>
      <c r="C4136" t="inlineStr">
        <is>
          <t>Eiffel Tower - Night Edition 216 Piece Puzzle</t>
        </is>
      </c>
      <c r="D4136" t="inlineStr">
        <is>
          <t>Queenie® Stained Art 1000 Piece Paris France Eiffel Tower City River Bridge Landscape Night View Panoramic Wooden Jigsaw Puzzles for Home Photo Frame Wall Decoration Gift</t>
        </is>
      </c>
      <c r="E4136" s="2">
        <f>HYPERLINK("https://www.amazon.com/Queenie-Stained-Landscape-Panoramic-Decoration/dp/B07P5YTWCK/ref=sr_1_9?keywords=Eiffel+Tower+-+Night+Edition+216+Piece+Puzzle&amp;qid=1695565994&amp;sr=8-9", "https://www.amazon.com/Queenie-Stained-Landscape-Panoramic-Decoration/dp/B07P5YTWCK/ref=sr_1_9?keywords=Eiffel+Tower+-+Night+Edition+216+Piece+Puzzle&amp;qid=1695565994&amp;sr=8-9")</f>
        <v/>
      </c>
      <c r="F4136" t="inlineStr">
        <is>
          <t>B07P5YTWCK</t>
        </is>
      </c>
      <c r="G4136">
        <f>_xlfn.IMAGE("https://faoschwarz.com/cdn/shop/products/ravensburger-puzzles-eiffel-tower-night-edition-216-piece-puzzle-28305664114775_1080x.jpg?v=1656186319")</f>
        <v/>
      </c>
      <c r="H4136">
        <f>_xlfn.IMAGE("https://m.media-amazon.com/images/I/5100nQgcamL._AC_UL320_.jpg")</f>
        <v/>
      </c>
      <c r="K4136" t="inlineStr">
        <is>
          <t>45.0</t>
        </is>
      </c>
      <c r="L4136" t="n">
        <v>22.49</v>
      </c>
      <c r="M4136" s="1" t="inlineStr">
        <is>
          <t>-50.02%</t>
        </is>
      </c>
      <c r="N4136" t="n">
        <v>3.9</v>
      </c>
      <c r="O4136" t="n">
        <v>15</v>
      </c>
      <c r="Q4136" t="inlineStr">
        <is>
          <t>InStock</t>
        </is>
      </c>
      <c r="R4136" t="inlineStr">
        <is>
          <t>undefined</t>
        </is>
      </c>
      <c r="S4136" t="inlineStr">
        <is>
          <t>1565154476119</t>
        </is>
      </c>
    </row>
    <row r="4137" ht="75" customHeight="1">
      <c r="A4137" s="2">
        <f>HYPERLINK("https://faoschwarz.com/products/eiffel-tower-night-edition-216-piece-puzzle", "https://faoschwarz.com/products/eiffel-tower-night-edition-216-piece-puzzle")</f>
        <v/>
      </c>
      <c r="B4137" s="2">
        <f>HYPERLINK("https://faoschwarz.com/products/eiffel-tower-night-edition-216-piece-puzzle", "https://faoschwarz.com/products/eiffel-tower-night-edition-216-piece-puzzle")</f>
        <v/>
      </c>
      <c r="C4137" t="inlineStr">
        <is>
          <t>Eiffel Tower - Night Edition 216 Piece Puzzle</t>
        </is>
      </c>
      <c r="D4137" t="inlineStr">
        <is>
          <t>CASTORLAND 1000 Piece Jigsaw Puzzle, Glamour of The Night, Colorful Eiffel Tower, Paris, Puzzle of France, Fireworks in The Sky, Adult Puzzle, Castorland C-103997-2</t>
        </is>
      </c>
      <c r="E4137" s="2">
        <f>HYPERLINK("https://www.amazon.com/CASTORLAND-Colorful-Fireworks-Castorland-C-103997-2/dp/B076CDZ9L6/ref=sr_1_7?keywords=Eiffel+Tower+-+Night+Edition+216+Piece+Puzzle&amp;qid=1695565994&amp;sr=8-7", "https://www.amazon.com/CASTORLAND-Colorful-Fireworks-Castorland-C-103997-2/dp/B076CDZ9L6/ref=sr_1_7?keywords=Eiffel+Tower+-+Night+Edition+216+Piece+Puzzle&amp;qid=1695565994&amp;sr=8-7")</f>
        <v/>
      </c>
      <c r="F4137" t="inlineStr">
        <is>
          <t>B076CDZ9L6</t>
        </is>
      </c>
      <c r="G4137">
        <f>_xlfn.IMAGE("https://faoschwarz.com/cdn/shop/products/ravensburger-puzzles-eiffel-tower-night-edition-216-piece-puzzle-28305664114775_1080x.jpg?v=1656186319")</f>
        <v/>
      </c>
      <c r="H4137">
        <f>_xlfn.IMAGE("https://m.media-amazon.com/images/I/71gJN7ThWhL._AC_UL320_.jpg")</f>
        <v/>
      </c>
      <c r="K4137" t="inlineStr">
        <is>
          <t>45.0</t>
        </is>
      </c>
      <c r="L4137" t="n">
        <v>18.04</v>
      </c>
      <c r="M4137" s="1" t="inlineStr">
        <is>
          <t>-59.91%</t>
        </is>
      </c>
      <c r="N4137" t="n">
        <v>4.6</v>
      </c>
      <c r="O4137" t="n">
        <v>148</v>
      </c>
      <c r="Q4137" t="inlineStr">
        <is>
          <t>InStock</t>
        </is>
      </c>
      <c r="R4137" t="inlineStr">
        <is>
          <t>undefined</t>
        </is>
      </c>
      <c r="S4137" t="inlineStr">
        <is>
          <t>1565154476119</t>
        </is>
      </c>
    </row>
    <row r="4138" ht="75" customHeight="1">
      <c r="A4138" s="2">
        <f>HYPERLINK("https://faoschwarz.com/products/eiffel-tower-night-edition-216-piece-puzzle", "https://faoschwarz.com/products/eiffel-tower-night-edition-216-piece-puzzle")</f>
        <v/>
      </c>
      <c r="B4138" s="2">
        <f>HYPERLINK("https://faoschwarz.com/products/eiffel-tower-night-edition-216-piece-puzzle", "https://faoschwarz.com/products/eiffel-tower-night-edition-216-piece-puzzle")</f>
        <v/>
      </c>
      <c r="C4138" t="inlineStr">
        <is>
          <t>Eiffel Tower - Night Edition 216 Piece Puzzle</t>
        </is>
      </c>
      <c r="D4138" t="inlineStr">
        <is>
          <t>Queenie® Stained Art 1000 Piece Paris France Eiffel Tower City River Bridge Landscape Night View Panoramic Wooden Jigsaw Puzzles for Home Photo Frame Wall Decoration Gift</t>
        </is>
      </c>
      <c r="E4138" s="2">
        <f>HYPERLINK("https://www.amazon.com/Queenie-Stained-Landscape-Panoramic-Decoration/dp/B07P5YTWCK/ref=sr_1_9?keywords=Eiffel+Tower+-+Night+Edition+216+Piece+Puzzle&amp;qid=1695565994&amp;sr=8-9", "https://www.amazon.com/Queenie-Stained-Landscape-Panoramic-Decoration/dp/B07P5YTWCK/ref=sr_1_9?keywords=Eiffel+Tower+-+Night+Edition+216+Piece+Puzzle&amp;qid=1695565994&amp;sr=8-9")</f>
        <v/>
      </c>
      <c r="F4138" t="inlineStr">
        <is>
          <t>B07P5YTWCK</t>
        </is>
      </c>
      <c r="G4138">
        <f>_xlfn.IMAGE("https://faoschwarz.com/cdn/shop/products/ravensburger-puzzles-eiffel-tower-night-edition-216-piece-puzzle-28305664114775_1080x.jpg?v=1656186319")</f>
        <v/>
      </c>
      <c r="H4138">
        <f>_xlfn.IMAGE("https://m.media-amazon.com/images/I/5100nQgcamL._AC_UL320_.jpg")</f>
        <v/>
      </c>
      <c r="K4138" t="inlineStr">
        <is>
          <t>45.0</t>
        </is>
      </c>
      <c r="L4138" t="n">
        <v>22.49</v>
      </c>
      <c r="M4138" s="1" t="inlineStr">
        <is>
          <t>-50.02%</t>
        </is>
      </c>
      <c r="N4138" t="n">
        <v>3.9</v>
      </c>
      <c r="O4138" t="n">
        <v>15</v>
      </c>
      <c r="Q4138" t="inlineStr">
        <is>
          <t>InStock</t>
        </is>
      </c>
      <c r="R4138" t="inlineStr">
        <is>
          <t>undefined</t>
        </is>
      </c>
      <c r="S4138" t="inlineStr">
        <is>
          <t>1565154476119</t>
        </is>
      </c>
    </row>
    <row r="4139" ht="75" customHeight="1">
      <c r="A4139" s="2">
        <f>HYPERLINK("https://faoschwarz.com/products/eiffel-tower-night-edition-216-piece-puzzle", "https://faoschwarz.com/products/eiffel-tower-night-edition-216-piece-puzzle")</f>
        <v/>
      </c>
      <c r="B4139" s="2">
        <f>HYPERLINK("https://faoschwarz.com/products/eiffel-tower-night-edition-216-piece-puzzle", "https://faoschwarz.com/products/eiffel-tower-night-edition-216-piece-puzzle")</f>
        <v/>
      </c>
      <c r="C4139" t="inlineStr">
        <is>
          <t>Eiffel Tower - Night Edition 216 Piece Puzzle</t>
        </is>
      </c>
      <c r="D4139" t="inlineStr">
        <is>
          <t>CASTORLAND 1000 Piece Jigsaw Puzzle, Glamour of The Night, Colorful Eiffel Tower, Paris, Puzzle of France, Fireworks in The Sky, Adult Puzzle, Castorland C-103997-2</t>
        </is>
      </c>
      <c r="E4139" s="2">
        <f>HYPERLINK("https://www.amazon.com/CASTORLAND-Colorful-Fireworks-Castorland-C-103997-2/dp/B076CDZ9L6/ref=sr_1_7?keywords=Eiffel+Tower+-+Night+Edition+216+Piece+Puzzle&amp;qid=1695565994&amp;sr=8-7", "https://www.amazon.com/CASTORLAND-Colorful-Fireworks-Castorland-C-103997-2/dp/B076CDZ9L6/ref=sr_1_7?keywords=Eiffel+Tower+-+Night+Edition+216+Piece+Puzzle&amp;qid=1695565994&amp;sr=8-7")</f>
        <v/>
      </c>
      <c r="F4139" t="inlineStr">
        <is>
          <t>B076CDZ9L6</t>
        </is>
      </c>
      <c r="G4139">
        <f>_xlfn.IMAGE("https://faoschwarz.com/cdn/shop/products/ravensburger-puzzles-eiffel-tower-night-edition-216-piece-puzzle-28305664114775_1080x.jpg?v=1656186319")</f>
        <v/>
      </c>
      <c r="H4139">
        <f>_xlfn.IMAGE("https://m.media-amazon.com/images/I/71gJN7ThWhL._AC_UL320_.jpg")</f>
        <v/>
      </c>
      <c r="K4139" t="inlineStr">
        <is>
          <t>45.0</t>
        </is>
      </c>
      <c r="L4139" t="n">
        <v>18.04</v>
      </c>
      <c r="M4139" s="1" t="inlineStr">
        <is>
          <t>-59.91%</t>
        </is>
      </c>
      <c r="N4139" t="n">
        <v>4.6</v>
      </c>
      <c r="O4139" t="n">
        <v>148</v>
      </c>
      <c r="Q4139" t="inlineStr">
        <is>
          <t>InStock</t>
        </is>
      </c>
      <c r="R4139" t="inlineStr">
        <is>
          <t>undefined</t>
        </is>
      </c>
      <c r="S4139" t="inlineStr">
        <is>
          <t>1565154476119</t>
        </is>
      </c>
    </row>
    <row r="4140" ht="75" customHeight="1">
      <c r="A4140" s="2">
        <f>HYPERLINK("https://faoschwarz.com/products/elmo-interactive-12-backpack", "https://faoschwarz.com/products/elmo-interactive-12-backpack")</f>
        <v/>
      </c>
      <c r="B4140" s="2">
        <f>HYPERLINK("https://faoschwarz.com/products/elmo-interactive-12-backpack", "https://faoschwarz.com/products/elmo-interactive-12-backpack")</f>
        <v/>
      </c>
      <c r="C4140" t="inlineStr">
        <is>
          <t>Elmo Interactive 12” Backpack</t>
        </is>
      </c>
      <c r="D4140" t="inlineStr">
        <is>
          <t>AI ACCESSORY INNOVATIONS Cocomelon JJ's Playtime Interactive Mini Backpack for Boys and Girls, Pre-school Schoolbag with Padded Back and Adjustable Straps, Versatile 12”</t>
        </is>
      </c>
      <c r="E4140" s="2">
        <f>HYPERLINK("https://www.amazon.com/Cocomelon-Interactive-Pre-school-Schoolbag-Adjustable/dp/B096L5R2K8/ref=sr_1_8?keywords=Elmo+Interactive+12%E2%80%9D+Backpack&amp;qid=1695565952&amp;sr=8-8", "https://www.amazon.com/Cocomelon-Interactive-Pre-school-Schoolbag-Adjustable/dp/B096L5R2K8/ref=sr_1_8?keywords=Elmo+Interactive+12%E2%80%9D+Backpack&amp;qid=1695565952&amp;sr=8-8")</f>
        <v/>
      </c>
      <c r="F4140" t="inlineStr">
        <is>
          <t>B096L5R2K8</t>
        </is>
      </c>
      <c r="G4140">
        <f>_xlfn.IMAGE("https://faoschwarz.com/cdn/shop/files/sesame-street-trend-accessories-elmo-interactive-12-backpack-30390908747863_1080x.jpg?v=1685590677")</f>
        <v/>
      </c>
      <c r="H4140">
        <f>_xlfn.IMAGE("https://m.media-amazon.com/images/I/81TpetEzKyL._AC_UL320_.jpg")</f>
        <v/>
      </c>
      <c r="K4140" t="inlineStr">
        <is>
          <t>20.0</t>
        </is>
      </c>
      <c r="L4140" t="n">
        <v>29.99</v>
      </c>
      <c r="M4140" s="1" t="inlineStr">
        <is>
          <t>49.95%</t>
        </is>
      </c>
      <c r="N4140" t="n">
        <v>4.7</v>
      </c>
      <c r="O4140" t="n">
        <v>324</v>
      </c>
      <c r="Q4140" t="inlineStr">
        <is>
          <t>InStock</t>
        </is>
      </c>
      <c r="R4140" t="inlineStr">
        <is>
          <t>undefined</t>
        </is>
      </c>
      <c r="S4140" t="inlineStr">
        <is>
          <t>6884733386839</t>
        </is>
      </c>
    </row>
    <row r="4141" ht="75" customHeight="1">
      <c r="A4141" s="2">
        <f>HYPERLINK("https://faoschwarz.com/products/enchanted-pop-out-play-scene", "https://faoschwarz.com/products/enchanted-pop-out-play-scene")</f>
        <v/>
      </c>
      <c r="B4141" s="2">
        <f>HYPERLINK("https://faoschwarz.com/products/enchanted-pop-out-play-scene", "https://faoschwarz.com/products/enchanted-pop-out-play-scene")</f>
        <v/>
      </c>
      <c r="C4141" t="inlineStr">
        <is>
          <t>Enchanted Pop Out Play Scene</t>
        </is>
      </c>
      <c r="D4141" t="inlineStr">
        <is>
          <t>Floss and Rock 43P6375 Enchanted Pop Out Play Scene, Multicolor, 21.5cm x 21.5cm x 4.5cm</t>
        </is>
      </c>
      <c r="E4141" s="2">
        <f>HYPERLINK("https://www.amazon.com/Floss-Rock-43P6375-Enchanted-Multicolor/dp/B09B3B25CH/ref=sr_1_1?keywords=Enchanted+Pop+Out+Play+Scene&amp;qid=1695566016&amp;sr=8-1", "https://www.amazon.com/Floss-Rock-43P6375-Enchanted-Multicolor/dp/B09B3B25CH/ref=sr_1_1?keywords=Enchanted+Pop+Out+Play+Scene&amp;qid=1695566016&amp;sr=8-1")</f>
        <v/>
      </c>
      <c r="F4141" t="inlineStr">
        <is>
          <t>B09B3B25CH</t>
        </is>
      </c>
      <c r="G4141">
        <f>_xlfn.IMAGE("https://faoschwarz.com/cdn/shop/products/floss-rock-preschool-enchanted-pop-out-play-scene-29571796992087_1080x.jpg?v=1665783715")</f>
        <v/>
      </c>
      <c r="H4141">
        <f>_xlfn.IMAGE("https://m.media-amazon.com/images/I/61-cFfRtFuL._AC_UL320_.jpg")</f>
        <v/>
      </c>
      <c r="K4141" t="inlineStr">
        <is>
          <t>19.0</t>
        </is>
      </c>
      <c r="L4141" t="n">
        <v>15</v>
      </c>
      <c r="M4141" s="1" t="inlineStr">
        <is>
          <t>-21.05%</t>
        </is>
      </c>
      <c r="N4141" t="n">
        <v>3.5</v>
      </c>
      <c r="O4141" t="n">
        <v>2</v>
      </c>
      <c r="Q4141" t="inlineStr">
        <is>
          <t>InStock</t>
        </is>
      </c>
      <c r="R4141" t="inlineStr">
        <is>
          <t>undefined</t>
        </is>
      </c>
      <c r="S4141" t="inlineStr">
        <is>
          <t>6815343181911</t>
        </is>
      </c>
    </row>
    <row r="4142" ht="75" customHeight="1">
      <c r="A4142" s="2">
        <f>HYPERLINK("https://faoschwarz.com/products/enchanted-pop-out-play-scene", "https://faoschwarz.com/products/enchanted-pop-out-play-scene")</f>
        <v/>
      </c>
      <c r="B4142" s="2">
        <f>HYPERLINK("https://faoschwarz.com/products/enchanted-pop-out-play-scene", "https://faoschwarz.com/products/enchanted-pop-out-play-scene")</f>
        <v/>
      </c>
      <c r="C4142" t="inlineStr">
        <is>
          <t>Enchanted Pop Out Play Scene</t>
        </is>
      </c>
      <c r="D4142" t="inlineStr">
        <is>
          <t>Floss and Rock 43P6375 Enchanted Pop Out Play Scene, Multicolor, 21.5cm x 21.5cm x 4.5cm</t>
        </is>
      </c>
      <c r="E4142" s="2">
        <f>HYPERLINK("https://www.amazon.com/Floss-Rock-43P6375-Enchanted-Multicolor/dp/B09B3B25CH/ref=sr_1_1?keywords=Enchanted+Pop+Out+Play+Scene&amp;qid=1695566016&amp;sr=8-1", "https://www.amazon.com/Floss-Rock-43P6375-Enchanted-Multicolor/dp/B09B3B25CH/ref=sr_1_1?keywords=Enchanted+Pop+Out+Play+Scene&amp;qid=1695566016&amp;sr=8-1")</f>
        <v/>
      </c>
      <c r="F4142" t="inlineStr">
        <is>
          <t>B09B3B25CH</t>
        </is>
      </c>
      <c r="G4142">
        <f>_xlfn.IMAGE("https://faoschwarz.com/cdn/shop/products/floss-rock-preschool-enchanted-pop-out-play-scene-29571796992087_1080x.jpg?v=1665783715")</f>
        <v/>
      </c>
      <c r="H4142">
        <f>_xlfn.IMAGE("https://m.media-amazon.com/images/I/61-cFfRtFuL._AC_UL320_.jpg")</f>
        <v/>
      </c>
      <c r="K4142" t="inlineStr">
        <is>
          <t>19.0</t>
        </is>
      </c>
      <c r="L4142" t="n">
        <v>15</v>
      </c>
      <c r="M4142" s="1" t="inlineStr">
        <is>
          <t>-21.05%</t>
        </is>
      </c>
      <c r="N4142" t="n">
        <v>3.5</v>
      </c>
      <c r="O4142" t="n">
        <v>2</v>
      </c>
      <c r="Q4142" t="inlineStr">
        <is>
          <t>InStock</t>
        </is>
      </c>
      <c r="R4142" t="inlineStr">
        <is>
          <t>undefined</t>
        </is>
      </c>
      <c r="S4142" t="inlineStr">
        <is>
          <t>6815343181911</t>
        </is>
      </c>
    </row>
    <row r="4143" ht="75" customHeight="1">
      <c r="A4143" s="2">
        <f>HYPERLINK("https://faoschwarz.com/products/fairy-castle-silhouette-jigsaw-puzzle", "https://faoschwarz.com/products/fairy-castle-silhouette-jigsaw-puzzle")</f>
        <v/>
      </c>
      <c r="B4143" s="2">
        <f>HYPERLINK("https://faoschwarz.com/products/fairy-castle-silhouette-jigsaw-puzzle", "https://faoschwarz.com/products/fairy-castle-silhouette-jigsaw-puzzle")</f>
        <v/>
      </c>
      <c r="C4143" t="inlineStr">
        <is>
          <t>Fairy Castle Silhouette Jigsaw Puzzle</t>
        </is>
      </c>
      <c r="D4143" t="inlineStr">
        <is>
          <t>Masterpieces 1000 Piece Jigsaw Puzzle for Adults, Family, Or Kids - Fairyland Castle - 19.25"x26.75"</t>
        </is>
      </c>
      <c r="E4143" s="2">
        <f>HYPERLINK("https://www.amazon.com/Piece-Jigsaw-Puzzle-Adult-Family/dp/B08WS38VD3/ref=sr_1_1?keywords=Fairy+Castle+Silhouette+Jigsaw+Puzzle&amp;qid=1695565995&amp;sr=8-1", "https://www.amazon.com/Piece-Jigsaw-Puzzle-Adult-Family/dp/B08WS38VD3/ref=sr_1_1?keywords=Fairy+Castle+Silhouette+Jigsaw+Puzzle&amp;qid=1695565995&amp;sr=8-1")</f>
        <v/>
      </c>
      <c r="F4143" t="inlineStr">
        <is>
          <t>B08WS38VD3</t>
        </is>
      </c>
      <c r="G4143">
        <f>_xlfn.IMAGE("https://faoschwarz.com/cdn/shop/products/djeco-puzzles-fairy-castle-silhouette-jigsaw-puzzle-28824852267095_1080x.jpg?v=1655998599")</f>
        <v/>
      </c>
      <c r="H4143">
        <f>_xlfn.IMAGE("https://m.media-amazon.com/images/I/91YCTDJfeDL._AC_UL320_.jpg")</f>
        <v/>
      </c>
      <c r="K4143" t="inlineStr">
        <is>
          <t>18.0</t>
        </is>
      </c>
      <c r="L4143" t="n">
        <v>18.99</v>
      </c>
      <c r="M4143" s="1" t="inlineStr">
        <is>
          <t>5.50%</t>
        </is>
      </c>
      <c r="N4143" t="n">
        <v>4.5</v>
      </c>
      <c r="O4143" t="n">
        <v>221</v>
      </c>
      <c r="Q4143" t="inlineStr">
        <is>
          <t>InStock</t>
        </is>
      </c>
      <c r="R4143" t="inlineStr">
        <is>
          <t>undefined</t>
        </is>
      </c>
      <c r="S4143" t="inlineStr">
        <is>
          <t>4639956664407</t>
        </is>
      </c>
    </row>
    <row r="4144" ht="75" customHeight="1">
      <c r="A4144" s="2">
        <f>HYPERLINK("https://faoschwarz.com/products/fao-magnetic-dress-up", "https://faoschwarz.com/products/fao-magnetic-dress-up")</f>
        <v/>
      </c>
      <c r="B4144" s="2">
        <f>HYPERLINK("https://faoschwarz.com/products/fao-magnetic-dress-up", "https://faoschwarz.com/products/fao-magnetic-dress-up")</f>
        <v/>
      </c>
      <c r="C4144" t="inlineStr">
        <is>
          <t>FAO Magnetic Dress Up</t>
        </is>
      </c>
      <c r="D4144" t="inlineStr">
        <is>
          <t>Toysters Magnetic Wooden Dress-Up Boy Doll Toy | Pretend Play Set Includes: 1 Wood Doll with 30 Assorted Costume Dress Ideas | Not Your Average Paper Doll | Great Gift Idea for Little Boys 3+ (PZ650)</t>
        </is>
      </c>
      <c r="E4144" s="2">
        <f>HYPERLINK("https://www.amazon.com/Toysters-Magnetic-Wooden-Dress-Up-Pretend/dp/B07KPPJ7JX/ref=sr_1_9?keywords=FAO+Magnetic+Dress+Up&amp;qid=1695566008&amp;sr=8-9", "https://www.amazon.com/Toysters-Magnetic-Wooden-Dress-Up-Pretend/dp/B07KPPJ7JX/ref=sr_1_9?keywords=FAO+Magnetic+Dress+Up&amp;qid=1695566008&amp;sr=8-9")</f>
        <v/>
      </c>
      <c r="F4144" t="inlineStr">
        <is>
          <t>B07KPPJ7JX</t>
        </is>
      </c>
      <c r="G4144">
        <f>_xlfn.IMAGE("https://faoschwarz.com/cdn/shop/files/fao-schwarz-creativity-fao-magnetic-dress-up-30476168527959_1080x.jpg?v=1693426604")</f>
        <v/>
      </c>
      <c r="H4144">
        <f>_xlfn.IMAGE("https://m.media-amazon.com/images/I/81dTSxYupwL._AC_UL320_.jpg")</f>
        <v/>
      </c>
      <c r="K4144" t="inlineStr">
        <is>
          <t>20.0</t>
        </is>
      </c>
      <c r="L4144" t="n">
        <v>16.99</v>
      </c>
      <c r="M4144" s="1" t="inlineStr">
        <is>
          <t>-15.05%</t>
        </is>
      </c>
      <c r="N4144" t="n">
        <v>4.6</v>
      </c>
      <c r="O4144" t="n">
        <v>637</v>
      </c>
      <c r="Q4144" t="inlineStr">
        <is>
          <t>InStock</t>
        </is>
      </c>
      <c r="R4144" t="inlineStr">
        <is>
          <t>undefined</t>
        </is>
      </c>
      <c r="S4144" t="inlineStr">
        <is>
          <t>6889628041303</t>
        </is>
      </c>
    </row>
    <row r="4145" ht="75" customHeight="1">
      <c r="A4145" s="2">
        <f>HYPERLINK("https://faoschwarz.com/products/fao-magnetic-dress-up", "https://faoschwarz.com/products/fao-magnetic-dress-up")</f>
        <v/>
      </c>
      <c r="B4145" s="2">
        <f>HYPERLINK("https://faoschwarz.com/products/fao-magnetic-dress-up", "https://faoschwarz.com/products/fao-magnetic-dress-up")</f>
        <v/>
      </c>
      <c r="C4145" t="inlineStr">
        <is>
          <t>FAO Magnetic Dress Up</t>
        </is>
      </c>
      <c r="D4145" t="inlineStr">
        <is>
          <t>56 PCS Magnetic Dress-up Pretend Play Doll Set with 21 Occupations Jobs, Perfect for Preschool Learning</t>
        </is>
      </c>
      <c r="E4145" s="2">
        <f>HYPERLINK("https://www.amazon.com/Magnetic-Dress-up-Occupations-Preschool-Learning/dp/B07FCFYWSD/ref=sr_1_3?keywords=FAO+Magnetic+Dress+Up&amp;qid=1695566008&amp;sr=8-3", "https://www.amazon.com/Magnetic-Dress-up-Occupations-Preschool-Learning/dp/B07FCFYWSD/ref=sr_1_3?keywords=FAO+Magnetic+Dress+Up&amp;qid=1695566008&amp;sr=8-3")</f>
        <v/>
      </c>
      <c r="F4145" t="inlineStr">
        <is>
          <t>B07FCFYWSD</t>
        </is>
      </c>
      <c r="G4145">
        <f>_xlfn.IMAGE("https://faoschwarz.com/cdn/shop/files/fao-schwarz-creativity-fao-magnetic-dress-up-30476168527959_1080x.jpg?v=1693426604")</f>
        <v/>
      </c>
      <c r="H4145">
        <f>_xlfn.IMAGE("https://m.media-amazon.com/images/I/71fXIqogB3L._AC_UL320_.jpg")</f>
        <v/>
      </c>
      <c r="K4145" t="inlineStr">
        <is>
          <t>20.0</t>
        </is>
      </c>
      <c r="L4145" t="n">
        <v>16.9</v>
      </c>
      <c r="M4145" s="1" t="inlineStr">
        <is>
          <t>-15.50%</t>
        </is>
      </c>
      <c r="N4145" t="n">
        <v>4.5</v>
      </c>
      <c r="O4145" t="n">
        <v>534</v>
      </c>
      <c r="Q4145" t="inlineStr">
        <is>
          <t>InStock</t>
        </is>
      </c>
      <c r="R4145" t="inlineStr">
        <is>
          <t>undefined</t>
        </is>
      </c>
      <c r="S4145" t="inlineStr">
        <is>
          <t>6889628041303</t>
        </is>
      </c>
    </row>
    <row r="4146" ht="75" customHeight="1">
      <c r="A4146" s="2">
        <f>HYPERLINK("https://faoschwarz.com/products/fao-magnetic-dress-up", "https://faoschwarz.com/products/fao-magnetic-dress-up")</f>
        <v/>
      </c>
      <c r="B4146" s="2">
        <f>HYPERLINK("https://faoschwarz.com/products/fao-magnetic-dress-up", "https://faoschwarz.com/products/fao-magnetic-dress-up")</f>
        <v/>
      </c>
      <c r="C4146" t="inlineStr">
        <is>
          <t>FAO Magnetic Dress Up</t>
        </is>
      </c>
      <c r="D4146" t="inlineStr">
        <is>
          <t>Princess Magic Magnetic Dress-up</t>
        </is>
      </c>
      <c r="E4146" s="2">
        <f>HYPERLINK("https://www.amazon.com/Mudpuppy-9780735357679-Princess-Magnetic-Multicolor/dp/0735357676/ref=sr_1_7?keywords=FAO+Magnetic+Dress+Up&amp;qid=1695566008&amp;sr=8-7", "https://www.amazon.com/Mudpuppy-9780735357679-Princess-Magnetic-Multicolor/dp/0735357676/ref=sr_1_7?keywords=FAO+Magnetic+Dress+Up&amp;qid=1695566008&amp;sr=8-7")</f>
        <v/>
      </c>
      <c r="F4146" t="inlineStr">
        <is>
          <t>0735357676</t>
        </is>
      </c>
      <c r="G4146">
        <f>_xlfn.IMAGE("https://faoschwarz.com/cdn/shop/files/fao-schwarz-creativity-fao-magnetic-dress-up-30476168527959_1080x.jpg?v=1693426604")</f>
        <v/>
      </c>
      <c r="H4146">
        <f>_xlfn.IMAGE("https://m.media-amazon.com/images/I/7152eKSBLAL._AC_UL320_.jpg")</f>
        <v/>
      </c>
      <c r="K4146" t="inlineStr">
        <is>
          <t>20.0</t>
        </is>
      </c>
      <c r="L4146" t="n">
        <v>13.03</v>
      </c>
      <c r="M4146" s="1" t="inlineStr">
        <is>
          <t>-34.85%</t>
        </is>
      </c>
      <c r="N4146" t="n">
        <v>4.5</v>
      </c>
      <c r="O4146" t="n">
        <v>1825</v>
      </c>
      <c r="Q4146" t="inlineStr">
        <is>
          <t>InStock</t>
        </is>
      </c>
      <c r="R4146" t="inlineStr">
        <is>
          <t>undefined</t>
        </is>
      </c>
      <c r="S4146" t="inlineStr">
        <is>
          <t>6889628041303</t>
        </is>
      </c>
    </row>
    <row r="4147" ht="75" customHeight="1">
      <c r="A4147" s="2">
        <f>HYPERLINK("https://faoschwarz.com/products/fao-magnetic-dress-up", "https://faoschwarz.com/products/fao-magnetic-dress-up")</f>
        <v/>
      </c>
      <c r="B4147" s="2">
        <f>HYPERLINK("https://faoschwarz.com/products/fao-magnetic-dress-up", "https://faoschwarz.com/products/fao-magnetic-dress-up")</f>
        <v/>
      </c>
      <c r="C4147" t="inlineStr">
        <is>
          <t>FAO Magnetic Dress Up</t>
        </is>
      </c>
      <c r="D4147" t="inlineStr">
        <is>
          <t>Bendon Daisy Girls Dress Up Magnetic Tin Playset with 3 Illustrated Magnet Sheets and Dual Playscenes TS Shure 50255, Multicolor</t>
        </is>
      </c>
      <c r="E4147" s="2">
        <f>HYPERLINK("https://www.amazon.com/Bendon-Illustrated-Playscenes-50255-Multicolor/dp/B08FXVSYC7/ref=sr_1_10?keywords=FAO+Magnetic+Dress+Up&amp;qid=1695566008&amp;sr=8-10", "https://www.amazon.com/Bendon-Illustrated-Playscenes-50255-Multicolor/dp/B08FXVSYC7/ref=sr_1_10?keywords=FAO+Magnetic+Dress+Up&amp;qid=1695566008&amp;sr=8-10")</f>
        <v/>
      </c>
      <c r="F4147" t="inlineStr">
        <is>
          <t>B08FXVSYC7</t>
        </is>
      </c>
      <c r="G4147">
        <f>_xlfn.IMAGE("https://faoschwarz.com/cdn/shop/files/fao-schwarz-creativity-fao-magnetic-dress-up-30476168527959_1080x.jpg?v=1693426604")</f>
        <v/>
      </c>
      <c r="H4147">
        <f>_xlfn.IMAGE("https://m.media-amazon.com/images/I/91b-Jm4MbLL._AC_UL320_.jpg")</f>
        <v/>
      </c>
      <c r="K4147" t="inlineStr">
        <is>
          <t>20.0</t>
        </is>
      </c>
      <c r="L4147" t="n">
        <v>12.99</v>
      </c>
      <c r="M4147" s="1" t="inlineStr">
        <is>
          <t>-35.05%</t>
        </is>
      </c>
      <c r="N4147" t="n">
        <v>4.2</v>
      </c>
      <c r="O4147" t="n">
        <v>359</v>
      </c>
      <c r="Q4147" t="inlineStr">
        <is>
          <t>InStock</t>
        </is>
      </c>
      <c r="R4147" t="inlineStr">
        <is>
          <t>undefined</t>
        </is>
      </c>
      <c r="S4147" t="inlineStr">
        <is>
          <t>6889628041303</t>
        </is>
      </c>
    </row>
    <row r="4148" ht="75" customHeight="1">
      <c r="A4148" s="2">
        <f>HYPERLINK("https://faoschwarz.com/products/fao-magnetic-dress-up", "https://faoschwarz.com/products/fao-magnetic-dress-up")</f>
        <v/>
      </c>
      <c r="B4148" s="2">
        <f>HYPERLINK("https://faoschwarz.com/products/fao-magnetic-dress-up", "https://faoschwarz.com/products/fao-magnetic-dress-up")</f>
        <v/>
      </c>
      <c r="C4148" t="inlineStr">
        <is>
          <t>FAO Magnetic Dress Up</t>
        </is>
      </c>
      <c r="D4148" t="inlineStr">
        <is>
          <t>Story Magic Dress-Up Dolls Playset, Pretend Play Magnetic Case, Magnet Outfit and Accessory Pieces, Great for Travel or Playdates, Magnetic On The Go Activity Set for Ages 4, 5, 6, 7 , Pink</t>
        </is>
      </c>
      <c r="E4148" s="2">
        <f>HYPERLINK("https://www.amazon.com/Story-Magic-Dress-Up-Magnetic-Accessory/dp/B084DZFGZ6/ref=sr_1_4?keywords=FAO+Magnetic+Dress+Up&amp;qid=1695566008&amp;sr=8-4", "https://www.amazon.com/Story-Magic-Dress-Up-Magnetic-Accessory/dp/B084DZFGZ6/ref=sr_1_4?keywords=FAO+Magnetic+Dress+Up&amp;qid=1695566008&amp;sr=8-4")</f>
        <v/>
      </c>
      <c r="F4148" t="inlineStr">
        <is>
          <t>B084DZFGZ6</t>
        </is>
      </c>
      <c r="G4148">
        <f>_xlfn.IMAGE("https://faoschwarz.com/cdn/shop/files/fao-schwarz-creativity-fao-magnetic-dress-up-30476168527959_1080x.jpg?v=1693426604")</f>
        <v/>
      </c>
      <c r="H4148">
        <f>_xlfn.IMAGE("https://m.media-amazon.com/images/I/81DjfqVSNdL._AC_UL320_.jpg")</f>
        <v/>
      </c>
      <c r="K4148" t="inlineStr">
        <is>
          <t>20.0</t>
        </is>
      </c>
      <c r="L4148" t="n">
        <v>12.99</v>
      </c>
      <c r="M4148" s="1" t="inlineStr">
        <is>
          <t>-35.05%</t>
        </is>
      </c>
      <c r="N4148" t="n">
        <v>4.4</v>
      </c>
      <c r="O4148" t="n">
        <v>2861</v>
      </c>
      <c r="Q4148" t="inlineStr">
        <is>
          <t>InStock</t>
        </is>
      </c>
      <c r="R4148" t="inlineStr">
        <is>
          <t>undefined</t>
        </is>
      </c>
      <c r="S4148" t="inlineStr">
        <is>
          <t>6889628041303</t>
        </is>
      </c>
    </row>
    <row r="4149" ht="75" customHeight="1">
      <c r="A4149" s="2">
        <f>HYPERLINK("https://faoschwarz.com/products/fao-magnetic-dress-up", "https://faoschwarz.com/products/fao-magnetic-dress-up")</f>
        <v/>
      </c>
      <c r="B4149" s="2">
        <f>HYPERLINK("https://faoschwarz.com/products/fao-magnetic-dress-up", "https://faoschwarz.com/products/fao-magnetic-dress-up")</f>
        <v/>
      </c>
      <c r="C4149" t="inlineStr">
        <is>
          <t>FAO Magnetic Dress Up</t>
        </is>
      </c>
      <c r="D4149" t="inlineStr">
        <is>
          <t>mierEdu Magnetic Dress-up Dolls Travel Pretend Play Set, Magnet Activity Toys for Boys Girls 3 4 5 6 Years Old (Firefighters)</t>
        </is>
      </c>
      <c r="E4149" s="2">
        <f>HYPERLINK("https://www.amazon.com/mierEdu-Magnetic-Dress-up-Activity-Firefighters/dp/B0B4NPVC47/ref=sr_1_2?keywords=FAO+Magnetic+Dress+Up&amp;qid=1695566008&amp;sr=8-2", "https://www.amazon.com/mierEdu-Magnetic-Dress-up-Activity-Firefighters/dp/B0B4NPVC47/ref=sr_1_2?keywords=FAO+Magnetic+Dress+Up&amp;qid=1695566008&amp;sr=8-2")</f>
        <v/>
      </c>
      <c r="F4149" t="inlineStr">
        <is>
          <t>B0B4NPVC47</t>
        </is>
      </c>
      <c r="G4149">
        <f>_xlfn.IMAGE("https://faoschwarz.com/cdn/shop/files/fao-schwarz-creativity-fao-magnetic-dress-up-30476168527959_1080x.jpg?v=1693426604")</f>
        <v/>
      </c>
      <c r="H4149">
        <f>_xlfn.IMAGE("https://m.media-amazon.com/images/I/71+TSpyqahL._AC_UL320_.jpg")</f>
        <v/>
      </c>
      <c r="K4149" t="inlineStr">
        <is>
          <t>20.0</t>
        </is>
      </c>
      <c r="L4149" t="n">
        <v>12.99</v>
      </c>
      <c r="M4149" s="1" t="inlineStr">
        <is>
          <t>-35.05%</t>
        </is>
      </c>
      <c r="N4149" t="n">
        <v>4.7</v>
      </c>
      <c r="O4149" t="n">
        <v>4</v>
      </c>
      <c r="Q4149" t="inlineStr">
        <is>
          <t>InStock</t>
        </is>
      </c>
      <c r="R4149" t="inlineStr">
        <is>
          <t>undefined</t>
        </is>
      </c>
      <c r="S4149" t="inlineStr">
        <is>
          <t>6889628041303</t>
        </is>
      </c>
    </row>
    <row r="4150" ht="75" customHeight="1">
      <c r="A4150" s="2">
        <f>HYPERLINK("https://faoschwarz.com/products/fao-magnetic-dress-up", "https://faoschwarz.com/products/fao-magnetic-dress-up")</f>
        <v/>
      </c>
      <c r="B4150" s="2">
        <f>HYPERLINK("https://faoschwarz.com/products/fao-magnetic-dress-up", "https://faoschwarz.com/products/fao-magnetic-dress-up")</f>
        <v/>
      </c>
      <c r="C4150" t="inlineStr">
        <is>
          <t>FAO Magnetic Dress Up</t>
        </is>
      </c>
      <c r="D4150" t="inlineStr">
        <is>
          <t>Melissa &amp; Doug Princess &amp; Horse Magnetic Dress-Up Wooden Dolls Pretend Play Set (35 pcs)</t>
        </is>
      </c>
      <c r="E4150" s="2">
        <f>HYPERLINK("https://www.amazon.com/Melissa-Doug-Princess-Magnetic-Dress-Up/dp/B07NW65HYM/ref=sr_1_1?keywords=FAO+Magnetic+Dress+Up&amp;qid=1695566008&amp;sr=8-1", "https://www.amazon.com/Melissa-Doug-Princess-Magnetic-Dress-Up/dp/B07NW65HYM/ref=sr_1_1?keywords=FAO+Magnetic+Dress+Up&amp;qid=1695566008&amp;sr=8-1")</f>
        <v/>
      </c>
      <c r="F4150" t="inlineStr">
        <is>
          <t>B07NW65HYM</t>
        </is>
      </c>
      <c r="G4150">
        <f>_xlfn.IMAGE("https://faoschwarz.com/cdn/shop/files/fao-schwarz-creativity-fao-magnetic-dress-up-30476168527959_1080x.jpg?v=1693426604")</f>
        <v/>
      </c>
      <c r="H4150">
        <f>_xlfn.IMAGE("https://m.media-amazon.com/images/I/71r9ITKkdqL._AC_UL320_.jpg")</f>
        <v/>
      </c>
      <c r="K4150" t="inlineStr">
        <is>
          <t>20.0</t>
        </is>
      </c>
      <c r="L4150" t="n">
        <v>12.99</v>
      </c>
      <c r="M4150" s="1" t="inlineStr">
        <is>
          <t>-35.05%</t>
        </is>
      </c>
      <c r="N4150" t="n">
        <v>4.7</v>
      </c>
      <c r="O4150" t="n">
        <v>789</v>
      </c>
      <c r="Q4150" t="inlineStr">
        <is>
          <t>InStock</t>
        </is>
      </c>
      <c r="R4150" t="inlineStr">
        <is>
          <t>undefined</t>
        </is>
      </c>
      <c r="S4150" t="inlineStr">
        <is>
          <t>6889628041303</t>
        </is>
      </c>
    </row>
    <row r="4151" ht="75" customHeight="1">
      <c r="A4151" s="2">
        <f>HYPERLINK("https://faoschwarz.com/products/fao-magnetic-dress-up", "https://faoschwarz.com/products/fao-magnetic-dress-up")</f>
        <v/>
      </c>
      <c r="B4151" s="2">
        <f>HYPERLINK("https://faoschwarz.com/products/fao-magnetic-dress-up", "https://faoschwarz.com/products/fao-magnetic-dress-up")</f>
        <v/>
      </c>
      <c r="C4151" t="inlineStr">
        <is>
          <t>FAO Magnetic Dress Up</t>
        </is>
      </c>
      <c r="D4151" t="inlineStr">
        <is>
          <t>Barbie Magnetic Wooden Dress Up - PDQ</t>
        </is>
      </c>
      <c r="E4151" s="2">
        <f>HYPERLINK("https://www.amazon.com/Barbie-Magnetic-Wooden-Dress-Up/dp/B0C5J5YSZV/ref=sr_1_6?keywords=FAO+Magnetic+Dress+Up&amp;qid=1695566008&amp;sr=8-6", "https://www.amazon.com/Barbie-Magnetic-Wooden-Dress-Up/dp/B0C5J5YSZV/ref=sr_1_6?keywords=FAO+Magnetic+Dress+Up&amp;qid=1695566008&amp;sr=8-6")</f>
        <v/>
      </c>
      <c r="F4151" t="inlineStr">
        <is>
          <t>B0C5J5YSZV</t>
        </is>
      </c>
      <c r="G4151">
        <f>_xlfn.IMAGE("https://faoschwarz.com/cdn/shop/files/fao-schwarz-creativity-fao-magnetic-dress-up-30476168527959_1080x.jpg?v=1693426604")</f>
        <v/>
      </c>
      <c r="H4151">
        <f>_xlfn.IMAGE("https://m.media-amazon.com/images/I/71WBFNpX7cL._AC_UL320_.jpg")</f>
        <v/>
      </c>
      <c r="K4151" t="inlineStr">
        <is>
          <t>20.0</t>
        </is>
      </c>
      <c r="L4151" t="n">
        <v>12.99</v>
      </c>
      <c r="M4151" s="1" t="inlineStr">
        <is>
          <t>-35.05%</t>
        </is>
      </c>
      <c r="N4151" t="n">
        <v>5</v>
      </c>
      <c r="O4151" t="n">
        <v>1</v>
      </c>
      <c r="Q4151" t="inlineStr">
        <is>
          <t>InStock</t>
        </is>
      </c>
      <c r="R4151" t="inlineStr">
        <is>
          <t>undefined</t>
        </is>
      </c>
      <c r="S4151" t="inlineStr">
        <is>
          <t>6889628041303</t>
        </is>
      </c>
    </row>
    <row r="4152" ht="75" customHeight="1">
      <c r="A4152" s="2">
        <f>HYPERLINK("https://faoschwarz.com/products/fao-magnetic-dress-up", "https://faoschwarz.com/products/fao-magnetic-dress-up")</f>
        <v/>
      </c>
      <c r="B4152" s="2">
        <f>HYPERLINK("https://faoschwarz.com/products/fao-magnetic-dress-up", "https://faoschwarz.com/products/fao-magnetic-dress-up")</f>
        <v/>
      </c>
      <c r="C4152" t="inlineStr">
        <is>
          <t>FAO Magnetic Dress Up</t>
        </is>
      </c>
      <c r="D4152" t="inlineStr">
        <is>
          <t>Melissa &amp; Doug Joey Magnetic Wooden Dress-Up Pretend Play Set (25+ pcs) for Toddlers and Preschoolers Ages 3+</t>
        </is>
      </c>
      <c r="E4152" s="2">
        <f>HYPERLINK("https://www.amazon.com/Melissa-Doug-Magnetic-Encourages-Creativity/dp/B000VO3HC8/ref=sr_1_5?keywords=FAO+Magnetic+Dress+Up&amp;qid=1695566008&amp;sr=8-5", "https://www.amazon.com/Melissa-Doug-Magnetic-Encourages-Creativity/dp/B000VO3HC8/ref=sr_1_5?keywords=FAO+Magnetic+Dress+Up&amp;qid=1695566008&amp;sr=8-5")</f>
        <v/>
      </c>
      <c r="F4152" t="inlineStr">
        <is>
          <t>B000VO3HC8</t>
        </is>
      </c>
      <c r="G4152">
        <f>_xlfn.IMAGE("https://faoschwarz.com/cdn/shop/files/fao-schwarz-creativity-fao-magnetic-dress-up-30476168527959_1080x.jpg?v=1693426604")</f>
        <v/>
      </c>
      <c r="H4152">
        <f>_xlfn.IMAGE("https://m.media-amazon.com/images/I/812l7v+-0DL._AC_UL320_.jpg")</f>
        <v/>
      </c>
      <c r="K4152" t="inlineStr">
        <is>
          <t>20.0</t>
        </is>
      </c>
      <c r="L4152" t="n">
        <v>11.19</v>
      </c>
      <c r="M4152" s="1" t="inlineStr">
        <is>
          <t>-44.05%</t>
        </is>
      </c>
      <c r="N4152" t="n">
        <v>4.8</v>
      </c>
      <c r="O4152" t="n">
        <v>3306</v>
      </c>
      <c r="Q4152" t="inlineStr">
        <is>
          <t>InStock</t>
        </is>
      </c>
      <c r="R4152" t="inlineStr">
        <is>
          <t>undefined</t>
        </is>
      </c>
      <c r="S4152" t="inlineStr">
        <is>
          <t>6889628041303</t>
        </is>
      </c>
    </row>
    <row r="4153" ht="75" customHeight="1">
      <c r="A4153" s="2">
        <f>HYPERLINK("https://faoschwarz.com/products/fao-magnetic-dress-up", "https://faoschwarz.com/products/fao-magnetic-dress-up")</f>
        <v/>
      </c>
      <c r="B4153" s="2">
        <f>HYPERLINK("https://faoschwarz.com/products/fao-magnetic-dress-up", "https://faoschwarz.com/products/fao-magnetic-dress-up")</f>
        <v/>
      </c>
      <c r="C4153" t="inlineStr">
        <is>
          <t>FAO Magnetic Dress Up</t>
        </is>
      </c>
      <c r="D4153" t="inlineStr">
        <is>
          <t>Stephen Joseph, Travel Tin Magnetic Dress Up, Unicorn and Mermaid</t>
        </is>
      </c>
      <c r="E4153" s="2">
        <f>HYPERLINK("https://www.amazon.com/Stephen-Joseph-Travel-Magnetic-Dress/dp/B013H28EBY/ref=sr_1_8?keywords=FAO+Magnetic+Dress+Up&amp;qid=1695566008&amp;sr=8-8", "https://www.amazon.com/Stephen-Joseph-Travel-Magnetic-Dress/dp/B013H28EBY/ref=sr_1_8?keywords=FAO+Magnetic+Dress+Up&amp;qid=1695566008&amp;sr=8-8")</f>
        <v/>
      </c>
      <c r="F4153" t="inlineStr">
        <is>
          <t>B013H28EBY</t>
        </is>
      </c>
      <c r="G4153">
        <f>_xlfn.IMAGE("https://faoschwarz.com/cdn/shop/files/fao-schwarz-creativity-fao-magnetic-dress-up-30476168527959_1080x.jpg?v=1693426604")</f>
        <v/>
      </c>
      <c r="H4153">
        <f>_xlfn.IMAGE("https://m.media-amazon.com/images/I/91cnHRS2EHL._AC_UL320_.jpg")</f>
        <v/>
      </c>
      <c r="K4153" t="inlineStr">
        <is>
          <t>20.0</t>
        </is>
      </c>
      <c r="L4153" t="n">
        <v>9.99</v>
      </c>
      <c r="M4153" s="1" t="inlineStr">
        <is>
          <t>-50.05%</t>
        </is>
      </c>
      <c r="N4153" t="n">
        <v>4.6</v>
      </c>
      <c r="O4153" t="n">
        <v>407</v>
      </c>
      <c r="Q4153" t="inlineStr">
        <is>
          <t>InStock</t>
        </is>
      </c>
      <c r="R4153" t="inlineStr">
        <is>
          <t>undefined</t>
        </is>
      </c>
      <c r="S4153" t="inlineStr">
        <is>
          <t>6889628041303</t>
        </is>
      </c>
    </row>
    <row r="4154" ht="75" customHeight="1">
      <c r="A4154" s="2">
        <f>HYPERLINK("https://faoschwarz.com/products/fao-magnetic-dress-up", "https://faoschwarz.com/products/fao-magnetic-dress-up")</f>
        <v/>
      </c>
      <c r="B4154" s="2">
        <f>HYPERLINK("https://faoschwarz.com/products/fao-magnetic-dress-up", "https://faoschwarz.com/products/fao-magnetic-dress-up")</f>
        <v/>
      </c>
      <c r="C4154" t="inlineStr">
        <is>
          <t>FAO Magnetic Dress Up</t>
        </is>
      </c>
      <c r="D4154" t="inlineStr">
        <is>
          <t>Toysters Magnetic Wooden Dress-Up Boy Doll Toy | Pretend Play Set Includes: 1 Wood Doll with 30 Assorted Costume Dress Ideas | Not Your Average Paper Doll | Great Gift Idea for Little Boys 3+ (PZ650)</t>
        </is>
      </c>
      <c r="E4154" s="2">
        <f>HYPERLINK("https://www.amazon.com/Toysters-Magnetic-Wooden-Dress-Up-Pretend/dp/B07KPPJ7JX/ref=sr_1_9?keywords=FAO+Magnetic+Dress+Up&amp;qid=1695566008&amp;sr=8-9", "https://www.amazon.com/Toysters-Magnetic-Wooden-Dress-Up-Pretend/dp/B07KPPJ7JX/ref=sr_1_9?keywords=FAO+Magnetic+Dress+Up&amp;qid=1695566008&amp;sr=8-9")</f>
        <v/>
      </c>
      <c r="F4154" t="inlineStr">
        <is>
          <t>B07KPPJ7JX</t>
        </is>
      </c>
      <c r="G4154">
        <f>_xlfn.IMAGE("https://faoschwarz.com/cdn/shop/files/fao-schwarz-creativity-fao-magnetic-dress-up-30476168527959_1080x.jpg?v=1693426604")</f>
        <v/>
      </c>
      <c r="H4154">
        <f>_xlfn.IMAGE("https://m.media-amazon.com/images/I/81dTSxYupwL._AC_UL320_.jpg")</f>
        <v/>
      </c>
      <c r="K4154" t="inlineStr">
        <is>
          <t>20.0</t>
        </is>
      </c>
      <c r="L4154" t="n">
        <v>16.99</v>
      </c>
      <c r="M4154" s="1" t="inlineStr">
        <is>
          <t>-15.05%</t>
        </is>
      </c>
      <c r="N4154" t="n">
        <v>4.6</v>
      </c>
      <c r="O4154" t="n">
        <v>637</v>
      </c>
      <c r="Q4154" t="inlineStr">
        <is>
          <t>InStock</t>
        </is>
      </c>
      <c r="R4154" t="inlineStr">
        <is>
          <t>undefined</t>
        </is>
      </c>
      <c r="S4154" t="inlineStr">
        <is>
          <t>6889628041303</t>
        </is>
      </c>
    </row>
    <row r="4155" ht="75" customHeight="1">
      <c r="A4155" s="2">
        <f>HYPERLINK("https://faoschwarz.com/products/fao-magnetic-dress-up", "https://faoschwarz.com/products/fao-magnetic-dress-up")</f>
        <v/>
      </c>
      <c r="B4155" s="2">
        <f>HYPERLINK("https://faoschwarz.com/products/fao-magnetic-dress-up", "https://faoschwarz.com/products/fao-magnetic-dress-up")</f>
        <v/>
      </c>
      <c r="C4155" t="inlineStr">
        <is>
          <t>FAO Magnetic Dress Up</t>
        </is>
      </c>
      <c r="D4155" t="inlineStr">
        <is>
          <t>56 PCS Magnetic Dress-up Pretend Play Doll Set with 21 Occupations Jobs, Perfect for Preschool Learning</t>
        </is>
      </c>
      <c r="E4155" s="2">
        <f>HYPERLINK("https://www.amazon.com/Magnetic-Dress-up-Occupations-Preschool-Learning/dp/B07FCFYWSD/ref=sr_1_3?keywords=FAO+Magnetic+Dress+Up&amp;qid=1695566008&amp;sr=8-3", "https://www.amazon.com/Magnetic-Dress-up-Occupations-Preschool-Learning/dp/B07FCFYWSD/ref=sr_1_3?keywords=FAO+Magnetic+Dress+Up&amp;qid=1695566008&amp;sr=8-3")</f>
        <v/>
      </c>
      <c r="F4155" t="inlineStr">
        <is>
          <t>B07FCFYWSD</t>
        </is>
      </c>
      <c r="G4155">
        <f>_xlfn.IMAGE("https://faoschwarz.com/cdn/shop/files/fao-schwarz-creativity-fao-magnetic-dress-up-30476168527959_1080x.jpg?v=1693426604")</f>
        <v/>
      </c>
      <c r="H4155">
        <f>_xlfn.IMAGE("https://m.media-amazon.com/images/I/71fXIqogB3L._AC_UL320_.jpg")</f>
        <v/>
      </c>
      <c r="K4155" t="inlineStr">
        <is>
          <t>20.0</t>
        </is>
      </c>
      <c r="L4155" t="n">
        <v>16.9</v>
      </c>
      <c r="M4155" s="1" t="inlineStr">
        <is>
          <t>-15.50%</t>
        </is>
      </c>
      <c r="N4155" t="n">
        <v>4.5</v>
      </c>
      <c r="O4155" t="n">
        <v>534</v>
      </c>
      <c r="Q4155" t="inlineStr">
        <is>
          <t>InStock</t>
        </is>
      </c>
      <c r="R4155" t="inlineStr">
        <is>
          <t>undefined</t>
        </is>
      </c>
      <c r="S4155" t="inlineStr">
        <is>
          <t>6889628041303</t>
        </is>
      </c>
    </row>
    <row r="4156" ht="75" customHeight="1">
      <c r="A4156" s="2">
        <f>HYPERLINK("https://faoschwarz.com/products/fao-magnetic-dress-up", "https://faoschwarz.com/products/fao-magnetic-dress-up")</f>
        <v/>
      </c>
      <c r="B4156" s="2">
        <f>HYPERLINK("https://faoschwarz.com/products/fao-magnetic-dress-up", "https://faoschwarz.com/products/fao-magnetic-dress-up")</f>
        <v/>
      </c>
      <c r="C4156" t="inlineStr">
        <is>
          <t>FAO Magnetic Dress Up</t>
        </is>
      </c>
      <c r="D4156" t="inlineStr">
        <is>
          <t>Princess Magic Magnetic Dress-up</t>
        </is>
      </c>
      <c r="E4156" s="2">
        <f>HYPERLINK("https://www.amazon.com/Mudpuppy-9780735357679-Princess-Magnetic-Multicolor/dp/0735357676/ref=sr_1_7?keywords=FAO+Magnetic+Dress+Up&amp;qid=1695566008&amp;sr=8-7", "https://www.amazon.com/Mudpuppy-9780735357679-Princess-Magnetic-Multicolor/dp/0735357676/ref=sr_1_7?keywords=FAO+Magnetic+Dress+Up&amp;qid=1695566008&amp;sr=8-7")</f>
        <v/>
      </c>
      <c r="F4156" t="inlineStr">
        <is>
          <t>0735357676</t>
        </is>
      </c>
      <c r="G4156">
        <f>_xlfn.IMAGE("https://faoschwarz.com/cdn/shop/files/fao-schwarz-creativity-fao-magnetic-dress-up-30476168527959_1080x.jpg?v=1693426604")</f>
        <v/>
      </c>
      <c r="H4156">
        <f>_xlfn.IMAGE("https://m.media-amazon.com/images/I/7152eKSBLAL._AC_UL320_.jpg")</f>
        <v/>
      </c>
      <c r="K4156" t="inlineStr">
        <is>
          <t>20.0</t>
        </is>
      </c>
      <c r="L4156" t="n">
        <v>13.03</v>
      </c>
      <c r="M4156" s="1" t="inlineStr">
        <is>
          <t>-34.85%</t>
        </is>
      </c>
      <c r="N4156" t="n">
        <v>4.5</v>
      </c>
      <c r="O4156" t="n">
        <v>1825</v>
      </c>
      <c r="Q4156" t="inlineStr">
        <is>
          <t>InStock</t>
        </is>
      </c>
      <c r="R4156" t="inlineStr">
        <is>
          <t>undefined</t>
        </is>
      </c>
      <c r="S4156" t="inlineStr">
        <is>
          <t>6889628041303</t>
        </is>
      </c>
    </row>
    <row r="4157" ht="75" customHeight="1">
      <c r="A4157" s="2">
        <f>HYPERLINK("https://faoschwarz.com/products/fao-magnetic-dress-up", "https://faoschwarz.com/products/fao-magnetic-dress-up")</f>
        <v/>
      </c>
      <c r="B4157" s="2">
        <f>HYPERLINK("https://faoschwarz.com/products/fao-magnetic-dress-up", "https://faoschwarz.com/products/fao-magnetic-dress-up")</f>
        <v/>
      </c>
      <c r="C4157" t="inlineStr">
        <is>
          <t>FAO Magnetic Dress Up</t>
        </is>
      </c>
      <c r="D4157" t="inlineStr">
        <is>
          <t>Bendon Daisy Girls Dress Up Magnetic Tin Playset with 3 Illustrated Magnet Sheets and Dual Playscenes TS Shure 50255, Multicolor</t>
        </is>
      </c>
      <c r="E4157" s="2">
        <f>HYPERLINK("https://www.amazon.com/Bendon-Illustrated-Playscenes-50255-Multicolor/dp/B08FXVSYC7/ref=sr_1_10?keywords=FAO+Magnetic+Dress+Up&amp;qid=1695566008&amp;sr=8-10", "https://www.amazon.com/Bendon-Illustrated-Playscenes-50255-Multicolor/dp/B08FXVSYC7/ref=sr_1_10?keywords=FAO+Magnetic+Dress+Up&amp;qid=1695566008&amp;sr=8-10")</f>
        <v/>
      </c>
      <c r="F4157" t="inlineStr">
        <is>
          <t>B08FXVSYC7</t>
        </is>
      </c>
      <c r="G4157">
        <f>_xlfn.IMAGE("https://faoschwarz.com/cdn/shop/files/fao-schwarz-creativity-fao-magnetic-dress-up-30476168527959_1080x.jpg?v=1693426604")</f>
        <v/>
      </c>
      <c r="H4157">
        <f>_xlfn.IMAGE("https://m.media-amazon.com/images/I/91b-Jm4MbLL._AC_UL320_.jpg")</f>
        <v/>
      </c>
      <c r="K4157" t="inlineStr">
        <is>
          <t>20.0</t>
        </is>
      </c>
      <c r="L4157" t="n">
        <v>12.99</v>
      </c>
      <c r="M4157" s="1" t="inlineStr">
        <is>
          <t>-35.05%</t>
        </is>
      </c>
      <c r="N4157" t="n">
        <v>4.2</v>
      </c>
      <c r="O4157" t="n">
        <v>359</v>
      </c>
      <c r="Q4157" t="inlineStr">
        <is>
          <t>InStock</t>
        </is>
      </c>
      <c r="R4157" t="inlineStr">
        <is>
          <t>undefined</t>
        </is>
      </c>
      <c r="S4157" t="inlineStr">
        <is>
          <t>6889628041303</t>
        </is>
      </c>
    </row>
    <row r="4158" ht="75" customHeight="1">
      <c r="A4158" s="2">
        <f>HYPERLINK("https://faoschwarz.com/products/fao-magnetic-dress-up", "https://faoschwarz.com/products/fao-magnetic-dress-up")</f>
        <v/>
      </c>
      <c r="B4158" s="2">
        <f>HYPERLINK("https://faoschwarz.com/products/fao-magnetic-dress-up", "https://faoschwarz.com/products/fao-magnetic-dress-up")</f>
        <v/>
      </c>
      <c r="C4158" t="inlineStr">
        <is>
          <t>FAO Magnetic Dress Up</t>
        </is>
      </c>
      <c r="D4158" t="inlineStr">
        <is>
          <t>Story Magic Dress-Up Dolls Playset, Pretend Play Magnetic Case, Magnet Outfit and Accessory Pieces, Great for Travel or Playdates, Magnetic On The Go Activity Set for Ages 4, 5, 6, 7 , Pink</t>
        </is>
      </c>
      <c r="E4158" s="2">
        <f>HYPERLINK("https://www.amazon.com/Story-Magic-Dress-Up-Magnetic-Accessory/dp/B084DZFGZ6/ref=sr_1_4?keywords=FAO+Magnetic+Dress+Up&amp;qid=1695566008&amp;sr=8-4", "https://www.amazon.com/Story-Magic-Dress-Up-Magnetic-Accessory/dp/B084DZFGZ6/ref=sr_1_4?keywords=FAO+Magnetic+Dress+Up&amp;qid=1695566008&amp;sr=8-4")</f>
        <v/>
      </c>
      <c r="F4158" t="inlineStr">
        <is>
          <t>B084DZFGZ6</t>
        </is>
      </c>
      <c r="G4158">
        <f>_xlfn.IMAGE("https://faoschwarz.com/cdn/shop/files/fao-schwarz-creativity-fao-magnetic-dress-up-30476168527959_1080x.jpg?v=1693426604")</f>
        <v/>
      </c>
      <c r="H4158">
        <f>_xlfn.IMAGE("https://m.media-amazon.com/images/I/81DjfqVSNdL._AC_UL320_.jpg")</f>
        <v/>
      </c>
      <c r="K4158" t="inlineStr">
        <is>
          <t>20.0</t>
        </is>
      </c>
      <c r="L4158" t="n">
        <v>12.99</v>
      </c>
      <c r="M4158" s="1" t="inlineStr">
        <is>
          <t>-35.05%</t>
        </is>
      </c>
      <c r="N4158" t="n">
        <v>4.4</v>
      </c>
      <c r="O4158" t="n">
        <v>2861</v>
      </c>
      <c r="Q4158" t="inlineStr">
        <is>
          <t>InStock</t>
        </is>
      </c>
      <c r="R4158" t="inlineStr">
        <is>
          <t>undefined</t>
        </is>
      </c>
      <c r="S4158" t="inlineStr">
        <is>
          <t>6889628041303</t>
        </is>
      </c>
    </row>
    <row r="4159" ht="75" customHeight="1">
      <c r="A4159" s="2">
        <f>HYPERLINK("https://faoschwarz.com/products/fao-magnetic-dress-up", "https://faoschwarz.com/products/fao-magnetic-dress-up")</f>
        <v/>
      </c>
      <c r="B4159" s="2">
        <f>HYPERLINK("https://faoschwarz.com/products/fao-magnetic-dress-up", "https://faoschwarz.com/products/fao-magnetic-dress-up")</f>
        <v/>
      </c>
      <c r="C4159" t="inlineStr">
        <is>
          <t>FAO Magnetic Dress Up</t>
        </is>
      </c>
      <c r="D4159" t="inlineStr">
        <is>
          <t>mierEdu Magnetic Dress-up Dolls Travel Pretend Play Set, Magnet Activity Toys for Boys Girls 3 4 5 6 Years Old (Firefighters)</t>
        </is>
      </c>
      <c r="E4159" s="2">
        <f>HYPERLINK("https://www.amazon.com/mierEdu-Magnetic-Dress-up-Activity-Firefighters/dp/B0B4NPVC47/ref=sr_1_2?keywords=FAO+Magnetic+Dress+Up&amp;qid=1695566008&amp;sr=8-2", "https://www.amazon.com/mierEdu-Magnetic-Dress-up-Activity-Firefighters/dp/B0B4NPVC47/ref=sr_1_2?keywords=FAO+Magnetic+Dress+Up&amp;qid=1695566008&amp;sr=8-2")</f>
        <v/>
      </c>
      <c r="F4159" t="inlineStr">
        <is>
          <t>B0B4NPVC47</t>
        </is>
      </c>
      <c r="G4159">
        <f>_xlfn.IMAGE("https://faoschwarz.com/cdn/shop/files/fao-schwarz-creativity-fao-magnetic-dress-up-30476168527959_1080x.jpg?v=1693426604")</f>
        <v/>
      </c>
      <c r="H4159">
        <f>_xlfn.IMAGE("https://m.media-amazon.com/images/I/71+TSpyqahL._AC_UL320_.jpg")</f>
        <v/>
      </c>
      <c r="K4159" t="inlineStr">
        <is>
          <t>20.0</t>
        </is>
      </c>
      <c r="L4159" t="n">
        <v>12.99</v>
      </c>
      <c r="M4159" s="1" t="inlineStr">
        <is>
          <t>-35.05%</t>
        </is>
      </c>
      <c r="N4159" t="n">
        <v>4.7</v>
      </c>
      <c r="O4159" t="n">
        <v>4</v>
      </c>
      <c r="Q4159" t="inlineStr">
        <is>
          <t>InStock</t>
        </is>
      </c>
      <c r="R4159" t="inlineStr">
        <is>
          <t>undefined</t>
        </is>
      </c>
      <c r="S4159" t="inlineStr">
        <is>
          <t>6889628041303</t>
        </is>
      </c>
    </row>
    <row r="4160" ht="75" customHeight="1">
      <c r="A4160" s="2">
        <f>HYPERLINK("https://faoschwarz.com/products/fao-magnetic-dress-up", "https://faoschwarz.com/products/fao-magnetic-dress-up")</f>
        <v/>
      </c>
      <c r="B4160" s="2">
        <f>HYPERLINK("https://faoschwarz.com/products/fao-magnetic-dress-up", "https://faoschwarz.com/products/fao-magnetic-dress-up")</f>
        <v/>
      </c>
      <c r="C4160" t="inlineStr">
        <is>
          <t>FAO Magnetic Dress Up</t>
        </is>
      </c>
      <c r="D4160" t="inlineStr">
        <is>
          <t>Melissa &amp; Doug Princess &amp; Horse Magnetic Dress-Up Wooden Dolls Pretend Play Set (35 pcs)</t>
        </is>
      </c>
      <c r="E4160" s="2">
        <f>HYPERLINK("https://www.amazon.com/Melissa-Doug-Princess-Magnetic-Dress-Up/dp/B07NW65HYM/ref=sr_1_1?keywords=FAO+Magnetic+Dress+Up&amp;qid=1695566008&amp;sr=8-1", "https://www.amazon.com/Melissa-Doug-Princess-Magnetic-Dress-Up/dp/B07NW65HYM/ref=sr_1_1?keywords=FAO+Magnetic+Dress+Up&amp;qid=1695566008&amp;sr=8-1")</f>
        <v/>
      </c>
      <c r="F4160" t="inlineStr">
        <is>
          <t>B07NW65HYM</t>
        </is>
      </c>
      <c r="G4160">
        <f>_xlfn.IMAGE("https://faoschwarz.com/cdn/shop/files/fao-schwarz-creativity-fao-magnetic-dress-up-30476168527959_1080x.jpg?v=1693426604")</f>
        <v/>
      </c>
      <c r="H4160">
        <f>_xlfn.IMAGE("https://m.media-amazon.com/images/I/71r9ITKkdqL._AC_UL320_.jpg")</f>
        <v/>
      </c>
      <c r="K4160" t="inlineStr">
        <is>
          <t>20.0</t>
        </is>
      </c>
      <c r="L4160" t="n">
        <v>12.99</v>
      </c>
      <c r="M4160" s="1" t="inlineStr">
        <is>
          <t>-35.05%</t>
        </is>
      </c>
      <c r="N4160" t="n">
        <v>4.7</v>
      </c>
      <c r="O4160" t="n">
        <v>789</v>
      </c>
      <c r="Q4160" t="inlineStr">
        <is>
          <t>InStock</t>
        </is>
      </c>
      <c r="R4160" t="inlineStr">
        <is>
          <t>undefined</t>
        </is>
      </c>
      <c r="S4160" t="inlineStr">
        <is>
          <t>6889628041303</t>
        </is>
      </c>
    </row>
    <row r="4161" ht="75" customHeight="1">
      <c r="A4161" s="2">
        <f>HYPERLINK("https://faoschwarz.com/products/fao-magnetic-dress-up", "https://faoschwarz.com/products/fao-magnetic-dress-up")</f>
        <v/>
      </c>
      <c r="B4161" s="2">
        <f>HYPERLINK("https://faoschwarz.com/products/fao-magnetic-dress-up", "https://faoschwarz.com/products/fao-magnetic-dress-up")</f>
        <v/>
      </c>
      <c r="C4161" t="inlineStr">
        <is>
          <t>FAO Magnetic Dress Up</t>
        </is>
      </c>
      <c r="D4161" t="inlineStr">
        <is>
          <t>Barbie Magnetic Wooden Dress Up - PDQ</t>
        </is>
      </c>
      <c r="E4161" s="2">
        <f>HYPERLINK("https://www.amazon.com/Barbie-Magnetic-Wooden-Dress-Up/dp/B0C5J5YSZV/ref=sr_1_6?keywords=FAO+Magnetic+Dress+Up&amp;qid=1695566008&amp;sr=8-6", "https://www.amazon.com/Barbie-Magnetic-Wooden-Dress-Up/dp/B0C5J5YSZV/ref=sr_1_6?keywords=FAO+Magnetic+Dress+Up&amp;qid=1695566008&amp;sr=8-6")</f>
        <v/>
      </c>
      <c r="F4161" t="inlineStr">
        <is>
          <t>B0C5J5YSZV</t>
        </is>
      </c>
      <c r="G4161">
        <f>_xlfn.IMAGE("https://faoschwarz.com/cdn/shop/files/fao-schwarz-creativity-fao-magnetic-dress-up-30476168527959_1080x.jpg?v=1693426604")</f>
        <v/>
      </c>
      <c r="H4161">
        <f>_xlfn.IMAGE("https://m.media-amazon.com/images/I/71WBFNpX7cL._AC_UL320_.jpg")</f>
        <v/>
      </c>
      <c r="K4161" t="inlineStr">
        <is>
          <t>20.0</t>
        </is>
      </c>
      <c r="L4161" t="n">
        <v>12.99</v>
      </c>
      <c r="M4161" s="1" t="inlineStr">
        <is>
          <t>-35.05%</t>
        </is>
      </c>
      <c r="N4161" t="n">
        <v>5</v>
      </c>
      <c r="O4161" t="n">
        <v>1</v>
      </c>
      <c r="Q4161" t="inlineStr">
        <is>
          <t>InStock</t>
        </is>
      </c>
      <c r="R4161" t="inlineStr">
        <is>
          <t>undefined</t>
        </is>
      </c>
      <c r="S4161" t="inlineStr">
        <is>
          <t>6889628041303</t>
        </is>
      </c>
    </row>
    <row r="4162" ht="75" customHeight="1">
      <c r="A4162" s="2">
        <f>HYPERLINK("https://faoschwarz.com/products/fao-magnetic-dress-up", "https://faoschwarz.com/products/fao-magnetic-dress-up")</f>
        <v/>
      </c>
      <c r="B4162" s="2">
        <f>HYPERLINK("https://faoschwarz.com/products/fao-magnetic-dress-up", "https://faoschwarz.com/products/fao-magnetic-dress-up")</f>
        <v/>
      </c>
      <c r="C4162" t="inlineStr">
        <is>
          <t>FAO Magnetic Dress Up</t>
        </is>
      </c>
      <c r="D4162" t="inlineStr">
        <is>
          <t>Melissa &amp; Doug Joey Magnetic Wooden Dress-Up Pretend Play Set (25+ pcs) for Toddlers and Preschoolers Ages 3+</t>
        </is>
      </c>
      <c r="E4162" s="2">
        <f>HYPERLINK("https://www.amazon.com/Melissa-Doug-Magnetic-Encourages-Creativity/dp/B000VO3HC8/ref=sr_1_5?keywords=FAO+Magnetic+Dress+Up&amp;qid=1695566008&amp;sr=8-5", "https://www.amazon.com/Melissa-Doug-Magnetic-Encourages-Creativity/dp/B000VO3HC8/ref=sr_1_5?keywords=FAO+Magnetic+Dress+Up&amp;qid=1695566008&amp;sr=8-5")</f>
        <v/>
      </c>
      <c r="F4162" t="inlineStr">
        <is>
          <t>B000VO3HC8</t>
        </is>
      </c>
      <c r="G4162">
        <f>_xlfn.IMAGE("https://faoschwarz.com/cdn/shop/files/fao-schwarz-creativity-fao-magnetic-dress-up-30476168527959_1080x.jpg?v=1693426604")</f>
        <v/>
      </c>
      <c r="H4162">
        <f>_xlfn.IMAGE("https://m.media-amazon.com/images/I/812l7v+-0DL._AC_UL320_.jpg")</f>
        <v/>
      </c>
      <c r="K4162" t="inlineStr">
        <is>
          <t>20.0</t>
        </is>
      </c>
      <c r="L4162" t="n">
        <v>11.19</v>
      </c>
      <c r="M4162" s="1" t="inlineStr">
        <is>
          <t>-44.05%</t>
        </is>
      </c>
      <c r="N4162" t="n">
        <v>4.8</v>
      </c>
      <c r="O4162" t="n">
        <v>3306</v>
      </c>
      <c r="Q4162" t="inlineStr">
        <is>
          <t>InStock</t>
        </is>
      </c>
      <c r="R4162" t="inlineStr">
        <is>
          <t>undefined</t>
        </is>
      </c>
      <c r="S4162" t="inlineStr">
        <is>
          <t>6889628041303</t>
        </is>
      </c>
    </row>
    <row r="4163" ht="75" customHeight="1">
      <c r="A4163" s="2">
        <f>HYPERLINK("https://faoschwarz.com/products/fao-magnetic-dress-up", "https://faoschwarz.com/products/fao-magnetic-dress-up")</f>
        <v/>
      </c>
      <c r="B4163" s="2">
        <f>HYPERLINK("https://faoschwarz.com/products/fao-magnetic-dress-up", "https://faoschwarz.com/products/fao-magnetic-dress-up")</f>
        <v/>
      </c>
      <c r="C4163" t="inlineStr">
        <is>
          <t>FAO Magnetic Dress Up</t>
        </is>
      </c>
      <c r="D4163" t="inlineStr">
        <is>
          <t>Stephen Joseph, Travel Tin Magnetic Dress Up, Unicorn and Mermaid</t>
        </is>
      </c>
      <c r="E4163" s="2">
        <f>HYPERLINK("https://www.amazon.com/Stephen-Joseph-Travel-Magnetic-Dress/dp/B013H28EBY/ref=sr_1_8?keywords=FAO+Magnetic+Dress+Up&amp;qid=1695566008&amp;sr=8-8", "https://www.amazon.com/Stephen-Joseph-Travel-Magnetic-Dress/dp/B013H28EBY/ref=sr_1_8?keywords=FAO+Magnetic+Dress+Up&amp;qid=1695566008&amp;sr=8-8")</f>
        <v/>
      </c>
      <c r="F4163" t="inlineStr">
        <is>
          <t>B013H28EBY</t>
        </is>
      </c>
      <c r="G4163">
        <f>_xlfn.IMAGE("https://faoschwarz.com/cdn/shop/files/fao-schwarz-creativity-fao-magnetic-dress-up-30476168527959_1080x.jpg?v=1693426604")</f>
        <v/>
      </c>
      <c r="H4163">
        <f>_xlfn.IMAGE("https://m.media-amazon.com/images/I/91cnHRS2EHL._AC_UL320_.jpg")</f>
        <v/>
      </c>
      <c r="K4163" t="inlineStr">
        <is>
          <t>20.0</t>
        </is>
      </c>
      <c r="L4163" t="n">
        <v>9.99</v>
      </c>
      <c r="M4163" s="1" t="inlineStr">
        <is>
          <t>-50.05%</t>
        </is>
      </c>
      <c r="N4163" t="n">
        <v>4.6</v>
      </c>
      <c r="O4163" t="n">
        <v>407</v>
      </c>
      <c r="Q4163" t="inlineStr">
        <is>
          <t>InStock</t>
        </is>
      </c>
      <c r="R4163" t="inlineStr">
        <is>
          <t>undefined</t>
        </is>
      </c>
      <c r="S4163" t="inlineStr">
        <is>
          <t>6889628041303</t>
        </is>
      </c>
    </row>
    <row r="4164" ht="75" customHeight="1">
      <c r="A4164" s="2">
        <f>HYPERLINK("https://faoschwarz.com/products/fifty-greatest-card-tricks-tin", "https://faoschwarz.com/products/fifty-greatest-card-tricks-tin")</f>
        <v/>
      </c>
      <c r="B4164" s="2">
        <f>HYPERLINK("https://faoschwarz.com/products/fifty-greatest-card-tricks-tin", "https://faoschwarz.com/products/fifty-greatest-card-tricks-tin")</f>
        <v/>
      </c>
      <c r="C4164" t="inlineStr">
        <is>
          <t>Fifty Greatest Card Tricks</t>
        </is>
      </c>
      <c r="D4164" t="inlineStr">
        <is>
          <t>Marvin's Magic - Fifty Greatest Card Tricks Set | Children &amp; Adults Magic Card Set| Includes Card Tricks, Close up Magic and Mind Reading Tricks | Comes in Gift Set Tin | Suitable for Age 8+</t>
        </is>
      </c>
      <c r="E4164" s="2">
        <f>HYPERLINK("https://www.amazon.com/Marvins-Magic-Fifty-Greatest-Tricks/dp/B000ANF3FY/ref=sr_1_1?keywords=Fifty+Greatest+Card+Tricks&amp;qid=1695566015&amp;sr=8-1", "https://www.amazon.com/Marvins-Magic-Fifty-Greatest-Tricks/dp/B000ANF3FY/ref=sr_1_1?keywords=Fifty+Greatest+Card+Tricks&amp;qid=1695566015&amp;sr=8-1")</f>
        <v/>
      </c>
      <c r="F4164" t="inlineStr">
        <is>
          <t>B000ANF3FY</t>
        </is>
      </c>
      <c r="G4164">
        <f>_xlfn.IMAGE("https://faoschwarz.com/cdn/shop/files/marvin-s-magic-magic-fifty-greatest-card-tricks-30236091908183_1080x.jpg?v=1684712380")</f>
        <v/>
      </c>
      <c r="H4164">
        <f>_xlfn.IMAGE("https://m.media-amazon.com/images/I/71AZZqH327L._AC_UY218_.jpg")</f>
        <v/>
      </c>
      <c r="K4164" t="inlineStr">
        <is>
          <t>30.0</t>
        </is>
      </c>
      <c r="L4164" t="n">
        <v>19.99</v>
      </c>
      <c r="M4164" s="1" t="inlineStr">
        <is>
          <t>-33.37%</t>
        </is>
      </c>
      <c r="N4164" t="n">
        <v>4.4</v>
      </c>
      <c r="O4164" t="n">
        <v>2864</v>
      </c>
      <c r="Q4164" t="inlineStr">
        <is>
          <t>InStock</t>
        </is>
      </c>
      <c r="R4164" t="inlineStr">
        <is>
          <t>undefined</t>
        </is>
      </c>
      <c r="S4164" t="inlineStr">
        <is>
          <t>4634428211287</t>
        </is>
      </c>
    </row>
    <row r="4165" ht="75" customHeight="1">
      <c r="A4165" s="2">
        <f>HYPERLINK("https://faoschwarz.com/products/fifty-greatest-card-tricks-tin", "https://faoschwarz.com/products/fifty-greatest-card-tricks-tin")</f>
        <v/>
      </c>
      <c r="B4165" s="2">
        <f>HYPERLINK("https://faoschwarz.com/products/fifty-greatest-card-tricks-tin", "https://faoschwarz.com/products/fifty-greatest-card-tricks-tin")</f>
        <v/>
      </c>
      <c r="C4165" t="inlineStr">
        <is>
          <t>Fifty Greatest Card Tricks</t>
        </is>
      </c>
      <c r="D4165" t="inlineStr">
        <is>
          <t>Marvin's Magic - Fifty Greatest Card Tricks Set | Children &amp; Adults Magic Card Set| Includes Card Tricks, Close up Magic and Mind Reading Tricks | Comes in Gift Set Tin | Suitable for Age 8+</t>
        </is>
      </c>
      <c r="E4165" s="2">
        <f>HYPERLINK("https://www.amazon.com/Marvins-Magic-Fifty-Greatest-Tricks/dp/B000ANF3FY/ref=sr_1_1?keywords=Fifty+Greatest+Card+Tricks&amp;qid=1695566015&amp;sr=8-1", "https://www.amazon.com/Marvins-Magic-Fifty-Greatest-Tricks/dp/B000ANF3FY/ref=sr_1_1?keywords=Fifty+Greatest+Card+Tricks&amp;qid=1695566015&amp;sr=8-1")</f>
        <v/>
      </c>
      <c r="F4165" t="inlineStr">
        <is>
          <t>B000ANF3FY</t>
        </is>
      </c>
      <c r="G4165">
        <f>_xlfn.IMAGE("https://faoschwarz.com/cdn/shop/files/marvin-s-magic-magic-fifty-greatest-card-tricks-30236091908183_1080x.jpg?v=1684712380")</f>
        <v/>
      </c>
      <c r="H4165">
        <f>_xlfn.IMAGE("https://m.media-amazon.com/images/I/71AZZqH327L._AC_UY218_.jpg")</f>
        <v/>
      </c>
      <c r="K4165" t="inlineStr">
        <is>
          <t>30.0</t>
        </is>
      </c>
      <c r="L4165" t="n">
        <v>19.99</v>
      </c>
      <c r="M4165" s="1" t="inlineStr">
        <is>
          <t>-33.37%</t>
        </is>
      </c>
      <c r="N4165" t="n">
        <v>4.4</v>
      </c>
      <c r="O4165" t="n">
        <v>2864</v>
      </c>
      <c r="Q4165" t="inlineStr">
        <is>
          <t>InStock</t>
        </is>
      </c>
      <c r="R4165" t="inlineStr">
        <is>
          <t>undefined</t>
        </is>
      </c>
      <c r="S4165" t="inlineStr">
        <is>
          <t>4634428211287</t>
        </is>
      </c>
    </row>
    <row r="4166" ht="75" customHeight="1">
      <c r="A4166" s="2">
        <f>HYPERLINK("https://faoschwarz.com/products/fill-roll-grocery-basket-play-set", "https://faoschwarz.com/products/fill-roll-grocery-basket-play-set")</f>
        <v/>
      </c>
      <c r="B4166" s="2">
        <f>HYPERLINK("https://faoschwarz.com/products/fill-roll-grocery-basket-play-set", "https://faoschwarz.com/products/fill-roll-grocery-basket-play-set")</f>
        <v/>
      </c>
      <c r="C4166" t="inlineStr">
        <is>
          <t>Fill &amp; Roll Grocery Basket Play Set</t>
        </is>
      </c>
      <c r="D4166" t="inlineStr">
        <is>
          <t>Melissa &amp; Doug Fill and Roll Grocery Basket Play Set With Play Food Boxes and Cans (11 pcs), Frustration-Free Packaging)</t>
        </is>
      </c>
      <c r="E4166" s="2">
        <f>HYPERLINK("https://www.amazon.com/Melissa-Doug-Construction-Frustration-Free-Packaging/dp/B0812K2XMW/ref=sr_1_1?keywords=Fill+%26+Roll+Grocery+Basket+Play+Set&amp;qid=1695565934&amp;sr=8-1", "https://www.amazon.com/Melissa-Doug-Construction-Frustration-Free-Packaging/dp/B0812K2XMW/ref=sr_1_1?keywords=Fill+%26+Roll+Grocery+Basket+Play+Set&amp;qid=1695565934&amp;sr=8-1")</f>
        <v/>
      </c>
      <c r="F4166" t="inlineStr">
        <is>
          <t>B0812K2XMW</t>
        </is>
      </c>
      <c r="G4166">
        <f>_xlfn.IMAGE("https://faoschwarz.com/cdn/shop/products/melissa-doug-preschool-fill-roll-grocery-basket-play-set-28289527906391_1080x.jpg?v=1656173363")</f>
        <v/>
      </c>
      <c r="H4166">
        <f>_xlfn.IMAGE("https://m.media-amazon.com/images/I/71s6WWqQvvL._AC_UL320_.jpg")</f>
        <v/>
      </c>
      <c r="K4166" t="inlineStr">
        <is>
          <t>24.5</t>
        </is>
      </c>
      <c r="L4166" t="n">
        <v>32.29</v>
      </c>
      <c r="M4166" s="1" t="inlineStr">
        <is>
          <t>31.80%</t>
        </is>
      </c>
      <c r="N4166" t="n">
        <v>4.7</v>
      </c>
      <c r="O4166" t="n">
        <v>1421</v>
      </c>
      <c r="Q4166" t="inlineStr">
        <is>
          <t>InStock</t>
        </is>
      </c>
      <c r="R4166" t="inlineStr">
        <is>
          <t>35.0</t>
        </is>
      </c>
      <c r="S4166" t="inlineStr">
        <is>
          <t>1598831919191</t>
        </is>
      </c>
    </row>
    <row r="4167" ht="75" customHeight="1">
      <c r="A4167" s="2">
        <f>HYPERLINK("https://faoschwarz.com/products/fill-roll-grocery-basket-play-set", "https://faoschwarz.com/products/fill-roll-grocery-basket-play-set")</f>
        <v/>
      </c>
      <c r="B4167" s="2">
        <f>HYPERLINK("https://faoschwarz.com/products/fill-roll-grocery-basket-play-set", "https://faoschwarz.com/products/fill-roll-grocery-basket-play-set")</f>
        <v/>
      </c>
      <c r="C4167" t="inlineStr">
        <is>
          <t>Fill &amp; Roll Grocery Basket Play Set</t>
        </is>
      </c>
      <c r="D4167" t="inlineStr">
        <is>
          <t>Melissa &amp; Doug Fill and Roll Grocery Basket Play Set With Play Food Boxes and Cans (11 pcs)</t>
        </is>
      </c>
      <c r="E4167" s="2">
        <f>HYPERLINK("https://www.amazon.com/Melissa-Doug-Grocery-Basket-Boxes/dp/B079KPRJFJ/ref=sr_1_3?keywords=Fill+%26+Roll+Grocery+Basket+Play+Set&amp;qid=1695565934&amp;sr=8-3", "https://www.amazon.com/Melissa-Doug-Grocery-Basket-Boxes/dp/B079KPRJFJ/ref=sr_1_3?keywords=Fill+%26+Roll+Grocery+Basket+Play+Set&amp;qid=1695565934&amp;sr=8-3")</f>
        <v/>
      </c>
      <c r="F4167" t="inlineStr">
        <is>
          <t>B079KPRJFJ</t>
        </is>
      </c>
      <c r="G4167">
        <f>_xlfn.IMAGE("https://faoschwarz.com/cdn/shop/products/melissa-doug-preschool-fill-roll-grocery-basket-play-set-28289527906391_1080x.jpg?v=1656173363")</f>
        <v/>
      </c>
      <c r="H4167">
        <f>_xlfn.IMAGE("https://m.media-amazon.com/images/I/71j1ygck42L._AC_UL320_.jpg")</f>
        <v/>
      </c>
      <c r="K4167" t="inlineStr">
        <is>
          <t>24.5</t>
        </is>
      </c>
      <c r="L4167" t="n">
        <v>32.29</v>
      </c>
      <c r="M4167" s="1" t="inlineStr">
        <is>
          <t>31.80%</t>
        </is>
      </c>
      <c r="N4167" t="n">
        <v>4.8</v>
      </c>
      <c r="O4167" t="n">
        <v>1465</v>
      </c>
      <c r="Q4167" t="inlineStr">
        <is>
          <t>InStock</t>
        </is>
      </c>
      <c r="R4167" t="inlineStr">
        <is>
          <t>35.0</t>
        </is>
      </c>
      <c r="S4167" t="inlineStr">
        <is>
          <t>1598831919191</t>
        </is>
      </c>
    </row>
    <row r="4168" ht="75" customHeight="1">
      <c r="A4168" s="2">
        <f>HYPERLINK("https://faoschwarz.com/products/fill-roll-grocery-basket-play-set", "https://faoschwarz.com/products/fill-roll-grocery-basket-play-set")</f>
        <v/>
      </c>
      <c r="B4168" s="2">
        <f>HYPERLINK("https://faoschwarz.com/products/fill-roll-grocery-basket-play-set", "https://faoschwarz.com/products/fill-roll-grocery-basket-play-set")</f>
        <v/>
      </c>
      <c r="C4168" t="inlineStr">
        <is>
          <t>Fill &amp; Roll Grocery Basket Play Set</t>
        </is>
      </c>
      <c r="D4168" t="inlineStr">
        <is>
          <t>Click N' Play Pretend Food &amp; Grocery Basket Toy Set for Kids &amp; Toddlers 3+, 32pcs Plastic Fruits &amp; Vegetables + Shopping Cart for Easy Storage - Play Store, Fake Food Play Set, Fun Children Toy Gifts</t>
        </is>
      </c>
      <c r="E4168" s="2">
        <f>HYPERLINK("https://www.amazon.com/Click-Play-Pretend-Shopping-Vegetable/dp/B016YZDZ8S/ref=sr_1_6?keywords=Fill+%26+Roll+Grocery+Basket+Play+Set&amp;qid=1695565934&amp;sr=8-6", "https://www.amazon.com/Click-Play-Pretend-Shopping-Vegetable/dp/B016YZDZ8S/ref=sr_1_6?keywords=Fill+%26+Roll+Grocery+Basket+Play+Set&amp;qid=1695565934&amp;sr=8-6")</f>
        <v/>
      </c>
      <c r="F4168" t="inlineStr">
        <is>
          <t>B016YZDZ8S</t>
        </is>
      </c>
      <c r="G4168">
        <f>_xlfn.IMAGE("https://faoschwarz.com/cdn/shop/products/melissa-doug-preschool-fill-roll-grocery-basket-play-set-28289527906391_1080x.jpg?v=1656173363")</f>
        <v/>
      </c>
      <c r="H4168">
        <f>_xlfn.IMAGE("https://m.media-amazon.com/images/I/71dEjeWAs+L._AC_UL320_.jpg")</f>
        <v/>
      </c>
      <c r="K4168" t="inlineStr">
        <is>
          <t>24.5</t>
        </is>
      </c>
      <c r="L4168" t="n">
        <v>13.99</v>
      </c>
      <c r="M4168" s="1" t="inlineStr">
        <is>
          <t>-42.90%</t>
        </is>
      </c>
      <c r="N4168" t="n">
        <v>4.5</v>
      </c>
      <c r="O4168" t="n">
        <v>1487</v>
      </c>
      <c r="Q4168" t="inlineStr">
        <is>
          <t>InStock</t>
        </is>
      </c>
      <c r="R4168" t="inlineStr">
        <is>
          <t>35.0</t>
        </is>
      </c>
      <c r="S4168" t="inlineStr">
        <is>
          <t>1598831919191</t>
        </is>
      </c>
    </row>
    <row r="4169" ht="75" customHeight="1">
      <c r="A4169" s="2">
        <f>HYPERLINK("https://faoschwarz.com/products/fireplace-with-accessories", "https://faoschwarz.com/products/fireplace-with-accessories")</f>
        <v/>
      </c>
      <c r="B4169" s="2">
        <f>HYPERLINK("https://faoschwarz.com/products/fireplace-with-accessories", "https://faoschwarz.com/products/fireplace-with-accessories")</f>
        <v/>
      </c>
      <c r="C4169" t="inlineStr">
        <is>
          <t>Happy Hearth Fireplace with Accessories</t>
        </is>
      </c>
      <c r="D4169" t="inlineStr">
        <is>
          <t>Delxo 5pcs Fireplace Tools Set 31inch Black Cast Iron Fire Place Tool Set with Log Holder Fire Pit Stand Rustic Tongs Shovel Antique Broom Chimney Poker Wood Stove Hearth Accessories</t>
        </is>
      </c>
      <c r="E4169" s="2">
        <f>HYPERLINK("https://www.amazon.com/Delxo-Fireplace-Antique-Chimney-Accessories/dp/B08Y6KNQKP/ref=sr_1_2?keywords=Happy+Hearth+Fireplace+with+Accessories&amp;qid=1695565935&amp;sr=8-2", "https://www.amazon.com/Delxo-Fireplace-Antique-Chimney-Accessories/dp/B08Y6KNQKP/ref=sr_1_2?keywords=Happy+Hearth+Fireplace+with+Accessories&amp;qid=1695565935&amp;sr=8-2")</f>
        <v/>
      </c>
      <c r="F4169" t="inlineStr">
        <is>
          <t>B08Y6KNQKP</t>
        </is>
      </c>
      <c r="G4169">
        <f>_xlfn.IMAGE("https://faoschwarz.com/cdn/shop/products/wonder-wise-preschool-happy-hearth-fireplace-with-accessories-28316246802519_1080x.jpg?v=1656109159")</f>
        <v/>
      </c>
      <c r="H4169">
        <f>_xlfn.IMAGE("https://m.media-amazon.com/images/I/61zF8OzVo0L._AC_UL320_.jpg")</f>
        <v/>
      </c>
      <c r="K4169" t="inlineStr">
        <is>
          <t>149.25</t>
        </is>
      </c>
      <c r="L4169" t="n">
        <v>59.99</v>
      </c>
      <c r="M4169" s="1" t="inlineStr">
        <is>
          <t>-59.81%</t>
        </is>
      </c>
      <c r="N4169" t="n">
        <v>4</v>
      </c>
      <c r="O4169" t="n">
        <v>132</v>
      </c>
      <c r="Q4169" t="inlineStr">
        <is>
          <t>InStock</t>
        </is>
      </c>
      <c r="R4169" t="inlineStr">
        <is>
          <t>199.0</t>
        </is>
      </c>
      <c r="S4169" t="inlineStr">
        <is>
          <t>4567190995031</t>
        </is>
      </c>
    </row>
    <row r="4170" ht="75" customHeight="1">
      <c r="A4170" s="2">
        <f>HYPERLINK("https://faoschwarz.com/products/fireplace-with-accessories", "https://faoschwarz.com/products/fireplace-with-accessories")</f>
        <v/>
      </c>
      <c r="B4170" s="2">
        <f>HYPERLINK("https://faoschwarz.com/products/fireplace-with-accessories", "https://faoschwarz.com/products/fireplace-with-accessories")</f>
        <v/>
      </c>
      <c r="C4170" t="inlineStr">
        <is>
          <t>Happy Hearth Fireplace with Accessories</t>
        </is>
      </c>
      <c r="D4170" t="inlineStr">
        <is>
          <t>AMAGABELI GARDEN &amp; HOME 5 Pieces Scroll Fireplace Tools Set Black Cast Iron Tool Set with Log Holder Fire Set Stand Rustic Tongs Shovel Antique Broom Chimney Poker Wood Stove Hearth Accessories Set</t>
        </is>
      </c>
      <c r="E4170" s="2">
        <f>HYPERLINK("https://www.amazon.com/Fireplace-Toolset-Fireset-Antique-Accessories/dp/B01NH0QNJO/ref=sr_1_1?keywords=Happy+Hearth+Fireplace+with+Accessories&amp;qid=1695565935&amp;sr=8-1", "https://www.amazon.com/Fireplace-Toolset-Fireset-Antique-Accessories/dp/B01NH0QNJO/ref=sr_1_1?keywords=Happy+Hearth+Fireplace+with+Accessories&amp;qid=1695565935&amp;sr=8-1")</f>
        <v/>
      </c>
      <c r="F4170" t="inlineStr">
        <is>
          <t>B01NH0QNJO</t>
        </is>
      </c>
      <c r="G4170">
        <f>_xlfn.IMAGE("https://faoschwarz.com/cdn/shop/products/wonder-wise-preschool-happy-hearth-fireplace-with-accessories-28316246802519_1080x.jpg?v=1656109159")</f>
        <v/>
      </c>
      <c r="H4170">
        <f>_xlfn.IMAGE("https://m.media-amazon.com/images/I/51dpNatZgzL._AC_UL320_.jpg")</f>
        <v/>
      </c>
      <c r="K4170" t="inlineStr">
        <is>
          <t>149.25</t>
        </is>
      </c>
      <c r="L4170" t="n">
        <v>59.99</v>
      </c>
      <c r="M4170" s="1" t="inlineStr">
        <is>
          <t>-59.81%</t>
        </is>
      </c>
      <c r="N4170" t="n">
        <v>4.8</v>
      </c>
      <c r="O4170" t="n">
        <v>1049</v>
      </c>
      <c r="Q4170" t="inlineStr">
        <is>
          <t>InStock</t>
        </is>
      </c>
      <c r="R4170" t="inlineStr">
        <is>
          <t>199.0</t>
        </is>
      </c>
      <c r="S4170" t="inlineStr">
        <is>
          <t>4567190995031</t>
        </is>
      </c>
    </row>
    <row r="4171" ht="75" customHeight="1">
      <c r="A4171" s="2">
        <f>HYPERLINK("https://faoschwarz.com/products/fire-truck-mini-jigsaw-puzzle", "https://faoschwarz.com/products/fire-truck-mini-jigsaw-puzzle")</f>
        <v/>
      </c>
      <c r="B4171" s="2">
        <f>HYPERLINK("https://faoschwarz.com/products/fire-truck-mini-jigsaw-puzzle", "https://faoschwarz.com/products/fire-truck-mini-jigsaw-puzzle")</f>
        <v/>
      </c>
      <c r="C4171" t="inlineStr">
        <is>
          <t>Fire Truck Mini Jigsaw Puzzle</t>
        </is>
      </c>
      <c r="D4171" t="inlineStr">
        <is>
          <t>WZVZGZ Fire Truck Fireman’s Gift for Dad Wooden Puzzles-1000 Pieces Adult Jigsaw Puzzles Farm Animal Barn Pig Cow Goat Rooster Cat Jigsaw Puzzle, 1000pcs</t>
        </is>
      </c>
      <c r="E4171" s="2">
        <f>HYPERLINK("https://www.amazon.com/WZVZGZ-Firemans-Puzzles-1000-Puzzles-Rooster/dp/B09MVMK3ZR/ref=sr_1_9?keywords=Fire+Truck+Mini+Jigsaw+Puzzle&amp;qid=1695565996&amp;sr=8-9", "https://www.amazon.com/WZVZGZ-Firemans-Puzzles-1000-Puzzles-Rooster/dp/B09MVMK3ZR/ref=sr_1_9?keywords=Fire+Truck+Mini+Jigsaw+Puzzle&amp;qid=1695565996&amp;sr=8-9")</f>
        <v/>
      </c>
      <c r="F4171" t="inlineStr">
        <is>
          <t>B09MVMK3ZR</t>
        </is>
      </c>
      <c r="G4171">
        <f>_xlfn.IMAGE("https://faoschwarz.com/cdn/shop/products/djeco-puzzles-fire-truck-mini-jigsaw-puzzle-14980880564311_1080x.jpg?v=1656091143")</f>
        <v/>
      </c>
      <c r="H4171">
        <f>_xlfn.IMAGE("https://m.media-amazon.com/images/I/717S99bYnbL._AC_UL320_.jpg")</f>
        <v/>
      </c>
      <c r="K4171" t="inlineStr">
        <is>
          <t>13.0</t>
        </is>
      </c>
      <c r="L4171" t="n">
        <v>25.59</v>
      </c>
      <c r="M4171" s="1" t="inlineStr">
        <is>
          <t>96.85%</t>
        </is>
      </c>
      <c r="N4171" t="n">
        <v>4.7</v>
      </c>
      <c r="O4171" t="n">
        <v>8</v>
      </c>
      <c r="Q4171" t="inlineStr">
        <is>
          <t>InStock</t>
        </is>
      </c>
      <c r="R4171" t="inlineStr">
        <is>
          <t>undefined</t>
        </is>
      </c>
      <c r="S4171" t="inlineStr">
        <is>
          <t>4687943303255</t>
        </is>
      </c>
    </row>
    <row r="4172" ht="75" customHeight="1">
      <c r="A4172" s="2">
        <f>HYPERLINK("https://faoschwarz.com/products/fire-truck-mini-jigsaw-puzzle", "https://faoschwarz.com/products/fire-truck-mini-jigsaw-puzzle")</f>
        <v/>
      </c>
      <c r="B4172" s="2">
        <f>HYPERLINK("https://faoschwarz.com/products/fire-truck-mini-jigsaw-puzzle", "https://faoschwarz.com/products/fire-truck-mini-jigsaw-puzzle")</f>
        <v/>
      </c>
      <c r="C4172" t="inlineStr">
        <is>
          <t>Fire Truck Mini Jigsaw Puzzle</t>
        </is>
      </c>
      <c r="D4172" t="inlineStr">
        <is>
          <t>4-in-1 Emergency Vehicle Jigsaw Puzzle 48 PCs Wooden Truck Puzzle for Little Kids with a Box Fire Engine Ambulance Preschool Educational Activity Skills Development, Great Gift for Toddlers</t>
        </is>
      </c>
      <c r="E4172" s="2">
        <f>HYPERLINK("https://www.amazon.com/TOYLI-Emergency-Ambulance-Educational-Development/dp/B09JDXW777/ref=sr_1_8?keywords=Fire+Truck+Mini+Jigsaw+Puzzle&amp;qid=1695565996&amp;sr=8-8", "https://www.amazon.com/TOYLI-Emergency-Ambulance-Educational-Development/dp/B09JDXW777/ref=sr_1_8?keywords=Fire+Truck+Mini+Jigsaw+Puzzle&amp;qid=1695565996&amp;sr=8-8")</f>
        <v/>
      </c>
      <c r="F4172" t="inlineStr">
        <is>
          <t>B09JDXW777</t>
        </is>
      </c>
      <c r="G4172">
        <f>_xlfn.IMAGE("https://faoschwarz.com/cdn/shop/products/djeco-puzzles-fire-truck-mini-jigsaw-puzzle-14980880564311_1080x.jpg?v=1656091143")</f>
        <v/>
      </c>
      <c r="H4172">
        <f>_xlfn.IMAGE("https://m.media-amazon.com/images/I/91VKlZNWx+L._AC_UL320_.jpg")</f>
        <v/>
      </c>
      <c r="K4172" t="inlineStr">
        <is>
          <t>13.0</t>
        </is>
      </c>
      <c r="L4172" t="n">
        <v>21.99</v>
      </c>
      <c r="M4172" s="1" t="inlineStr">
        <is>
          <t>69.15%</t>
        </is>
      </c>
      <c r="N4172" t="n">
        <v>4.7</v>
      </c>
      <c r="O4172" t="n">
        <v>74</v>
      </c>
      <c r="Q4172" t="inlineStr">
        <is>
          <t>InStock</t>
        </is>
      </c>
      <c r="R4172" t="inlineStr">
        <is>
          <t>undefined</t>
        </is>
      </c>
      <c r="S4172" t="inlineStr">
        <is>
          <t>4687943303255</t>
        </is>
      </c>
    </row>
    <row r="4173" ht="75" customHeight="1">
      <c r="A4173" s="2">
        <f>HYPERLINK("https://faoschwarz.com/products/fire-truck-mini-jigsaw-puzzle", "https://faoschwarz.com/products/fire-truck-mini-jigsaw-puzzle")</f>
        <v/>
      </c>
      <c r="B4173" s="2">
        <f>HYPERLINK("https://faoschwarz.com/products/fire-truck-mini-jigsaw-puzzle", "https://faoschwarz.com/products/fire-truck-mini-jigsaw-puzzle")</f>
        <v/>
      </c>
      <c r="C4173" t="inlineStr">
        <is>
          <t>Fire Truck Mini Jigsaw Puzzle</t>
        </is>
      </c>
      <c r="D4173" t="inlineStr">
        <is>
          <t>Crocodile Creek - Fire Truck - Mini Jigsaw Puzzle, 12 Piece, for Kids Ages 2 Years &amp; Up</t>
        </is>
      </c>
      <c r="E4173" s="2">
        <f>HYPERLINK("https://www.amazon.com/Crocodile-Creek-Truck-Jigsaw-Puzzle/dp/B00G3EI6HG/ref=sr_1_1?keywords=Fire+Truck+Mini+Jigsaw+Puzzle&amp;qid=1695565996&amp;sr=8-1", "https://www.amazon.com/Crocodile-Creek-Truck-Jigsaw-Puzzle/dp/B00G3EI6HG/ref=sr_1_1?keywords=Fire+Truck+Mini+Jigsaw+Puzzle&amp;qid=1695565996&amp;sr=8-1")</f>
        <v/>
      </c>
      <c r="F4173" t="inlineStr">
        <is>
          <t>B00G3EI6HG</t>
        </is>
      </c>
      <c r="G4173">
        <f>_xlfn.IMAGE("https://faoschwarz.com/cdn/shop/products/djeco-puzzles-fire-truck-mini-jigsaw-puzzle-14980880564311_1080x.jpg?v=1656091143")</f>
        <v/>
      </c>
      <c r="H4173">
        <f>_xlfn.IMAGE("https://m.media-amazon.com/images/I/617n0-Bfi4L._AC_UL320_.jpg")</f>
        <v/>
      </c>
      <c r="K4173" t="inlineStr">
        <is>
          <t>13.0</t>
        </is>
      </c>
      <c r="L4173" t="n">
        <v>20</v>
      </c>
      <c r="M4173" s="1" t="inlineStr">
        <is>
          <t>53.85%</t>
        </is>
      </c>
      <c r="N4173" t="n">
        <v>4.8</v>
      </c>
      <c r="O4173" t="n">
        <v>756</v>
      </c>
      <c r="Q4173" t="inlineStr">
        <is>
          <t>InStock</t>
        </is>
      </c>
      <c r="R4173" t="inlineStr">
        <is>
          <t>undefined</t>
        </is>
      </c>
      <c r="S4173" t="inlineStr">
        <is>
          <t>4687943303255</t>
        </is>
      </c>
    </row>
    <row r="4174" ht="75" customHeight="1">
      <c r="A4174" s="2">
        <f>HYPERLINK("https://faoschwarz.com/products/fire-truck-mini-jigsaw-puzzle", "https://faoschwarz.com/products/fire-truck-mini-jigsaw-puzzle")</f>
        <v/>
      </c>
      <c r="B4174" s="2">
        <f>HYPERLINK("https://faoschwarz.com/products/fire-truck-mini-jigsaw-puzzle", "https://faoschwarz.com/products/fire-truck-mini-jigsaw-puzzle")</f>
        <v/>
      </c>
      <c r="C4174" t="inlineStr">
        <is>
          <t>Fire Truck Mini Jigsaw Puzzle</t>
        </is>
      </c>
      <c r="D4174" t="inlineStr">
        <is>
          <t>Vermont Christmas Company Fire Truck Pups Jigsaw Puzzle 100 Piece, Large Pieces Perfect for Kids and Seniors</t>
        </is>
      </c>
      <c r="E4174" s="2">
        <f>HYPERLINK("https://www.amazon.com/Vermont-Christmas-Company-Jigsaw-Puzzle/dp/B071QWD888/ref=sr_1_7?keywords=Fire+Truck+Mini+Jigsaw+Puzzle&amp;qid=1695565996&amp;sr=8-7", "https://www.amazon.com/Vermont-Christmas-Company-Jigsaw-Puzzle/dp/B071QWD888/ref=sr_1_7?keywords=Fire+Truck+Mini+Jigsaw+Puzzle&amp;qid=1695565996&amp;sr=8-7")</f>
        <v/>
      </c>
      <c r="F4174" t="inlineStr">
        <is>
          <t>B071QWD888</t>
        </is>
      </c>
      <c r="G4174">
        <f>_xlfn.IMAGE("https://faoschwarz.com/cdn/shop/products/djeco-puzzles-fire-truck-mini-jigsaw-puzzle-14980880564311_1080x.jpg?v=1656091143")</f>
        <v/>
      </c>
      <c r="H4174">
        <f>_xlfn.IMAGE("https://m.media-amazon.com/images/I/71ap+wJ7NqL._AC_UL320_.jpg")</f>
        <v/>
      </c>
      <c r="K4174" t="inlineStr">
        <is>
          <t>13.0</t>
        </is>
      </c>
      <c r="L4174" t="n">
        <v>13.95</v>
      </c>
      <c r="M4174" s="1" t="inlineStr">
        <is>
          <t>7.31%</t>
        </is>
      </c>
      <c r="N4174" t="n">
        <v>4.7</v>
      </c>
      <c r="O4174" t="n">
        <v>205</v>
      </c>
      <c r="Q4174" t="inlineStr">
        <is>
          <t>InStock</t>
        </is>
      </c>
      <c r="R4174" t="inlineStr">
        <is>
          <t>undefined</t>
        </is>
      </c>
      <c r="S4174" t="inlineStr">
        <is>
          <t>4687943303255</t>
        </is>
      </c>
    </row>
    <row r="4175" ht="75" customHeight="1">
      <c r="A4175" s="2">
        <f>HYPERLINK("https://faoschwarz.com/products/fire-truck-mini-jigsaw-puzzle", "https://faoschwarz.com/products/fire-truck-mini-jigsaw-puzzle")</f>
        <v/>
      </c>
      <c r="B4175" s="2">
        <f>HYPERLINK("https://faoschwarz.com/products/fire-truck-mini-jigsaw-puzzle", "https://faoschwarz.com/products/fire-truck-mini-jigsaw-puzzle")</f>
        <v/>
      </c>
      <c r="C4175" t="inlineStr">
        <is>
          <t>Fire Truck Mini Jigsaw Puzzle</t>
        </is>
      </c>
      <c r="D4175" t="inlineStr">
        <is>
          <t>Melissa &amp; Doug Vehicles 4-in-1 Wooden Jigsaw Puzzles in a Storage Box (48 pcs) - Toddler , Fire Truck Puzzles For Kids Ages 3+ - FSC-Certified Materials</t>
        </is>
      </c>
      <c r="E4175" s="2">
        <f>HYPERLINK("https://www.amazon.com/Melissa-Doug-Vehicles-Puzzles-12-Piece/dp/B000REP3E2/ref=sr_1_6?keywords=Fire+Truck+Mini+Jigsaw+Puzzle&amp;qid=1695565996&amp;sr=8-6", "https://www.amazon.com/Melissa-Doug-Vehicles-Puzzles-12-Piece/dp/B000REP3E2/ref=sr_1_6?keywords=Fire+Truck+Mini+Jigsaw+Puzzle&amp;qid=1695565996&amp;sr=8-6")</f>
        <v/>
      </c>
      <c r="F4175" t="inlineStr">
        <is>
          <t>B000REP3E2</t>
        </is>
      </c>
      <c r="G4175">
        <f>_xlfn.IMAGE("https://faoschwarz.com/cdn/shop/products/djeco-puzzles-fire-truck-mini-jigsaw-puzzle-14980880564311_1080x.jpg?v=1656091143")</f>
        <v/>
      </c>
      <c r="H4175">
        <f>_xlfn.IMAGE("https://m.media-amazon.com/images/I/81v28XVSDbL._AC_UL320_.jpg")</f>
        <v/>
      </c>
      <c r="K4175" t="inlineStr">
        <is>
          <t>13.0</t>
        </is>
      </c>
      <c r="L4175" t="n">
        <v>12.99</v>
      </c>
      <c r="M4175" s="1" t="inlineStr">
        <is>
          <t>-0.08%</t>
        </is>
      </c>
      <c r="N4175" t="n">
        <v>4.7</v>
      </c>
      <c r="O4175" t="n">
        <v>22399</v>
      </c>
      <c r="Q4175" t="inlineStr">
        <is>
          <t>InStock</t>
        </is>
      </c>
      <c r="R4175" t="inlineStr">
        <is>
          <t>undefined</t>
        </is>
      </c>
      <c r="S4175" t="inlineStr">
        <is>
          <t>4687943303255</t>
        </is>
      </c>
    </row>
    <row r="4176" ht="75" customHeight="1">
      <c r="A4176" s="2">
        <f>HYPERLINK("https://faoschwarz.com/products/fire-truck-mini-jigsaw-puzzle", "https://faoschwarz.com/products/fire-truck-mini-jigsaw-puzzle")</f>
        <v/>
      </c>
      <c r="B4176" s="2">
        <f>HYPERLINK("https://faoschwarz.com/products/fire-truck-mini-jigsaw-puzzle", "https://faoschwarz.com/products/fire-truck-mini-jigsaw-puzzle")</f>
        <v/>
      </c>
      <c r="C4176" t="inlineStr">
        <is>
          <t>Fire Truck Mini Jigsaw Puzzle</t>
        </is>
      </c>
      <c r="D4176" t="inlineStr">
        <is>
          <t>Melissa &amp; Doug Fire Truck Jumbo Jigsaw Floor Puzzle (24 pcs, 4 feet long)</t>
        </is>
      </c>
      <c r="E4176" s="2">
        <f>HYPERLINK("https://www.amazon.com/Melissa-Doug-Truck-Jigsaw-Puzzle/dp/B000084JMC/ref=sr_1_4?keywords=Fire+Truck+Mini+Jigsaw+Puzzle&amp;qid=1695565996&amp;sr=8-4", "https://www.amazon.com/Melissa-Doug-Truck-Jigsaw-Puzzle/dp/B000084JMC/ref=sr_1_4?keywords=Fire+Truck+Mini+Jigsaw+Puzzle&amp;qid=1695565996&amp;sr=8-4")</f>
        <v/>
      </c>
      <c r="F4176" t="inlineStr">
        <is>
          <t>B000084JMC</t>
        </is>
      </c>
      <c r="G4176">
        <f>_xlfn.IMAGE("https://faoschwarz.com/cdn/shop/products/djeco-puzzles-fire-truck-mini-jigsaw-puzzle-14980880564311_1080x.jpg?v=1656091143")</f>
        <v/>
      </c>
      <c r="H4176">
        <f>_xlfn.IMAGE("https://m.media-amazon.com/images/I/71tLO462TWL._AC_UL320_.jpg")</f>
        <v/>
      </c>
      <c r="K4176" t="inlineStr">
        <is>
          <t>13.0</t>
        </is>
      </c>
      <c r="L4176" t="n">
        <v>11.69</v>
      </c>
      <c r="M4176" s="1" t="inlineStr">
        <is>
          <t>-10.08%</t>
        </is>
      </c>
      <c r="N4176" t="n">
        <v>4.8</v>
      </c>
      <c r="O4176" t="n">
        <v>2552</v>
      </c>
      <c r="Q4176" t="inlineStr">
        <is>
          <t>InStock</t>
        </is>
      </c>
      <c r="R4176" t="inlineStr">
        <is>
          <t>undefined</t>
        </is>
      </c>
      <c r="S4176" t="inlineStr">
        <is>
          <t>4687943303255</t>
        </is>
      </c>
    </row>
    <row r="4177" ht="75" customHeight="1">
      <c r="A4177" s="2">
        <f>HYPERLINK("https://faoschwarz.com/products/fire-truck-mini-jigsaw-puzzle", "https://faoschwarz.com/products/fire-truck-mini-jigsaw-puzzle")</f>
        <v/>
      </c>
      <c r="B4177" s="2">
        <f>HYPERLINK("https://faoschwarz.com/products/fire-truck-mini-jigsaw-puzzle", "https://faoschwarz.com/products/fire-truck-mini-jigsaw-puzzle")</f>
        <v/>
      </c>
      <c r="C4177" t="inlineStr">
        <is>
          <t>Fire Truck Mini Jigsaw Puzzle</t>
        </is>
      </c>
      <c r="D4177" t="inlineStr">
        <is>
          <t>100 Piece Puzzles for Kids Ages 4-8,8-10,Fire Truck Shaped Floor Jigsaw Puzzles Gift for Children Learning Educational Puzzle Toy Birthday</t>
        </is>
      </c>
      <c r="E4177" s="2">
        <f>HYPERLINK("https://www.amazon.com/Puzzles-Children-Learning-Educational-Birthday/dp/B09SB861KJ/ref=sr_1_10?keywords=Fire+Truck+Mini+Jigsaw+Puzzle&amp;qid=1695565996&amp;sr=8-10", "https://www.amazon.com/Puzzles-Children-Learning-Educational-Birthday/dp/B09SB861KJ/ref=sr_1_10?keywords=Fire+Truck+Mini+Jigsaw+Puzzle&amp;qid=1695565996&amp;sr=8-10")</f>
        <v/>
      </c>
      <c r="F4177" t="inlineStr">
        <is>
          <t>B09SB861KJ</t>
        </is>
      </c>
      <c r="G4177">
        <f>_xlfn.IMAGE("https://faoschwarz.com/cdn/shop/products/djeco-puzzles-fire-truck-mini-jigsaw-puzzle-14980880564311_1080x.jpg?v=1656091143")</f>
        <v/>
      </c>
      <c r="H4177">
        <f>_xlfn.IMAGE("https://m.media-amazon.com/images/I/71LcFH961VL._AC_UL320_.jpg")</f>
        <v/>
      </c>
      <c r="K4177" t="inlineStr">
        <is>
          <t>13.0</t>
        </is>
      </c>
      <c r="L4177" t="n">
        <v>9.99</v>
      </c>
      <c r="M4177" s="1" t="inlineStr">
        <is>
          <t>-23.15%</t>
        </is>
      </c>
      <c r="N4177" t="n">
        <v>4.6</v>
      </c>
      <c r="O4177" t="n">
        <v>828</v>
      </c>
      <c r="Q4177" t="inlineStr">
        <is>
          <t>InStock</t>
        </is>
      </c>
      <c r="R4177" t="inlineStr">
        <is>
          <t>undefined</t>
        </is>
      </c>
      <c r="S4177" t="inlineStr">
        <is>
          <t>4687943303255</t>
        </is>
      </c>
    </row>
    <row r="4178" ht="75" customHeight="1">
      <c r="A4178" s="2">
        <f>HYPERLINK("https://faoschwarz.com/products/fire-truck-mini-jigsaw-puzzle", "https://faoschwarz.com/products/fire-truck-mini-jigsaw-puzzle")</f>
        <v/>
      </c>
      <c r="B4178" s="2">
        <f>HYPERLINK("https://faoschwarz.com/products/fire-truck-mini-jigsaw-puzzle", "https://faoschwarz.com/products/fire-truck-mini-jigsaw-puzzle")</f>
        <v/>
      </c>
      <c r="C4178" t="inlineStr">
        <is>
          <t>Fire Truck Mini Jigsaw Puzzle</t>
        </is>
      </c>
      <c r="D4178" t="inlineStr">
        <is>
          <t>Mudpuppy Fire Truck Shaped Mini Puzzle, 24 Pieces, 6” x 6” – Die-Cut Mini Jigsaw Puzzle in The Shape of a Fire Truck Driven by a Dog – Great Travel Activity for Kids, Makes a Great Gift Idea</t>
        </is>
      </c>
      <c r="E4178" s="2">
        <f>HYPERLINK("https://www.amazon.com/Mudpuppy-Truck-Shaped-Puzzle-Pieces/dp/0735365016/ref=sr_1_2?keywords=Fire+Truck+Mini+Jigsaw+Puzzle&amp;qid=1695565996&amp;sr=8-2", "https://www.amazon.com/Mudpuppy-Truck-Shaped-Puzzle-Pieces/dp/0735365016/ref=sr_1_2?keywords=Fire+Truck+Mini+Jigsaw+Puzzle&amp;qid=1695565996&amp;sr=8-2")</f>
        <v/>
      </c>
      <c r="F4178" t="inlineStr">
        <is>
          <t>0735365016</t>
        </is>
      </c>
      <c r="G4178">
        <f>_xlfn.IMAGE("https://faoschwarz.com/cdn/shop/products/djeco-puzzles-fire-truck-mini-jigsaw-puzzle-14980880564311_1080x.jpg?v=1656091143")</f>
        <v/>
      </c>
      <c r="H4178">
        <f>_xlfn.IMAGE("https://m.media-amazon.com/images/I/81yQl45bn-L._AC_UL320_.jpg")</f>
        <v/>
      </c>
      <c r="K4178" t="inlineStr">
        <is>
          <t>13.0</t>
        </is>
      </c>
      <c r="L4178" t="n">
        <v>4.99</v>
      </c>
      <c r="M4178" s="1" t="inlineStr">
        <is>
          <t>-61.62%</t>
        </is>
      </c>
      <c r="N4178" t="n">
        <v>4.4</v>
      </c>
      <c r="O4178" t="n">
        <v>119</v>
      </c>
      <c r="Q4178" t="inlineStr">
        <is>
          <t>InStock</t>
        </is>
      </c>
      <c r="R4178" t="inlineStr">
        <is>
          <t>undefined</t>
        </is>
      </c>
      <c r="S4178" t="inlineStr">
        <is>
          <t>4687943303255</t>
        </is>
      </c>
    </row>
    <row r="4179" ht="75" customHeight="1">
      <c r="A4179" s="2">
        <f>HYPERLINK("https://faoschwarz.com/products/fire-truck-mini-jigsaw-puzzle", "https://faoschwarz.com/products/fire-truck-mini-jigsaw-puzzle")</f>
        <v/>
      </c>
      <c r="B4179" s="2">
        <f>HYPERLINK("https://faoschwarz.com/products/fire-truck-mini-jigsaw-puzzle", "https://faoschwarz.com/products/fire-truck-mini-jigsaw-puzzle")</f>
        <v/>
      </c>
      <c r="C4179" t="inlineStr">
        <is>
          <t>Fire Truck Mini Jigsaw Puzzle</t>
        </is>
      </c>
      <c r="D4179" t="inlineStr">
        <is>
          <t>Melissa &amp; Doug Fire Truck Jumbo Jigsaw Floor Puzzle (24 pcs, 4 feet long)</t>
        </is>
      </c>
      <c r="E4179" s="2">
        <f>HYPERLINK("https://www.amazon.com/Melissa-Doug-Truck-Jigsaw-Puzzle/dp/B000084JMC/ref=sr_1_4?keywords=Fire+Truck+Mini+Jigsaw+Puzzle&amp;qid=1695565996&amp;sr=8-4", "https://www.amazon.com/Melissa-Doug-Truck-Jigsaw-Puzzle/dp/B000084JMC/ref=sr_1_4?keywords=Fire+Truck+Mini+Jigsaw+Puzzle&amp;qid=1695565996&amp;sr=8-4")</f>
        <v/>
      </c>
      <c r="F4179" t="inlineStr">
        <is>
          <t>B000084JMC</t>
        </is>
      </c>
      <c r="G4179">
        <f>_xlfn.IMAGE("https://faoschwarz.com/cdn/shop/products/djeco-puzzles-fire-truck-mini-jigsaw-puzzle-14980880564311_1080x.jpg?v=1656091143")</f>
        <v/>
      </c>
      <c r="H4179">
        <f>_xlfn.IMAGE("https://m.media-amazon.com/images/I/71tLO462TWL._AC_UL320_.jpg")</f>
        <v/>
      </c>
      <c r="K4179" t="inlineStr">
        <is>
          <t>13.0</t>
        </is>
      </c>
      <c r="L4179" t="n">
        <v>11.69</v>
      </c>
      <c r="M4179" s="1" t="inlineStr">
        <is>
          <t>-10.08%</t>
        </is>
      </c>
      <c r="N4179" t="n">
        <v>4.8</v>
      </c>
      <c r="O4179" t="n">
        <v>2552</v>
      </c>
      <c r="Q4179" t="inlineStr">
        <is>
          <t>InStock</t>
        </is>
      </c>
      <c r="R4179" t="inlineStr">
        <is>
          <t>undefined</t>
        </is>
      </c>
      <c r="S4179" t="inlineStr">
        <is>
          <t>4687943303255</t>
        </is>
      </c>
    </row>
    <row r="4180" ht="75" customHeight="1">
      <c r="A4180" s="2">
        <f>HYPERLINK("https://faoschwarz.com/products/fire-truck-mini-jigsaw-puzzle", "https://faoschwarz.com/products/fire-truck-mini-jigsaw-puzzle")</f>
        <v/>
      </c>
      <c r="B4180" s="2">
        <f>HYPERLINK("https://faoschwarz.com/products/fire-truck-mini-jigsaw-puzzle", "https://faoschwarz.com/products/fire-truck-mini-jigsaw-puzzle")</f>
        <v/>
      </c>
      <c r="C4180" t="inlineStr">
        <is>
          <t>Fire Truck Mini Jigsaw Puzzle</t>
        </is>
      </c>
      <c r="D4180" t="inlineStr">
        <is>
          <t>100 Piece Puzzles for Kids Ages 4-8,8-10,Fire Truck Shaped Floor Jigsaw Puzzles Gift for Children Learning Educational Puzzle Toy Birthday</t>
        </is>
      </c>
      <c r="E4180" s="2">
        <f>HYPERLINK("https://www.amazon.com/Puzzles-Children-Learning-Educational-Birthday/dp/B09SB861KJ/ref=sr_1_10?keywords=Fire+Truck+Mini+Jigsaw+Puzzle&amp;qid=1695565996&amp;sr=8-10", "https://www.amazon.com/Puzzles-Children-Learning-Educational-Birthday/dp/B09SB861KJ/ref=sr_1_10?keywords=Fire+Truck+Mini+Jigsaw+Puzzle&amp;qid=1695565996&amp;sr=8-10")</f>
        <v/>
      </c>
      <c r="F4180" t="inlineStr">
        <is>
          <t>B09SB861KJ</t>
        </is>
      </c>
      <c r="G4180">
        <f>_xlfn.IMAGE("https://faoschwarz.com/cdn/shop/products/djeco-puzzles-fire-truck-mini-jigsaw-puzzle-14980880564311_1080x.jpg?v=1656091143")</f>
        <v/>
      </c>
      <c r="H4180">
        <f>_xlfn.IMAGE("https://m.media-amazon.com/images/I/71LcFH961VL._AC_UL320_.jpg")</f>
        <v/>
      </c>
      <c r="K4180" t="inlineStr">
        <is>
          <t>13.0</t>
        </is>
      </c>
      <c r="L4180" t="n">
        <v>9.99</v>
      </c>
      <c r="M4180" s="1" t="inlineStr">
        <is>
          <t>-23.15%</t>
        </is>
      </c>
      <c r="N4180" t="n">
        <v>4.6</v>
      </c>
      <c r="O4180" t="n">
        <v>828</v>
      </c>
      <c r="Q4180" t="inlineStr">
        <is>
          <t>InStock</t>
        </is>
      </c>
      <c r="R4180" t="inlineStr">
        <is>
          <t>undefined</t>
        </is>
      </c>
      <c r="S4180" t="inlineStr">
        <is>
          <t>4687943303255</t>
        </is>
      </c>
    </row>
    <row r="4181" ht="75" customHeight="1">
      <c r="A4181" s="2">
        <f>HYPERLINK("https://faoschwarz.com/products/fire-truck-mini-jigsaw-puzzle", "https://faoschwarz.com/products/fire-truck-mini-jigsaw-puzzle")</f>
        <v/>
      </c>
      <c r="B4181" s="2">
        <f>HYPERLINK("https://faoschwarz.com/products/fire-truck-mini-jigsaw-puzzle", "https://faoschwarz.com/products/fire-truck-mini-jigsaw-puzzle")</f>
        <v/>
      </c>
      <c r="C4181" t="inlineStr">
        <is>
          <t>Fire Truck Mini Jigsaw Puzzle</t>
        </is>
      </c>
      <c r="D4181" t="inlineStr">
        <is>
          <t>Mudpuppy Fire Truck Shaped Mini Puzzle, 24 Pieces, 6” x 6” – Die-Cut Mini Jigsaw Puzzle in The Shape of a Fire Truck Driven by a Dog – Great Travel Activity for Kids, Makes a Great Gift Idea</t>
        </is>
      </c>
      <c r="E4181" s="2">
        <f>HYPERLINK("https://www.amazon.com/Mudpuppy-Truck-Shaped-Puzzle-Pieces/dp/0735365016/ref=sr_1_2?keywords=Fire+Truck+Mini+Jigsaw+Puzzle&amp;qid=1695565996&amp;sr=8-2", "https://www.amazon.com/Mudpuppy-Truck-Shaped-Puzzle-Pieces/dp/0735365016/ref=sr_1_2?keywords=Fire+Truck+Mini+Jigsaw+Puzzle&amp;qid=1695565996&amp;sr=8-2")</f>
        <v/>
      </c>
      <c r="F4181" t="inlineStr">
        <is>
          <t>0735365016</t>
        </is>
      </c>
      <c r="G4181">
        <f>_xlfn.IMAGE("https://faoschwarz.com/cdn/shop/products/djeco-puzzles-fire-truck-mini-jigsaw-puzzle-14980880564311_1080x.jpg?v=1656091143")</f>
        <v/>
      </c>
      <c r="H4181">
        <f>_xlfn.IMAGE("https://m.media-amazon.com/images/I/81yQl45bn-L._AC_UL320_.jpg")</f>
        <v/>
      </c>
      <c r="K4181" t="inlineStr">
        <is>
          <t>13.0</t>
        </is>
      </c>
      <c r="L4181" t="n">
        <v>4.99</v>
      </c>
      <c r="M4181" s="1" t="inlineStr">
        <is>
          <t>-61.62%</t>
        </is>
      </c>
      <c r="N4181" t="n">
        <v>4.4</v>
      </c>
      <c r="O4181" t="n">
        <v>119</v>
      </c>
      <c r="Q4181" t="inlineStr">
        <is>
          <t>InStock</t>
        </is>
      </c>
      <c r="R4181" t="inlineStr">
        <is>
          <t>undefined</t>
        </is>
      </c>
      <c r="S4181" t="inlineStr">
        <is>
          <t>4687943303255</t>
        </is>
      </c>
    </row>
    <row r="4182" ht="75" customHeight="1">
      <c r="A4182" s="2">
        <f>HYPERLINK("https://faoschwarz.com/products/foxtail-villa", "https://faoschwarz.com/products/foxtail-villa")</f>
        <v/>
      </c>
      <c r="B4182" s="2">
        <f>HYPERLINK("https://faoschwarz.com/products/foxtail-villa", "https://faoschwarz.com/products/foxtail-villa")</f>
        <v/>
      </c>
      <c r="C4182" t="inlineStr">
        <is>
          <t>Foxtail Villa</t>
        </is>
      </c>
      <c r="D4182" t="inlineStr">
        <is>
          <t>Tender Leaf Toys - Foxtail Villa - Beautiful Mid-Sized Wooden Town-Style Doll House with Starter Furniture Set - Miniature Play - Encourages Role-Play and Story Invention in Boys and Girls - Age 3+</t>
        </is>
      </c>
      <c r="E4182" s="2">
        <f>HYPERLINK("https://www.amazon.com/Tender-Leaf-Toys-Town-Style-Encourages/dp/B0BRRSJ8R5/ref=sr_1_2?keywords=Foxtail+Villa&amp;qid=1695565943&amp;sr=8-2", "https://www.amazon.com/Tender-Leaf-Toys-Town-Style-Encourages/dp/B0BRRSJ8R5/ref=sr_1_2?keywords=Foxtail+Villa&amp;qid=1695565943&amp;sr=8-2")</f>
        <v/>
      </c>
      <c r="F4182" t="inlineStr">
        <is>
          <t>B0BRRSJ8R5</t>
        </is>
      </c>
      <c r="G4182">
        <f>_xlfn.IMAGE("https://faoschwarz.com/cdn/shop/products/tender-leaf-preschool-foxtail-villa-14938476445783_1080x.jpg?v=1656131763")</f>
        <v/>
      </c>
      <c r="H4182">
        <f>_xlfn.IMAGE("https://m.media-amazon.com/images/I/61Zib18fIPL._AC_UL320_.jpg")</f>
        <v/>
      </c>
      <c r="K4182" t="inlineStr">
        <is>
          <t>245.0</t>
        </is>
      </c>
      <c r="L4182" t="n">
        <v>244.99</v>
      </c>
      <c r="M4182" s="1" t="inlineStr">
        <is>
          <t>-0.00%</t>
        </is>
      </c>
      <c r="N4182" t="n">
        <v>1</v>
      </c>
      <c r="O4182" t="n">
        <v>1</v>
      </c>
      <c r="Q4182" t="inlineStr">
        <is>
          <t>InStock</t>
        </is>
      </c>
      <c r="R4182" t="inlineStr">
        <is>
          <t>undefined</t>
        </is>
      </c>
      <c r="S4182" t="inlineStr">
        <is>
          <t>4680268808279</t>
        </is>
      </c>
    </row>
    <row r="4183" ht="75" customHeight="1">
      <c r="A4183" s="2">
        <f>HYPERLINK("https://faoschwarz.com/products/foxtail-villa", "https://faoschwarz.com/products/foxtail-villa")</f>
        <v/>
      </c>
      <c r="B4183" s="2">
        <f>HYPERLINK("https://faoschwarz.com/products/foxtail-villa", "https://faoschwarz.com/products/foxtail-villa")</f>
        <v/>
      </c>
      <c r="C4183" t="inlineStr">
        <is>
          <t>Foxtail Villa</t>
        </is>
      </c>
      <c r="D4183" t="inlineStr">
        <is>
          <t>Tender Leaf Toys - Foxtail Villa - Furnished 27.95” Tall Town Style Pretend Play Doll House - Encourage Creative and Imaginative Fun Play for Children 3+</t>
        </is>
      </c>
      <c r="E4183" s="2">
        <f>HYPERLINK("https://www.amazon.com/Tender-Leaf-Toys-Furnished-Imaginative/dp/B07RXMBWP7/ref=sr_1_1?keywords=Foxtail+Villa&amp;qid=1695565943&amp;sr=8-1", "https://www.amazon.com/Tender-Leaf-Toys-Furnished-Imaginative/dp/B07RXMBWP7/ref=sr_1_1?keywords=Foxtail+Villa&amp;qid=1695565943&amp;sr=8-1")</f>
        <v/>
      </c>
      <c r="F4183" t="inlineStr">
        <is>
          <t>B07RXMBWP7</t>
        </is>
      </c>
      <c r="G4183">
        <f>_xlfn.IMAGE("https://faoschwarz.com/cdn/shop/products/tender-leaf-preschool-foxtail-villa-14938476445783_1080x.jpg?v=1656131763")</f>
        <v/>
      </c>
      <c r="H4183">
        <f>_xlfn.IMAGE("https://m.media-amazon.com/images/I/51GE+5bw2wL._AC_UL320_.jpg")</f>
        <v/>
      </c>
      <c r="K4183" t="inlineStr">
        <is>
          <t>245.0</t>
        </is>
      </c>
      <c r="L4183" t="n">
        <v>244.99</v>
      </c>
      <c r="M4183" s="1" t="inlineStr">
        <is>
          <t>-0.00%</t>
        </is>
      </c>
      <c r="N4183" t="n">
        <v>4.1</v>
      </c>
      <c r="O4183" t="n">
        <v>7</v>
      </c>
      <c r="Q4183" t="inlineStr">
        <is>
          <t>InStock</t>
        </is>
      </c>
      <c r="R4183" t="inlineStr">
        <is>
          <t>undefined</t>
        </is>
      </c>
      <c r="S4183" t="inlineStr">
        <is>
          <t>4680268808279</t>
        </is>
      </c>
    </row>
    <row r="4184" ht="75" customHeight="1">
      <c r="A4184" s="2">
        <f>HYPERLINK("https://faoschwarz.com/products/garden-wheelbarrow-set", "https://faoschwarz.com/products/garden-wheelbarrow-set")</f>
        <v/>
      </c>
      <c r="B4184" s="2">
        <f>HYPERLINK("https://faoschwarz.com/products/garden-wheelbarrow-set", "https://faoschwarz.com/products/garden-wheelbarrow-set")</f>
        <v/>
      </c>
      <c r="C4184" t="inlineStr">
        <is>
          <t>Garden Wheelbarrow Set</t>
        </is>
      </c>
      <c r="D4184" t="inlineStr">
        <is>
          <t>Gorilla Carts GCT13NF 13 Inch No Flat Replacement Pneumatic Tire Wheel with Offset Hub, Utility Garden Cart, Wheelbarrow, Dolly, Wagon, and Go Cart, 4 Pack</t>
        </is>
      </c>
      <c r="E4184" s="2">
        <f>HYPERLINK("https://www.amazon.com/Gorilla-Carts-GCT-13NF-Replacement-Tire/dp/B07MGJ42XT/ref=sr_1_10?keywords=Garden+Wheelbarrow+Set&amp;qid=1695565962&amp;sr=8-10", "https://www.amazon.com/Gorilla-Carts-GCT-13NF-Replacement-Tire/dp/B07MGJ42XT/ref=sr_1_10?keywords=Garden+Wheelbarrow+Set&amp;qid=1695565962&amp;sr=8-10")</f>
        <v/>
      </c>
      <c r="F4184" t="inlineStr">
        <is>
          <t>B07MGJ42XT</t>
        </is>
      </c>
      <c r="G4184">
        <f>_xlfn.IMAGE("https://faoschwarz.com/cdn/shop/products/tender-leaf-preschool-garden-wheelbarrow-set-28298849648727_1080x.jpg?v=1656168259")</f>
        <v/>
      </c>
      <c r="H4184">
        <f>_xlfn.IMAGE("https://m.media-amazon.com/images/I/71gbW3OdmRL._AC_UL320_.jpg")</f>
        <v/>
      </c>
      <c r="K4184" t="inlineStr">
        <is>
          <t>95.0</t>
        </is>
      </c>
      <c r="L4184" t="n">
        <v>100.99</v>
      </c>
      <c r="M4184" s="1" t="inlineStr">
        <is>
          <t>6.31%</t>
        </is>
      </c>
      <c r="N4184" t="n">
        <v>4.8</v>
      </c>
      <c r="O4184" t="n">
        <v>1019</v>
      </c>
      <c r="Q4184" t="inlineStr">
        <is>
          <t>InStock</t>
        </is>
      </c>
      <c r="R4184" t="inlineStr">
        <is>
          <t>undefined</t>
        </is>
      </c>
      <c r="S4184" t="inlineStr">
        <is>
          <t>4680268742743</t>
        </is>
      </c>
    </row>
    <row r="4185" ht="75" customHeight="1">
      <c r="A4185" s="2">
        <f>HYPERLINK("https://faoschwarz.com/products/garden-wheelbarrow-set", "https://faoschwarz.com/products/garden-wheelbarrow-set")</f>
        <v/>
      </c>
      <c r="B4185" s="2">
        <f>HYPERLINK("https://faoschwarz.com/products/garden-wheelbarrow-set", "https://faoschwarz.com/products/garden-wheelbarrow-set")</f>
        <v/>
      </c>
      <c r="C4185" t="inlineStr">
        <is>
          <t>Garden Wheelbarrow Set</t>
        </is>
      </c>
      <c r="D4185" t="inlineStr">
        <is>
          <t>Wheelbarrow Tires 4.80/4.00-8 with 3/4 &amp; 5/8 Ball Bearing, 3.5-6" Hub Flat Free 16 inch Solid Rubber Tire Replacement Wheelbarrow Wheel 4.80-8 for Wheel Barrel Yard Cart Garden Wagon (Set of 2)</t>
        </is>
      </c>
      <c r="E4185" s="2">
        <f>HYPERLINK("https://www.amazon.com/Wheelbarrow-4-00-8-Bearing-Rubber-Replacement/dp/B096W9CZCY/ref=sr_1_9?keywords=Garden+Wheelbarrow+Set&amp;qid=1695565962&amp;sr=8-9", "https://www.amazon.com/Wheelbarrow-4-00-8-Bearing-Rubber-Replacement/dp/B096W9CZCY/ref=sr_1_9?keywords=Garden+Wheelbarrow+Set&amp;qid=1695565962&amp;sr=8-9")</f>
        <v/>
      </c>
      <c r="F4185" t="inlineStr">
        <is>
          <t>B096W9CZCY</t>
        </is>
      </c>
      <c r="G4185">
        <f>_xlfn.IMAGE("https://faoschwarz.com/cdn/shop/products/tender-leaf-preschool-garden-wheelbarrow-set-28298849648727_1080x.jpg?v=1656168259")</f>
        <v/>
      </c>
      <c r="H4185">
        <f>_xlfn.IMAGE("https://m.media-amazon.com/images/I/61y2alyizlL._AC_UL320_.jpg")</f>
        <v/>
      </c>
      <c r="K4185" t="inlineStr">
        <is>
          <t>95.0</t>
        </is>
      </c>
      <c r="L4185" t="n">
        <v>69.98999999999999</v>
      </c>
      <c r="M4185" s="1" t="inlineStr">
        <is>
          <t>-26.33%</t>
        </is>
      </c>
      <c r="N4185" t="n">
        <v>4.1</v>
      </c>
      <c r="O4185" t="n">
        <v>214</v>
      </c>
      <c r="Q4185" t="inlineStr">
        <is>
          <t>InStock</t>
        </is>
      </c>
      <c r="R4185" t="inlineStr">
        <is>
          <t>undefined</t>
        </is>
      </c>
      <c r="S4185" t="inlineStr">
        <is>
          <t>4680268742743</t>
        </is>
      </c>
    </row>
    <row r="4186" ht="75" customHeight="1">
      <c r="A4186" s="2">
        <f>HYPERLINK("https://faoschwarz.com/products/garden-wheelbarrow-set", "https://faoschwarz.com/products/garden-wheelbarrow-set")</f>
        <v/>
      </c>
      <c r="B4186" s="2">
        <f>HYPERLINK("https://faoschwarz.com/products/garden-wheelbarrow-set", "https://faoschwarz.com/products/garden-wheelbarrow-set")</f>
        <v/>
      </c>
      <c r="C4186" t="inlineStr">
        <is>
          <t>Garden Wheelbarrow Set</t>
        </is>
      </c>
      <c r="D4186" t="inlineStr">
        <is>
          <t>MaxAuto 10 Inch Solid Rubber Tires 4.10 3.50-4 Flat Free Tire 4.10/3.50-4 Tire and Wheel, 2.25" Offset Hub, 5/8" Bearings, for Hand Truck, Trolley, Garden Cart, Lawn Mower, Garden Wagon, Wheelbarrow</t>
        </is>
      </c>
      <c r="E4186" s="2">
        <f>HYPERLINK("https://www.amazon.com/MaxAuto-4-Pack-Rubber-Trolley-Bearings/dp/B08L3CQMHH/ref=sr_1_8?keywords=Garden+Wheelbarrow+Set&amp;qid=1695565962&amp;sr=8-8", "https://www.amazon.com/MaxAuto-4-Pack-Rubber-Trolley-Bearings/dp/B08L3CQMHH/ref=sr_1_8?keywords=Garden+Wheelbarrow+Set&amp;qid=1695565962&amp;sr=8-8")</f>
        <v/>
      </c>
      <c r="F4186" t="inlineStr">
        <is>
          <t>B08L3CQMHH</t>
        </is>
      </c>
      <c r="G4186">
        <f>_xlfn.IMAGE("https://faoschwarz.com/cdn/shop/products/tender-leaf-preschool-garden-wheelbarrow-set-28298849648727_1080x.jpg?v=1656168259")</f>
        <v/>
      </c>
      <c r="H4186">
        <f>_xlfn.IMAGE("https://m.media-amazon.com/images/I/81Omr0xvj5L._AC_UL320_.jpg")</f>
        <v/>
      </c>
      <c r="K4186" t="inlineStr">
        <is>
          <t>95.0</t>
        </is>
      </c>
      <c r="L4186" t="n">
        <v>69.98999999999999</v>
      </c>
      <c r="M4186" s="1" t="inlineStr">
        <is>
          <t>-26.33%</t>
        </is>
      </c>
      <c r="N4186" t="n">
        <v>4.7</v>
      </c>
      <c r="O4186" t="n">
        <v>708</v>
      </c>
      <c r="Q4186" t="inlineStr">
        <is>
          <t>InStock</t>
        </is>
      </c>
      <c r="R4186" t="inlineStr">
        <is>
          <t>undefined</t>
        </is>
      </c>
      <c r="S4186" t="inlineStr">
        <is>
          <t>4680268742743</t>
        </is>
      </c>
    </row>
    <row r="4187" ht="75" customHeight="1">
      <c r="A4187" s="2">
        <f>HYPERLINK("https://faoschwarz.com/products/garden-wheelbarrow-set", "https://faoschwarz.com/products/garden-wheelbarrow-set")</f>
        <v/>
      </c>
      <c r="B4187" s="2">
        <f>HYPERLINK("https://faoschwarz.com/products/garden-wheelbarrow-set", "https://faoschwarz.com/products/garden-wheelbarrow-set")</f>
        <v/>
      </c>
      <c r="C4187" t="inlineStr">
        <is>
          <t>Garden Wheelbarrow Set</t>
        </is>
      </c>
      <c r="D4187" t="inlineStr">
        <is>
          <t>13" Flat Free Solid Tire and Wheel 5/8” Axle, 2.1"Offset Hub, 2 Pack Replacement Tire for Gorilla Carts Wheelbarrow Garden Cart Trolleys Hand Trucks and Yard Trailers</t>
        </is>
      </c>
      <c r="E4187" s="2">
        <f>HYPERLINK("https://www.amazon.com/Ganggend-Replacement-Wheelbarrow-Trolleys-Trailers/dp/B0B5DDFS7C/ref=sr_1_5?keywords=Garden+Wheelbarrow+Set&amp;qid=1695565962&amp;sr=8-5", "https://www.amazon.com/Ganggend-Replacement-Wheelbarrow-Trolleys-Trailers/dp/B0B5DDFS7C/ref=sr_1_5?keywords=Garden+Wheelbarrow+Set&amp;qid=1695565962&amp;sr=8-5")</f>
        <v/>
      </c>
      <c r="F4187" t="inlineStr">
        <is>
          <t>B0B5DDFS7C</t>
        </is>
      </c>
      <c r="G4187">
        <f>_xlfn.IMAGE("https://faoschwarz.com/cdn/shop/products/tender-leaf-preschool-garden-wheelbarrow-set-28298849648727_1080x.jpg?v=1656168259")</f>
        <v/>
      </c>
      <c r="H4187">
        <f>_xlfn.IMAGE("https://m.media-amazon.com/images/I/71ihNys21pL._AC_UL320_.jpg")</f>
        <v/>
      </c>
      <c r="K4187" t="inlineStr">
        <is>
          <t>95.0</t>
        </is>
      </c>
      <c r="L4187" t="n">
        <v>42.99</v>
      </c>
      <c r="M4187" s="1" t="inlineStr">
        <is>
          <t>-54.75%</t>
        </is>
      </c>
      <c r="N4187" t="n">
        <v>3.9</v>
      </c>
      <c r="O4187" t="n">
        <v>17</v>
      </c>
      <c r="Q4187" t="inlineStr">
        <is>
          <t>InStock</t>
        </is>
      </c>
      <c r="R4187" t="inlineStr">
        <is>
          <t>undefined</t>
        </is>
      </c>
      <c r="S4187" t="inlineStr">
        <is>
          <t>4680268742743</t>
        </is>
      </c>
    </row>
    <row r="4188" ht="75" customHeight="1">
      <c r="A4188" s="2">
        <f>HYPERLINK("https://faoschwarz.com/products/garden-wheelbarrow-set", "https://faoschwarz.com/products/garden-wheelbarrow-set")</f>
        <v/>
      </c>
      <c r="B4188" s="2">
        <f>HYPERLINK("https://faoschwarz.com/products/garden-wheelbarrow-set", "https://faoschwarz.com/products/garden-wheelbarrow-set")</f>
        <v/>
      </c>
      <c r="C4188" t="inlineStr">
        <is>
          <t>Garden Wheelbarrow Set</t>
        </is>
      </c>
      <c r="D4188" t="inlineStr">
        <is>
          <t>4.00-6 Replacement Tire and Inner Tube Set, 13" Heavy Duty Tire and Wheel, TR-13 Straight Valve Stem, for Wheelbarrow Trolley Dolly Garden Wagon Wheel Replacement, 1 Pack</t>
        </is>
      </c>
      <c r="E4188" s="2">
        <f>HYPERLINK("https://www.amazon.com/GICOOL-Replacement-Straight-Wheelbarrow-Trolley/dp/B0C48F6Q6S/ref=sr_1_3?keywords=Garden+Wheelbarrow+Set&amp;qid=1695565962&amp;sr=8-3", "https://www.amazon.com/GICOOL-Replacement-Straight-Wheelbarrow-Trolley/dp/B0C48F6Q6S/ref=sr_1_3?keywords=Garden+Wheelbarrow+Set&amp;qid=1695565962&amp;sr=8-3")</f>
        <v/>
      </c>
      <c r="F4188" t="inlineStr">
        <is>
          <t>B0C48F6Q6S</t>
        </is>
      </c>
      <c r="G4188">
        <f>_xlfn.IMAGE("https://faoschwarz.com/cdn/shop/products/tender-leaf-preschool-garden-wheelbarrow-set-28298849648727_1080x.jpg?v=1656168259")</f>
        <v/>
      </c>
      <c r="H4188">
        <f>_xlfn.IMAGE("https://m.media-amazon.com/images/I/61-itJv60yL._AC_UL320_.jpg")</f>
        <v/>
      </c>
      <c r="K4188" t="inlineStr">
        <is>
          <t>95.0</t>
        </is>
      </c>
      <c r="L4188" t="n">
        <v>11.99</v>
      </c>
      <c r="M4188" s="1" t="inlineStr">
        <is>
          <t>-87.38%</t>
        </is>
      </c>
      <c r="N4188" t="n">
        <v>4.1</v>
      </c>
      <c r="O4188" t="n">
        <v>18</v>
      </c>
      <c r="Q4188" t="inlineStr">
        <is>
          <t>InStock</t>
        </is>
      </c>
      <c r="R4188" t="inlineStr">
        <is>
          <t>undefined</t>
        </is>
      </c>
      <c r="S4188" t="inlineStr">
        <is>
          <t>4680268742743</t>
        </is>
      </c>
    </row>
    <row r="4189" ht="75" customHeight="1">
      <c r="A4189" s="2">
        <f>HYPERLINK("https://faoschwarz.com/products/garden-wheelbarrow-set", "https://faoschwarz.com/products/garden-wheelbarrow-set")</f>
        <v/>
      </c>
      <c r="B4189" s="2">
        <f>HYPERLINK("https://faoschwarz.com/products/garden-wheelbarrow-set", "https://faoschwarz.com/products/garden-wheelbarrow-set")</f>
        <v/>
      </c>
      <c r="C4189" t="inlineStr">
        <is>
          <t>Garden Wheelbarrow Set</t>
        </is>
      </c>
      <c r="D4189" t="inlineStr">
        <is>
          <t>3.00/3.50-8 Heavy Duty Replacement Inner Tire Tube with TR4 Value Stem for Pneumatic Wheelbarrow Wheel, Cart Wheel, Garden Cart, Wagons, Premium Rubber, Set of 2</t>
        </is>
      </c>
      <c r="E4189" s="2">
        <f>HYPERLINK("https://www.amazon.com/3-50-8-Replacement-Pneumatic-Wheelbarrow-Premium/dp/B0BQC29DY8/ref=sr_1_6?keywords=Garden+Wheelbarrow+Set&amp;qid=1695565962&amp;sr=8-6", "https://www.amazon.com/3-50-8-Replacement-Pneumatic-Wheelbarrow-Premium/dp/B0BQC29DY8/ref=sr_1_6?keywords=Garden+Wheelbarrow+Set&amp;qid=1695565962&amp;sr=8-6")</f>
        <v/>
      </c>
      <c r="F4189" t="inlineStr">
        <is>
          <t>B0BQC29DY8</t>
        </is>
      </c>
      <c r="G4189">
        <f>_xlfn.IMAGE("https://faoschwarz.com/cdn/shop/products/tender-leaf-preschool-garden-wheelbarrow-set-28298849648727_1080x.jpg?v=1656168259")</f>
        <v/>
      </c>
      <c r="H4189">
        <f>_xlfn.IMAGE("https://m.media-amazon.com/images/I/61mk0CE3IuL._AC_UL320_.jpg")</f>
        <v/>
      </c>
      <c r="K4189" t="inlineStr">
        <is>
          <t>95.0</t>
        </is>
      </c>
      <c r="L4189" t="n">
        <v>11.99</v>
      </c>
      <c r="M4189" s="1" t="inlineStr">
        <is>
          <t>-87.38%</t>
        </is>
      </c>
      <c r="N4189" t="n">
        <v>4.1</v>
      </c>
      <c r="O4189" t="n">
        <v>5</v>
      </c>
      <c r="Q4189" t="inlineStr">
        <is>
          <t>InStock</t>
        </is>
      </c>
      <c r="R4189" t="inlineStr">
        <is>
          <t>undefined</t>
        </is>
      </c>
      <c r="S4189" t="inlineStr">
        <is>
          <t>4680268742743</t>
        </is>
      </c>
    </row>
    <row r="4190" ht="75" customHeight="1">
      <c r="A4190" s="2">
        <f>HYPERLINK("https://faoschwarz.com/products/giant-electronic-dj-mixer-mat-1", "https://faoschwarz.com/products/giant-electronic-dj-mixer-mat-1")</f>
        <v/>
      </c>
      <c r="B4190" s="2">
        <f>HYPERLINK("https://faoschwarz.com/products/giant-electronic-dj-mixer-mat-1", "https://faoschwarz.com/products/giant-electronic-dj-mixer-mat-1")</f>
        <v/>
      </c>
      <c r="C4190" t="inlineStr">
        <is>
          <t>Giant Electronic DJ Mixer Mat</t>
        </is>
      </c>
      <c r="D4190" t="inlineStr">
        <is>
          <t>FAO Schwarz Giant Electronic DJ Mixer Mat with Piano Keyboard &amp; Turntable Scratch Pads, Includes Built-in Soundtracks &amp; Vocal &amp; Percussion Sound Effects for Composing &amp; Recording Your Own Music, Black</t>
        </is>
      </c>
      <c r="E4190" s="2">
        <f>HYPERLINK("https://www.amazon.com/FAO-Schwarz-Electronic-Soundtracks-Percussion/dp/B07KK2C5TB/ref=sr_1_1?keywords=Giant+Electronic+DJ+Mixer+Mat&amp;qid=1695565919&amp;sr=8-1", "https://www.amazon.com/FAO-Schwarz-Electronic-Soundtracks-Percussion/dp/B07KK2C5TB/ref=sr_1_1?keywords=Giant+Electronic+DJ+Mixer+Mat&amp;qid=1695565919&amp;sr=8-1")</f>
        <v/>
      </c>
      <c r="F4190" t="inlineStr">
        <is>
          <t>B07KK2C5TB</t>
        </is>
      </c>
      <c r="G4190">
        <f>_xlfn.IMAGE("https://faoschwarz.com/cdn/shop/products/fao-schwarz-music-giant-electronic-dj-mixer-mat-29477122408535_1080x.jpg?v=1662753036")</f>
        <v/>
      </c>
      <c r="H4190">
        <f>_xlfn.IMAGE("https://m.media-amazon.com/images/I/61GohkKiy4L._AC_UL320_.jpg")</f>
        <v/>
      </c>
      <c r="K4190" t="inlineStr">
        <is>
          <t>45.0</t>
        </is>
      </c>
      <c r="L4190" t="n">
        <v>78.98</v>
      </c>
      <c r="M4190" s="1" t="inlineStr">
        <is>
          <t>75.51%</t>
        </is>
      </c>
      <c r="N4190" t="n">
        <v>3.8</v>
      </c>
      <c r="O4190" t="n">
        <v>13</v>
      </c>
      <c r="Q4190" t="inlineStr">
        <is>
          <t>InStock</t>
        </is>
      </c>
      <c r="R4190" t="inlineStr">
        <is>
          <t>undefined</t>
        </is>
      </c>
      <c r="S4190" t="inlineStr">
        <is>
          <t>6805634973783</t>
        </is>
      </c>
    </row>
    <row r="4191" ht="75" customHeight="1">
      <c r="A4191" s="2">
        <f>HYPERLINK("https://faoschwarz.com/products/giant-floor-the-pirate-ship", "https://faoschwarz.com/products/giant-floor-the-pirate-ship")</f>
        <v/>
      </c>
      <c r="B4191" s="2">
        <f>HYPERLINK("https://faoschwarz.com/products/giant-floor-the-pirate-ship", "https://faoschwarz.com/products/giant-floor-the-pirate-ship")</f>
        <v/>
      </c>
      <c r="C4191" t="inlineStr">
        <is>
          <t>Giant Pirate Ship Jigsaw Puzzle</t>
        </is>
      </c>
      <c r="D4191" t="inlineStr">
        <is>
          <t>Ufcell 1000 PCS Jigsaw Puzzle Pirate Ship Adults Wooden Puzzle Leisure Creative Fun Game for Adult and Children</t>
        </is>
      </c>
      <c r="E4191" s="2">
        <f>HYPERLINK("https://www.amazon.com/Ufcell-Jigsaw-Leisure-Creative-Children/dp/B0965B7HDD/ref=sr_1_6?keywords=Giant+Pirate+Ship+Jigsaw+Puzzle&amp;qid=1695565998&amp;sr=8-6", "https://www.amazon.com/Ufcell-Jigsaw-Leisure-Creative-Children/dp/B0965B7HDD/ref=sr_1_6?keywords=Giant+Pirate+Ship+Jigsaw+Puzzle&amp;qid=1695565998&amp;sr=8-6")</f>
        <v/>
      </c>
      <c r="F4191" t="inlineStr">
        <is>
          <t>B0965B7HDD</t>
        </is>
      </c>
      <c r="G4191">
        <f>_xlfn.IMAGE("https://faoschwarz.com/cdn/shop/products/djeco-puzzles-giant-pirate-ship-jigsaw-puzzle-28326800785495_1080x.jpg?v=1656103863")</f>
        <v/>
      </c>
      <c r="H4191">
        <f>_xlfn.IMAGE("https://m.media-amazon.com/images/I/81U2b30CPhS._AC_UL320_.jpg")</f>
        <v/>
      </c>
      <c r="K4191" t="inlineStr">
        <is>
          <t>28.0</t>
        </is>
      </c>
      <c r="L4191" t="n">
        <v>28.99</v>
      </c>
      <c r="M4191" s="1" t="inlineStr">
        <is>
          <t>3.54%</t>
        </is>
      </c>
      <c r="N4191" t="n">
        <v>4.2</v>
      </c>
      <c r="O4191" t="n">
        <v>6</v>
      </c>
      <c r="Q4191" t="inlineStr">
        <is>
          <t>InStock</t>
        </is>
      </c>
      <c r="R4191" t="inlineStr">
        <is>
          <t>undefined</t>
        </is>
      </c>
      <c r="S4191" t="inlineStr">
        <is>
          <t>6562331525207</t>
        </is>
      </c>
    </row>
    <row r="4192" ht="75" customHeight="1">
      <c r="A4192" s="2">
        <f>HYPERLINK("https://faoschwarz.com/products/giant-floor-the-pirate-ship", "https://faoschwarz.com/products/giant-floor-the-pirate-ship")</f>
        <v/>
      </c>
      <c r="B4192" s="2">
        <f>HYPERLINK("https://faoschwarz.com/products/giant-floor-the-pirate-ship", "https://faoschwarz.com/products/giant-floor-the-pirate-ship")</f>
        <v/>
      </c>
      <c r="C4192" t="inlineStr">
        <is>
          <t>Giant Pirate Ship Jigsaw Puzzle</t>
        </is>
      </c>
      <c r="D4192" t="inlineStr">
        <is>
          <t>1000 Piece Jigsaw Puzzle Pirate Ship School Supplies Challenge Puzzle Educational Game Puzzle for Adults Animal Plant Wooden Puzzles Nature Floor Props Kid Gift Unzip Toy Difficult Puzzles</t>
        </is>
      </c>
      <c r="E4192" s="2">
        <f>HYPERLINK("https://www.amazon.com/Supplies-Challenge-Educational-Puzzles-Difficult/dp/B09JBTYWRC/ref=sr_1_2?keywords=Giant+Pirate+Ship+Jigsaw+Puzzle&amp;qid=1695565998&amp;sr=8-2", "https://www.amazon.com/Supplies-Challenge-Educational-Puzzles-Difficult/dp/B09JBTYWRC/ref=sr_1_2?keywords=Giant+Pirate+Ship+Jigsaw+Puzzle&amp;qid=1695565998&amp;sr=8-2")</f>
        <v/>
      </c>
      <c r="F4192" t="inlineStr">
        <is>
          <t>B09JBTYWRC</t>
        </is>
      </c>
      <c r="G4192">
        <f>_xlfn.IMAGE("https://faoschwarz.com/cdn/shop/products/djeco-puzzles-giant-pirate-ship-jigsaw-puzzle-28326800785495_1080x.jpg?v=1656103863")</f>
        <v/>
      </c>
      <c r="H4192">
        <f>_xlfn.IMAGE("https://m.media-amazon.com/images/I/71dfa2SvWcL._AC_UL320_.jpg")</f>
        <v/>
      </c>
      <c r="K4192" t="inlineStr">
        <is>
          <t>28.0</t>
        </is>
      </c>
      <c r="L4192" t="n">
        <v>26.59</v>
      </c>
      <c r="M4192" s="1" t="inlineStr">
        <is>
          <t>-5.04%</t>
        </is>
      </c>
      <c r="N4192" t="n">
        <v>5</v>
      </c>
      <c r="O4192" t="n">
        <v>1</v>
      </c>
      <c r="Q4192" t="inlineStr">
        <is>
          <t>InStock</t>
        </is>
      </c>
      <c r="R4192" t="inlineStr">
        <is>
          <t>undefined</t>
        </is>
      </c>
      <c r="S4192" t="inlineStr">
        <is>
          <t>6562331525207</t>
        </is>
      </c>
    </row>
    <row r="4193" ht="75" customHeight="1">
      <c r="A4193" s="2">
        <f>HYPERLINK("https://faoschwarz.com/products/giant-floor-the-pirate-ship", "https://faoschwarz.com/products/giant-floor-the-pirate-ship")</f>
        <v/>
      </c>
      <c r="B4193" s="2">
        <f>HYPERLINK("https://faoschwarz.com/products/giant-floor-the-pirate-ship", "https://faoschwarz.com/products/giant-floor-the-pirate-ship")</f>
        <v/>
      </c>
      <c r="C4193" t="inlineStr">
        <is>
          <t>Giant Pirate Ship Jigsaw Puzzle</t>
        </is>
      </c>
      <c r="D4193" t="inlineStr">
        <is>
          <t>WZVZGZ Wooden Puzzles Pirate Ship 1000 Pieces Adult Jigsaw Puzzles Stress Relief Game Positive Thinking Puzzles for Party Entertainment Wooden Puzzle Magic Puzzles, 1000pcs</t>
        </is>
      </c>
      <c r="E4193" s="2">
        <f>HYPERLINK("https://www.amazon.com/WZVZGZ-Puzzles-Positive-Thinking-Entertainment/dp/B09MT6RKNQ/ref=sr_1_10?keywords=Giant+Pirate+Ship+Jigsaw+Puzzle&amp;qid=1695565998&amp;sr=8-10", "https://www.amazon.com/WZVZGZ-Puzzles-Positive-Thinking-Entertainment/dp/B09MT6RKNQ/ref=sr_1_10?keywords=Giant+Pirate+Ship+Jigsaw+Puzzle&amp;qid=1695565998&amp;sr=8-10")</f>
        <v/>
      </c>
      <c r="F4193" t="inlineStr">
        <is>
          <t>B09MT6RKNQ</t>
        </is>
      </c>
      <c r="G4193">
        <f>_xlfn.IMAGE("https://faoschwarz.com/cdn/shop/products/djeco-puzzles-giant-pirate-ship-jigsaw-puzzle-28326800785495_1080x.jpg?v=1656103863")</f>
        <v/>
      </c>
      <c r="H4193">
        <f>_xlfn.IMAGE("https://m.media-amazon.com/images/I/61GHVmRiH2L._AC_UL320_.jpg")</f>
        <v/>
      </c>
      <c r="K4193" t="inlineStr">
        <is>
          <t>28.0</t>
        </is>
      </c>
      <c r="L4193" t="n">
        <v>23.88</v>
      </c>
      <c r="M4193" s="1" t="inlineStr">
        <is>
          <t>-14.71%</t>
        </is>
      </c>
      <c r="N4193" t="n">
        <v>3.7</v>
      </c>
      <c r="O4193" t="n">
        <v>18</v>
      </c>
      <c r="Q4193" t="inlineStr">
        <is>
          <t>InStock</t>
        </is>
      </c>
      <c r="R4193" t="inlineStr">
        <is>
          <t>undefined</t>
        </is>
      </c>
      <c r="S4193" t="inlineStr">
        <is>
          <t>6562331525207</t>
        </is>
      </c>
    </row>
    <row r="4194" ht="75" customHeight="1">
      <c r="A4194" s="2">
        <f>HYPERLINK("https://faoschwarz.com/products/giant-floor-the-pirate-ship", "https://faoschwarz.com/products/giant-floor-the-pirate-ship")</f>
        <v/>
      </c>
      <c r="B4194" s="2">
        <f>HYPERLINK("https://faoschwarz.com/products/giant-floor-the-pirate-ship", "https://faoschwarz.com/products/giant-floor-the-pirate-ship")</f>
        <v/>
      </c>
      <c r="C4194" t="inlineStr">
        <is>
          <t>Giant Pirate Ship Jigsaw Puzzle</t>
        </is>
      </c>
      <c r="D4194" t="inlineStr">
        <is>
          <t>Playqid Jumbo Pirate Ship Toddler Jigsaw Puzzle for Kids | Sneaky Pirates 25 Jumbo Piece Floor Puzzle for Age 3 Year Old Boys and Girls | Educational and Fun Puzzles for Kids</t>
        </is>
      </c>
      <c r="E4194" s="2">
        <f>HYPERLINK("https://www.amazon.com/PLAYQID-Sneaky-Pirates-Jigsaw-Puzzle/dp/B07P41XYZD/ref=sr_1_5?keywords=Giant+Pirate+Ship+Jigsaw+Puzzle&amp;qid=1695565998&amp;sr=8-5", "https://www.amazon.com/PLAYQID-Sneaky-Pirates-Jigsaw-Puzzle/dp/B07P41XYZD/ref=sr_1_5?keywords=Giant+Pirate+Ship+Jigsaw+Puzzle&amp;qid=1695565998&amp;sr=8-5")</f>
        <v/>
      </c>
      <c r="F4194" t="inlineStr">
        <is>
          <t>B07P41XYZD</t>
        </is>
      </c>
      <c r="G4194">
        <f>_xlfn.IMAGE("https://faoschwarz.com/cdn/shop/products/djeco-puzzles-giant-pirate-ship-jigsaw-puzzle-28326800785495_1080x.jpg?v=1656103863")</f>
        <v/>
      </c>
      <c r="H4194">
        <f>_xlfn.IMAGE("https://m.media-amazon.com/images/I/71BOAcVowNL._AC_UL320_.jpg")</f>
        <v/>
      </c>
      <c r="K4194" t="inlineStr">
        <is>
          <t>28.0</t>
        </is>
      </c>
      <c r="L4194" t="n">
        <v>15.99</v>
      </c>
      <c r="M4194" s="1" t="inlineStr">
        <is>
          <t>-42.89%</t>
        </is>
      </c>
      <c r="N4194" t="n">
        <v>4.4</v>
      </c>
      <c r="O4194" t="n">
        <v>9</v>
      </c>
      <c r="Q4194" t="inlineStr">
        <is>
          <t>InStock</t>
        </is>
      </c>
      <c r="R4194" t="inlineStr">
        <is>
          <t>undefined</t>
        </is>
      </c>
      <c r="S4194" t="inlineStr">
        <is>
          <t>6562331525207</t>
        </is>
      </c>
    </row>
    <row r="4195" ht="75" customHeight="1">
      <c r="A4195" s="2">
        <f>HYPERLINK("https://faoschwarz.com/products/giant-floor-the-pirate-ship", "https://faoschwarz.com/products/giant-floor-the-pirate-ship")</f>
        <v/>
      </c>
      <c r="B4195" s="2">
        <f>HYPERLINK("https://faoschwarz.com/products/giant-floor-the-pirate-ship", "https://faoschwarz.com/products/giant-floor-the-pirate-ship")</f>
        <v/>
      </c>
      <c r="C4195" t="inlineStr">
        <is>
          <t>Giant Pirate Ship Jigsaw Puzzle</t>
        </is>
      </c>
      <c r="D4195" t="inlineStr">
        <is>
          <t>ZEYUSI Magnetic Puzzles for Kids Ages 3-5 Toys Gifts -84 Pieces Toddler Puzzles for 4-8 Year Old 2-in-1 Pirate Ship Jigsaw Puzzles Book-Travel Games and Travel Toys for Boys Girls（Large Size）</t>
        </is>
      </c>
      <c r="E4195" s="2">
        <f>HYPERLINK("https://www.amazon.com/ZEYUSI-Magnetic-Puzzles-Book-Travel-Girls%EF%BC%88Large/dp/B0BYF6JRWK/ref=sr_1_8?keywords=Giant+Pirate+Ship+Jigsaw+Puzzle&amp;qid=1695565998&amp;sr=8-8", "https://www.amazon.com/ZEYUSI-Magnetic-Puzzles-Book-Travel-Girls%EF%BC%88Large/dp/B0BYF6JRWK/ref=sr_1_8?keywords=Giant+Pirate+Ship+Jigsaw+Puzzle&amp;qid=1695565998&amp;sr=8-8")</f>
        <v/>
      </c>
      <c r="F4195" t="inlineStr">
        <is>
          <t>B0BYF6JRWK</t>
        </is>
      </c>
      <c r="G4195">
        <f>_xlfn.IMAGE("https://faoschwarz.com/cdn/shop/products/djeco-puzzles-giant-pirate-ship-jigsaw-puzzle-28326800785495_1080x.jpg?v=1656103863")</f>
        <v/>
      </c>
      <c r="H4195">
        <f>_xlfn.IMAGE("https://m.media-amazon.com/images/I/81EfBAbpieL._AC_UL320_.jpg")</f>
        <v/>
      </c>
      <c r="K4195" t="inlineStr">
        <is>
          <t>28.0</t>
        </is>
      </c>
      <c r="L4195" t="n">
        <v>13.59</v>
      </c>
      <c r="M4195" s="1" t="inlineStr">
        <is>
          <t>-51.46%</t>
        </is>
      </c>
      <c r="N4195" t="n">
        <v>4.7</v>
      </c>
      <c r="O4195" t="n">
        <v>16</v>
      </c>
      <c r="Q4195" t="inlineStr">
        <is>
          <t>InStock</t>
        </is>
      </c>
      <c r="R4195" t="inlineStr">
        <is>
          <t>undefined</t>
        </is>
      </c>
      <c r="S4195" t="inlineStr">
        <is>
          <t>6562331525207</t>
        </is>
      </c>
    </row>
    <row r="4196" ht="75" customHeight="1">
      <c r="A4196" s="2">
        <f>HYPERLINK("https://faoschwarz.com/products/giant-floor-the-pirate-ship", "https://faoschwarz.com/products/giant-floor-the-pirate-ship")</f>
        <v/>
      </c>
      <c r="B4196" s="2">
        <f>HYPERLINK("https://faoschwarz.com/products/giant-floor-the-pirate-ship", "https://faoschwarz.com/products/giant-floor-the-pirate-ship")</f>
        <v/>
      </c>
      <c r="C4196" t="inlineStr">
        <is>
          <t>Giant Pirate Ship Jigsaw Puzzle</t>
        </is>
      </c>
      <c r="D4196" t="inlineStr">
        <is>
          <t>Just Smarty Pirate Jigsaw Puzzles for Kids Ages 4-8 Years | 56 Pieces Pirate Ship Toddler Puzzles | Pirate Puzzle for Boys and Girls | Treasure Hunt Puzzles For Kids Ages 6-8 | Pirate Children Puzzles</t>
        </is>
      </c>
      <c r="E4196" s="2">
        <f>HYPERLINK("https://www.amazon.com/Just-Smarty-Puzzles-Treasure-Children/dp/B0C1Q7XGVQ/ref=sr_1_9?keywords=Giant+Pirate+Ship+Jigsaw+Puzzle&amp;qid=1695565998&amp;sr=8-9", "https://www.amazon.com/Just-Smarty-Puzzles-Treasure-Children/dp/B0C1Q7XGVQ/ref=sr_1_9?keywords=Giant+Pirate+Ship+Jigsaw+Puzzle&amp;qid=1695565998&amp;sr=8-9")</f>
        <v/>
      </c>
      <c r="F4196" t="inlineStr">
        <is>
          <t>B0C1Q7XGVQ</t>
        </is>
      </c>
      <c r="G4196">
        <f>_xlfn.IMAGE("https://faoschwarz.com/cdn/shop/products/djeco-puzzles-giant-pirate-ship-jigsaw-puzzle-28326800785495_1080x.jpg?v=1656103863")</f>
        <v/>
      </c>
      <c r="H4196">
        <f>_xlfn.IMAGE("https://m.media-amazon.com/images/I/81xz9FkDsNL._AC_UL320_.jpg")</f>
        <v/>
      </c>
      <c r="K4196" t="inlineStr">
        <is>
          <t>28.0</t>
        </is>
      </c>
      <c r="L4196" t="n">
        <v>8.949999999999999</v>
      </c>
      <c r="M4196" s="1" t="inlineStr">
        <is>
          <t>-68.04%</t>
        </is>
      </c>
      <c r="N4196" t="n">
        <v>4.6</v>
      </c>
      <c r="O4196" t="n">
        <v>1302</v>
      </c>
      <c r="Q4196" t="inlineStr">
        <is>
          <t>InStock</t>
        </is>
      </c>
      <c r="R4196" t="inlineStr">
        <is>
          <t>undefined</t>
        </is>
      </c>
      <c r="S4196" t="inlineStr">
        <is>
          <t>6562331525207</t>
        </is>
      </c>
    </row>
    <row r="4197" ht="75" customHeight="1">
      <c r="A4197" s="2">
        <f>HYPERLINK("https://faoschwarz.com/products/giant-floor-the-pirate-ship", "https://faoschwarz.com/products/giant-floor-the-pirate-ship")</f>
        <v/>
      </c>
      <c r="B4197" s="2">
        <f>HYPERLINK("https://faoschwarz.com/products/giant-floor-the-pirate-ship", "https://faoschwarz.com/products/giant-floor-the-pirate-ship")</f>
        <v/>
      </c>
      <c r="C4197" t="inlineStr">
        <is>
          <t>Giant Pirate Ship Jigsaw Puzzle</t>
        </is>
      </c>
      <c r="D4197" t="inlineStr">
        <is>
          <t>WZVZGZ Wooden Puzzles Pirate Ship 1000 Pieces Adult Jigsaw Puzzles Stress Relief Game Positive Thinking Puzzles for Party Entertainment Wooden Puzzle Magic Puzzles, 1000pcs</t>
        </is>
      </c>
      <c r="E4197" s="2">
        <f>HYPERLINK("https://www.amazon.com/WZVZGZ-Puzzles-Positive-Thinking-Entertainment/dp/B09MT6RKNQ/ref=sr_1_10?keywords=Giant+Pirate+Ship+Jigsaw+Puzzle&amp;qid=1695565998&amp;sr=8-10", "https://www.amazon.com/WZVZGZ-Puzzles-Positive-Thinking-Entertainment/dp/B09MT6RKNQ/ref=sr_1_10?keywords=Giant+Pirate+Ship+Jigsaw+Puzzle&amp;qid=1695565998&amp;sr=8-10")</f>
        <v/>
      </c>
      <c r="F4197" t="inlineStr">
        <is>
          <t>B09MT6RKNQ</t>
        </is>
      </c>
      <c r="G4197">
        <f>_xlfn.IMAGE("https://faoschwarz.com/cdn/shop/products/djeco-puzzles-giant-pirate-ship-jigsaw-puzzle-28326800785495_1080x.jpg?v=1656103863")</f>
        <v/>
      </c>
      <c r="H4197">
        <f>_xlfn.IMAGE("https://m.media-amazon.com/images/I/61GHVmRiH2L._AC_UL320_.jpg")</f>
        <v/>
      </c>
      <c r="K4197" t="inlineStr">
        <is>
          <t>28.0</t>
        </is>
      </c>
      <c r="L4197" t="n">
        <v>23.88</v>
      </c>
      <c r="M4197" s="1" t="inlineStr">
        <is>
          <t>-14.71%</t>
        </is>
      </c>
      <c r="N4197" t="n">
        <v>3.7</v>
      </c>
      <c r="O4197" t="n">
        <v>18</v>
      </c>
      <c r="Q4197" t="inlineStr">
        <is>
          <t>InStock</t>
        </is>
      </c>
      <c r="R4197" t="inlineStr">
        <is>
          <t>undefined</t>
        </is>
      </c>
      <c r="S4197" t="inlineStr">
        <is>
          <t>6562331525207</t>
        </is>
      </c>
    </row>
    <row r="4198" ht="75" customHeight="1">
      <c r="A4198" s="2">
        <f>HYPERLINK("https://faoschwarz.com/products/giant-floor-the-pirate-ship", "https://faoschwarz.com/products/giant-floor-the-pirate-ship")</f>
        <v/>
      </c>
      <c r="B4198" s="2">
        <f>HYPERLINK("https://faoschwarz.com/products/giant-floor-the-pirate-ship", "https://faoschwarz.com/products/giant-floor-the-pirate-ship")</f>
        <v/>
      </c>
      <c r="C4198" t="inlineStr">
        <is>
          <t>Giant Pirate Ship Jigsaw Puzzle</t>
        </is>
      </c>
      <c r="D4198" t="inlineStr">
        <is>
          <t>Playqid Jumbo Pirate Ship Toddler Jigsaw Puzzle for Kids | Sneaky Pirates 25 Jumbo Piece Floor Puzzle for Age 3 Year Old Boys and Girls | Educational and Fun Puzzles for Kids</t>
        </is>
      </c>
      <c r="E4198" s="2">
        <f>HYPERLINK("https://www.amazon.com/PLAYQID-Sneaky-Pirates-Jigsaw-Puzzle/dp/B07P41XYZD/ref=sr_1_5?keywords=Giant+Pirate+Ship+Jigsaw+Puzzle&amp;qid=1695565998&amp;sr=8-5", "https://www.amazon.com/PLAYQID-Sneaky-Pirates-Jigsaw-Puzzle/dp/B07P41XYZD/ref=sr_1_5?keywords=Giant+Pirate+Ship+Jigsaw+Puzzle&amp;qid=1695565998&amp;sr=8-5")</f>
        <v/>
      </c>
      <c r="F4198" t="inlineStr">
        <is>
          <t>B07P41XYZD</t>
        </is>
      </c>
      <c r="G4198">
        <f>_xlfn.IMAGE("https://faoschwarz.com/cdn/shop/products/djeco-puzzles-giant-pirate-ship-jigsaw-puzzle-28326800785495_1080x.jpg?v=1656103863")</f>
        <v/>
      </c>
      <c r="H4198">
        <f>_xlfn.IMAGE("https://m.media-amazon.com/images/I/71BOAcVowNL._AC_UL320_.jpg")</f>
        <v/>
      </c>
      <c r="K4198" t="inlineStr">
        <is>
          <t>28.0</t>
        </is>
      </c>
      <c r="L4198" t="n">
        <v>15.99</v>
      </c>
      <c r="M4198" s="1" t="inlineStr">
        <is>
          <t>-42.89%</t>
        </is>
      </c>
      <c r="N4198" t="n">
        <v>4.4</v>
      </c>
      <c r="O4198" t="n">
        <v>9</v>
      </c>
      <c r="Q4198" t="inlineStr">
        <is>
          <t>InStock</t>
        </is>
      </c>
      <c r="R4198" t="inlineStr">
        <is>
          <t>undefined</t>
        </is>
      </c>
      <c r="S4198" t="inlineStr">
        <is>
          <t>6562331525207</t>
        </is>
      </c>
    </row>
    <row r="4199" ht="75" customHeight="1">
      <c r="A4199" s="2">
        <f>HYPERLINK("https://faoschwarz.com/products/giant-floor-the-pirate-ship", "https://faoschwarz.com/products/giant-floor-the-pirate-ship")</f>
        <v/>
      </c>
      <c r="B4199" s="2">
        <f>HYPERLINK("https://faoschwarz.com/products/giant-floor-the-pirate-ship", "https://faoschwarz.com/products/giant-floor-the-pirate-ship")</f>
        <v/>
      </c>
      <c r="C4199" t="inlineStr">
        <is>
          <t>Giant Pirate Ship Jigsaw Puzzle</t>
        </is>
      </c>
      <c r="D4199" t="inlineStr">
        <is>
          <t>ZEYUSI Magnetic Puzzles for Kids Ages 3-5 Toys Gifts -84 Pieces Toddler Puzzles for 4-8 Year Old 2-in-1 Pirate Ship Jigsaw Puzzles Book-Travel Games and Travel Toys for Boys Girls（Large Size）</t>
        </is>
      </c>
      <c r="E4199" s="2">
        <f>HYPERLINK("https://www.amazon.com/ZEYUSI-Magnetic-Puzzles-Book-Travel-Girls%EF%BC%88Large/dp/B0BYF6JRWK/ref=sr_1_8?keywords=Giant+Pirate+Ship+Jigsaw+Puzzle&amp;qid=1695565998&amp;sr=8-8", "https://www.amazon.com/ZEYUSI-Magnetic-Puzzles-Book-Travel-Girls%EF%BC%88Large/dp/B0BYF6JRWK/ref=sr_1_8?keywords=Giant+Pirate+Ship+Jigsaw+Puzzle&amp;qid=1695565998&amp;sr=8-8")</f>
        <v/>
      </c>
      <c r="F4199" t="inlineStr">
        <is>
          <t>B0BYF6JRWK</t>
        </is>
      </c>
      <c r="G4199">
        <f>_xlfn.IMAGE("https://faoschwarz.com/cdn/shop/products/djeco-puzzles-giant-pirate-ship-jigsaw-puzzle-28326800785495_1080x.jpg?v=1656103863")</f>
        <v/>
      </c>
      <c r="H4199">
        <f>_xlfn.IMAGE("https://m.media-amazon.com/images/I/81EfBAbpieL._AC_UL320_.jpg")</f>
        <v/>
      </c>
      <c r="K4199" t="inlineStr">
        <is>
          <t>28.0</t>
        </is>
      </c>
      <c r="L4199" t="n">
        <v>13.59</v>
      </c>
      <c r="M4199" s="1" t="inlineStr">
        <is>
          <t>-51.46%</t>
        </is>
      </c>
      <c r="N4199" t="n">
        <v>4.7</v>
      </c>
      <c r="O4199" t="n">
        <v>16</v>
      </c>
      <c r="Q4199" t="inlineStr">
        <is>
          <t>InStock</t>
        </is>
      </c>
      <c r="R4199" t="inlineStr">
        <is>
          <t>undefined</t>
        </is>
      </c>
      <c r="S4199" t="inlineStr">
        <is>
          <t>6562331525207</t>
        </is>
      </c>
    </row>
    <row r="4200" ht="75" customHeight="1">
      <c r="A4200" s="2">
        <f>HYPERLINK("https://faoschwarz.com/products/giant-floor-the-pirate-ship", "https://faoschwarz.com/products/giant-floor-the-pirate-ship")</f>
        <v/>
      </c>
      <c r="B4200" s="2">
        <f>HYPERLINK("https://faoschwarz.com/products/giant-floor-the-pirate-ship", "https://faoschwarz.com/products/giant-floor-the-pirate-ship")</f>
        <v/>
      </c>
      <c r="C4200" t="inlineStr">
        <is>
          <t>Giant Pirate Ship Jigsaw Puzzle</t>
        </is>
      </c>
      <c r="D4200" t="inlineStr">
        <is>
          <t>Just Smarty Pirate Jigsaw Puzzles for Kids Ages 4-8 Years | 56 Pieces Pirate Ship Toddler Puzzles | Pirate Puzzle for Boys and Girls | Treasure Hunt Puzzles For Kids Ages 6-8 | Pirate Children Puzzles</t>
        </is>
      </c>
      <c r="E4200" s="2">
        <f>HYPERLINK("https://www.amazon.com/Just-Smarty-Puzzles-Treasure-Children/dp/B0C1Q7XGVQ/ref=sr_1_9?keywords=Giant+Pirate+Ship+Jigsaw+Puzzle&amp;qid=1695565998&amp;sr=8-9", "https://www.amazon.com/Just-Smarty-Puzzles-Treasure-Children/dp/B0C1Q7XGVQ/ref=sr_1_9?keywords=Giant+Pirate+Ship+Jigsaw+Puzzle&amp;qid=1695565998&amp;sr=8-9")</f>
        <v/>
      </c>
      <c r="F4200" t="inlineStr">
        <is>
          <t>B0C1Q7XGVQ</t>
        </is>
      </c>
      <c r="G4200">
        <f>_xlfn.IMAGE("https://faoschwarz.com/cdn/shop/products/djeco-puzzles-giant-pirate-ship-jigsaw-puzzle-28326800785495_1080x.jpg?v=1656103863")</f>
        <v/>
      </c>
      <c r="H4200">
        <f>_xlfn.IMAGE("https://m.media-amazon.com/images/I/81xz9FkDsNL._AC_UL320_.jpg")</f>
        <v/>
      </c>
      <c r="K4200" t="inlineStr">
        <is>
          <t>28.0</t>
        </is>
      </c>
      <c r="L4200" t="n">
        <v>8.949999999999999</v>
      </c>
      <c r="M4200" s="1" t="inlineStr">
        <is>
          <t>-68.04%</t>
        </is>
      </c>
      <c r="N4200" t="n">
        <v>4.6</v>
      </c>
      <c r="O4200" t="n">
        <v>1302</v>
      </c>
      <c r="Q4200" t="inlineStr">
        <is>
          <t>InStock</t>
        </is>
      </c>
      <c r="R4200" t="inlineStr">
        <is>
          <t>undefined</t>
        </is>
      </c>
      <c r="S4200" t="inlineStr">
        <is>
          <t>6562331525207</t>
        </is>
      </c>
    </row>
    <row r="4201" ht="75" customHeight="1">
      <c r="A4201" s="2">
        <f>HYPERLINK("https://faoschwarz.com/products/girls-glamour-purse-set", "https://faoschwarz.com/products/girls-glamour-purse-set")</f>
        <v/>
      </c>
      <c r="B4201" s="2">
        <f>HYPERLINK("https://faoschwarz.com/products/girls-glamour-purse-set", "https://faoschwarz.com/products/girls-glamour-purse-set")</f>
        <v/>
      </c>
      <c r="C4201" t="inlineStr">
        <is>
          <t>Girls Glamour Purse Set</t>
        </is>
      </c>
      <c r="D4201" t="inlineStr">
        <is>
          <t>Make it Up Little Beauty On The Go Pretend Play Kids Purse and Makeup Toy with Princess Pretend Makeup Smartphone Wallet Keys Credit and VIP Cards Perfect Pretend Play Set for Girls, Ages 3+</t>
        </is>
      </c>
      <c r="E4201" s="2">
        <f>HYPERLINK("https://www.amazon.com/Make-Up-Pretend-Princess-Smartphone/dp/B099FJDR16/ref=sr_1_6?keywords=Girls+Glamour+Purse+Set&amp;qid=1695565926&amp;sr=8-6", "https://www.amazon.com/Make-Up-Pretend-Princess-Smartphone/dp/B099FJDR16/ref=sr_1_6?keywords=Girls+Glamour+Purse+Set&amp;qid=1695565926&amp;sr=8-6")</f>
        <v/>
      </c>
      <c r="F4201" t="inlineStr">
        <is>
          <t>B099FJDR16</t>
        </is>
      </c>
      <c r="G4201">
        <f>_xlfn.IMAGE("https://faoschwarz.com/cdn/shop/products/fao-schwarz-creativity-girls-glamour-purse-set-28287494127703_1080x.jpg?v=1656122163")</f>
        <v/>
      </c>
      <c r="H4201">
        <f>_xlfn.IMAGE("https://m.media-amazon.com/images/I/71R8CvGrEhL._AC_UL320_.jpg")</f>
        <v/>
      </c>
      <c r="K4201" t="inlineStr">
        <is>
          <t>30.0</t>
        </is>
      </c>
      <c r="L4201" t="n">
        <v>29.99</v>
      </c>
      <c r="M4201" s="1" t="inlineStr">
        <is>
          <t>-0.03%</t>
        </is>
      </c>
      <c r="N4201" t="n">
        <v>4.6</v>
      </c>
      <c r="O4201" t="n">
        <v>310</v>
      </c>
      <c r="Q4201" t="inlineStr">
        <is>
          <t>InStock</t>
        </is>
      </c>
      <c r="R4201" t="inlineStr">
        <is>
          <t>undefined</t>
        </is>
      </c>
      <c r="S4201" t="inlineStr">
        <is>
          <t>6560788447319</t>
        </is>
      </c>
    </row>
    <row r="4202" ht="75" customHeight="1">
      <c r="A4202" s="2">
        <f>HYPERLINK("https://faoschwarz.com/products/girls-glamour-purse-set", "https://faoschwarz.com/products/girls-glamour-purse-set")</f>
        <v/>
      </c>
      <c r="B4202" s="2">
        <f>HYPERLINK("https://faoschwarz.com/products/girls-glamour-purse-set", "https://faoschwarz.com/products/girls-glamour-purse-set")</f>
        <v/>
      </c>
      <c r="C4202" t="inlineStr">
        <is>
          <t>Girls Glamour Purse Set</t>
        </is>
      </c>
      <c r="D4202" t="inlineStr">
        <is>
          <t>Make it Up, 20 Piece- Glamour Girl 2 in 1 Realistic Pretend Makeup Set + Purse &amp; Toy Set (Not Real Makeup) [Toy]</t>
        </is>
      </c>
      <c r="E4202" s="2">
        <f>HYPERLINK("https://www.amazon.com/Make-Up-Glamour-Realistic-Pretend/dp/B0929CB6J2/ref=sr_1_1?keywords=Girls+Glamour+Purse+Set&amp;qid=1695565926&amp;sr=8-1", "https://www.amazon.com/Make-Up-Glamour-Realistic-Pretend/dp/B0929CB6J2/ref=sr_1_1?keywords=Girls+Glamour+Purse+Set&amp;qid=1695565926&amp;sr=8-1")</f>
        <v/>
      </c>
      <c r="F4202" t="inlineStr">
        <is>
          <t>B0929CB6J2</t>
        </is>
      </c>
      <c r="G4202">
        <f>_xlfn.IMAGE("https://faoschwarz.com/cdn/shop/products/fao-schwarz-creativity-girls-glamour-purse-set-28287494127703_1080x.jpg?v=1656122163")</f>
        <v/>
      </c>
      <c r="H4202">
        <f>_xlfn.IMAGE("https://m.media-amazon.com/images/I/6119DRID-0L._AC_UL320_.jpg")</f>
        <v/>
      </c>
      <c r="K4202" t="inlineStr">
        <is>
          <t>30.0</t>
        </is>
      </c>
      <c r="L4202" t="n">
        <v>27.99</v>
      </c>
      <c r="M4202" s="1" t="inlineStr">
        <is>
          <t>-6.70%</t>
        </is>
      </c>
      <c r="N4202" t="n">
        <v>4.7</v>
      </c>
      <c r="O4202" t="n">
        <v>194</v>
      </c>
      <c r="Q4202" t="inlineStr">
        <is>
          <t>InStock</t>
        </is>
      </c>
      <c r="R4202" t="inlineStr">
        <is>
          <t>undefined</t>
        </is>
      </c>
      <c r="S4202" t="inlineStr">
        <is>
          <t>6560788447319</t>
        </is>
      </c>
    </row>
    <row r="4203" ht="75" customHeight="1">
      <c r="A4203" s="2">
        <f>HYPERLINK("https://faoschwarz.com/products/girls-glamour-purse-set", "https://faoschwarz.com/products/girls-glamour-purse-set")</f>
        <v/>
      </c>
      <c r="B4203" s="2">
        <f>HYPERLINK("https://faoschwarz.com/products/girls-glamour-purse-set", "https://faoschwarz.com/products/girls-glamour-purse-set")</f>
        <v/>
      </c>
      <c r="C4203" t="inlineStr">
        <is>
          <t>Girls Glamour Purse Set</t>
        </is>
      </c>
      <c r="D4203" t="inlineStr">
        <is>
          <t>Make it Up 17 Piece Pretend Play Makeup and Toy Set- Realistic Kids Purse and Makeup kit from The Glamour Girl Collection (Fake Makeup)</t>
        </is>
      </c>
      <c r="E4203" s="2">
        <f>HYPERLINK("https://www.amazon.com/Glamour-Pretend-Collection-Makeup-Accessories/dp/B00HYOZIDO/ref=sr_1_2?keywords=Girls+Glamour+Purse+Set&amp;qid=1695565926&amp;sr=8-2", "https://www.amazon.com/Glamour-Pretend-Collection-Makeup-Accessories/dp/B00HYOZIDO/ref=sr_1_2?keywords=Girls+Glamour+Purse+Set&amp;qid=1695565926&amp;sr=8-2")</f>
        <v/>
      </c>
      <c r="F4203" t="inlineStr">
        <is>
          <t>B00HYOZIDO</t>
        </is>
      </c>
      <c r="G4203">
        <f>_xlfn.IMAGE("https://faoschwarz.com/cdn/shop/products/fao-schwarz-creativity-girls-glamour-purse-set-28287494127703_1080x.jpg?v=1656122163")</f>
        <v/>
      </c>
      <c r="H4203">
        <f>_xlfn.IMAGE("https://m.media-amazon.com/images/I/61z9XVj2ZtL._AC_UL320_.jpg")</f>
        <v/>
      </c>
      <c r="K4203" t="inlineStr">
        <is>
          <t>30.0</t>
        </is>
      </c>
      <c r="L4203" t="n">
        <v>24.99</v>
      </c>
      <c r="M4203" s="1" t="inlineStr">
        <is>
          <t>-16.70%</t>
        </is>
      </c>
      <c r="N4203" t="n">
        <v>4.4</v>
      </c>
      <c r="O4203" t="n">
        <v>49</v>
      </c>
      <c r="Q4203" t="inlineStr">
        <is>
          <t>InStock</t>
        </is>
      </c>
      <c r="R4203" t="inlineStr">
        <is>
          <t>undefined</t>
        </is>
      </c>
      <c r="S4203" t="inlineStr">
        <is>
          <t>6560788447319</t>
        </is>
      </c>
    </row>
    <row r="4204" ht="75" customHeight="1">
      <c r="A4204" s="2">
        <f>HYPERLINK("https://faoschwarz.com/products/girls-glamour-purse-set", "https://faoschwarz.com/products/girls-glamour-purse-set")</f>
        <v/>
      </c>
      <c r="B4204" s="2">
        <f>HYPERLINK("https://faoschwarz.com/products/girls-glamour-purse-set", "https://faoschwarz.com/products/girls-glamour-purse-set")</f>
        <v/>
      </c>
      <c r="C4204" t="inlineStr">
        <is>
          <t>Girls Glamour Purse Set</t>
        </is>
      </c>
      <c r="D4204" t="inlineStr">
        <is>
          <t>Pretend Play Purse &amp; Makeup for Girls - Fun Little Girls Purse with Cosmetics Toys Set - Pretend Makeup, Eyeshadow, Cell Phone, Kids Lipstick, Sunglasses &amp; Keys</t>
        </is>
      </c>
      <c r="E4204" s="2">
        <f>HYPERLINK("https://www.amazon.com/PixieCrush-Pretend-Makeup-Hearts-Standard/dp/B07BMR9QXC/ref=sr_1_3?keywords=Girls+Glamour+Purse+Set&amp;qid=1695565926&amp;sr=8-3", "https://www.amazon.com/PixieCrush-Pretend-Makeup-Hearts-Standard/dp/B07BMR9QXC/ref=sr_1_3?keywords=Girls+Glamour+Purse+Set&amp;qid=1695565926&amp;sr=8-3")</f>
        <v/>
      </c>
      <c r="F4204" t="inlineStr">
        <is>
          <t>B07BMR9QXC</t>
        </is>
      </c>
      <c r="G4204">
        <f>_xlfn.IMAGE("https://faoschwarz.com/cdn/shop/products/fao-schwarz-creativity-girls-glamour-purse-set-28287494127703_1080x.jpg?v=1656122163")</f>
        <v/>
      </c>
      <c r="H4204">
        <f>_xlfn.IMAGE("https://m.media-amazon.com/images/I/71ZEbvLn5JL._AC_UL320_.jpg")</f>
        <v/>
      </c>
      <c r="K4204" t="inlineStr">
        <is>
          <t>30.0</t>
        </is>
      </c>
      <c r="L4204" t="n">
        <v>19.99</v>
      </c>
      <c r="M4204" s="1" t="inlineStr">
        <is>
          <t>-33.37%</t>
        </is>
      </c>
      <c r="N4204" t="n">
        <v>4.7</v>
      </c>
      <c r="O4204" t="n">
        <v>2464</v>
      </c>
      <c r="Q4204" t="inlineStr">
        <is>
          <t>InStock</t>
        </is>
      </c>
      <c r="R4204" t="inlineStr">
        <is>
          <t>undefined</t>
        </is>
      </c>
      <c r="S4204" t="inlineStr">
        <is>
          <t>6560788447319</t>
        </is>
      </c>
    </row>
    <row r="4205" ht="75" customHeight="1">
      <c r="A4205" s="2">
        <f>HYPERLINK("https://faoschwarz.com/products/girls-glamour-purse-set", "https://faoschwarz.com/products/girls-glamour-purse-set")</f>
        <v/>
      </c>
      <c r="B4205" s="2">
        <f>HYPERLINK("https://faoschwarz.com/products/girls-glamour-purse-set", "https://faoschwarz.com/products/girls-glamour-purse-set")</f>
        <v/>
      </c>
      <c r="C4205" t="inlineStr">
        <is>
          <t>Girls Glamour Purse Set</t>
        </is>
      </c>
      <c r="D4205" t="inlineStr">
        <is>
          <t>fash n kolor Princess Purse Pretend Play Princess Toys Set, Pink Fashion Hand Bag Includes Lipstick, Makeup Box,Sunglasses, Play Phone,Keys and More, Great Gift Set, Perfect for Girls</t>
        </is>
      </c>
      <c r="E4205" s="2">
        <f>HYPERLINK("https://www.amazon.com/fash-kolor-Accessories-Smartphone-Sunglasses/dp/B0927T6BTX/ref=sr_1_5?keywords=Girls+Glamour+Purse+Set&amp;qid=1695565926&amp;sr=8-5", "https://www.amazon.com/fash-kolor-Accessories-Smartphone-Sunglasses/dp/B0927T6BTX/ref=sr_1_5?keywords=Girls+Glamour+Purse+Set&amp;qid=1695565926&amp;sr=8-5")</f>
        <v/>
      </c>
      <c r="F4205" t="inlineStr">
        <is>
          <t>B0927T6BTX</t>
        </is>
      </c>
      <c r="G4205">
        <f>_xlfn.IMAGE("https://faoschwarz.com/cdn/shop/products/fao-schwarz-creativity-girls-glamour-purse-set-28287494127703_1080x.jpg?v=1656122163")</f>
        <v/>
      </c>
      <c r="H4205">
        <f>_xlfn.IMAGE("https://m.media-amazon.com/images/I/71Idaw6KunL._AC_UL320_.jpg")</f>
        <v/>
      </c>
      <c r="K4205" t="inlineStr">
        <is>
          <t>30.0</t>
        </is>
      </c>
      <c r="L4205" t="n">
        <v>14.99</v>
      </c>
      <c r="M4205" s="1" t="inlineStr">
        <is>
          <t>-50.03%</t>
        </is>
      </c>
      <c r="N4205" t="n">
        <v>4.1</v>
      </c>
      <c r="O4205" t="n">
        <v>107</v>
      </c>
      <c r="Q4205" t="inlineStr">
        <is>
          <t>InStock</t>
        </is>
      </c>
      <c r="R4205" t="inlineStr">
        <is>
          <t>undefined</t>
        </is>
      </c>
      <c r="S4205" t="inlineStr">
        <is>
          <t>6560788447319</t>
        </is>
      </c>
    </row>
    <row r="4206" ht="75" customHeight="1">
      <c r="A4206" s="2">
        <f>HYPERLINK("https://faoschwarz.com/products/godzilla-tokyo-clash-game", "https://faoschwarz.com/products/godzilla-tokyo-clash-game")</f>
        <v/>
      </c>
      <c r="B4206" s="2">
        <f>HYPERLINK("https://faoschwarz.com/products/godzilla-tokyo-clash-game", "https://faoschwarz.com/products/godzilla-tokyo-clash-game")</f>
        <v/>
      </c>
      <c r="C4206" t="inlineStr">
        <is>
          <t>Godzilla: Tokyo Clash Game</t>
        </is>
      </c>
      <c r="D4206" t="inlineStr">
        <is>
          <t>FUNKO GAMES: Godzilla -Tokyo Clash For Ages 10 and up - 4 Players</t>
        </is>
      </c>
      <c r="E4206" s="2">
        <f>HYPERLINK("https://www.amazon.com/Godzilla-Tokyo-Clash-Board-Game/dp/B085WL16T6/ref=sr_1_1?keywords=Godzilla%3A+Tokyo+Clash+Game&amp;qid=1695565991&amp;sr=8-1", "https://www.amazon.com/Godzilla-Tokyo-Clash-Board-Game/dp/B085WL16T6/ref=sr_1_1?keywords=Godzilla%3A+Tokyo+Clash+Game&amp;qid=1695565991&amp;sr=8-1")</f>
        <v/>
      </c>
      <c r="F4206" t="inlineStr">
        <is>
          <t>B085WL16T6</t>
        </is>
      </c>
      <c r="G4206">
        <f>_xlfn.IMAGE("https://faoschwarz.com/cdn/shop/products/funko-collectibles-godzilla-tokyo-clash-game-28249967362135_1080x.png?v=1657221480")</f>
        <v/>
      </c>
      <c r="H4206">
        <f>_xlfn.IMAGE("https://m.media-amazon.com/images/I/91Fs+MK1j5L._AC_UY218_.jpg")</f>
        <v/>
      </c>
      <c r="K4206" t="inlineStr">
        <is>
          <t>36.0</t>
        </is>
      </c>
      <c r="L4206" t="n">
        <v>20.83</v>
      </c>
      <c r="M4206" s="1" t="inlineStr">
        <is>
          <t>-42.14%</t>
        </is>
      </c>
      <c r="N4206" t="n">
        <v>4.7</v>
      </c>
      <c r="O4206" t="n">
        <v>2189</v>
      </c>
      <c r="Q4206" t="inlineStr">
        <is>
          <t>InStock</t>
        </is>
      </c>
      <c r="R4206" t="inlineStr">
        <is>
          <t>undefined</t>
        </is>
      </c>
      <c r="S4206" t="inlineStr">
        <is>
          <t>6575812018263</t>
        </is>
      </c>
    </row>
    <row r="4207" ht="75" customHeight="1">
      <c r="A4207" s="2">
        <f>HYPERLINK("https://faoschwarz.com/products/godzilla-tokyo-clash-game", "https://faoschwarz.com/products/godzilla-tokyo-clash-game")</f>
        <v/>
      </c>
      <c r="B4207" s="2">
        <f>HYPERLINK("https://faoschwarz.com/products/godzilla-tokyo-clash-game", "https://faoschwarz.com/products/godzilla-tokyo-clash-game")</f>
        <v/>
      </c>
      <c r="C4207" t="inlineStr">
        <is>
          <t>Godzilla: Tokyo Clash Game</t>
        </is>
      </c>
      <c r="D4207" t="inlineStr">
        <is>
          <t>FUNKO GAMES: Godzilla -Tokyo Clash For Ages 10 and up - 4 Players</t>
        </is>
      </c>
      <c r="E4207" s="2">
        <f>HYPERLINK("https://www.amazon.com/Godzilla-Tokyo-Clash-Board-Game/dp/B085WL16T6/ref=sr_1_1?keywords=Godzilla%3A+Tokyo+Clash+Game&amp;qid=1695565991&amp;sr=8-1", "https://www.amazon.com/Godzilla-Tokyo-Clash-Board-Game/dp/B085WL16T6/ref=sr_1_1?keywords=Godzilla%3A+Tokyo+Clash+Game&amp;qid=1695565991&amp;sr=8-1")</f>
        <v/>
      </c>
      <c r="F4207" t="inlineStr">
        <is>
          <t>B085WL16T6</t>
        </is>
      </c>
      <c r="G4207">
        <f>_xlfn.IMAGE("https://faoschwarz.com/cdn/shop/products/funko-collectibles-godzilla-tokyo-clash-game-28249967362135_1080x.png?v=1657221480")</f>
        <v/>
      </c>
      <c r="H4207">
        <f>_xlfn.IMAGE("https://m.media-amazon.com/images/I/91Fs+MK1j5L._AC_UY218_.jpg")</f>
        <v/>
      </c>
      <c r="K4207" t="inlineStr">
        <is>
          <t>36.0</t>
        </is>
      </c>
      <c r="L4207" t="n">
        <v>20.83</v>
      </c>
      <c r="M4207" s="1" t="inlineStr">
        <is>
          <t>-42.14%</t>
        </is>
      </c>
      <c r="N4207" t="n">
        <v>4.7</v>
      </c>
      <c r="O4207" t="n">
        <v>2189</v>
      </c>
      <c r="Q4207" t="inlineStr">
        <is>
          <t>InStock</t>
        </is>
      </c>
      <c r="R4207" t="inlineStr">
        <is>
          <t>undefined</t>
        </is>
      </c>
      <c r="S4207" t="inlineStr">
        <is>
          <t>6575812018263</t>
        </is>
      </c>
    </row>
    <row r="4208" ht="75" customHeight="1">
      <c r="A4208" s="2">
        <f>HYPERLINK("https://faoschwarz.com/products/gund-sesame-street-official-furry-friends-forever-elmo-tango-checkup-playset-8-plush", "https://faoschwarz.com/products/gund-sesame-street-official-furry-friends-forever-elmo-tango-checkup-playset-8-plush")</f>
        <v/>
      </c>
      <c r="B4208" s="2">
        <f>HYPERLINK("https://faoschwarz.com/products/gund-sesame-street-official-furry-friends-forever-elmo-tango-checkup-playset-8-plush", "https://faoschwarz.com/products/gund-sesame-street-official-furry-friends-forever-elmo-tango-checkup-playset-8-plush")</f>
        <v/>
      </c>
      <c r="C4208" t="inlineStr">
        <is>
          <t>GUND Sesame Street Furry Friends Forever Elmo &amp; Tango Checkup Playset</t>
        </is>
      </c>
      <c r="D4208" t="inlineStr">
        <is>
          <t>GUND Sesame Street Official Furry Friends Forever Dance &amp; Play Elmo and Tango Animated Plush, Plush Sensory Toy for Ages 1 &amp; Up, Red/Cream, 13”</t>
        </is>
      </c>
      <c r="E4208" s="2">
        <f>HYPERLINK("https://www.amazon.com/GUND-Sesame-Street-Dance-Animated/dp/B09BBGWDHC/ref=sr_1_2?keywords=GUND+Sesame+Street+Furry+Friends+Forever+Elmo&amp;qid=1695565919&amp;sr=8-2", "https://www.amazon.com/GUND-Sesame-Street-Dance-Animated/dp/B09BBGWDHC/ref=sr_1_2?keywords=GUND+Sesame+Street+Furry+Friends+Forever+Elmo&amp;qid=1695565919&amp;sr=8-2")</f>
        <v/>
      </c>
      <c r="F4208" t="inlineStr">
        <is>
          <t>B09BBGWDHC</t>
        </is>
      </c>
      <c r="G4208">
        <f>_xlfn.IMAGE("https://faoschwarz.com/cdn/shop/files/sesame-street-plush-gund-sesame-street-furry-friends-forever-elmo-tango-checkup-playset-30255439806551_1080x.jpg?v=1684454203")</f>
        <v/>
      </c>
      <c r="H4208">
        <f>_xlfn.IMAGE("https://m.media-amazon.com/images/I/61tfVFKK1UL._AC_UL320_.jpg")</f>
        <v/>
      </c>
      <c r="K4208" t="inlineStr">
        <is>
          <t>30.0</t>
        </is>
      </c>
      <c r="L4208" t="n">
        <v>40.98</v>
      </c>
      <c r="M4208" s="1" t="inlineStr">
        <is>
          <t>36.60%</t>
        </is>
      </c>
      <c r="N4208" t="n">
        <v>4.7</v>
      </c>
      <c r="O4208" t="n">
        <v>1486</v>
      </c>
      <c r="Q4208" t="inlineStr">
        <is>
          <t>InStock</t>
        </is>
      </c>
      <c r="R4208" t="inlineStr">
        <is>
          <t>undefined</t>
        </is>
      </c>
      <c r="S4208" t="inlineStr">
        <is>
          <t>6874958594135</t>
        </is>
      </c>
    </row>
    <row r="4209" ht="75" customHeight="1">
      <c r="A4209" s="2">
        <f>HYPERLINK("https://faoschwarz.com/products/gund-sesame-street-official-furry-friends-forever-elmo-tango-checkup-playset-8-plush", "https://faoschwarz.com/products/gund-sesame-street-official-furry-friends-forever-elmo-tango-checkup-playset-8-plush")</f>
        <v/>
      </c>
      <c r="B4209" s="2">
        <f>HYPERLINK("https://faoschwarz.com/products/gund-sesame-street-official-furry-friends-forever-elmo-tango-checkup-playset-8-plush", "https://faoschwarz.com/products/gund-sesame-street-official-furry-friends-forever-elmo-tango-checkup-playset-8-plush")</f>
        <v/>
      </c>
      <c r="C4209" t="inlineStr">
        <is>
          <t>GUND Sesame Street Furry Friends Forever Elmo &amp; Tango Checkup Playset</t>
        </is>
      </c>
      <c r="D4209" t="inlineStr">
        <is>
          <t>GUND Sesame Street Official Furry Friends Forever Elmo &amp; Tango Checkup Playset, Premium Plush Sensory Playset for Ages 1 &amp; Up, Red, 8”</t>
        </is>
      </c>
      <c r="E4209" s="2">
        <f>HYPERLINK("https://www.amazon.com/GUND-Official-Friends-Forever-Checkup/dp/B0BGQF2CPG/ref=sr_1_1?keywords=GUND+Sesame+Street+Furry+Friends+Forever+Elmo&amp;qid=1695565919&amp;sr=8-1", "https://www.amazon.com/GUND-Official-Friends-Forever-Checkup/dp/B0BGQF2CPG/ref=sr_1_1?keywords=GUND+Sesame+Street+Furry+Friends+Forever+Elmo&amp;qid=1695565919&amp;sr=8-1")</f>
        <v/>
      </c>
      <c r="F4209" t="inlineStr">
        <is>
          <t>B0BGQF2CPG</t>
        </is>
      </c>
      <c r="G4209">
        <f>_xlfn.IMAGE("https://faoschwarz.com/cdn/shop/files/sesame-street-plush-gund-sesame-street-furry-friends-forever-elmo-tango-checkup-playset-30255439806551_1080x.jpg?v=1684454203")</f>
        <v/>
      </c>
      <c r="H4209">
        <f>_xlfn.IMAGE("https://m.media-amazon.com/images/I/81ZUiXPRXKL._AC_UL320_.jpg")</f>
        <v/>
      </c>
      <c r="K4209" t="inlineStr">
        <is>
          <t>30.0</t>
        </is>
      </c>
      <c r="L4209" t="n">
        <v>26.96</v>
      </c>
      <c r="M4209" s="1" t="inlineStr">
        <is>
          <t>-10.13%</t>
        </is>
      </c>
      <c r="N4209" t="n">
        <v>4.8</v>
      </c>
      <c r="O4209" t="n">
        <v>193</v>
      </c>
      <c r="Q4209" t="inlineStr">
        <is>
          <t>InStock</t>
        </is>
      </c>
      <c r="R4209" t="inlineStr">
        <is>
          <t>undefined</t>
        </is>
      </c>
      <c r="S4209" t="inlineStr">
        <is>
          <t>6874958594135</t>
        </is>
      </c>
    </row>
    <row r="4210" ht="75" customHeight="1">
      <c r="A4210" s="2">
        <f>HYPERLINK("https://faoschwarz.com/products/haathee-asian-elephant-silhouette-jigsaw-puzzle", "https://faoschwarz.com/products/haathee-asian-elephant-silhouette-jigsaw-puzzle")</f>
        <v/>
      </c>
      <c r="B4210" s="2">
        <f>HYPERLINK("https://faoschwarz.com/products/haathee-asian-elephant-silhouette-jigsaw-puzzle", "https://faoschwarz.com/products/haathee-asian-elephant-silhouette-jigsaw-puzzle")</f>
        <v/>
      </c>
      <c r="C4210" t="inlineStr">
        <is>
          <t>Haathee Asian Elephant Silhouette Jigsaw Puzzle</t>
        </is>
      </c>
      <c r="D4210" t="inlineStr">
        <is>
          <t>DJECO Haathee Asian Elephant Silhouette Jigsaw Puzzle, DJ07208, 1000</t>
        </is>
      </c>
      <c r="E4210" s="2">
        <f>HYPERLINK("https://www.amazon.com/Djeco-DJ07208-Tiger-Picking-Puzzle/dp/B000NN2AM0/ref=sr_1_1?keywords=Haathee+Asian+Elephant+Silhouette+Jigsaw+Puzzle&amp;qid=1695565942&amp;sr=8-1", "https://www.amazon.com/Djeco-DJ07208-Tiger-Picking-Puzzle/dp/B000NN2AM0/ref=sr_1_1?keywords=Haathee+Asian+Elephant+Silhouette+Jigsaw+Puzzle&amp;qid=1695565942&amp;sr=8-1")</f>
        <v/>
      </c>
      <c r="F4210" t="inlineStr">
        <is>
          <t>B000NN2AM0</t>
        </is>
      </c>
      <c r="G4210">
        <f>_xlfn.IMAGE("https://faoschwarz.com/cdn/shop/files/djeco-puzzles-haathee-asian-elephant-silhouette-jigsaw-puzzle-29828799823959_1080x.jpg?v=1685189127")</f>
        <v/>
      </c>
      <c r="H4210">
        <f>_xlfn.IMAGE("https://m.media-amazon.com/images/I/81OsfUhgQ9L._AC_UL320_.jpg")</f>
        <v/>
      </c>
      <c r="K4210" t="inlineStr">
        <is>
          <t>18.0</t>
        </is>
      </c>
      <c r="L4210" t="n">
        <v>16.99</v>
      </c>
      <c r="M4210" s="1" t="inlineStr">
        <is>
          <t>-5.61%</t>
        </is>
      </c>
      <c r="N4210" t="n">
        <v>4.7</v>
      </c>
      <c r="O4210" t="n">
        <v>543</v>
      </c>
      <c r="Q4210" t="inlineStr">
        <is>
          <t>InStock</t>
        </is>
      </c>
      <c r="R4210" t="inlineStr">
        <is>
          <t>undefined</t>
        </is>
      </c>
      <c r="S4210" t="inlineStr">
        <is>
          <t>6837785591895</t>
        </is>
      </c>
    </row>
    <row r="4211" ht="75" customHeight="1">
      <c r="A4211" s="2">
        <f>HYPERLINK("https://faoschwarz.com/products/hair-salon", "https://faoschwarz.com/products/hair-salon")</f>
        <v/>
      </c>
      <c r="B4211" s="2">
        <f>HYPERLINK("https://faoschwarz.com/products/hair-salon", "https://faoschwarz.com/products/hair-salon")</f>
        <v/>
      </c>
      <c r="C4211" t="inlineStr">
        <is>
          <t>Wooden Hair Salon Set</t>
        </is>
      </c>
      <c r="D4211" t="inlineStr">
        <is>
          <t>Pretend Hair Salon Wooden Play Set - Full Vanity Mirror Playset w Chair &amp; Rolling Cart- Includes Blow Dryer, Brush, Styling, Cutting Tools &amp; More - Hair Dresser Stylist Fun, Beauty Care for Girls Kids</t>
        </is>
      </c>
      <c r="E4211" s="2">
        <f>HYPERLINK("https://www.amazon.com/Pretend-Hair-Salon-Wooden-Play/dp/B0C5S29WWL/ref=sr_1_3?keywords=Wooden+Hair+Salon+Set&amp;qid=1695565914&amp;sr=8-3", "https://www.amazon.com/Pretend-Hair-Salon-Wooden-Play/dp/B0C5S29WWL/ref=sr_1_3?keywords=Wooden+Hair+Salon+Set&amp;qid=1695565914&amp;sr=8-3")</f>
        <v/>
      </c>
      <c r="F4211" t="inlineStr">
        <is>
          <t>B0C5S29WWL</t>
        </is>
      </c>
      <c r="G4211">
        <f>_xlfn.IMAGE("https://faoschwarz.com/cdn/shop/files/tender-leaf-toys-preschool-hair-salon-30332659236951_1080x.jpg?v=1684799217")</f>
        <v/>
      </c>
      <c r="H4211">
        <f>_xlfn.IMAGE("https://m.media-amazon.com/images/I/81-o2qf1n7L._AC_UL320_.jpg")</f>
        <v/>
      </c>
      <c r="K4211" t="inlineStr">
        <is>
          <t>100.0</t>
        </is>
      </c>
      <c r="L4211" t="n">
        <v>114.99</v>
      </c>
      <c r="M4211" s="1" t="inlineStr">
        <is>
          <t>14.99%</t>
        </is>
      </c>
      <c r="N4211" t="n">
        <v>5</v>
      </c>
      <c r="O4211" t="n">
        <v>1</v>
      </c>
      <c r="Q4211" t="inlineStr">
        <is>
          <t>InStock</t>
        </is>
      </c>
      <c r="R4211" t="inlineStr">
        <is>
          <t>undefined</t>
        </is>
      </c>
      <c r="S4211" t="inlineStr">
        <is>
          <t>6880558415959</t>
        </is>
      </c>
    </row>
    <row r="4212" ht="75" customHeight="1">
      <c r="A4212" s="2">
        <f>HYPERLINK("https://faoschwarz.com/products/hair-salon", "https://faoschwarz.com/products/hair-salon")</f>
        <v/>
      </c>
      <c r="B4212" s="2">
        <f>HYPERLINK("https://faoschwarz.com/products/hair-salon", "https://faoschwarz.com/products/hair-salon")</f>
        <v/>
      </c>
      <c r="C4212" t="inlineStr">
        <is>
          <t>Wooden Hair Salon Set</t>
        </is>
      </c>
      <c r="D4212" t="inlineStr">
        <is>
          <t>Melissa &amp; Doug Wooden Beauty Salon Play Set With Accessories (18 pcs) - Pretend Hair Salon, Toddler Makeup Vanity, Fashion Role For Kids Ages 3+</t>
        </is>
      </c>
      <c r="E4212" s="2">
        <f>HYPERLINK("https://www.amazon.com/Melissa-Doug-Wooden-Beauty-Accessories/dp/B06XTJ76X2/ref=sr_1_5?keywords=Wooden+Hair+Salon+Set&amp;qid=1695565914&amp;sr=8-5", "https://www.amazon.com/Melissa-Doug-Wooden-Beauty-Accessories/dp/B06XTJ76X2/ref=sr_1_5?keywords=Wooden+Hair+Salon+Set&amp;qid=1695565914&amp;sr=8-5")</f>
        <v/>
      </c>
      <c r="F4212" t="inlineStr">
        <is>
          <t>B06XTJ76X2</t>
        </is>
      </c>
      <c r="G4212">
        <f>_xlfn.IMAGE("https://faoschwarz.com/cdn/shop/files/tender-leaf-toys-preschool-hair-salon-30332659236951_1080x.jpg?v=1684799217")</f>
        <v/>
      </c>
      <c r="H4212">
        <f>_xlfn.IMAGE("https://m.media-amazon.com/images/I/61iXI4wknYL._AC_UL320_.jpg")</f>
        <v/>
      </c>
      <c r="K4212" t="inlineStr">
        <is>
          <t>100.0</t>
        </is>
      </c>
      <c r="L4212" t="n">
        <v>54</v>
      </c>
      <c r="M4212" s="1" t="inlineStr">
        <is>
          <t>-46.00%</t>
        </is>
      </c>
      <c r="N4212" t="n">
        <v>4.8</v>
      </c>
      <c r="O4212" t="n">
        <v>4894</v>
      </c>
      <c r="Q4212" t="inlineStr">
        <is>
          <t>InStock</t>
        </is>
      </c>
      <c r="R4212" t="inlineStr">
        <is>
          <t>undefined</t>
        </is>
      </c>
      <c r="S4212" t="inlineStr">
        <is>
          <t>6880558415959</t>
        </is>
      </c>
    </row>
    <row r="4213" ht="75" customHeight="1">
      <c r="A4213" s="2">
        <f>HYPERLINK("https://faoschwarz.com/products/hair-salon", "https://faoschwarz.com/products/hair-salon")</f>
        <v/>
      </c>
      <c r="B4213" s="2">
        <f>HYPERLINK("https://faoschwarz.com/products/hair-salon", "https://faoschwarz.com/products/hair-salon")</f>
        <v/>
      </c>
      <c r="C4213" t="inlineStr">
        <is>
          <t>Wooden Hair Salon Set</t>
        </is>
      </c>
      <c r="D4213" t="inlineStr">
        <is>
          <t>1 Set DIY Dollhouse Kit, Bakery/Coffee Shop/Sushi Shop/Hair Salon/Dressing Room/Ice Cream Shop DIY Mini House Model Kit for Children Adults E</t>
        </is>
      </c>
      <c r="E4213" s="2">
        <f>HYPERLINK("https://www.amazon.com/Dollhouse-Bakery-Coffee-Dressing-Children/dp/B08TQSJTSS/ref=sr_1_10?keywords=Wooden+Hair+Salon+Set&amp;qid=1695565914&amp;sr=8-10", "https://www.amazon.com/Dollhouse-Bakery-Coffee-Dressing-Children/dp/B08TQSJTSS/ref=sr_1_10?keywords=Wooden+Hair+Salon+Set&amp;qid=1695565914&amp;sr=8-10")</f>
        <v/>
      </c>
      <c r="F4213" t="inlineStr">
        <is>
          <t>B08TQSJTSS</t>
        </is>
      </c>
      <c r="G4213">
        <f>_xlfn.IMAGE("https://faoschwarz.com/cdn/shop/files/tender-leaf-toys-preschool-hair-salon-30332659236951_1080x.jpg?v=1684799217")</f>
        <v/>
      </c>
      <c r="H4213">
        <f>_xlfn.IMAGE("https://m.media-amazon.com/images/I/71hvD8CJ2IL._AC_UL320_.jpg")</f>
        <v/>
      </c>
      <c r="K4213" t="inlineStr">
        <is>
          <t>100.0</t>
        </is>
      </c>
      <c r="L4213" t="n">
        <v>32.16</v>
      </c>
      <c r="M4213" s="1" t="inlineStr">
        <is>
          <t>-67.84%</t>
        </is>
      </c>
      <c r="N4213" t="n">
        <v>5</v>
      </c>
      <c r="O4213" t="n">
        <v>1</v>
      </c>
      <c r="Q4213" t="inlineStr">
        <is>
          <t>InStock</t>
        </is>
      </c>
      <c r="R4213" t="inlineStr">
        <is>
          <t>undefined</t>
        </is>
      </c>
      <c r="S4213" t="inlineStr">
        <is>
          <t>6880558415959</t>
        </is>
      </c>
    </row>
    <row r="4214" ht="75" customHeight="1">
      <c r="A4214" s="2">
        <f>HYPERLINK("https://faoschwarz.com/products/hair-salon", "https://faoschwarz.com/products/hair-salon")</f>
        <v/>
      </c>
      <c r="B4214" s="2">
        <f>HYPERLINK("https://faoschwarz.com/products/hair-salon", "https://faoschwarz.com/products/hair-salon")</f>
        <v/>
      </c>
      <c r="C4214" t="inlineStr">
        <is>
          <t>Wooden Hair Salon Set</t>
        </is>
      </c>
      <c r="D4214" t="inlineStr">
        <is>
          <t>Wooden Beauty Salon Toys Pretend Play Hair Stylist Set Wooden Barber playset for Kids 3-5 Years Old with Hair Dryer，Hair Cutter, and Styling Accessories（18 PCS ）</t>
        </is>
      </c>
      <c r="E4214" s="2">
        <f>HYPERLINK("https://www.amazon.com/GOODCHOICE-Pretend-Stylist-Dryer%EF%BC%8CHair-Accessories%EF%BC%8818/dp/B09JG292Z1/ref=sr_1_6?keywords=Wooden+Hair+Salon+Set&amp;qid=1695565914&amp;sr=8-6", "https://www.amazon.com/GOODCHOICE-Pretend-Stylist-Dryer%EF%BC%8CHair-Accessories%EF%BC%8818/dp/B09JG292Z1/ref=sr_1_6?keywords=Wooden+Hair+Salon+Set&amp;qid=1695565914&amp;sr=8-6")</f>
        <v/>
      </c>
      <c r="F4214" t="inlineStr">
        <is>
          <t>B09JG292Z1</t>
        </is>
      </c>
      <c r="G4214">
        <f>_xlfn.IMAGE("https://faoschwarz.com/cdn/shop/files/tender-leaf-toys-preschool-hair-salon-30332659236951_1080x.jpg?v=1684799217")</f>
        <v/>
      </c>
      <c r="H4214">
        <f>_xlfn.IMAGE("https://m.media-amazon.com/images/I/71UeF5Xc17L._AC_UL320_.jpg")</f>
        <v/>
      </c>
      <c r="K4214" t="inlineStr">
        <is>
          <t>100.0</t>
        </is>
      </c>
      <c r="L4214" t="n">
        <v>29.99</v>
      </c>
      <c r="M4214" s="1" t="inlineStr">
        <is>
          <t>-70.01%</t>
        </is>
      </c>
      <c r="N4214" t="n">
        <v>4.6</v>
      </c>
      <c r="O4214" t="n">
        <v>58</v>
      </c>
      <c r="Q4214" t="inlineStr">
        <is>
          <t>InStock</t>
        </is>
      </c>
      <c r="R4214" t="inlineStr">
        <is>
          <t>undefined</t>
        </is>
      </c>
      <c r="S4214" t="inlineStr">
        <is>
          <t>6880558415959</t>
        </is>
      </c>
    </row>
    <row r="4215" ht="75" customHeight="1">
      <c r="A4215" s="2">
        <f>HYPERLINK("https://faoschwarz.com/products/hair-salon", "https://faoschwarz.com/products/hair-salon")</f>
        <v/>
      </c>
      <c r="B4215" s="2">
        <f>HYPERLINK("https://faoschwarz.com/products/hair-salon", "https://faoschwarz.com/products/hair-salon")</f>
        <v/>
      </c>
      <c r="C4215" t="inlineStr">
        <is>
          <t>Wooden Hair Salon Set</t>
        </is>
      </c>
      <c r="D4215" t="inlineStr">
        <is>
          <t>GAGAKU Wooden Makeup Toy Set Wood Hair Salon Playset Toddler Wooden Makeup Kit for Girls,Christmas Birthday Gift for 3 4 5 6 7 Years Old Kids</t>
        </is>
      </c>
      <c r="E4215" s="2">
        <f>HYPERLINK("https://www.amazon.com/GAGAKU-Playset-Toddler-Christmas-Birthday/dp/B0BZYJNRDF/ref=sr_1_4?keywords=Wooden+Hair+Salon+Set&amp;qid=1695565914&amp;sr=8-4", "https://www.amazon.com/GAGAKU-Playset-Toddler-Christmas-Birthday/dp/B0BZYJNRDF/ref=sr_1_4?keywords=Wooden+Hair+Salon+Set&amp;qid=1695565914&amp;sr=8-4")</f>
        <v/>
      </c>
      <c r="F4215" t="inlineStr">
        <is>
          <t>B0BZYJNRDF</t>
        </is>
      </c>
      <c r="G4215">
        <f>_xlfn.IMAGE("https://faoschwarz.com/cdn/shop/files/tender-leaf-toys-preschool-hair-salon-30332659236951_1080x.jpg?v=1684799217")</f>
        <v/>
      </c>
      <c r="H4215">
        <f>_xlfn.IMAGE("https://m.media-amazon.com/images/I/71UNXX0jp9L._AC_UL320_.jpg")</f>
        <v/>
      </c>
      <c r="K4215" t="inlineStr">
        <is>
          <t>100.0</t>
        </is>
      </c>
      <c r="L4215" t="n">
        <v>27.99</v>
      </c>
      <c r="M4215" s="1" t="inlineStr">
        <is>
          <t>-72.01%</t>
        </is>
      </c>
      <c r="N4215" t="n">
        <v>4.5</v>
      </c>
      <c r="O4215" t="n">
        <v>9</v>
      </c>
      <c r="Q4215" t="inlineStr">
        <is>
          <t>InStock</t>
        </is>
      </c>
      <c r="R4215" t="inlineStr">
        <is>
          <t>undefined</t>
        </is>
      </c>
      <c r="S4215" t="inlineStr">
        <is>
          <t>6880558415959</t>
        </is>
      </c>
    </row>
    <row r="4216" ht="75" customHeight="1">
      <c r="A4216" s="2">
        <f>HYPERLINK("https://faoschwarz.com/products/hair-salon", "https://faoschwarz.com/products/hair-salon")</f>
        <v/>
      </c>
      <c r="B4216" s="2">
        <f>HYPERLINK("https://faoschwarz.com/products/hair-salon", "https://faoschwarz.com/products/hair-salon")</f>
        <v/>
      </c>
      <c r="C4216" t="inlineStr">
        <is>
          <t>Wooden Hair Salon Set</t>
        </is>
      </c>
      <c r="D4216" t="inlineStr">
        <is>
          <t>Kids Hair Salon Playset, Wooden Makeup Toy Set, Hair Styling Toys for Girls, Kids Shaving Kit for Boys, Kids Barber Playset, Gifts for 3 4 5 Year Old Girls Boys (18 PCS)</t>
        </is>
      </c>
      <c r="E4216" s="2">
        <f>HYPERLINK("https://www.amazon.com/Treewant-Playset-Wooden-Styling-Shaving/dp/B09ZQV9LB9/ref=sr_1_1?keywords=Wooden+Hair+Salon+Set&amp;qid=1695565914&amp;sr=8-1", "https://www.amazon.com/Treewant-Playset-Wooden-Styling-Shaving/dp/B09ZQV9LB9/ref=sr_1_1?keywords=Wooden+Hair+Salon+Set&amp;qid=1695565914&amp;sr=8-1")</f>
        <v/>
      </c>
      <c r="F4216" t="inlineStr">
        <is>
          <t>B09ZQV9LB9</t>
        </is>
      </c>
      <c r="G4216">
        <f>_xlfn.IMAGE("https://faoschwarz.com/cdn/shop/files/tender-leaf-toys-preschool-hair-salon-30332659236951_1080x.jpg?v=1684799217")</f>
        <v/>
      </c>
      <c r="H4216">
        <f>_xlfn.IMAGE("https://m.media-amazon.com/images/I/718XGnO2BbL._AC_UL320_.jpg")</f>
        <v/>
      </c>
      <c r="K4216" t="inlineStr">
        <is>
          <t>100.0</t>
        </is>
      </c>
      <c r="L4216" t="n">
        <v>25.99</v>
      </c>
      <c r="M4216" s="1" t="inlineStr">
        <is>
          <t>-74.01%</t>
        </is>
      </c>
      <c r="N4216" t="n">
        <v>4.8</v>
      </c>
      <c r="O4216" t="n">
        <v>126</v>
      </c>
      <c r="Q4216" t="inlineStr">
        <is>
          <t>InStock</t>
        </is>
      </c>
      <c r="R4216" t="inlineStr">
        <is>
          <t>undefined</t>
        </is>
      </c>
      <c r="S4216" t="inlineStr">
        <is>
          <t>6880558415959</t>
        </is>
      </c>
    </row>
    <row r="4217" ht="75" customHeight="1">
      <c r="A4217" s="2">
        <f>HYPERLINK("https://faoschwarz.com/products/hair-salon", "https://faoschwarz.com/products/hair-salon")</f>
        <v/>
      </c>
      <c r="B4217" s="2">
        <f>HYPERLINK("https://faoschwarz.com/products/hair-salon", "https://faoschwarz.com/products/hair-salon")</f>
        <v/>
      </c>
      <c r="C4217" t="inlineStr">
        <is>
          <t>Wooden Hair Salon Set</t>
        </is>
      </c>
      <c r="D4217" t="inlineStr">
        <is>
          <t>Kids Makeup Kit for Girl, Wooden Makeup Toy Set, Hair Salon Playset Pretend Makeup Kit for Toddlers, Princess Birthday Gift, Play Makeup for Little Girls Age 2 3 4 5 6</t>
        </is>
      </c>
      <c r="E4217" s="2">
        <f>HYPERLINK("https://www.amazon.com/Playset-Pretend-Toddlers-Princess-Birthday/dp/B0C89C4LQC/ref=sr_1_8?keywords=Wooden+Hair+Salon+Set&amp;qid=1695565914&amp;sr=8-8", "https://www.amazon.com/Playset-Pretend-Toddlers-Princess-Birthday/dp/B0C89C4LQC/ref=sr_1_8?keywords=Wooden+Hair+Salon+Set&amp;qid=1695565914&amp;sr=8-8")</f>
        <v/>
      </c>
      <c r="F4217" t="inlineStr">
        <is>
          <t>B0C89C4LQC</t>
        </is>
      </c>
      <c r="G4217">
        <f>_xlfn.IMAGE("https://faoschwarz.com/cdn/shop/files/tender-leaf-toys-preschool-hair-salon-30332659236951_1080x.jpg?v=1684799217")</f>
        <v/>
      </c>
      <c r="H4217">
        <f>_xlfn.IMAGE("https://m.media-amazon.com/images/I/61E4PQoKsUL._AC_UL320_.jpg")</f>
        <v/>
      </c>
      <c r="K4217" t="inlineStr">
        <is>
          <t>100.0</t>
        </is>
      </c>
      <c r="L4217" t="n">
        <v>23.99</v>
      </c>
      <c r="M4217" s="1" t="inlineStr">
        <is>
          <t>-76.01%</t>
        </is>
      </c>
      <c r="N4217" t="n">
        <v>5</v>
      </c>
      <c r="O4217" t="n">
        <v>5</v>
      </c>
      <c r="Q4217" t="inlineStr">
        <is>
          <t>InStock</t>
        </is>
      </c>
      <c r="R4217" t="inlineStr">
        <is>
          <t>undefined</t>
        </is>
      </c>
      <c r="S4217" t="inlineStr">
        <is>
          <t>6880558415959</t>
        </is>
      </c>
    </row>
    <row r="4218" ht="75" customHeight="1">
      <c r="A4218" s="2">
        <f>HYPERLINK("https://faoschwarz.com/products/hair-salon", "https://faoschwarz.com/products/hair-salon")</f>
        <v/>
      </c>
      <c r="B4218" s="2">
        <f>HYPERLINK("https://faoschwarz.com/products/hair-salon", "https://faoschwarz.com/products/hair-salon")</f>
        <v/>
      </c>
      <c r="C4218" t="inlineStr">
        <is>
          <t>Wooden Hair Salon Set</t>
        </is>
      </c>
      <c r="D4218" t="inlineStr">
        <is>
          <t>Wooden Beauty Salon Toys 12 Pieces Pretend Playset with Makeup, Mirror, Hair Dryer, Cosmetics Case and Storage Bag, Best Gift for Girls Kids(3-Years-Old &amp; Up)</t>
        </is>
      </c>
      <c r="E4218" s="2">
        <f>HYPERLINK("https://www.amazon.com/LOKUO-Pretend-Playset-Cosmetics-3-Years-Old/dp/B08R3MMCP1/ref=sr_1_9?keywords=Wooden+Hair+Salon+Set&amp;qid=1695565914&amp;sr=8-9", "https://www.amazon.com/LOKUO-Pretend-Playset-Cosmetics-3-Years-Old/dp/B08R3MMCP1/ref=sr_1_9?keywords=Wooden+Hair+Salon+Set&amp;qid=1695565914&amp;sr=8-9")</f>
        <v/>
      </c>
      <c r="F4218" t="inlineStr">
        <is>
          <t>B08R3MMCP1</t>
        </is>
      </c>
      <c r="G4218">
        <f>_xlfn.IMAGE("https://faoschwarz.com/cdn/shop/files/tender-leaf-toys-preschool-hair-salon-30332659236951_1080x.jpg?v=1684799217")</f>
        <v/>
      </c>
      <c r="H4218">
        <f>_xlfn.IMAGE("https://m.media-amazon.com/images/I/61oA3h-1QjL._AC_UL320_.jpg")</f>
        <v/>
      </c>
      <c r="K4218" t="inlineStr">
        <is>
          <t>100.0</t>
        </is>
      </c>
      <c r="L4218" t="n">
        <v>23.09</v>
      </c>
      <c r="M4218" s="1" t="inlineStr">
        <is>
          <t>-76.91%</t>
        </is>
      </c>
      <c r="N4218" t="n">
        <v>4.9</v>
      </c>
      <c r="O4218" t="n">
        <v>32</v>
      </c>
      <c r="Q4218" t="inlineStr">
        <is>
          <t>InStock</t>
        </is>
      </c>
      <c r="R4218" t="inlineStr">
        <is>
          <t>undefined</t>
        </is>
      </c>
      <c r="S4218" t="inlineStr">
        <is>
          <t>6880558415959</t>
        </is>
      </c>
    </row>
    <row r="4219" ht="75" customHeight="1">
      <c r="A4219" s="2">
        <f>HYPERLINK("https://faoschwarz.com/products/hair-salon", "https://faoschwarz.com/products/hair-salon")</f>
        <v/>
      </c>
      <c r="B4219" s="2">
        <f>HYPERLINK("https://faoschwarz.com/products/hair-salon", "https://faoschwarz.com/products/hair-salon")</f>
        <v/>
      </c>
      <c r="C4219" t="inlineStr">
        <is>
          <t>Wooden Hair Salon Set</t>
        </is>
      </c>
      <c r="D4219" t="inlineStr">
        <is>
          <t>Kids Hair Salon Playset, Wooden Makeup Toy Set, Hair Styling Toys for Girls, Kids Shaving Kit for Boys, Kids Barber Playset, Gifts for 3 4 5 Year Old Girls Boys (18 PCS)</t>
        </is>
      </c>
      <c r="E4219" s="2">
        <f>HYPERLINK("https://www.amazon.com/umu-Playset-Toddlers-Pretend-Grooming/dp/B091534J6M/ref=sr_1_2?keywords=Wooden+Hair+Salon+Set&amp;qid=1695565914&amp;sr=8-2", "https://www.amazon.com/umu-Playset-Toddlers-Pretend-Grooming/dp/B091534J6M/ref=sr_1_2?keywords=Wooden+Hair+Salon+Set&amp;qid=1695565914&amp;sr=8-2")</f>
        <v/>
      </c>
      <c r="F4219" t="inlineStr">
        <is>
          <t>B091534J6M</t>
        </is>
      </c>
      <c r="G4219">
        <f>_xlfn.IMAGE("https://faoschwarz.com/cdn/shop/files/tender-leaf-toys-preschool-hair-salon-30332659236951_1080x.jpg?v=1684799217")</f>
        <v/>
      </c>
      <c r="H4219">
        <f>_xlfn.IMAGE("https://m.media-amazon.com/images/I/511TTehJxgS._AC_UL320_.jpg")</f>
        <v/>
      </c>
      <c r="K4219" t="inlineStr">
        <is>
          <t>100.0</t>
        </is>
      </c>
      <c r="L4219" t="n">
        <v>21.33</v>
      </c>
      <c r="M4219" s="1" t="inlineStr">
        <is>
          <t>-78.67%</t>
        </is>
      </c>
      <c r="N4219" t="n">
        <v>4.7</v>
      </c>
      <c r="O4219" t="n">
        <v>438</v>
      </c>
      <c r="Q4219" t="inlineStr">
        <is>
          <t>InStock</t>
        </is>
      </c>
      <c r="R4219" t="inlineStr">
        <is>
          <t>undefined</t>
        </is>
      </c>
      <c r="S4219" t="inlineStr">
        <is>
          <t>6880558415959</t>
        </is>
      </c>
    </row>
    <row r="4220" ht="75" customHeight="1">
      <c r="A4220" s="2">
        <f>HYPERLINK("https://faoschwarz.com/products/husker-du", "https://faoschwarz.com/products/husker-du")</f>
        <v/>
      </c>
      <c r="B4220" s="2">
        <f>HYPERLINK("https://faoschwarz.com/products/husker-du", "https://faoschwarz.com/products/husker-du")</f>
        <v/>
      </c>
      <c r="C4220" t="inlineStr">
        <is>
          <t>Husker Du</t>
        </is>
      </c>
      <c r="D4220" t="inlineStr">
        <is>
          <t>Husker Du T Shirt Circle Band Logo Official Mens Blue Size</t>
        </is>
      </c>
      <c r="E4220" s="2">
        <f>HYPERLINK("https://www.amazon.com/Husker-Du-Circle-T-Shirt-extra/dp/B07GCY52PH/ref=sr_1_7?keywords=Husker+Du&amp;qid=1695565989&amp;sr=8-7", "https://www.amazon.com/Husker-Du-Circle-T-Shirt-extra/dp/B07GCY52PH/ref=sr_1_7?keywords=Husker+Du&amp;qid=1695565989&amp;sr=8-7")</f>
        <v/>
      </c>
      <c r="F4220" t="inlineStr">
        <is>
          <t>B07GCY52PH</t>
        </is>
      </c>
      <c r="G4220">
        <f>_xlfn.IMAGE("https://faoschwarz.com/cdn/shop/products/winning-moves-games-husker-du-14098776653911_1080x.jpg?v=1656126423")</f>
        <v/>
      </c>
      <c r="H4220">
        <f>_xlfn.IMAGE("https://m.media-amazon.com/images/I/61pG8I9+F3L._AC_UL320_.jpg")</f>
        <v/>
      </c>
      <c r="K4220" t="inlineStr">
        <is>
          <t>14.0</t>
        </is>
      </c>
      <c r="L4220" t="n">
        <v>25.89</v>
      </c>
      <c r="M4220" s="1" t="inlineStr">
        <is>
          <t>84.93%</t>
        </is>
      </c>
      <c r="N4220" t="n">
        <v>4.4</v>
      </c>
      <c r="O4220" t="n">
        <v>10</v>
      </c>
      <c r="Q4220" t="inlineStr">
        <is>
          <t>InStock</t>
        </is>
      </c>
      <c r="R4220" t="inlineStr">
        <is>
          <t>undefined</t>
        </is>
      </c>
      <c r="S4220" t="inlineStr">
        <is>
          <t>4519515619415</t>
        </is>
      </c>
    </row>
    <row r="4221" ht="75" customHeight="1">
      <c r="A4221" s="2">
        <f>HYPERLINK("https://faoschwarz.com/products/husker-du", "https://faoschwarz.com/products/husker-du")</f>
        <v/>
      </c>
      <c r="B4221" s="2">
        <f>HYPERLINK("https://faoschwarz.com/products/husker-du", "https://faoschwarz.com/products/husker-du")</f>
        <v/>
      </c>
      <c r="C4221" t="inlineStr">
        <is>
          <t>Husker Du</t>
        </is>
      </c>
      <c r="D4221" t="inlineStr">
        <is>
          <t>Winning Moves Games Husker Du? (1230) Medium</t>
        </is>
      </c>
      <c r="E4221" s="2">
        <f>HYPERLINK("https://www.amazon.com/Winning-Moves-Games-Husker-Du/dp/B083245DS8/ref=sr_1_1?keywords=Husker+Du&amp;qid=1695565989&amp;sr=8-1", "https://www.amazon.com/Winning-Moves-Games-Husker-Du/dp/B083245DS8/ref=sr_1_1?keywords=Husker+Du&amp;qid=1695565989&amp;sr=8-1")</f>
        <v/>
      </c>
      <c r="F4221" t="inlineStr">
        <is>
          <t>B083245DS8</t>
        </is>
      </c>
      <c r="G4221">
        <f>_xlfn.IMAGE("https://faoschwarz.com/cdn/shop/products/winning-moves-games-husker-du-14098776653911_1080x.jpg?v=1656126423")</f>
        <v/>
      </c>
      <c r="H4221">
        <f>_xlfn.IMAGE("https://m.media-amazon.com/images/I/81OF5wil1TL._AC_UL320_.jpg")</f>
        <v/>
      </c>
      <c r="K4221" t="inlineStr">
        <is>
          <t>14.0</t>
        </is>
      </c>
      <c r="L4221" t="n">
        <v>11.99</v>
      </c>
      <c r="M4221" s="1" t="inlineStr">
        <is>
          <t>-14.36%</t>
        </is>
      </c>
      <c r="N4221" t="n">
        <v>4.6</v>
      </c>
      <c r="O4221" t="n">
        <v>488</v>
      </c>
      <c r="Q4221" t="inlineStr">
        <is>
          <t>InStock</t>
        </is>
      </c>
      <c r="R4221" t="inlineStr">
        <is>
          <t>undefined</t>
        </is>
      </c>
      <c r="S4221" t="inlineStr">
        <is>
          <t>4519515619415</t>
        </is>
      </c>
    </row>
    <row r="4222" ht="75" customHeight="1">
      <c r="A4222" s="2">
        <f>HYPERLINK("https://faoschwarz.com/products/husker-du", "https://faoschwarz.com/products/husker-du")</f>
        <v/>
      </c>
      <c r="B4222" s="2">
        <f>HYPERLINK("https://faoschwarz.com/products/husker-du", "https://faoschwarz.com/products/husker-du")</f>
        <v/>
      </c>
      <c r="C4222" t="inlineStr">
        <is>
          <t>Husker Du</t>
        </is>
      </c>
      <c r="D4222" t="inlineStr">
        <is>
          <t>Winning Moves Games Husker Du? (1230) Medium</t>
        </is>
      </c>
      <c r="E4222" s="2">
        <f>HYPERLINK("https://www.amazon.com/Winning-Moves-Games-Husker-Du/dp/B083245DS8/ref=sr_1_1?keywords=Husker+Du&amp;qid=1695565989&amp;sr=8-1", "https://www.amazon.com/Winning-Moves-Games-Husker-Du/dp/B083245DS8/ref=sr_1_1?keywords=Husker+Du&amp;qid=1695565989&amp;sr=8-1")</f>
        <v/>
      </c>
      <c r="F4222" t="inlineStr">
        <is>
          <t>B083245DS8</t>
        </is>
      </c>
      <c r="G4222">
        <f>_xlfn.IMAGE("https://faoschwarz.com/cdn/shop/products/winning-moves-games-husker-du-14098776653911_1080x.jpg?v=1656126423")</f>
        <v/>
      </c>
      <c r="H4222">
        <f>_xlfn.IMAGE("https://m.media-amazon.com/images/I/81OF5wil1TL._AC_UL320_.jpg")</f>
        <v/>
      </c>
      <c r="K4222" t="inlineStr">
        <is>
          <t>14.0</t>
        </is>
      </c>
      <c r="L4222" t="n">
        <v>11.99</v>
      </c>
      <c r="M4222" s="1" t="inlineStr">
        <is>
          <t>-14.36%</t>
        </is>
      </c>
      <c r="N4222" t="n">
        <v>4.6</v>
      </c>
      <c r="O4222" t="n">
        <v>488</v>
      </c>
      <c r="Q4222" t="inlineStr">
        <is>
          <t>InStock</t>
        </is>
      </c>
      <c r="R4222" t="inlineStr">
        <is>
          <t>undefined</t>
        </is>
      </c>
      <c r="S4222" t="inlineStr">
        <is>
          <t>4519515619415</t>
        </is>
      </c>
    </row>
    <row r="4223" ht="75" customHeight="1">
      <c r="A4223" s="2">
        <f>HYPERLINK("https://faoschwarz.com/products/ice-cream-truck-mini-jigsaw-puzzle", "https://faoschwarz.com/products/ice-cream-truck-mini-jigsaw-puzzle")</f>
        <v/>
      </c>
      <c r="B4223" s="2">
        <f>HYPERLINK("https://faoschwarz.com/products/ice-cream-truck-mini-jigsaw-puzzle", "https://faoschwarz.com/products/ice-cream-truck-mini-jigsaw-puzzle")</f>
        <v/>
      </c>
      <c r="C4223" t="inlineStr">
        <is>
          <t>Ice Cream Truck Mini Jigsaw Puzzle</t>
        </is>
      </c>
      <c r="D4223" t="inlineStr">
        <is>
          <t>White Mountain Puzzles Ice Cream Truck - 1000 Piece Jigsaw Puzzle</t>
        </is>
      </c>
      <c r="E4223" s="2">
        <f>HYPERLINK("https://www.amazon.com/White-Mountain-Puzzles-Truck-1000-Puzzle-Designer/dp/B07FT1NQQ4/ref=sr_1_6?keywords=Ice+Cream+Truck+Mini+Jigsaw+Puzzle&amp;qid=1695565994&amp;sr=8-6", "https://www.amazon.com/White-Mountain-Puzzles-Truck-1000-Puzzle-Designer/dp/B07FT1NQQ4/ref=sr_1_6?keywords=Ice+Cream+Truck+Mini+Jigsaw+Puzzle&amp;qid=1695565994&amp;sr=8-6")</f>
        <v/>
      </c>
      <c r="F4223" t="inlineStr">
        <is>
          <t>B07FT1NQQ4</t>
        </is>
      </c>
      <c r="G4223">
        <f>_xlfn.IMAGE("https://faoschwarz.com/cdn/shop/products/djeco-puzzles-ice-cream-truck-mini-jigsaw-puzzle-14738465783895_1080x.jpg?v=1656136880")</f>
        <v/>
      </c>
      <c r="H4223">
        <f>_xlfn.IMAGE("https://m.media-amazon.com/images/I/81XHXAinF7L._AC_UL320_.jpg")</f>
        <v/>
      </c>
      <c r="K4223" t="inlineStr">
        <is>
          <t>13.0</t>
        </is>
      </c>
      <c r="L4223" t="n">
        <v>19.99</v>
      </c>
      <c r="M4223" s="1" t="inlineStr">
        <is>
          <t>53.77%</t>
        </is>
      </c>
      <c r="N4223" t="n">
        <v>4.6</v>
      </c>
      <c r="O4223" t="n">
        <v>241</v>
      </c>
      <c r="Q4223" t="inlineStr">
        <is>
          <t>InStock</t>
        </is>
      </c>
      <c r="R4223" t="inlineStr">
        <is>
          <t>undefined</t>
        </is>
      </c>
      <c r="S4223" t="inlineStr">
        <is>
          <t>4639869698135</t>
        </is>
      </c>
    </row>
    <row r="4224" ht="75" customHeight="1">
      <c r="A4224" s="2">
        <f>HYPERLINK("https://faoschwarz.com/products/ice-cream-truck-mini-jigsaw-puzzle", "https://faoschwarz.com/products/ice-cream-truck-mini-jigsaw-puzzle")</f>
        <v/>
      </c>
      <c r="B4224" s="2">
        <f>HYPERLINK("https://faoschwarz.com/products/ice-cream-truck-mini-jigsaw-puzzle", "https://faoschwarz.com/products/ice-cream-truck-mini-jigsaw-puzzle")</f>
        <v/>
      </c>
      <c r="C4224" t="inlineStr">
        <is>
          <t>Ice Cream Truck Mini Jigsaw Puzzle</t>
        </is>
      </c>
      <c r="D4224" t="inlineStr">
        <is>
          <t>DJECO Ice Cream Truck Mini Jig Saw Puzzle, Yellow</t>
        </is>
      </c>
      <c r="E4224" s="2">
        <f>HYPERLINK("https://www.amazon.com/Djeco-Silhouette-Puzzle-Cream-Truck/dp/B01DV6YYKQ/ref=sr_1_1?keywords=Ice+Cream+Truck+Mini+Jigsaw+Puzzle&amp;qid=1695565994&amp;sr=8-1", "https://www.amazon.com/Djeco-Silhouette-Puzzle-Cream-Truck/dp/B01DV6YYKQ/ref=sr_1_1?keywords=Ice+Cream+Truck+Mini+Jigsaw+Puzzle&amp;qid=1695565994&amp;sr=8-1")</f>
        <v/>
      </c>
      <c r="F4224" t="inlineStr">
        <is>
          <t>B01DV6YYKQ</t>
        </is>
      </c>
      <c r="G4224">
        <f>_xlfn.IMAGE("https://faoschwarz.com/cdn/shop/products/djeco-puzzles-ice-cream-truck-mini-jigsaw-puzzle-14738465783895_1080x.jpg?v=1656136880")</f>
        <v/>
      </c>
      <c r="H4224">
        <f>_xlfn.IMAGE("https://m.media-amazon.com/images/I/81aXpvsuVIL._AC_UL320_.jpg")</f>
        <v/>
      </c>
      <c r="K4224" t="inlineStr">
        <is>
          <t>13.0</t>
        </is>
      </c>
      <c r="L4224" t="n">
        <v>15.57</v>
      </c>
      <c r="M4224" s="1" t="inlineStr">
        <is>
          <t>19.77%</t>
        </is>
      </c>
      <c r="N4224" t="n">
        <v>4.6</v>
      </c>
      <c r="O4224" t="n">
        <v>115</v>
      </c>
      <c r="Q4224" t="inlineStr">
        <is>
          <t>InStock</t>
        </is>
      </c>
      <c r="R4224" t="inlineStr">
        <is>
          <t>undefined</t>
        </is>
      </c>
      <c r="S4224" t="inlineStr">
        <is>
          <t>4639869698135</t>
        </is>
      </c>
    </row>
    <row r="4225" ht="75" customHeight="1">
      <c r="A4225" s="2">
        <f>HYPERLINK("https://faoschwarz.com/products/ice-cream-truck-mini-jigsaw-puzzle", "https://faoschwarz.com/products/ice-cream-truck-mini-jigsaw-puzzle")</f>
        <v/>
      </c>
      <c r="B4225" s="2">
        <f>HYPERLINK("https://faoschwarz.com/products/ice-cream-truck-mini-jigsaw-puzzle", "https://faoschwarz.com/products/ice-cream-truck-mini-jigsaw-puzzle")</f>
        <v/>
      </c>
      <c r="C4225" t="inlineStr">
        <is>
          <t>Ice Cream Truck Mini Jigsaw Puzzle</t>
        </is>
      </c>
      <c r="D4225" t="inlineStr">
        <is>
          <t>Re-marks Ice-Cream Truck Puzzle, 300-Piece Jigsaw Puzzle for All Ages</t>
        </is>
      </c>
      <c r="E4225" s="2">
        <f>HYPERLINK("https://www.amazon.com/Re-Marks-Cream-Truck-Large-Puzzle/dp/B01CUZBQEQ/ref=sr_1_2?keywords=Ice+Cream+Truck+Mini+Jigsaw+Puzzle&amp;qid=1695565994&amp;sr=8-2", "https://www.amazon.com/Re-Marks-Cream-Truck-Large-Puzzle/dp/B01CUZBQEQ/ref=sr_1_2?keywords=Ice+Cream+Truck+Mini+Jigsaw+Puzzle&amp;qid=1695565994&amp;sr=8-2")</f>
        <v/>
      </c>
      <c r="F4225" t="inlineStr">
        <is>
          <t>B01CUZBQEQ</t>
        </is>
      </c>
      <c r="G4225">
        <f>_xlfn.IMAGE("https://faoschwarz.com/cdn/shop/products/djeco-puzzles-ice-cream-truck-mini-jigsaw-puzzle-14738465783895_1080x.jpg?v=1656136880")</f>
        <v/>
      </c>
      <c r="H4225">
        <f>_xlfn.IMAGE("https://m.media-amazon.com/images/I/91b5vHVE89L._AC_UL320_.jpg")</f>
        <v/>
      </c>
      <c r="K4225" t="inlineStr">
        <is>
          <t>13.0</t>
        </is>
      </c>
      <c r="L4225" t="n">
        <v>14.99</v>
      </c>
      <c r="M4225" s="1" t="inlineStr">
        <is>
          <t>15.31%</t>
        </is>
      </c>
      <c r="N4225" t="n">
        <v>4.6</v>
      </c>
      <c r="O4225" t="n">
        <v>67</v>
      </c>
      <c r="Q4225" t="inlineStr">
        <is>
          <t>InStock</t>
        </is>
      </c>
      <c r="R4225" t="inlineStr">
        <is>
          <t>undefined</t>
        </is>
      </c>
      <c r="S4225" t="inlineStr">
        <is>
          <t>4639869698135</t>
        </is>
      </c>
    </row>
    <row r="4226" ht="75" customHeight="1">
      <c r="A4226" s="2">
        <f>HYPERLINK("https://faoschwarz.com/products/ice-cream-truck-mini-jigsaw-puzzle", "https://faoschwarz.com/products/ice-cream-truck-mini-jigsaw-puzzle")</f>
        <v/>
      </c>
      <c r="B4226" s="2">
        <f>HYPERLINK("https://faoschwarz.com/products/ice-cream-truck-mini-jigsaw-puzzle", "https://faoschwarz.com/products/ice-cream-truck-mini-jigsaw-puzzle")</f>
        <v/>
      </c>
      <c r="C4226" t="inlineStr">
        <is>
          <t>Ice Cream Truck Mini Jigsaw Puzzle</t>
        </is>
      </c>
      <c r="D4226" t="inlineStr">
        <is>
          <t>Back to The Past 1000 PC Jigsaw Puzzle - Ice Cream Truck Day</t>
        </is>
      </c>
      <c r="E4226" s="2">
        <f>HYPERLINK("https://www.amazon.com/Back-Past-1000-Jigsaw-Puzzle/dp/B0BJ7QQ2TR/ref=sr_1_5?keywords=Ice+Cream+Truck+Mini+Jigsaw+Puzzle&amp;qid=1695565994&amp;sr=8-5", "https://www.amazon.com/Back-Past-1000-Jigsaw-Puzzle/dp/B0BJ7QQ2TR/ref=sr_1_5?keywords=Ice+Cream+Truck+Mini+Jigsaw+Puzzle&amp;qid=1695565994&amp;sr=8-5")</f>
        <v/>
      </c>
      <c r="F4226" t="inlineStr">
        <is>
          <t>B0BJ7QQ2TR</t>
        </is>
      </c>
      <c r="G4226">
        <f>_xlfn.IMAGE("https://faoschwarz.com/cdn/shop/products/djeco-puzzles-ice-cream-truck-mini-jigsaw-puzzle-14738465783895_1080x.jpg?v=1656136880")</f>
        <v/>
      </c>
      <c r="H4226">
        <f>_xlfn.IMAGE("https://m.media-amazon.com/images/I/91X+JeYvdmL._AC_UL320_.jpg")</f>
        <v/>
      </c>
      <c r="K4226" t="inlineStr">
        <is>
          <t>13.0</t>
        </is>
      </c>
      <c r="L4226" t="n">
        <v>9.83</v>
      </c>
      <c r="M4226" s="1" t="inlineStr">
        <is>
          <t>-24.38%</t>
        </is>
      </c>
      <c r="N4226" t="n">
        <v>4.5</v>
      </c>
      <c r="O4226" t="n">
        <v>210</v>
      </c>
      <c r="Q4226" t="inlineStr">
        <is>
          <t>InStock</t>
        </is>
      </c>
      <c r="R4226" t="inlineStr">
        <is>
          <t>undefined</t>
        </is>
      </c>
      <c r="S4226" t="inlineStr">
        <is>
          <t>4639869698135</t>
        </is>
      </c>
    </row>
    <row r="4227" ht="75" customHeight="1">
      <c r="A4227" s="2">
        <f>HYPERLINK("https://faoschwarz.com/products/ice-cream-truck-mini-jigsaw-puzzle", "https://faoschwarz.com/products/ice-cream-truck-mini-jigsaw-puzzle")</f>
        <v/>
      </c>
      <c r="B4227" s="2">
        <f>HYPERLINK("https://faoschwarz.com/products/ice-cream-truck-mini-jigsaw-puzzle", "https://faoschwarz.com/products/ice-cream-truck-mini-jigsaw-puzzle")</f>
        <v/>
      </c>
      <c r="C4227" t="inlineStr">
        <is>
          <t>Ice Cream Truck Mini Jigsaw Puzzle</t>
        </is>
      </c>
      <c r="D4227" t="inlineStr">
        <is>
          <t>Ceaco - Food Trucks - Ice Cream Truck II - 500 Piece Jigsaw Puzzle</t>
        </is>
      </c>
      <c r="E4227" s="2">
        <f>HYPERLINK("https://www.amazon.com/Ceaco-Trucks-Cream-Jigsaw-Puzzle/dp/B0BWZSVSGH/ref=sr_1_3?keywords=Ice+Cream+Truck+Mini+Jigsaw+Puzzle&amp;qid=1695565994&amp;sr=8-3", "https://www.amazon.com/Ceaco-Trucks-Cream-Jigsaw-Puzzle/dp/B0BWZSVSGH/ref=sr_1_3?keywords=Ice+Cream+Truck+Mini+Jigsaw+Puzzle&amp;qid=1695565994&amp;sr=8-3")</f>
        <v/>
      </c>
      <c r="F4227" t="inlineStr">
        <is>
          <t>B0BWZSVSGH</t>
        </is>
      </c>
      <c r="G4227">
        <f>_xlfn.IMAGE("https://faoschwarz.com/cdn/shop/products/djeco-puzzles-ice-cream-truck-mini-jigsaw-puzzle-14738465783895_1080x.jpg?v=1656136880")</f>
        <v/>
      </c>
      <c r="H4227">
        <f>_xlfn.IMAGE("https://m.media-amazon.com/images/I/91Cwwh8sATL._AC_UL320_.jpg")</f>
        <v/>
      </c>
      <c r="K4227" t="inlineStr">
        <is>
          <t>13.0</t>
        </is>
      </c>
      <c r="L4227" t="n">
        <v>8.99</v>
      </c>
      <c r="M4227" s="1" t="inlineStr">
        <is>
          <t>-30.85%</t>
        </is>
      </c>
      <c r="N4227" t="n">
        <v>4.5</v>
      </c>
      <c r="O4227" t="n">
        <v>332</v>
      </c>
      <c r="Q4227" t="inlineStr">
        <is>
          <t>InStock</t>
        </is>
      </c>
      <c r="R4227" t="inlineStr">
        <is>
          <t>undefined</t>
        </is>
      </c>
      <c r="S4227" t="inlineStr">
        <is>
          <t>4639869698135</t>
        </is>
      </c>
    </row>
    <row r="4228" ht="75" customHeight="1">
      <c r="A4228" s="2">
        <f>HYPERLINK("https://faoschwarz.com/products/ice-cream-truck-mini-jigsaw-puzzle", "https://faoschwarz.com/products/ice-cream-truck-mini-jigsaw-puzzle")</f>
        <v/>
      </c>
      <c r="B4228" s="2">
        <f>HYPERLINK("https://faoschwarz.com/products/ice-cream-truck-mini-jigsaw-puzzle", "https://faoschwarz.com/products/ice-cream-truck-mini-jigsaw-puzzle")</f>
        <v/>
      </c>
      <c r="C4228" t="inlineStr">
        <is>
          <t>Ice Cream Truck Mini Jigsaw Puzzle</t>
        </is>
      </c>
      <c r="D4228" t="inlineStr">
        <is>
          <t>Back to The Past 1000 PC Jigsaw Puzzle - Ice Cream Truck Day</t>
        </is>
      </c>
      <c r="E4228" s="2">
        <f>HYPERLINK("https://www.amazon.com/Back-Past-1000-Jigsaw-Puzzle/dp/B0BJ7QQ2TR/ref=sr_1_5?keywords=Ice+Cream+Truck+Mini+Jigsaw+Puzzle&amp;qid=1695565994&amp;sr=8-5", "https://www.amazon.com/Back-Past-1000-Jigsaw-Puzzle/dp/B0BJ7QQ2TR/ref=sr_1_5?keywords=Ice+Cream+Truck+Mini+Jigsaw+Puzzle&amp;qid=1695565994&amp;sr=8-5")</f>
        <v/>
      </c>
      <c r="F4228" t="inlineStr">
        <is>
          <t>B0BJ7QQ2TR</t>
        </is>
      </c>
      <c r="G4228">
        <f>_xlfn.IMAGE("https://faoschwarz.com/cdn/shop/products/djeco-puzzles-ice-cream-truck-mini-jigsaw-puzzle-14738465783895_1080x.jpg?v=1656136880")</f>
        <v/>
      </c>
      <c r="H4228">
        <f>_xlfn.IMAGE("https://m.media-amazon.com/images/I/91X+JeYvdmL._AC_UL320_.jpg")</f>
        <v/>
      </c>
      <c r="K4228" t="inlineStr">
        <is>
          <t>13.0</t>
        </is>
      </c>
      <c r="L4228" t="n">
        <v>9.83</v>
      </c>
      <c r="M4228" s="1" t="inlineStr">
        <is>
          <t>-24.38%</t>
        </is>
      </c>
      <c r="N4228" t="n">
        <v>4.5</v>
      </c>
      <c r="O4228" t="n">
        <v>210</v>
      </c>
      <c r="Q4228" t="inlineStr">
        <is>
          <t>InStock</t>
        </is>
      </c>
      <c r="R4228" t="inlineStr">
        <is>
          <t>undefined</t>
        </is>
      </c>
      <c r="S4228" t="inlineStr">
        <is>
          <t>4639869698135</t>
        </is>
      </c>
    </row>
    <row r="4229" ht="75" customHeight="1">
      <c r="A4229" s="2">
        <f>HYPERLINK("https://faoschwarz.com/products/ice-cream-truck-mini-jigsaw-puzzle", "https://faoschwarz.com/products/ice-cream-truck-mini-jigsaw-puzzle")</f>
        <v/>
      </c>
      <c r="B4229" s="2">
        <f>HYPERLINK("https://faoschwarz.com/products/ice-cream-truck-mini-jigsaw-puzzle", "https://faoschwarz.com/products/ice-cream-truck-mini-jigsaw-puzzle")</f>
        <v/>
      </c>
      <c r="C4229" t="inlineStr">
        <is>
          <t>Ice Cream Truck Mini Jigsaw Puzzle</t>
        </is>
      </c>
      <c r="D4229" t="inlineStr">
        <is>
          <t>Ceaco - Food Trucks - Ice Cream Truck II - 500 Piece Jigsaw Puzzle</t>
        </is>
      </c>
      <c r="E4229" s="2">
        <f>HYPERLINK("https://www.amazon.com/Ceaco-Trucks-Cream-Jigsaw-Puzzle/dp/B0BWZSVSGH/ref=sr_1_3?keywords=Ice+Cream+Truck+Mini+Jigsaw+Puzzle&amp;qid=1695565994&amp;sr=8-3", "https://www.amazon.com/Ceaco-Trucks-Cream-Jigsaw-Puzzle/dp/B0BWZSVSGH/ref=sr_1_3?keywords=Ice+Cream+Truck+Mini+Jigsaw+Puzzle&amp;qid=1695565994&amp;sr=8-3")</f>
        <v/>
      </c>
      <c r="F4229" t="inlineStr">
        <is>
          <t>B0BWZSVSGH</t>
        </is>
      </c>
      <c r="G4229">
        <f>_xlfn.IMAGE("https://faoschwarz.com/cdn/shop/products/djeco-puzzles-ice-cream-truck-mini-jigsaw-puzzle-14738465783895_1080x.jpg?v=1656136880")</f>
        <v/>
      </c>
      <c r="H4229">
        <f>_xlfn.IMAGE("https://m.media-amazon.com/images/I/91Cwwh8sATL._AC_UL320_.jpg")</f>
        <v/>
      </c>
      <c r="K4229" t="inlineStr">
        <is>
          <t>13.0</t>
        </is>
      </c>
      <c r="L4229" t="n">
        <v>8.99</v>
      </c>
      <c r="M4229" s="1" t="inlineStr">
        <is>
          <t>-30.85%</t>
        </is>
      </c>
      <c r="N4229" t="n">
        <v>4.5</v>
      </c>
      <c r="O4229" t="n">
        <v>332</v>
      </c>
      <c r="Q4229" t="inlineStr">
        <is>
          <t>InStock</t>
        </is>
      </c>
      <c r="R4229" t="inlineStr">
        <is>
          <t>undefined</t>
        </is>
      </c>
      <c r="S4229" t="inlineStr">
        <is>
          <t>4639869698135</t>
        </is>
      </c>
    </row>
    <row r="4230" ht="75" customHeight="1">
      <c r="A4230" s="2">
        <f>HYPERLINK("https://faoschwarz.com/products/jumbo-wooden-rocker-with-slide-natural", "https://faoschwarz.com/products/jumbo-wooden-rocker-with-slide-natural")</f>
        <v/>
      </c>
      <c r="B4230" s="2">
        <f>HYPERLINK("https://faoschwarz.com/products/jumbo-wooden-rocker-with-slide-natural", "https://faoschwarz.com/products/jumbo-wooden-rocker-with-slide-natural")</f>
        <v/>
      </c>
      <c r="C4230" t="inlineStr">
        <is>
          <t>Jumbo Waldorf Rocker with Slide - Natural</t>
        </is>
      </c>
      <c r="D4230" t="inlineStr">
        <is>
          <t>Avenlur Hazel 5-in-1 Indoor Gym Playset for Children - Montessori Waldorf Style with Triangle Ladder, Climbing Ramp, Arch Climber, Rocker, and Slide - Playground for Toddlers &amp; Kids (18m-6yrs) Natural</t>
        </is>
      </c>
      <c r="E4230" s="2">
        <f>HYPERLINK("https://www.amazon.com/Avenlur-Foldable-Pikler-Triangle-Ladder/dp/B094795S6S/ref=sr_1_8?keywords=Jumbo+Waldorf+Rocker+with+Slide+-+Natural&amp;qid=1695565939&amp;sr=8-8", "https://www.amazon.com/Avenlur-Foldable-Pikler-Triangle-Ladder/dp/B094795S6S/ref=sr_1_8?keywords=Jumbo+Waldorf+Rocker+with+Slide+-+Natural&amp;qid=1695565939&amp;sr=8-8")</f>
        <v/>
      </c>
      <c r="F4230" t="inlineStr">
        <is>
          <t>B094795S6S</t>
        </is>
      </c>
      <c r="G4230">
        <f>_xlfn.IMAGE("https://faoschwarz.com/cdn/shop/products/cassarokids-preschool-jumbo-waldorf-rocker-with-slide-natural-29503530729559_1080x.jpg?v=1667249991")</f>
        <v/>
      </c>
      <c r="H4230">
        <f>_xlfn.IMAGE("https://m.media-amazon.com/images/I/A1WIX7tJP6L._AC_UL320_.jpg")</f>
        <v/>
      </c>
      <c r="K4230" t="inlineStr">
        <is>
          <t>499.0</t>
        </is>
      </c>
      <c r="L4230" t="n">
        <v>269</v>
      </c>
      <c r="M4230" s="1" t="inlineStr">
        <is>
          <t>-46.09%</t>
        </is>
      </c>
      <c r="N4230" t="n">
        <v>4.7</v>
      </c>
      <c r="O4230" t="n">
        <v>313</v>
      </c>
      <c r="Q4230" t="inlineStr">
        <is>
          <t>InStock</t>
        </is>
      </c>
      <c r="R4230" t="inlineStr">
        <is>
          <t>undefined</t>
        </is>
      </c>
      <c r="S4230" t="inlineStr">
        <is>
          <t>6796479103063</t>
        </is>
      </c>
    </row>
    <row r="4231" ht="75" customHeight="1">
      <c r="A4231" s="2">
        <f>HYPERLINK("https://faoschwarz.com/products/jumbo-wooden-rocker-with-slide-natural", "https://faoschwarz.com/products/jumbo-wooden-rocker-with-slide-natural")</f>
        <v/>
      </c>
      <c r="B4231" s="2">
        <f>HYPERLINK("https://faoschwarz.com/products/jumbo-wooden-rocker-with-slide-natural", "https://faoschwarz.com/products/jumbo-wooden-rocker-with-slide-natural")</f>
        <v/>
      </c>
      <c r="C4231" t="inlineStr">
        <is>
          <t>Jumbo Waldorf Rocker with Slide - Natural</t>
        </is>
      </c>
      <c r="D4231" t="inlineStr">
        <is>
          <t>4 In 1 Pikler Triangle Gym, Montessori Foldable Indoor Climber with Ramp for Kids, Climbing Triangle for Toddlers Arch Climber, Rocker, Learning Waldorf Children Toy Structure, Natural</t>
        </is>
      </c>
      <c r="E4231" s="2">
        <f>HYPERLINK("https://www.amazon.com/Triangle-Montessori-Foldable-Climbing-Structure/dp/B0B4ZJR6QV/ref=sr_1_2?keywords=Jumbo+Waldorf+Rocker+with+Slide+-+Natural&amp;qid=1695565939&amp;sr=8-2", "https://www.amazon.com/Triangle-Montessori-Foldable-Climbing-Structure/dp/B0B4ZJR6QV/ref=sr_1_2?keywords=Jumbo+Waldorf+Rocker+with+Slide+-+Natural&amp;qid=1695565939&amp;sr=8-2")</f>
        <v/>
      </c>
      <c r="F4231" t="inlineStr">
        <is>
          <t>B0B4ZJR6QV</t>
        </is>
      </c>
      <c r="G4231">
        <f>_xlfn.IMAGE("https://faoschwarz.com/cdn/shop/products/cassarokids-preschool-jumbo-waldorf-rocker-with-slide-natural-29503530729559_1080x.jpg?v=1667249991")</f>
        <v/>
      </c>
      <c r="H4231">
        <f>_xlfn.IMAGE("https://m.media-amazon.com/images/I/61NpA1eCGEL._AC_UL320_.jpg")</f>
        <v/>
      </c>
      <c r="K4231" t="inlineStr">
        <is>
          <t>499.0</t>
        </is>
      </c>
      <c r="L4231" t="n">
        <v>169.99</v>
      </c>
      <c r="M4231" s="1" t="inlineStr">
        <is>
          <t>-65.93%</t>
        </is>
      </c>
      <c r="N4231" t="n">
        <v>4.3</v>
      </c>
      <c r="O4231" t="n">
        <v>209</v>
      </c>
      <c r="Q4231" t="inlineStr">
        <is>
          <t>InStock</t>
        </is>
      </c>
      <c r="R4231" t="inlineStr">
        <is>
          <t>undefined</t>
        </is>
      </c>
      <c r="S4231" t="inlineStr">
        <is>
          <t>6796479103063</t>
        </is>
      </c>
    </row>
    <row r="4232" ht="75" customHeight="1">
      <c r="A4232" s="2">
        <f>HYPERLINK("https://faoschwarz.com/products/jumbo-wooden-rocker-with-slide-natural", "https://faoschwarz.com/products/jumbo-wooden-rocker-with-slide-natural")</f>
        <v/>
      </c>
      <c r="B4232" s="2">
        <f>HYPERLINK("https://faoschwarz.com/products/jumbo-wooden-rocker-with-slide-natural", "https://faoschwarz.com/products/jumbo-wooden-rocker-with-slide-natural")</f>
        <v/>
      </c>
      <c r="C4232" t="inlineStr">
        <is>
          <t>Jumbo Waldorf Rocker with Slide - Natural</t>
        </is>
      </c>
      <c r="D4232" t="inlineStr">
        <is>
          <t>Avenlur Cedar 5-in-1 Indoor Gym Playset for Children - Montessori Waldorf Style with Triangle Ladder, Climbing Ramp, Arch Climber, Rocker, and Slide - Playground for Toddlers &amp; Kids (18m-4yrs) Natural</t>
        </is>
      </c>
      <c r="E4232" s="2">
        <f>HYPERLINK("https://www.amazon.com/Avenlur-Cedar-Indoor-Playset-Children/dp/B0C7RJV43T/ref=sr_1_1?keywords=Jumbo+Waldorf+Rocker+with+Slide+-+Natural&amp;qid=1695565939&amp;sr=8-1", "https://www.amazon.com/Avenlur-Cedar-Indoor-Playset-Children/dp/B0C7RJV43T/ref=sr_1_1?keywords=Jumbo+Waldorf+Rocker+with+Slide+-+Natural&amp;qid=1695565939&amp;sr=8-1")</f>
        <v/>
      </c>
      <c r="F4232" t="inlineStr">
        <is>
          <t>B0C7RJV43T</t>
        </is>
      </c>
      <c r="G4232">
        <f>_xlfn.IMAGE("https://faoschwarz.com/cdn/shop/products/cassarokids-preschool-jumbo-waldorf-rocker-with-slide-natural-29503530729559_1080x.jpg?v=1667249991")</f>
        <v/>
      </c>
      <c r="H4232">
        <f>_xlfn.IMAGE("https://m.media-amazon.com/images/I/71FljVf1tTL._AC_UL320_.jpg")</f>
        <v/>
      </c>
      <c r="K4232" t="inlineStr">
        <is>
          <t>499.0</t>
        </is>
      </c>
      <c r="L4232" t="n">
        <v>169</v>
      </c>
      <c r="M4232" s="1" t="inlineStr">
        <is>
          <t>-66.13%</t>
        </is>
      </c>
      <c r="N4232" t="n">
        <v>5</v>
      </c>
      <c r="O4232" t="n">
        <v>1</v>
      </c>
      <c r="Q4232" t="inlineStr">
        <is>
          <t>InStock</t>
        </is>
      </c>
      <c r="R4232" t="inlineStr">
        <is>
          <t>undefined</t>
        </is>
      </c>
      <c r="S4232" t="inlineStr">
        <is>
          <t>6796479103063</t>
        </is>
      </c>
    </row>
    <row r="4233" ht="75" customHeight="1">
      <c r="A4233" s="2">
        <f>HYPERLINK("https://faoschwarz.com/products/junior-bocce-set", "https://faoschwarz.com/products/junior-bocce-set")</f>
        <v/>
      </c>
      <c r="B4233" s="2">
        <f>HYPERLINK("https://faoschwarz.com/products/junior-bocce-set", "https://faoschwarz.com/products/junior-bocce-set")</f>
        <v/>
      </c>
      <c r="C4233" t="inlineStr">
        <is>
          <t>Junior Bocce Set</t>
        </is>
      </c>
      <c r="D4233" t="inlineStr">
        <is>
          <t>Londero Junior Bocce Set, One Size, (10-07504)</t>
        </is>
      </c>
      <c r="E4233" s="2">
        <f>HYPERLINK("https://www.amazon.com/Toymarketing-International-Londero-Junior-Bocce/dp/B000JWNIBW/ref=sr_1_1?keywords=Junior+Bocce+Set&amp;qid=1695565988&amp;sr=8-1", "https://www.amazon.com/Toymarketing-International-Londero-Junior-Bocce/dp/B000JWNIBW/ref=sr_1_1?keywords=Junior+Bocce+Set&amp;qid=1695565988&amp;sr=8-1")</f>
        <v/>
      </c>
      <c r="F4233" t="inlineStr">
        <is>
          <t>B000JWNIBW</t>
        </is>
      </c>
      <c r="G4233">
        <f>_xlfn.IMAGE("https://faoschwarz.com/cdn/shop/products/lucio-londero-games-junior-bocce-set-14083268902999_1080x.jpg?v=1656089798")</f>
        <v/>
      </c>
      <c r="H4233">
        <f>_xlfn.IMAGE("https://m.media-amazon.com/images/I/91Cc7vBjUlL._AC_UL320_.jpg")</f>
        <v/>
      </c>
      <c r="K4233" t="inlineStr">
        <is>
          <t>80.0</t>
        </is>
      </c>
      <c r="L4233" t="n">
        <v>34.95</v>
      </c>
      <c r="M4233" s="1" t="inlineStr">
        <is>
          <t>-56.31%</t>
        </is>
      </c>
      <c r="N4233" t="n">
        <v>3.7</v>
      </c>
      <c r="O4233" t="n">
        <v>9</v>
      </c>
      <c r="Q4233" t="inlineStr">
        <is>
          <t>InStock</t>
        </is>
      </c>
      <c r="R4233" t="inlineStr">
        <is>
          <t>undefined</t>
        </is>
      </c>
      <c r="S4233" t="inlineStr">
        <is>
          <t>4496983097431</t>
        </is>
      </c>
    </row>
    <row r="4234" ht="75" customHeight="1">
      <c r="A4234" s="2">
        <f>HYPERLINK("https://faoschwarz.com/products/junior-bocce-set", "https://faoschwarz.com/products/junior-bocce-set")</f>
        <v/>
      </c>
      <c r="B4234" s="2">
        <f>HYPERLINK("https://faoschwarz.com/products/junior-bocce-set", "https://faoschwarz.com/products/junior-bocce-set")</f>
        <v/>
      </c>
      <c r="C4234" t="inlineStr">
        <is>
          <t>Junior Bocce Set</t>
        </is>
      </c>
      <c r="D4234" t="inlineStr">
        <is>
          <t>Londero Junior Bocce Set, One Size, (10-07504)</t>
        </is>
      </c>
      <c r="E4234" s="2">
        <f>HYPERLINK("https://www.amazon.com/Toymarketing-International-Londero-Junior-Bocce/dp/B000JWNIBW/ref=sr_1_1?keywords=Junior+Bocce+Set&amp;qid=1695565988&amp;sr=8-1", "https://www.amazon.com/Toymarketing-International-Londero-Junior-Bocce/dp/B000JWNIBW/ref=sr_1_1?keywords=Junior+Bocce+Set&amp;qid=1695565988&amp;sr=8-1")</f>
        <v/>
      </c>
      <c r="F4234" t="inlineStr">
        <is>
          <t>B000JWNIBW</t>
        </is>
      </c>
      <c r="G4234">
        <f>_xlfn.IMAGE("https://faoschwarz.com/cdn/shop/products/lucio-londero-games-junior-bocce-set-14083268902999_1080x.jpg?v=1656089798")</f>
        <v/>
      </c>
      <c r="H4234">
        <f>_xlfn.IMAGE("https://m.media-amazon.com/images/I/91Cc7vBjUlL._AC_UL320_.jpg")</f>
        <v/>
      </c>
      <c r="K4234" t="inlineStr">
        <is>
          <t>80.0</t>
        </is>
      </c>
      <c r="L4234" t="n">
        <v>34.95</v>
      </c>
      <c r="M4234" s="1" t="inlineStr">
        <is>
          <t>-56.31%</t>
        </is>
      </c>
      <c r="N4234" t="n">
        <v>3.7</v>
      </c>
      <c r="O4234" t="n">
        <v>9</v>
      </c>
      <c r="Q4234" t="inlineStr">
        <is>
          <t>InStock</t>
        </is>
      </c>
      <c r="R4234" t="inlineStr">
        <is>
          <t>undefined</t>
        </is>
      </c>
      <c r="S4234" t="inlineStr">
        <is>
          <t>4496983097431</t>
        </is>
      </c>
    </row>
    <row r="4235" ht="75" customHeight="1">
      <c r="A4235" s="2">
        <f>HYPERLINK("https://faoschwarz.com/products/kettler%C2%AE-outdoor-10-tt-table", "https://faoschwarz.com/products/kettler%C2%AE-outdoor-10-tt-table")</f>
        <v/>
      </c>
      <c r="B4235" s="2">
        <f>HYPERLINK("https://faoschwarz.com/products/kettler%c2%ae-outdoor-10-tt-table", "https://faoschwarz.com/products/kettler%c2%ae-outdoor-10-tt-table")</f>
        <v/>
      </c>
      <c r="C4235" t="inlineStr">
        <is>
          <t>KETTLER® Outdoor 10 TT-Table</t>
        </is>
      </c>
      <c r="D4235" t="inlineStr">
        <is>
          <t>KETTLER Outdoor 10 Table Tennis Table 4-Player Bundle</t>
        </is>
      </c>
      <c r="E4235" s="2">
        <f>HYPERLINK("https://www.amazon.com/KETTLER-Outdoor-Tennis-4-Player-Bundle/dp/B09WGVF1KW/ref=sr_1_3?keywords=KETTLER%C2%AE+Outdoor+10+TT-Table&amp;qid=1695566049&amp;sr=8-3", "https://www.amazon.com/KETTLER-Outdoor-Tennis-4-Player-Bundle/dp/B09WGVF1KW/ref=sr_1_3?keywords=KETTLER%C2%AE+Outdoor+10+TT-Table&amp;qid=1695566049&amp;sr=8-3")</f>
        <v/>
      </c>
      <c r="F4235" t="inlineStr">
        <is>
          <t>B09WGVF1KW</t>
        </is>
      </c>
      <c r="G4235">
        <f>_xlfn.IMAGE("https://faoschwarz.com/cdn/shop/files/kettler-games-kettler-outdoor-10-tt-table-30336046825559_1080x.jpg?v=1684366522")</f>
        <v/>
      </c>
      <c r="H4235">
        <f>_xlfn.IMAGE("https://m.media-amazon.com/images/I/61Ql8NvqmrL._AC_UL320_.jpg")</f>
        <v/>
      </c>
      <c r="K4235" t="inlineStr">
        <is>
          <t>1900.0</t>
        </is>
      </c>
      <c r="L4235" t="n">
        <v>1899.99</v>
      </c>
      <c r="M4235" s="1" t="inlineStr">
        <is>
          <t>-0.00%</t>
        </is>
      </c>
      <c r="N4235" t="n">
        <v>5</v>
      </c>
      <c r="O4235" t="n">
        <v>1</v>
      </c>
      <c r="Q4235" t="inlineStr">
        <is>
          <t>InStock</t>
        </is>
      </c>
      <c r="R4235" t="inlineStr">
        <is>
          <t>undefined</t>
        </is>
      </c>
      <c r="S4235" t="inlineStr">
        <is>
          <t>6880781402199</t>
        </is>
      </c>
    </row>
    <row r="4236" ht="75" customHeight="1">
      <c r="A4236" s="2">
        <f>HYPERLINK("https://faoschwarz.com/products/kettler%C2%AE-outdoor-10-tt-table-bundle", "https://faoschwarz.com/products/kettler%C2%AE-outdoor-10-tt-table-bundle")</f>
        <v/>
      </c>
      <c r="B4236" s="2">
        <f>HYPERLINK("https://faoschwarz.com/products/kettler%c2%ae-outdoor-10-tt-table-bundle", "https://faoschwarz.com/products/kettler%c2%ae-outdoor-10-tt-table-bundle")</f>
        <v/>
      </c>
      <c r="C4236" t="inlineStr">
        <is>
          <t>KETTLER® Outdoor 10 TT-Table Bundle</t>
        </is>
      </c>
      <c r="D4236" t="inlineStr">
        <is>
          <t>KETTLER Outdoor 10 Table Tennis Table 4-Player Bundle</t>
        </is>
      </c>
      <c r="E4236" s="2">
        <f>HYPERLINK("https://www.amazon.com/KETTLER-Outdoor-Tennis-4-Player-Bundle/dp/B09WGVF1KW/ref=sr_1_4?keywords=KETTLER%C2%AE+Outdoor+10+TT-Table+Bundle&amp;qid=1695566015&amp;sr=8-4", "https://www.amazon.com/KETTLER-Outdoor-Tennis-4-Player-Bundle/dp/B09WGVF1KW/ref=sr_1_4?keywords=KETTLER%C2%AE+Outdoor+10+TT-Table+Bundle&amp;qid=1695566015&amp;sr=8-4")</f>
        <v/>
      </c>
      <c r="F4236" t="inlineStr">
        <is>
          <t>B09WGVF1KW</t>
        </is>
      </c>
      <c r="G4236">
        <f>_xlfn.IMAGE("https://faoschwarz.com/cdn/shop/files/kettler-games-kettler-outdoor-10-tt-table-bundle-30336046694487_1080x.jpg?v=1684366522")</f>
        <v/>
      </c>
      <c r="H4236">
        <f>_xlfn.IMAGE("https://m.media-amazon.com/images/I/61Ql8NvqmrL._AC_UL320_.jpg")</f>
        <v/>
      </c>
      <c r="K4236" t="inlineStr">
        <is>
          <t>2100.0</t>
        </is>
      </c>
      <c r="L4236" t="n">
        <v>1899.99</v>
      </c>
      <c r="M4236" s="1" t="inlineStr">
        <is>
          <t>-9.52%</t>
        </is>
      </c>
      <c r="N4236" t="n">
        <v>5</v>
      </c>
      <c r="O4236" t="n">
        <v>1</v>
      </c>
      <c r="Q4236" t="inlineStr">
        <is>
          <t>InStock</t>
        </is>
      </c>
      <c r="R4236" t="inlineStr">
        <is>
          <t>undefined</t>
        </is>
      </c>
      <c r="S4236" t="inlineStr">
        <is>
          <t>6880781434967</t>
        </is>
      </c>
    </row>
    <row r="4237" ht="75" customHeight="1">
      <c r="A4237" s="2">
        <f>HYPERLINK("https://faoschwarz.com/products/kettler%C2%AE-outdoor-10-tt-table-bundle", "https://faoschwarz.com/products/kettler%C2%AE-outdoor-10-tt-table-bundle")</f>
        <v/>
      </c>
      <c r="B4237" s="2">
        <f>HYPERLINK("https://faoschwarz.com/products/kettler%c2%ae-outdoor-10-tt-table-bundle", "https://faoschwarz.com/products/kettler%c2%ae-outdoor-10-tt-table-bundle")</f>
        <v/>
      </c>
      <c r="C4237" t="inlineStr">
        <is>
          <t>KETTLER® Outdoor 10 TT-Table Bundle</t>
        </is>
      </c>
      <c r="D4237" t="inlineStr">
        <is>
          <t>KETTLER Outdoor 10 Table Tennis Table 4-Player Bundle</t>
        </is>
      </c>
      <c r="E4237" s="2">
        <f>HYPERLINK("https://www.amazon.com/KETTLER-Outdoor-Tennis-4-Player-Bundle/dp/B09WGVF1KW/ref=sr_1_4?keywords=KETTLER%C2%AE+Outdoor+10+TT-Table+Bundle&amp;qid=1695566015&amp;sr=8-4", "https://www.amazon.com/KETTLER-Outdoor-Tennis-4-Player-Bundle/dp/B09WGVF1KW/ref=sr_1_4?keywords=KETTLER%C2%AE+Outdoor+10+TT-Table+Bundle&amp;qid=1695566015&amp;sr=8-4")</f>
        <v/>
      </c>
      <c r="F4237" t="inlineStr">
        <is>
          <t>B09WGVF1KW</t>
        </is>
      </c>
      <c r="G4237">
        <f>_xlfn.IMAGE("https://faoschwarz.com/cdn/shop/files/kettler-games-kettler-outdoor-10-tt-table-bundle-30336046694487_1080x.jpg?v=1684366522")</f>
        <v/>
      </c>
      <c r="H4237">
        <f>_xlfn.IMAGE("https://m.media-amazon.com/images/I/61Ql8NvqmrL._AC_UL320_.jpg")</f>
        <v/>
      </c>
      <c r="K4237" t="inlineStr">
        <is>
          <t>2100.0</t>
        </is>
      </c>
      <c r="L4237" t="n">
        <v>1899.99</v>
      </c>
      <c r="M4237" s="1" t="inlineStr">
        <is>
          <t>-9.52%</t>
        </is>
      </c>
      <c r="N4237" t="n">
        <v>5</v>
      </c>
      <c r="O4237" t="n">
        <v>1</v>
      </c>
      <c r="Q4237" t="inlineStr">
        <is>
          <t>InStock</t>
        </is>
      </c>
      <c r="R4237" t="inlineStr">
        <is>
          <t>undefined</t>
        </is>
      </c>
      <c r="S4237" t="inlineStr">
        <is>
          <t>6880781434967</t>
        </is>
      </c>
    </row>
    <row r="4238" ht="75" customHeight="1">
      <c r="A4238" s="2">
        <f>HYPERLINK("https://faoschwarz.com/products/kidquest-card-game", "https://faoschwarz.com/products/kidquest-card-game")</f>
        <v/>
      </c>
      <c r="B4238" s="2">
        <f>HYPERLINK("https://faoschwarz.com/products/kidquest-card-game", "https://faoschwarz.com/products/kidquest-card-game")</f>
        <v/>
      </c>
      <c r="C4238" t="inlineStr">
        <is>
          <t>KidQuest Card Game</t>
        </is>
      </c>
      <c r="D4238" t="inlineStr">
        <is>
          <t>Kidquest Fun Family Card Game - 100 Color Coded Questions to Start Meaningful Conversations for Families - Conversation Starters to Build Relationships</t>
        </is>
      </c>
      <c r="E4238" s="2">
        <f>HYPERLINK("https://www.amazon.com/KidQuest-Family-Game-Meaningful-Conversations/dp/B09L8N85KT/ref=sr_1_1?keywords=KidQuest+Card+Game&amp;qid=1695565920&amp;sr=8-1", "https://www.amazon.com/KidQuest-Family-Game-Meaningful-Conversations/dp/B09L8N85KT/ref=sr_1_1?keywords=KidQuest+Card+Game&amp;qid=1695565920&amp;sr=8-1")</f>
        <v/>
      </c>
      <c r="F4238" t="inlineStr">
        <is>
          <t>B09L8N85KT</t>
        </is>
      </c>
      <c r="G4238">
        <f>_xlfn.IMAGE("https://faoschwarz.com/cdn/shop/files/kidquest-games-kidquest-card-game-30169338413143_1080x.jpg?v=1684454219")</f>
        <v/>
      </c>
      <c r="H4238">
        <f>_xlfn.IMAGE("https://m.media-amazon.com/images/I/712c3TM--KL._AC_UL320_.jpg")</f>
        <v/>
      </c>
      <c r="K4238" t="inlineStr">
        <is>
          <t>20.0</t>
        </is>
      </c>
      <c r="L4238" t="n">
        <v>19.99</v>
      </c>
      <c r="M4238" s="1" t="inlineStr">
        <is>
          <t>-0.05%</t>
        </is>
      </c>
      <c r="N4238" t="n">
        <v>4.7</v>
      </c>
      <c r="O4238" t="n">
        <v>23</v>
      </c>
      <c r="Q4238" t="inlineStr">
        <is>
          <t>InStock</t>
        </is>
      </c>
      <c r="R4238" t="inlineStr">
        <is>
          <t>undefined</t>
        </is>
      </c>
      <c r="S4238" t="inlineStr">
        <is>
          <t>6868648034391</t>
        </is>
      </c>
    </row>
    <row r="4239" ht="75" customHeight="1">
      <c r="A4239" s="2">
        <f>HYPERLINK("https://faoschwarz.com/products/lady-and-the-tramp-1000-piece-puzzle", "https://faoschwarz.com/products/lady-and-the-tramp-1000-piece-puzzle")</f>
        <v/>
      </c>
      <c r="B4239" s="2">
        <f>HYPERLINK("https://faoschwarz.com/products/lady-and-the-tramp-1000-piece-puzzle", "https://faoschwarz.com/products/lady-and-the-tramp-1000-piece-puzzle")</f>
        <v/>
      </c>
      <c r="C4239" t="inlineStr">
        <is>
          <t>Lady and the Tramp 1000 piece puzzle</t>
        </is>
      </c>
      <c r="D4239" t="inlineStr">
        <is>
          <t>Schmidt Thomas Kinkade: Disney - Lady and The Tramp Jigsaw Puzzle (1000-Piece)</t>
        </is>
      </c>
      <c r="E4239" s="2">
        <f>HYPERLINK("https://www.amazon.com/Schmidt-Thomas-Kinkade-Disney-1000-Piece/dp/B07FYLL1N8/ref=sr_1_2?keywords=Lady+and+the+Tramp+1000+piece+puzzle&amp;qid=1695565999&amp;sr=8-2", "https://www.amazon.com/Schmidt-Thomas-Kinkade-Disney-1000-Piece/dp/B07FYLL1N8/ref=sr_1_2?keywords=Lady+and+the+Tramp+1000+piece+puzzle&amp;qid=1695565999&amp;sr=8-2")</f>
        <v/>
      </c>
      <c r="F4239" t="inlineStr">
        <is>
          <t>B07FYLL1N8</t>
        </is>
      </c>
      <c r="G4239">
        <f>_xlfn.IMAGE("https://faoschwarz.com/cdn/shop/products/ravensburger-puzzles-lady-and-the-tramp-1000-piece-puzzle-28932387602519_1080x.jpg?v=1655987479")</f>
        <v/>
      </c>
      <c r="H4239">
        <f>_xlfn.IMAGE("https://m.media-amazon.com/images/I/91es2CSXnoL._AC_UL320_.jpg")</f>
        <v/>
      </c>
      <c r="K4239" t="inlineStr">
        <is>
          <t>30.0</t>
        </is>
      </c>
      <c r="L4239" t="n">
        <v>33.71</v>
      </c>
      <c r="M4239" s="1" t="inlineStr">
        <is>
          <t>12.37%</t>
        </is>
      </c>
      <c r="N4239" t="n">
        <v>4.8</v>
      </c>
      <c r="O4239" t="n">
        <v>938</v>
      </c>
      <c r="Q4239" t="inlineStr">
        <is>
          <t>InStock</t>
        </is>
      </c>
      <c r="R4239" t="inlineStr">
        <is>
          <t>undefined</t>
        </is>
      </c>
      <c r="S4239" t="inlineStr">
        <is>
          <t>4615260864599</t>
        </is>
      </c>
    </row>
    <row r="4240" ht="75" customHeight="1">
      <c r="A4240" s="2">
        <f>HYPERLINK("https://faoschwarz.com/products/lady-and-the-tramp-1000-piece-puzzle", "https://faoschwarz.com/products/lady-and-the-tramp-1000-piece-puzzle")</f>
        <v/>
      </c>
      <c r="B4240" s="2">
        <f>HYPERLINK("https://faoschwarz.com/products/lady-and-the-tramp-1000-piece-puzzle", "https://faoschwarz.com/products/lady-and-the-tramp-1000-piece-puzzle")</f>
        <v/>
      </c>
      <c r="C4240" t="inlineStr">
        <is>
          <t>Lady and the Tramp 1000 piece puzzle</t>
        </is>
      </c>
      <c r="D4240" t="inlineStr">
        <is>
          <t>Ravensburger Disney Villainous: Lady Tremaine 1000 Piece Jigsaw Puzzle for Adults - 16891 - Every Piece is Unique, Softclick Technology Means Pieces Fit Together Perfectly</t>
        </is>
      </c>
      <c r="E4240" s="2">
        <f>HYPERLINK("https://www.amazon.com/Ravensburger-Disney-Villainous-Softclick-Technology/dp/B09QSMVTNV/ref=sr_1_10?keywords=Lady+and+the+Tramp+1000+piece+puzzle&amp;qid=1695565999&amp;sr=8-10", "https://www.amazon.com/Ravensburger-Disney-Villainous-Softclick-Technology/dp/B09QSMVTNV/ref=sr_1_10?keywords=Lady+and+the+Tramp+1000+piece+puzzle&amp;qid=1695565999&amp;sr=8-10")</f>
        <v/>
      </c>
      <c r="F4240" t="inlineStr">
        <is>
          <t>B09QSMVTNV</t>
        </is>
      </c>
      <c r="G4240">
        <f>_xlfn.IMAGE("https://faoschwarz.com/cdn/shop/products/ravensburger-puzzles-lady-and-the-tramp-1000-piece-puzzle-28932387602519_1080x.jpg?v=1655987479")</f>
        <v/>
      </c>
      <c r="H4240">
        <f>_xlfn.IMAGE("https://m.media-amazon.com/images/I/81O2JXcn7RL._AC_UL320_.jpg")</f>
        <v/>
      </c>
      <c r="K4240" t="inlineStr">
        <is>
          <t>30.0</t>
        </is>
      </c>
      <c r="L4240" t="n">
        <v>29.99</v>
      </c>
      <c r="M4240" s="1" t="inlineStr">
        <is>
          <t>-0.03%</t>
        </is>
      </c>
      <c r="N4240" t="n">
        <v>4.7</v>
      </c>
      <c r="O4240" t="n">
        <v>110</v>
      </c>
      <c r="Q4240" t="inlineStr">
        <is>
          <t>InStock</t>
        </is>
      </c>
      <c r="R4240" t="inlineStr">
        <is>
          <t>undefined</t>
        </is>
      </c>
      <c r="S4240" t="inlineStr">
        <is>
          <t>4615260864599</t>
        </is>
      </c>
    </row>
    <row r="4241" ht="75" customHeight="1">
      <c r="A4241" s="2">
        <f>HYPERLINK("https://faoschwarz.com/products/lady-and-the-tramp-1000-piece-puzzle", "https://faoschwarz.com/products/lady-and-the-tramp-1000-piece-puzzle")</f>
        <v/>
      </c>
      <c r="B4241" s="2">
        <f>HYPERLINK("https://faoschwarz.com/products/lady-and-the-tramp-1000-piece-puzzle", "https://faoschwarz.com/products/lady-and-the-tramp-1000-piece-puzzle")</f>
        <v/>
      </c>
      <c r="C4241" t="inlineStr">
        <is>
          <t>Lady and the Tramp 1000 piece puzzle</t>
        </is>
      </c>
      <c r="D4241" t="inlineStr">
        <is>
          <t>Jumbo, Disney Classic Collection - Lady and The Tramp, Disney Jigsaw Puzzles for Adults, 1,000 Piece</t>
        </is>
      </c>
      <c r="E4241" s="2">
        <f>HYPERLINK("https://www.amazon.com/Jumbo-19486-Jigsaw-Puzzle/dp/B08BWVQGYR/ref=sr_1_3?keywords=Lady+and+the+Tramp+1000+piece+puzzle&amp;qid=1695565999&amp;sr=8-3", "https://www.amazon.com/Jumbo-19486-Jigsaw-Puzzle/dp/B08BWVQGYR/ref=sr_1_3?keywords=Lady+and+the+Tramp+1000+piece+puzzle&amp;qid=1695565999&amp;sr=8-3")</f>
        <v/>
      </c>
      <c r="F4241" t="inlineStr">
        <is>
          <t>B08BWVQGYR</t>
        </is>
      </c>
      <c r="G4241">
        <f>_xlfn.IMAGE("https://faoschwarz.com/cdn/shop/products/ravensburger-puzzles-lady-and-the-tramp-1000-piece-puzzle-28932387602519_1080x.jpg?v=1655987479")</f>
        <v/>
      </c>
      <c r="H4241">
        <f>_xlfn.IMAGE("https://m.media-amazon.com/images/I/81Wgdsh3EsL._AC_UL320_.jpg")</f>
        <v/>
      </c>
      <c r="K4241" t="inlineStr">
        <is>
          <t>30.0</t>
        </is>
      </c>
      <c r="L4241" t="n">
        <v>29.03</v>
      </c>
      <c r="M4241" s="1" t="inlineStr">
        <is>
          <t>-3.23%</t>
        </is>
      </c>
      <c r="N4241" t="n">
        <v>4.8</v>
      </c>
      <c r="O4241" t="n">
        <v>112</v>
      </c>
      <c r="Q4241" t="inlineStr">
        <is>
          <t>InStock</t>
        </is>
      </c>
      <c r="R4241" t="inlineStr">
        <is>
          <t>undefined</t>
        </is>
      </c>
      <c r="S4241" t="inlineStr">
        <is>
          <t>4615260864599</t>
        </is>
      </c>
    </row>
    <row r="4242" ht="75" customHeight="1">
      <c r="A4242" s="2">
        <f>HYPERLINK("https://faoschwarz.com/products/lady-and-the-tramp-1000-piece-puzzle", "https://faoschwarz.com/products/lady-and-the-tramp-1000-piece-puzzle")</f>
        <v/>
      </c>
      <c r="B4242" s="2">
        <f>HYPERLINK("https://faoschwarz.com/products/lady-and-the-tramp-1000-piece-puzzle", "https://faoschwarz.com/products/lady-and-the-tramp-1000-piece-puzzle")</f>
        <v/>
      </c>
      <c r="C4242" t="inlineStr">
        <is>
          <t>Lady and the Tramp 1000 piece puzzle</t>
        </is>
      </c>
      <c r="D4242" t="inlineStr">
        <is>
          <t>Ravensburger Disney Lady and the Tramp 1000 Piece Jigsaw Puzzle for Adults - 13972 - Every Piece is Unique, Softclick Technology Means Pieces Fit Together Perfectly</t>
        </is>
      </c>
      <c r="E4242" s="2">
        <f>HYPERLINK("https://www.amazon.com/Ravensburger-13972-Disney-Collectors-1000pc/dp/B07NPW31ZG/ref=sr_1_1?keywords=Lady+and+the+Tramp+1000+piece+puzzle&amp;qid=1695565999&amp;sr=8-1", "https://www.amazon.com/Ravensburger-13972-Disney-Collectors-1000pc/dp/B07NPW31ZG/ref=sr_1_1?keywords=Lady+and+the+Tramp+1000+piece+puzzle&amp;qid=1695565999&amp;sr=8-1")</f>
        <v/>
      </c>
      <c r="F4242" t="inlineStr">
        <is>
          <t>B07NPW31ZG</t>
        </is>
      </c>
      <c r="G4242">
        <f>_xlfn.IMAGE("https://faoschwarz.com/cdn/shop/products/ravensburger-puzzles-lady-and-the-tramp-1000-piece-puzzle-28932387602519_1080x.jpg?v=1655987479")</f>
        <v/>
      </c>
      <c r="H4242">
        <f>_xlfn.IMAGE("https://m.media-amazon.com/images/I/71m9FyFCypL._AC_UL320_.jpg")</f>
        <v/>
      </c>
      <c r="K4242" t="inlineStr">
        <is>
          <t>30.0</t>
        </is>
      </c>
      <c r="L4242" t="n">
        <v>27.65</v>
      </c>
      <c r="M4242" s="1" t="inlineStr">
        <is>
          <t>-7.83%</t>
        </is>
      </c>
      <c r="N4242" t="n">
        <v>4.7</v>
      </c>
      <c r="O4242" t="n">
        <v>1361</v>
      </c>
      <c r="Q4242" t="inlineStr">
        <is>
          <t>InStock</t>
        </is>
      </c>
      <c r="R4242" t="inlineStr">
        <is>
          <t>undefined</t>
        </is>
      </c>
      <c r="S4242" t="inlineStr">
        <is>
          <t>4615260864599</t>
        </is>
      </c>
    </row>
    <row r="4243" ht="75" customHeight="1">
      <c r="A4243" s="2">
        <f>HYPERLINK("https://faoschwarz.com/products/lady-and-the-tramp-1000-piece-puzzle", "https://faoschwarz.com/products/lady-and-the-tramp-1000-piece-puzzle")</f>
        <v/>
      </c>
      <c r="B4243" s="2">
        <f>HYPERLINK("https://faoschwarz.com/products/lady-and-the-tramp-1000-piece-puzzle", "https://faoschwarz.com/products/lady-and-the-tramp-1000-piece-puzzle")</f>
        <v/>
      </c>
      <c r="C4243" t="inlineStr">
        <is>
          <t>Lady and the Tramp 1000 piece puzzle</t>
        </is>
      </c>
      <c r="D4243" t="inlineStr">
        <is>
          <t>THOMAS KINKADE FANTASIA LADY &amp; THE TRAMP WINNIE THE POOH TANGLED DISNEY DREAMS COLLECTION 4 IN 1 JIGSAW PUZZLE SET 500 pieces</t>
        </is>
      </c>
      <c r="E4243" s="2">
        <f>HYPERLINK("https://www.amazon.com/THOMAS-KINKADE-FANTASIA-TANGLED-COLLECTION/dp/B00S5WP84S/ref=sr_1_5?keywords=Lady+and+the+Tramp+1000+piece+puzzle&amp;qid=1695565999&amp;sr=8-5", "https://www.amazon.com/THOMAS-KINKADE-FANTASIA-TANGLED-COLLECTION/dp/B00S5WP84S/ref=sr_1_5?keywords=Lady+and+the+Tramp+1000+piece+puzzle&amp;qid=1695565999&amp;sr=8-5")</f>
        <v/>
      </c>
      <c r="F4243" t="inlineStr">
        <is>
          <t>B00S5WP84S</t>
        </is>
      </c>
      <c r="G4243">
        <f>_xlfn.IMAGE("https://faoschwarz.com/cdn/shop/products/ravensburger-puzzles-lady-and-the-tramp-1000-piece-puzzle-28932387602519_1080x.jpg?v=1655987479")</f>
        <v/>
      </c>
      <c r="H4243">
        <f>_xlfn.IMAGE("https://m.media-amazon.com/images/I/91S0z8g+wEL._AC_UL320_.jpg")</f>
        <v/>
      </c>
      <c r="K4243" t="inlineStr">
        <is>
          <t>30.0</t>
        </is>
      </c>
      <c r="L4243" t="n">
        <v>21.28</v>
      </c>
      <c r="M4243" s="1" t="inlineStr">
        <is>
          <t>-29.07%</t>
        </is>
      </c>
      <c r="N4243" t="n">
        <v>4.7</v>
      </c>
      <c r="O4243" t="n">
        <v>2284</v>
      </c>
      <c r="Q4243" t="inlineStr">
        <is>
          <t>InStock</t>
        </is>
      </c>
      <c r="R4243" t="inlineStr">
        <is>
          <t>undefined</t>
        </is>
      </c>
      <c r="S4243" t="inlineStr">
        <is>
          <t>4615260864599</t>
        </is>
      </c>
    </row>
    <row r="4244" ht="75" customHeight="1">
      <c r="A4244" s="2">
        <f>HYPERLINK("https://faoschwarz.com/products/lady-and-the-tramp-1000-piece-puzzle", "https://faoschwarz.com/products/lady-and-the-tramp-1000-piece-puzzle")</f>
        <v/>
      </c>
      <c r="B4244" s="2">
        <f>HYPERLINK("https://faoschwarz.com/products/lady-and-the-tramp-1000-piece-puzzle", "https://faoschwarz.com/products/lady-and-the-tramp-1000-piece-puzzle")</f>
        <v/>
      </c>
      <c r="C4244" t="inlineStr">
        <is>
          <t>Lady and the Tramp 1000 piece puzzle</t>
        </is>
      </c>
      <c r="D4244" t="inlineStr">
        <is>
          <t>Ravensburger Disney Treasures from The Vault: Lady 1000 Piece Jigsaw Puzzle for Adults - 16863 - Every Piece is Unique, Softclick Technology Means Pieces Fit Together Perfectly - Amazon Exclusive</t>
        </is>
      </c>
      <c r="E4244" s="2">
        <f>HYPERLINK("https://www.amazon.com/Ravensburger-Disney-Treasures-Vault-Technology/dp/B08PDTK81K/ref=sr_1_4?keywords=Lady+and+the+Tramp+1000+piece+puzzle&amp;qid=1695565999&amp;sr=8-4", "https://www.amazon.com/Ravensburger-Disney-Treasures-Vault-Technology/dp/B08PDTK81K/ref=sr_1_4?keywords=Lady+and+the+Tramp+1000+piece+puzzle&amp;qid=1695565999&amp;sr=8-4")</f>
        <v/>
      </c>
      <c r="F4244" t="inlineStr">
        <is>
          <t>B08PDTK81K</t>
        </is>
      </c>
      <c r="G4244">
        <f>_xlfn.IMAGE("https://faoschwarz.com/cdn/shop/products/ravensburger-puzzles-lady-and-the-tramp-1000-piece-puzzle-28932387602519_1080x.jpg?v=1655987479")</f>
        <v/>
      </c>
      <c r="H4244">
        <f>_xlfn.IMAGE("https://m.media-amazon.com/images/I/81GInBYaPLL._AC_UL320_.jpg")</f>
        <v/>
      </c>
      <c r="K4244" t="inlineStr">
        <is>
          <t>30.0</t>
        </is>
      </c>
      <c r="L4244" t="n">
        <v>19.69</v>
      </c>
      <c r="M4244" s="1" t="inlineStr">
        <is>
          <t>-34.37%</t>
        </is>
      </c>
      <c r="N4244" t="n">
        <v>4.8</v>
      </c>
      <c r="O4244" t="n">
        <v>709</v>
      </c>
      <c r="Q4244" t="inlineStr">
        <is>
          <t>InStock</t>
        </is>
      </c>
      <c r="R4244" t="inlineStr">
        <is>
          <t>undefined</t>
        </is>
      </c>
      <c r="S4244" t="inlineStr">
        <is>
          <t>4615260864599</t>
        </is>
      </c>
    </row>
    <row r="4245" ht="75" customHeight="1">
      <c r="A4245" s="2">
        <f>HYPERLINK("https://faoschwarz.com/products/lady-and-the-tramp-1000-piece-puzzle", "https://faoschwarz.com/products/lady-and-the-tramp-1000-piece-puzzle")</f>
        <v/>
      </c>
      <c r="B4245" s="2">
        <f>HYPERLINK("https://faoschwarz.com/products/lady-and-the-tramp-1000-piece-puzzle", "https://faoschwarz.com/products/lady-and-the-tramp-1000-piece-puzzle")</f>
        <v/>
      </c>
      <c r="C4245" t="inlineStr">
        <is>
          <t>Lady and the Tramp 1000 piece puzzle</t>
        </is>
      </c>
      <c r="D4245" t="inlineStr">
        <is>
          <t>THOMAS KINKADE FANTASIA LADY &amp; THE TRAMP WINNIE THE POOH TANGLED DISNEY DREAMS COLLECTION 4 IN 1 JIGSAW PUZZLE SET 500 pieces</t>
        </is>
      </c>
      <c r="E4245" s="2">
        <f>HYPERLINK("https://www.amazon.com/THOMAS-KINKADE-FANTASIA-TANGLED-COLLECTION/dp/B00S5WP84S/ref=sr_1_5?keywords=Lady+and+the+Tramp+1000+piece+puzzle&amp;qid=1695565999&amp;sr=8-5", "https://www.amazon.com/THOMAS-KINKADE-FANTASIA-TANGLED-COLLECTION/dp/B00S5WP84S/ref=sr_1_5?keywords=Lady+and+the+Tramp+1000+piece+puzzle&amp;qid=1695565999&amp;sr=8-5")</f>
        <v/>
      </c>
      <c r="F4245" t="inlineStr">
        <is>
          <t>B00S5WP84S</t>
        </is>
      </c>
      <c r="G4245">
        <f>_xlfn.IMAGE("https://faoschwarz.com/cdn/shop/products/ravensburger-puzzles-lady-and-the-tramp-1000-piece-puzzle-28932387602519_1080x.jpg?v=1655987479")</f>
        <v/>
      </c>
      <c r="H4245">
        <f>_xlfn.IMAGE("https://m.media-amazon.com/images/I/91S0z8g+wEL._AC_UL320_.jpg")</f>
        <v/>
      </c>
      <c r="K4245" t="inlineStr">
        <is>
          <t>30.0</t>
        </is>
      </c>
      <c r="L4245" t="n">
        <v>21.28</v>
      </c>
      <c r="M4245" s="1" t="inlineStr">
        <is>
          <t>-29.07%</t>
        </is>
      </c>
      <c r="N4245" t="n">
        <v>4.7</v>
      </c>
      <c r="O4245" t="n">
        <v>2284</v>
      </c>
      <c r="Q4245" t="inlineStr">
        <is>
          <t>InStock</t>
        </is>
      </c>
      <c r="R4245" t="inlineStr">
        <is>
          <t>undefined</t>
        </is>
      </c>
      <c r="S4245" t="inlineStr">
        <is>
          <t>4615260864599</t>
        </is>
      </c>
    </row>
    <row r="4246" ht="75" customHeight="1">
      <c r="A4246" s="2">
        <f>HYPERLINK("https://faoschwarz.com/products/lady-and-the-tramp-1000-piece-puzzle", "https://faoschwarz.com/products/lady-and-the-tramp-1000-piece-puzzle")</f>
        <v/>
      </c>
      <c r="B4246" s="2">
        <f>HYPERLINK("https://faoschwarz.com/products/lady-and-the-tramp-1000-piece-puzzle", "https://faoschwarz.com/products/lady-and-the-tramp-1000-piece-puzzle")</f>
        <v/>
      </c>
      <c r="C4246" t="inlineStr">
        <is>
          <t>Lady and the Tramp 1000 piece puzzle</t>
        </is>
      </c>
      <c r="D4246" t="inlineStr">
        <is>
          <t>Ravensburger Disney Treasures from The Vault: Lady 1000 Piece Jigsaw Puzzle for Adults - 16863 - Every Piece is Unique, Softclick Technology Means Pieces Fit Together Perfectly - Amazon Exclusive</t>
        </is>
      </c>
      <c r="E4246" s="2">
        <f>HYPERLINK("https://www.amazon.com/Ravensburger-Disney-Treasures-Vault-Technology/dp/B08PDTK81K/ref=sr_1_4?keywords=Lady+and+the+Tramp+1000+piece+puzzle&amp;qid=1695565999&amp;sr=8-4", "https://www.amazon.com/Ravensburger-Disney-Treasures-Vault-Technology/dp/B08PDTK81K/ref=sr_1_4?keywords=Lady+and+the+Tramp+1000+piece+puzzle&amp;qid=1695565999&amp;sr=8-4")</f>
        <v/>
      </c>
      <c r="F4246" t="inlineStr">
        <is>
          <t>B08PDTK81K</t>
        </is>
      </c>
      <c r="G4246">
        <f>_xlfn.IMAGE("https://faoschwarz.com/cdn/shop/products/ravensburger-puzzles-lady-and-the-tramp-1000-piece-puzzle-28932387602519_1080x.jpg?v=1655987479")</f>
        <v/>
      </c>
      <c r="H4246">
        <f>_xlfn.IMAGE("https://m.media-amazon.com/images/I/81GInBYaPLL._AC_UL320_.jpg")</f>
        <v/>
      </c>
      <c r="K4246" t="inlineStr">
        <is>
          <t>30.0</t>
        </is>
      </c>
      <c r="L4246" t="n">
        <v>19.69</v>
      </c>
      <c r="M4246" s="1" t="inlineStr">
        <is>
          <t>-34.37%</t>
        </is>
      </c>
      <c r="N4246" t="n">
        <v>4.8</v>
      </c>
      <c r="O4246" t="n">
        <v>709</v>
      </c>
      <c r="Q4246" t="inlineStr">
        <is>
          <t>InStock</t>
        </is>
      </c>
      <c r="R4246" t="inlineStr">
        <is>
          <t>undefined</t>
        </is>
      </c>
      <c r="S4246" t="inlineStr">
        <is>
          <t>4615260864599</t>
        </is>
      </c>
    </row>
    <row r="4247" ht="75" customHeight="1">
      <c r="A4247" s="2">
        <f>HYPERLINK("https://faoschwarz.com/products/large-checker-set-w-board", "https://faoschwarz.com/products/large-checker-set-w-board")</f>
        <v/>
      </c>
      <c r="B4247" s="2">
        <f>HYPERLINK("https://faoschwarz.com/products/large-checker-set-w-board", "https://faoschwarz.com/products/large-checker-set-w-board")</f>
        <v/>
      </c>
      <c r="C4247" t="inlineStr">
        <is>
          <t>Large Checker Set w.Board</t>
        </is>
      </c>
      <c r="D4247" t="inlineStr">
        <is>
          <t>VAMSLOVE Wooden Chess Checkers Game Set 15.5" Large Size Board w/Storage Drawers, Weighted Chess Pieces - 2 Extra Queens 3" King, Gift for Birthday Housewarming Retirement - Black</t>
        </is>
      </c>
      <c r="E4247" s="2">
        <f>HYPERLINK("https://www.amazon.com/VAMSLOVE-Checkers-Storage-Drawers-Weighted/dp/B0BQDSST3B/ref=sr_1_5?keywords=Large+Checker+Set+w.Board&amp;qid=1695566002&amp;sr=8-5", "https://www.amazon.com/VAMSLOVE-Checkers-Storage-Drawers-Weighted/dp/B0BQDSST3B/ref=sr_1_5?keywords=Large+Checker+Set+w.Board&amp;qid=1695566002&amp;sr=8-5")</f>
        <v/>
      </c>
      <c r="F4247" t="inlineStr">
        <is>
          <t>B0BQDSST3B</t>
        </is>
      </c>
      <c r="G4247">
        <f>_xlfn.IMAGE("https://faoschwarz.com/cdn/shop/products/rolly-games-large-checker-set-w-board-14083334045783_1080x.jpg?v=1656177920")</f>
        <v/>
      </c>
      <c r="H4247">
        <f>_xlfn.IMAGE("https://m.media-amazon.com/images/I/71JEWjLoalL._AC_UL320_.jpg")</f>
        <v/>
      </c>
      <c r="K4247" t="inlineStr">
        <is>
          <t>600.0</t>
        </is>
      </c>
      <c r="L4247" t="n">
        <v>85.98999999999999</v>
      </c>
      <c r="M4247" s="1" t="inlineStr">
        <is>
          <t>-85.67%</t>
        </is>
      </c>
      <c r="N4247" t="n">
        <v>4.8</v>
      </c>
      <c r="O4247" t="n">
        <v>36</v>
      </c>
      <c r="Q4247" t="inlineStr">
        <is>
          <t>InStock</t>
        </is>
      </c>
      <c r="R4247" t="inlineStr">
        <is>
          <t>undefined</t>
        </is>
      </c>
      <c r="S4247" t="inlineStr">
        <is>
          <t>4496972087383</t>
        </is>
      </c>
    </row>
    <row r="4248" ht="75" customHeight="1">
      <c r="A4248" s="2">
        <f>HYPERLINK("https://faoschwarz.com/products/large-checker-set-w-board", "https://faoschwarz.com/products/large-checker-set-w-board")</f>
        <v/>
      </c>
      <c r="B4248" s="2">
        <f>HYPERLINK("https://faoschwarz.com/products/large-checker-set-w-board", "https://faoschwarz.com/products/large-checker-set-w-board")</f>
        <v/>
      </c>
      <c r="C4248" t="inlineStr">
        <is>
          <t>Large Checker Set w.Board</t>
        </is>
      </c>
      <c r="D4248" t="inlineStr">
        <is>
          <t>VAMSLOVE Wooden Chess Checkers Game Set 15.5" Large Size Board w/Storage Drawers, Weighted Chess Pieces - 2 Extra Queens 3" King, Gift for Birthday Housewarming Retirement - Black</t>
        </is>
      </c>
      <c r="E4248" s="2">
        <f>HYPERLINK("https://www.amazon.com/VAMSLOVE-Checkers-Storage-Drawers-Weighted/dp/B0BQDSST3B/ref=sr_1_5?keywords=Large+Checker+Set+w.Board&amp;qid=1695566002&amp;sr=8-5", "https://www.amazon.com/VAMSLOVE-Checkers-Storage-Drawers-Weighted/dp/B0BQDSST3B/ref=sr_1_5?keywords=Large+Checker+Set+w.Board&amp;qid=1695566002&amp;sr=8-5")</f>
        <v/>
      </c>
      <c r="F4248" t="inlineStr">
        <is>
          <t>B0BQDSST3B</t>
        </is>
      </c>
      <c r="G4248">
        <f>_xlfn.IMAGE("https://faoschwarz.com/cdn/shop/products/rolly-games-large-checker-set-w-board-14083334045783_1080x.jpg?v=1656177920")</f>
        <v/>
      </c>
      <c r="H4248">
        <f>_xlfn.IMAGE("https://m.media-amazon.com/images/I/71JEWjLoalL._AC_UL320_.jpg")</f>
        <v/>
      </c>
      <c r="K4248" t="inlineStr">
        <is>
          <t>600.0</t>
        </is>
      </c>
      <c r="L4248" t="n">
        <v>85.98999999999999</v>
      </c>
      <c r="M4248" s="1" t="inlineStr">
        <is>
          <t>-85.67%</t>
        </is>
      </c>
      <c r="N4248" t="n">
        <v>4.8</v>
      </c>
      <c r="O4248" t="n">
        <v>36</v>
      </c>
      <c r="Q4248" t="inlineStr">
        <is>
          <t>InStock</t>
        </is>
      </c>
      <c r="R4248" t="inlineStr">
        <is>
          <t>undefined</t>
        </is>
      </c>
      <c r="S4248" t="inlineStr">
        <is>
          <t>4496972087383</t>
        </is>
      </c>
    </row>
    <row r="4249" ht="75" customHeight="1">
      <c r="A4249" s="2">
        <f>HYPERLINK("https://faoschwarz.com/products/lets-explore-hiking-play-set", "https://faoschwarz.com/products/lets-explore-hiking-play-set")</f>
        <v/>
      </c>
      <c r="B4249" s="2">
        <f>HYPERLINK("https://faoschwarz.com/products/lets-explore-hiking-play-set", "https://faoschwarz.com/products/lets-explore-hiking-play-set")</f>
        <v/>
      </c>
      <c r="C4249" t="inlineStr">
        <is>
          <t>Let's Explore Hiking Play Set</t>
        </is>
      </c>
      <c r="D4249" t="inlineStr">
        <is>
          <t>Melissa &amp; Doug Let's Explore Naturalist Vest Play Set</t>
        </is>
      </c>
      <c r="E4249" s="2">
        <f>HYPERLINK("https://www.amazon.com/Melissa-Doug-Lets-Explore-Naturalist/dp/B09D42G45N/ref=sr_1_7?keywords=Lets+Explore+Hiking+Play+Set&amp;qid=1695565935&amp;sr=8-7", "https://www.amazon.com/Melissa-Doug-Lets-Explore-Naturalist/dp/B09D42G45N/ref=sr_1_7?keywords=Lets+Explore+Hiking+Play+Set&amp;qid=1695565935&amp;sr=8-7")</f>
        <v/>
      </c>
      <c r="F4249" t="inlineStr">
        <is>
          <t>B09D42G45N</t>
        </is>
      </c>
      <c r="G4249">
        <f>_xlfn.IMAGE("https://faoschwarz.com/cdn/shop/products/melissa-doug-preschool-let-s-explore-hiking-play-set-28930445738071_1080x.jpg?v=1655987763")</f>
        <v/>
      </c>
      <c r="H4249">
        <f>_xlfn.IMAGE("https://m.media-amazon.com/images/I/810aXmKCtlL._AC_UL320_.jpg")</f>
        <v/>
      </c>
      <c r="K4249" t="inlineStr">
        <is>
          <t>22.4</t>
        </is>
      </c>
      <c r="L4249" t="n">
        <v>26.16</v>
      </c>
      <c r="M4249" s="1" t="inlineStr">
        <is>
          <t>16.79%</t>
        </is>
      </c>
      <c r="N4249" t="n">
        <v>5</v>
      </c>
      <c r="O4249" t="n">
        <v>6</v>
      </c>
      <c r="Q4249" t="inlineStr">
        <is>
          <t>InStock</t>
        </is>
      </c>
      <c r="R4249" t="inlineStr">
        <is>
          <t>32.0</t>
        </is>
      </c>
      <c r="S4249" t="inlineStr">
        <is>
          <t>6738744148055</t>
        </is>
      </c>
    </row>
    <row r="4250" ht="75" customHeight="1">
      <c r="A4250" s="2">
        <f>HYPERLINK("https://faoschwarz.com/products/lets-explore-hiking-play-set", "https://faoschwarz.com/products/lets-explore-hiking-play-set")</f>
        <v/>
      </c>
      <c r="B4250" s="2">
        <f>HYPERLINK("https://faoschwarz.com/products/lets-explore-hiking-play-set", "https://faoschwarz.com/products/lets-explore-hiking-play-set")</f>
        <v/>
      </c>
      <c r="C4250" t="inlineStr">
        <is>
          <t>Let's Explore Hiking Play Set</t>
        </is>
      </c>
      <c r="D4250" t="inlineStr">
        <is>
          <t>Melissa &amp; Doug Let’s Explore Hiking Play Set – 23 Pieces Toddler Nature Toys, Hiking Toys for Kids Ages 3+</t>
        </is>
      </c>
      <c r="E4250" s="2">
        <f>HYPERLINK("https://www.amazon.com/Melissa-Doug-Lets-Explore-Hiking/dp/B099FH1R2D/ref=sr_1_1?keywords=Lets+Explore+Hiking+Play+Set&amp;qid=1695565935&amp;sr=8-1", "https://www.amazon.com/Melissa-Doug-Lets-Explore-Hiking/dp/B099FH1R2D/ref=sr_1_1?keywords=Lets+Explore+Hiking+Play+Set&amp;qid=1695565935&amp;sr=8-1")</f>
        <v/>
      </c>
      <c r="F4250" t="inlineStr">
        <is>
          <t>B099FH1R2D</t>
        </is>
      </c>
      <c r="G4250">
        <f>_xlfn.IMAGE("https://faoschwarz.com/cdn/shop/products/melissa-doug-preschool-let-s-explore-hiking-play-set-28930445738071_1080x.jpg?v=1655987763")</f>
        <v/>
      </c>
      <c r="H4250">
        <f>_xlfn.IMAGE("https://m.media-amazon.com/images/I/91p74f1YPbL._AC_UL320_.jpg")</f>
        <v/>
      </c>
      <c r="K4250" t="inlineStr">
        <is>
          <t>22.4</t>
        </is>
      </c>
      <c r="L4250" t="n">
        <v>18.29</v>
      </c>
      <c r="M4250" s="1" t="inlineStr">
        <is>
          <t>-18.35%</t>
        </is>
      </c>
      <c r="N4250" t="n">
        <v>4.8</v>
      </c>
      <c r="O4250" t="n">
        <v>206</v>
      </c>
      <c r="Q4250" t="inlineStr">
        <is>
          <t>InStock</t>
        </is>
      </c>
      <c r="R4250" t="inlineStr">
        <is>
          <t>32.0</t>
        </is>
      </c>
      <c r="S4250" t="inlineStr">
        <is>
          <t>6738744148055</t>
        </is>
      </c>
    </row>
    <row r="4251" ht="75" customHeight="1">
      <c r="A4251" s="2">
        <f>HYPERLINK("https://faoschwarz.com/products/lets-explore-hiking-play-set", "https://faoschwarz.com/products/lets-explore-hiking-play-set")</f>
        <v/>
      </c>
      <c r="B4251" s="2">
        <f>HYPERLINK("https://faoschwarz.com/products/lets-explore-hiking-play-set", "https://faoschwarz.com/products/lets-explore-hiking-play-set")</f>
        <v/>
      </c>
      <c r="C4251" t="inlineStr">
        <is>
          <t>Let's Explore Hiking Play Set</t>
        </is>
      </c>
      <c r="D4251" t="inlineStr">
        <is>
          <t>Melissa &amp; Doug Let's Explore Campfire S'Mores Play Set - Play Campfire Sets For Kids Ages 3+</t>
        </is>
      </c>
      <c r="E4251" s="2">
        <f>HYPERLINK("https://www.amazon.com/Melissa-Doug-Explore-Campfire-SMores/dp/B099FGV77J/ref=sr_1_2?keywords=Lets+Explore+Hiking+Play+Set&amp;qid=1695565935&amp;sr=8-2", "https://www.amazon.com/Melissa-Doug-Explore-Campfire-SMores/dp/B099FGV77J/ref=sr_1_2?keywords=Lets+Explore+Hiking+Play+Set&amp;qid=1695565935&amp;sr=8-2")</f>
        <v/>
      </c>
      <c r="F4251" t="inlineStr">
        <is>
          <t>B099FGV77J</t>
        </is>
      </c>
      <c r="G4251">
        <f>_xlfn.IMAGE("https://faoschwarz.com/cdn/shop/products/melissa-doug-preschool-let-s-explore-hiking-play-set-28930445738071_1080x.jpg?v=1655987763")</f>
        <v/>
      </c>
      <c r="H4251">
        <f>_xlfn.IMAGE("https://m.media-amazon.com/images/I/71N4q8bQQ6L._AC_UL320_.jpg")</f>
        <v/>
      </c>
      <c r="K4251" t="inlineStr">
        <is>
          <t>22.4</t>
        </is>
      </c>
      <c r="L4251" t="n">
        <v>17.99</v>
      </c>
      <c r="M4251" s="1" t="inlineStr">
        <is>
          <t>-19.69%</t>
        </is>
      </c>
      <c r="N4251" t="n">
        <v>4.8</v>
      </c>
      <c r="O4251" t="n">
        <v>1053</v>
      </c>
      <c r="Q4251" t="inlineStr">
        <is>
          <t>InStock</t>
        </is>
      </c>
      <c r="R4251" t="inlineStr">
        <is>
          <t>32.0</t>
        </is>
      </c>
      <c r="S4251" t="inlineStr">
        <is>
          <t>6738744148055</t>
        </is>
      </c>
    </row>
    <row r="4252" ht="75" customHeight="1">
      <c r="A4252" s="2">
        <f>HYPERLINK("https://faoschwarz.com/products/lets-explore-hiking-play-set", "https://faoschwarz.com/products/lets-explore-hiking-play-set")</f>
        <v/>
      </c>
      <c r="B4252" s="2">
        <f>HYPERLINK("https://faoschwarz.com/products/lets-explore-hiking-play-set", "https://faoschwarz.com/products/lets-explore-hiking-play-set")</f>
        <v/>
      </c>
      <c r="C4252" t="inlineStr">
        <is>
          <t>Let's Explore Hiking Play Set</t>
        </is>
      </c>
      <c r="D4252" t="inlineStr">
        <is>
          <t>Melissa &amp; Doug Let's Explore Binoculars &amp; Compass Play Set - Outdoor Activity set, Toy Camping Sets For Kids, Ages 3+</t>
        </is>
      </c>
      <c r="E4252" s="2">
        <f>HYPERLINK("https://www.amazon.com/Melissa-Doug-Explore-Binoculars-Compass/dp/B09D3ZRG2G/ref=sr_1_10?keywords=Lets+Explore+Hiking+Play+Set&amp;qid=1695565935&amp;sr=8-10", "https://www.amazon.com/Melissa-Doug-Explore-Binoculars-Compass/dp/B09D3ZRG2G/ref=sr_1_10?keywords=Lets+Explore+Hiking+Play+Set&amp;qid=1695565935&amp;sr=8-10")</f>
        <v/>
      </c>
      <c r="F4252" t="inlineStr">
        <is>
          <t>B09D3ZRG2G</t>
        </is>
      </c>
      <c r="G4252">
        <f>_xlfn.IMAGE("https://faoschwarz.com/cdn/shop/products/melissa-doug-preschool-let-s-explore-hiking-play-set-28930445738071_1080x.jpg?v=1655987763")</f>
        <v/>
      </c>
      <c r="H4252">
        <f>_xlfn.IMAGE("https://m.media-amazon.com/images/I/81XeJ1SMD-L._AC_UL320_.jpg")</f>
        <v/>
      </c>
      <c r="K4252" t="inlineStr">
        <is>
          <t>22.4</t>
        </is>
      </c>
      <c r="L4252" t="n">
        <v>12.99</v>
      </c>
      <c r="M4252" s="1" t="inlineStr">
        <is>
          <t>-42.01%</t>
        </is>
      </c>
      <c r="N4252" t="n">
        <v>4.7</v>
      </c>
      <c r="O4252" t="n">
        <v>265</v>
      </c>
      <c r="Q4252" t="inlineStr">
        <is>
          <t>InStock</t>
        </is>
      </c>
      <c r="R4252" t="inlineStr">
        <is>
          <t>32.0</t>
        </is>
      </c>
      <c r="S4252" t="inlineStr">
        <is>
          <t>6738744148055</t>
        </is>
      </c>
    </row>
    <row r="4253" ht="75" customHeight="1">
      <c r="A4253" s="2">
        <f>HYPERLINK("https://faoschwarz.com/products/lets-explore-hiking-play-set", "https://faoschwarz.com/products/lets-explore-hiking-play-set")</f>
        <v/>
      </c>
      <c r="B4253" s="2">
        <f>HYPERLINK("https://faoschwarz.com/products/lets-explore-hiking-play-set", "https://faoschwarz.com/products/lets-explore-hiking-play-set")</f>
        <v/>
      </c>
      <c r="C4253" t="inlineStr">
        <is>
          <t>Let's Explore Hiking Play Set</t>
        </is>
      </c>
      <c r="D4253" t="inlineStr">
        <is>
          <t>Melissa &amp; Doug Let's Explore Seek &amp; Find Bingo Play Set</t>
        </is>
      </c>
      <c r="E4253" s="2">
        <f>HYPERLINK("https://www.amazon.com/Melissa-Doug-Lets-Explore-Bingo/dp/B09D3ZRG2F/ref=sr_1_9?keywords=Lets+Explore+Hiking+Play+Set&amp;qid=1695565935&amp;sr=8-9", "https://www.amazon.com/Melissa-Doug-Lets-Explore-Bingo/dp/B09D3ZRG2F/ref=sr_1_9?keywords=Lets+Explore+Hiking+Play+Set&amp;qid=1695565935&amp;sr=8-9")</f>
        <v/>
      </c>
      <c r="F4253" t="inlineStr">
        <is>
          <t>B09D3ZRG2F</t>
        </is>
      </c>
      <c r="G4253">
        <f>_xlfn.IMAGE("https://faoschwarz.com/cdn/shop/products/melissa-doug-preschool-let-s-explore-hiking-play-set-28930445738071_1080x.jpg?v=1655987763")</f>
        <v/>
      </c>
      <c r="H4253">
        <f>_xlfn.IMAGE("https://m.media-amazon.com/images/I/81paA4cW-5L._AC_UL320_.jpg")</f>
        <v/>
      </c>
      <c r="K4253" t="inlineStr">
        <is>
          <t>22.4</t>
        </is>
      </c>
      <c r="L4253" t="n">
        <v>11.99</v>
      </c>
      <c r="M4253" s="1" t="inlineStr">
        <is>
          <t>-46.47%</t>
        </is>
      </c>
      <c r="N4253" t="n">
        <v>4.9</v>
      </c>
      <c r="O4253" t="n">
        <v>18</v>
      </c>
      <c r="Q4253" t="inlineStr">
        <is>
          <t>InStock</t>
        </is>
      </c>
      <c r="R4253" t="inlineStr">
        <is>
          <t>32.0</t>
        </is>
      </c>
      <c r="S4253" t="inlineStr">
        <is>
          <t>6738744148055</t>
        </is>
      </c>
    </row>
    <row r="4254" ht="75" customHeight="1">
      <c r="A4254" s="2">
        <f>HYPERLINK("https://faoschwarz.com/products/light-up-alien-arcade", "https://faoschwarz.com/products/light-up-alien-arcade")</f>
        <v/>
      </c>
      <c r="B4254" s="2">
        <f>HYPERLINK("https://faoschwarz.com/products/light-up-alien-arcade", "https://faoschwarz.com/products/light-up-alien-arcade")</f>
        <v/>
      </c>
      <c r="C4254" t="inlineStr">
        <is>
          <t>Light-Up Alien Arcade</t>
        </is>
      </c>
      <c r="D4254" t="inlineStr">
        <is>
          <t>BLACK SERIES Light-Up Alien Arcade, Cosmic Whack A Mole Tabletop Game for Kids &amp; Adults, Digital Score Tracker, Interactive Developmental Hammer &amp; Pounding Activity, Portable Battery-Powered Set</t>
        </is>
      </c>
      <c r="E4254" s="2">
        <f>HYPERLINK("https://www.amazon.com/BLACK-Light-Up-Interactive-Developmental-Battery-Powered/dp/B0B996PLLV/ref=sr_1_1?keywords=Light-Up+Alien+Arcade&amp;qid=1695566011&amp;sr=8-1", "https://www.amazon.com/BLACK-Light-Up-Interactive-Developmental-Battery-Powered/dp/B0B996PLLV/ref=sr_1_1?keywords=Light-Up+Alien+Arcade&amp;qid=1695566011&amp;sr=8-1")</f>
        <v/>
      </c>
      <c r="F4254" t="inlineStr">
        <is>
          <t>B0B996PLLV</t>
        </is>
      </c>
      <c r="G4254">
        <f>_xlfn.IMAGE("https://faoschwarz.com/cdn/shop/files/843479181272_01_1080x.jpg?v=1695305431")</f>
        <v/>
      </c>
      <c r="H4254">
        <f>_xlfn.IMAGE("https://m.media-amazon.com/images/I/81c0OyAwu9L._AC_UL320_.jpg")</f>
        <v/>
      </c>
      <c r="K4254" t="inlineStr">
        <is>
          <t>25.0</t>
        </is>
      </c>
      <c r="L4254" t="n">
        <v>29.99</v>
      </c>
      <c r="M4254" s="1" t="inlineStr">
        <is>
          <t>19.96%</t>
        </is>
      </c>
      <c r="N4254" t="n">
        <v>4.2</v>
      </c>
      <c r="O4254" t="n">
        <v>26</v>
      </c>
      <c r="Q4254" t="inlineStr">
        <is>
          <t>InStock</t>
        </is>
      </c>
      <c r="R4254" t="inlineStr">
        <is>
          <t>undefined</t>
        </is>
      </c>
      <c r="S4254" t="inlineStr">
        <is>
          <t>6909950754903</t>
        </is>
      </c>
    </row>
    <row r="4255" ht="75" customHeight="1">
      <c r="A4255" s="2">
        <f>HYPERLINK("https://faoschwarz.com/products/light-up-alien-arcade", "https://faoschwarz.com/products/light-up-alien-arcade")</f>
        <v/>
      </c>
      <c r="B4255" s="2">
        <f>HYPERLINK("https://faoschwarz.com/products/light-up-alien-arcade", "https://faoschwarz.com/products/light-up-alien-arcade")</f>
        <v/>
      </c>
      <c r="C4255" t="inlineStr">
        <is>
          <t>Light-Up Alien Arcade</t>
        </is>
      </c>
      <c r="D4255" t="inlineStr">
        <is>
          <t>Windy City Novelties Light Up Alien UFO Space Toy Sword - Light &amp; Sounds - 3 Color Modes - 24"</t>
        </is>
      </c>
      <c r="E4255" s="2">
        <f>HYPERLINK("https://www.amazon.com/Windy-City-Novelties-Light-Alien/dp/B0CFZCQ7VH/ref=sr_1_4?keywords=Light-Up+Alien+Arcade&amp;qid=1695566011&amp;sr=8-4", "https://www.amazon.com/Windy-City-Novelties-Light-Alien/dp/B0CFZCQ7VH/ref=sr_1_4?keywords=Light-Up+Alien+Arcade&amp;qid=1695566011&amp;sr=8-4")</f>
        <v/>
      </c>
      <c r="F4255" t="inlineStr">
        <is>
          <t>B0CFZCQ7VH</t>
        </is>
      </c>
      <c r="G4255">
        <f>_xlfn.IMAGE("https://faoschwarz.com/cdn/shop/files/843479181272_01_1080x.jpg?v=1695305431")</f>
        <v/>
      </c>
      <c r="H4255">
        <f>_xlfn.IMAGE("https://m.media-amazon.com/images/I/61PpmrLJtRL._AC_UL320_.jpg")</f>
        <v/>
      </c>
      <c r="K4255" t="inlineStr">
        <is>
          <t>25.0</t>
        </is>
      </c>
      <c r="L4255" t="n">
        <v>17.99</v>
      </c>
      <c r="M4255" s="1" t="inlineStr">
        <is>
          <t>-28.04%</t>
        </is>
      </c>
      <c r="N4255" t="n">
        <v>4</v>
      </c>
      <c r="O4255" t="n">
        <v>2</v>
      </c>
      <c r="Q4255" t="inlineStr">
        <is>
          <t>InStock</t>
        </is>
      </c>
      <c r="R4255" t="inlineStr">
        <is>
          <t>undefined</t>
        </is>
      </c>
      <c r="S4255" t="inlineStr">
        <is>
          <t>6909950754903</t>
        </is>
      </c>
    </row>
    <row r="4256" ht="75" customHeight="1">
      <c r="A4256" s="2">
        <f>HYPERLINK("https://faoschwarz.com/products/light-up-alien-arcade", "https://faoschwarz.com/products/light-up-alien-arcade")</f>
        <v/>
      </c>
      <c r="B4256" s="2">
        <f>HYPERLINK("https://faoschwarz.com/products/light-up-alien-arcade", "https://faoschwarz.com/products/light-up-alien-arcade")</f>
        <v/>
      </c>
      <c r="C4256" t="inlineStr">
        <is>
          <t>Light-Up Alien Arcade</t>
        </is>
      </c>
      <c r="D4256" t="inlineStr">
        <is>
          <t>JYWJ Alien Neon Sign,USB or 3-AA Battery Powered Neon Light,LED Table Decoration, Bedroom Wall Decoration, Birthday Gift,Wedding Supplies Business Gift(Green)</t>
        </is>
      </c>
      <c r="E4256" s="2">
        <f>HYPERLINK("https://www.amazon.com/JYWJ-Decoration-Birthday-Supplies-Business/dp/B08THC3Z79/ref=sr_1_5?keywords=Light-Up+Alien+Arcade&amp;qid=1695566011&amp;sr=8-5", "https://www.amazon.com/JYWJ-Decoration-Birthday-Supplies-Business/dp/B08THC3Z79/ref=sr_1_5?keywords=Light-Up+Alien+Arcade&amp;qid=1695566011&amp;sr=8-5")</f>
        <v/>
      </c>
      <c r="F4256" t="inlineStr">
        <is>
          <t>B08THC3Z79</t>
        </is>
      </c>
      <c r="G4256">
        <f>_xlfn.IMAGE("https://faoschwarz.com/cdn/shop/files/843479181272_01_1080x.jpg?v=1695305431")</f>
        <v/>
      </c>
      <c r="H4256">
        <f>_xlfn.IMAGE("https://m.media-amazon.com/images/I/71kakK+qVoL._AC_UL320_.jpg")</f>
        <v/>
      </c>
      <c r="K4256" t="inlineStr">
        <is>
          <t>25.0</t>
        </is>
      </c>
      <c r="L4256" t="n">
        <v>10.96</v>
      </c>
      <c r="M4256" s="1" t="inlineStr">
        <is>
          <t>-56.16%</t>
        </is>
      </c>
      <c r="N4256" t="n">
        <v>4.5</v>
      </c>
      <c r="O4256" t="n">
        <v>148</v>
      </c>
      <c r="Q4256" t="inlineStr">
        <is>
          <t>InStock</t>
        </is>
      </c>
      <c r="R4256" t="inlineStr">
        <is>
          <t>undefined</t>
        </is>
      </c>
      <c r="S4256" t="inlineStr">
        <is>
          <t>6909950754903</t>
        </is>
      </c>
    </row>
    <row r="4257" ht="75" customHeight="1">
      <c r="A4257" s="2">
        <f>HYPERLINK("https://faoschwarz.com/products/light-up-alien-arcade", "https://faoschwarz.com/products/light-up-alien-arcade")</f>
        <v/>
      </c>
      <c r="B4257" s="2">
        <f>HYPERLINK("https://faoschwarz.com/products/light-up-alien-arcade", "https://faoschwarz.com/products/light-up-alien-arcade")</f>
        <v/>
      </c>
      <c r="C4257" t="inlineStr">
        <is>
          <t>Light-Up Alien Arcade</t>
        </is>
      </c>
      <c r="D4257" t="inlineStr">
        <is>
          <t>DUDIU Alien Neon Signs for Bedroom Wall Decor Battery and USB Powered Green Alien Neon Sign Light up for Home Kids Room Children‘s Day Bar Festival Birthday Christmas Halloween Party</t>
        </is>
      </c>
      <c r="E4257" s="2">
        <f>HYPERLINK("https://www.amazon.com/DUDIU-Childrens-Festival-Christmas-Halloween/dp/B0B3XFJH14/ref=sr_1_7?keywords=Light-Up+Alien+Arcade&amp;qid=1695566011&amp;sr=8-7", "https://www.amazon.com/DUDIU-Childrens-Festival-Christmas-Halloween/dp/B0B3XFJH14/ref=sr_1_7?keywords=Light-Up+Alien+Arcade&amp;qid=1695566011&amp;sr=8-7")</f>
        <v/>
      </c>
      <c r="F4257" t="inlineStr">
        <is>
          <t>B0B3XFJH14</t>
        </is>
      </c>
      <c r="G4257">
        <f>_xlfn.IMAGE("https://faoschwarz.com/cdn/shop/files/843479181272_01_1080x.jpg?v=1695305431")</f>
        <v/>
      </c>
      <c r="H4257">
        <f>_xlfn.IMAGE("https://m.media-amazon.com/images/I/61S8qwVAu2L._AC_UL320_.jpg")</f>
        <v/>
      </c>
      <c r="K4257" t="inlineStr">
        <is>
          <t>25.0</t>
        </is>
      </c>
      <c r="L4257" t="n">
        <v>9.99</v>
      </c>
      <c r="M4257" s="1" t="inlineStr">
        <is>
          <t>-60.04%</t>
        </is>
      </c>
      <c r="N4257" t="n">
        <v>4.5</v>
      </c>
      <c r="O4257" t="n">
        <v>46</v>
      </c>
      <c r="Q4257" t="inlineStr">
        <is>
          <t>InStock</t>
        </is>
      </c>
      <c r="R4257" t="inlineStr">
        <is>
          <t>undefined</t>
        </is>
      </c>
      <c r="S4257" t="inlineStr">
        <is>
          <t>6909950754903</t>
        </is>
      </c>
    </row>
    <row r="4258" ht="75" customHeight="1">
      <c r="A4258" s="2">
        <f>HYPERLINK("https://faoschwarz.com/products/light-up-alien-arcade", "https://faoschwarz.com/products/light-up-alien-arcade")</f>
        <v/>
      </c>
      <c r="B4258" s="2">
        <f>HYPERLINK("https://faoschwarz.com/products/light-up-alien-arcade", "https://faoschwarz.com/products/light-up-alien-arcade")</f>
        <v/>
      </c>
      <c r="C4258" t="inlineStr">
        <is>
          <t>Light-Up Alien Arcade</t>
        </is>
      </c>
      <c r="D4258" t="inlineStr">
        <is>
          <t>NICETHUMB Alien Neon Sign Green LED Alien Neon Light USB/Battery Operated Cool Alien Light Up Sign for Wall Decor Game Room Aesthetic Hanging Light for Man Cave Stuff, Bedroom, Bar</t>
        </is>
      </c>
      <c r="E4258" s="2">
        <f>HYPERLINK("https://www.amazon.com/NICETHUMB-Battery-Operated-Aesthetic-Christmas/dp/B09L4K1MHX/ref=sr_1_3?keywords=Light-Up+Alien+Arcade&amp;qid=1695566011&amp;sr=8-3", "https://www.amazon.com/NICETHUMB-Battery-Operated-Aesthetic-Christmas/dp/B09L4K1MHX/ref=sr_1_3?keywords=Light-Up+Alien+Arcade&amp;qid=1695566011&amp;sr=8-3")</f>
        <v/>
      </c>
      <c r="F4258" t="inlineStr">
        <is>
          <t>B09L4K1MHX</t>
        </is>
      </c>
      <c r="G4258">
        <f>_xlfn.IMAGE("https://faoschwarz.com/cdn/shop/files/843479181272_01_1080x.jpg?v=1695305431")</f>
        <v/>
      </c>
      <c r="H4258">
        <f>_xlfn.IMAGE("https://m.media-amazon.com/images/I/61yRsi0MUTL._AC_UL320_.jpg")</f>
        <v/>
      </c>
      <c r="K4258" t="inlineStr">
        <is>
          <t>25.0</t>
        </is>
      </c>
      <c r="L4258" t="n">
        <v>9.970000000000001</v>
      </c>
      <c r="M4258" s="1" t="inlineStr">
        <is>
          <t>-60.12%</t>
        </is>
      </c>
      <c r="N4258" t="n">
        <v>4.6</v>
      </c>
      <c r="O4258" t="n">
        <v>471</v>
      </c>
      <c r="Q4258" t="inlineStr">
        <is>
          <t>InStock</t>
        </is>
      </c>
      <c r="R4258" t="inlineStr">
        <is>
          <t>undefined</t>
        </is>
      </c>
      <c r="S4258" t="inlineStr">
        <is>
          <t>6909950754903</t>
        </is>
      </c>
    </row>
    <row r="4259" ht="75" customHeight="1">
      <c r="A4259" s="2">
        <f>HYPERLINK("https://faoschwarz.com/products/light-up-alien-arcade", "https://faoschwarz.com/products/light-up-alien-arcade")</f>
        <v/>
      </c>
      <c r="B4259" s="2">
        <f>HYPERLINK("https://faoschwarz.com/products/light-up-alien-arcade", "https://faoschwarz.com/products/light-up-alien-arcade")</f>
        <v/>
      </c>
      <c r="C4259" t="inlineStr">
        <is>
          <t>Light-Up Alien Arcade</t>
        </is>
      </c>
      <c r="D4259" t="inlineStr">
        <is>
          <t>Windy City Novelties Light Up Alien UFO Space Toy Sword - Light &amp; Sounds - 3 Color Modes - 24"</t>
        </is>
      </c>
      <c r="E4259" s="2">
        <f>HYPERLINK("https://www.amazon.com/Windy-City-Novelties-Light-Alien/dp/B0CFZCQ7VH/ref=sr_1_4?keywords=Light-Up+Alien+Arcade&amp;qid=1695566011&amp;sr=8-4", "https://www.amazon.com/Windy-City-Novelties-Light-Alien/dp/B0CFZCQ7VH/ref=sr_1_4?keywords=Light-Up+Alien+Arcade&amp;qid=1695566011&amp;sr=8-4")</f>
        <v/>
      </c>
      <c r="F4259" t="inlineStr">
        <is>
          <t>B0CFZCQ7VH</t>
        </is>
      </c>
      <c r="G4259">
        <f>_xlfn.IMAGE("https://faoschwarz.com/cdn/shop/files/843479181272_01_1080x.jpg?v=1695305431")</f>
        <v/>
      </c>
      <c r="H4259">
        <f>_xlfn.IMAGE("https://m.media-amazon.com/images/I/61PpmrLJtRL._AC_UL320_.jpg")</f>
        <v/>
      </c>
      <c r="K4259" t="inlineStr">
        <is>
          <t>25.0</t>
        </is>
      </c>
      <c r="L4259" t="n">
        <v>17.99</v>
      </c>
      <c r="M4259" s="1" t="inlineStr">
        <is>
          <t>-28.04%</t>
        </is>
      </c>
      <c r="N4259" t="n">
        <v>4</v>
      </c>
      <c r="O4259" t="n">
        <v>2</v>
      </c>
      <c r="Q4259" t="inlineStr">
        <is>
          <t>InStock</t>
        </is>
      </c>
      <c r="R4259" t="inlineStr">
        <is>
          <t>undefined</t>
        </is>
      </c>
      <c r="S4259" t="inlineStr">
        <is>
          <t>6909950754903</t>
        </is>
      </c>
    </row>
    <row r="4260" ht="75" customHeight="1">
      <c r="A4260" s="2">
        <f>HYPERLINK("https://faoschwarz.com/products/light-up-alien-arcade", "https://faoschwarz.com/products/light-up-alien-arcade")</f>
        <v/>
      </c>
      <c r="B4260" s="2">
        <f>HYPERLINK("https://faoschwarz.com/products/light-up-alien-arcade", "https://faoschwarz.com/products/light-up-alien-arcade")</f>
        <v/>
      </c>
      <c r="C4260" t="inlineStr">
        <is>
          <t>Light-Up Alien Arcade</t>
        </is>
      </c>
      <c r="D4260" t="inlineStr">
        <is>
          <t>JYWJ Alien Neon Sign,USB or 3-AA Battery Powered Neon Light,LED Table Decoration, Bedroom Wall Decoration, Birthday Gift,Wedding Supplies Business Gift(Green)</t>
        </is>
      </c>
      <c r="E4260" s="2">
        <f>HYPERLINK("https://www.amazon.com/JYWJ-Decoration-Birthday-Supplies-Business/dp/B08THC3Z79/ref=sr_1_5?keywords=Light-Up+Alien+Arcade&amp;qid=1695566011&amp;sr=8-5", "https://www.amazon.com/JYWJ-Decoration-Birthday-Supplies-Business/dp/B08THC3Z79/ref=sr_1_5?keywords=Light-Up+Alien+Arcade&amp;qid=1695566011&amp;sr=8-5")</f>
        <v/>
      </c>
      <c r="F4260" t="inlineStr">
        <is>
          <t>B08THC3Z79</t>
        </is>
      </c>
      <c r="G4260">
        <f>_xlfn.IMAGE("https://faoschwarz.com/cdn/shop/files/843479181272_01_1080x.jpg?v=1695305431")</f>
        <v/>
      </c>
      <c r="H4260">
        <f>_xlfn.IMAGE("https://m.media-amazon.com/images/I/71kakK+qVoL._AC_UL320_.jpg")</f>
        <v/>
      </c>
      <c r="K4260" t="inlineStr">
        <is>
          <t>25.0</t>
        </is>
      </c>
      <c r="L4260" t="n">
        <v>10.96</v>
      </c>
      <c r="M4260" s="1" t="inlineStr">
        <is>
          <t>-56.16%</t>
        </is>
      </c>
      <c r="N4260" t="n">
        <v>4.5</v>
      </c>
      <c r="O4260" t="n">
        <v>148</v>
      </c>
      <c r="Q4260" t="inlineStr">
        <is>
          <t>InStock</t>
        </is>
      </c>
      <c r="R4260" t="inlineStr">
        <is>
          <t>undefined</t>
        </is>
      </c>
      <c r="S4260" t="inlineStr">
        <is>
          <t>6909950754903</t>
        </is>
      </c>
    </row>
    <row r="4261" ht="75" customHeight="1">
      <c r="A4261" s="2">
        <f>HYPERLINK("https://faoschwarz.com/products/light-up-alien-arcade", "https://faoschwarz.com/products/light-up-alien-arcade")</f>
        <v/>
      </c>
      <c r="B4261" s="2">
        <f>HYPERLINK("https://faoschwarz.com/products/light-up-alien-arcade", "https://faoschwarz.com/products/light-up-alien-arcade")</f>
        <v/>
      </c>
      <c r="C4261" t="inlineStr">
        <is>
          <t>Light-Up Alien Arcade</t>
        </is>
      </c>
      <c r="D4261" t="inlineStr">
        <is>
          <t>DUDIU Alien Neon Signs for Bedroom Wall Decor Battery and USB Powered Green Alien Neon Sign Light up for Home Kids Room Children‘s Day Bar Festival Birthday Christmas Halloween Party</t>
        </is>
      </c>
      <c r="E4261" s="2">
        <f>HYPERLINK("https://www.amazon.com/DUDIU-Childrens-Festival-Christmas-Halloween/dp/B0B3XFJH14/ref=sr_1_7?keywords=Light-Up+Alien+Arcade&amp;qid=1695566011&amp;sr=8-7", "https://www.amazon.com/DUDIU-Childrens-Festival-Christmas-Halloween/dp/B0B3XFJH14/ref=sr_1_7?keywords=Light-Up+Alien+Arcade&amp;qid=1695566011&amp;sr=8-7")</f>
        <v/>
      </c>
      <c r="F4261" t="inlineStr">
        <is>
          <t>B0B3XFJH14</t>
        </is>
      </c>
      <c r="G4261">
        <f>_xlfn.IMAGE("https://faoschwarz.com/cdn/shop/files/843479181272_01_1080x.jpg?v=1695305431")</f>
        <v/>
      </c>
      <c r="H4261">
        <f>_xlfn.IMAGE("https://m.media-amazon.com/images/I/61S8qwVAu2L._AC_UL320_.jpg")</f>
        <v/>
      </c>
      <c r="K4261" t="inlineStr">
        <is>
          <t>25.0</t>
        </is>
      </c>
      <c r="L4261" t="n">
        <v>9.99</v>
      </c>
      <c r="M4261" s="1" t="inlineStr">
        <is>
          <t>-60.04%</t>
        </is>
      </c>
      <c r="N4261" t="n">
        <v>4.5</v>
      </c>
      <c r="O4261" t="n">
        <v>46</v>
      </c>
      <c r="Q4261" t="inlineStr">
        <is>
          <t>InStock</t>
        </is>
      </c>
      <c r="R4261" t="inlineStr">
        <is>
          <t>undefined</t>
        </is>
      </c>
      <c r="S4261" t="inlineStr">
        <is>
          <t>6909950754903</t>
        </is>
      </c>
    </row>
    <row r="4262" ht="75" customHeight="1">
      <c r="A4262" s="2">
        <f>HYPERLINK("https://faoschwarz.com/products/light-up-alien-arcade", "https://faoschwarz.com/products/light-up-alien-arcade")</f>
        <v/>
      </c>
      <c r="B4262" s="2">
        <f>HYPERLINK("https://faoschwarz.com/products/light-up-alien-arcade", "https://faoschwarz.com/products/light-up-alien-arcade")</f>
        <v/>
      </c>
      <c r="C4262" t="inlineStr">
        <is>
          <t>Light-Up Alien Arcade</t>
        </is>
      </c>
      <c r="D4262" t="inlineStr">
        <is>
          <t>NICETHUMB Alien Neon Sign Green LED Alien Neon Light USB/Battery Operated Cool Alien Light Up Sign for Wall Decor Game Room Aesthetic Hanging Light for Man Cave Stuff, Bedroom, Bar</t>
        </is>
      </c>
      <c r="E4262" s="2">
        <f>HYPERLINK("https://www.amazon.com/NICETHUMB-Battery-Operated-Aesthetic-Christmas/dp/B09L4K1MHX/ref=sr_1_3?keywords=Light-Up+Alien+Arcade&amp;qid=1695566011&amp;sr=8-3", "https://www.amazon.com/NICETHUMB-Battery-Operated-Aesthetic-Christmas/dp/B09L4K1MHX/ref=sr_1_3?keywords=Light-Up+Alien+Arcade&amp;qid=1695566011&amp;sr=8-3")</f>
        <v/>
      </c>
      <c r="F4262" t="inlineStr">
        <is>
          <t>B09L4K1MHX</t>
        </is>
      </c>
      <c r="G4262">
        <f>_xlfn.IMAGE("https://faoschwarz.com/cdn/shop/files/843479181272_01_1080x.jpg?v=1695305431")</f>
        <v/>
      </c>
      <c r="H4262">
        <f>_xlfn.IMAGE("https://m.media-amazon.com/images/I/61yRsi0MUTL._AC_UL320_.jpg")</f>
        <v/>
      </c>
      <c r="K4262" t="inlineStr">
        <is>
          <t>25.0</t>
        </is>
      </c>
      <c r="L4262" t="n">
        <v>9.970000000000001</v>
      </c>
      <c r="M4262" s="1" t="inlineStr">
        <is>
          <t>-60.12%</t>
        </is>
      </c>
      <c r="N4262" t="n">
        <v>4.6</v>
      </c>
      <c r="O4262" t="n">
        <v>471</v>
      </c>
      <c r="Q4262" t="inlineStr">
        <is>
          <t>InStock</t>
        </is>
      </c>
      <c r="R4262" t="inlineStr">
        <is>
          <t>undefined</t>
        </is>
      </c>
      <c r="S4262" t="inlineStr">
        <is>
          <t>6909950754903</t>
        </is>
      </c>
    </row>
    <row r="4263" ht="75" customHeight="1">
      <c r="A4263" s="2">
        <f>HYPERLINK("https://faoschwarz.com/products/little-builder-wooden-construction-workbench", "https://faoschwarz.com/products/little-builder-wooden-construction-workbench")</f>
        <v/>
      </c>
      <c r="B4263" s="2">
        <f>HYPERLINK("https://faoschwarz.com/products/little-builder-wooden-construction-workbench", "https://faoschwarz.com/products/little-builder-wooden-construction-workbench")</f>
        <v/>
      </c>
      <c r="C4263" t="inlineStr">
        <is>
          <t>Little Builder Wooden Construction Workbench</t>
        </is>
      </c>
      <c r="D4263" t="inlineStr">
        <is>
          <t>Hape Build-a-Robot Wooden Tool Workbench Pretend Play Construction Builder Set</t>
        </is>
      </c>
      <c r="E4263" s="2">
        <f>HYPERLINK("https://www.amazon.com/Hape-Workbench-Pretend-Construction-Builder/dp/B08Y7MGX6W/ref=sr_1_2?keywords=Little+Builder+Wooden+Construction+Workbench&amp;qid=1695565913&amp;sr=8-2", "https://www.amazon.com/Hape-Workbench-Pretend-Construction-Builder/dp/B08Y7MGX6W/ref=sr_1_2?keywords=Little+Builder+Wooden+Construction+Workbench&amp;qid=1695565913&amp;sr=8-2")</f>
        <v/>
      </c>
      <c r="F4263" t="inlineStr">
        <is>
          <t>B08Y7MGX6W</t>
        </is>
      </c>
      <c r="G4263">
        <f>_xlfn.IMAGE("https://faoschwarz.com/cdn/shop/files/wonder-wise-preschool-little-builder-wooden-construction-workbench-30541866172503_1080x.jpg?v=1693426634")</f>
        <v/>
      </c>
      <c r="H4263">
        <f>_xlfn.IMAGE("https://m.media-amazon.com/images/I/81D2Hf8W6cL._AC_UL320_.jpg")</f>
        <v/>
      </c>
      <c r="K4263" t="inlineStr">
        <is>
          <t>109.0</t>
        </is>
      </c>
      <c r="L4263" t="n">
        <v>65.27</v>
      </c>
      <c r="M4263" s="1" t="inlineStr">
        <is>
          <t>-40.12%</t>
        </is>
      </c>
      <c r="N4263" t="n">
        <v>4.3</v>
      </c>
      <c r="O4263" t="n">
        <v>8</v>
      </c>
      <c r="Q4263" t="inlineStr">
        <is>
          <t>InStock</t>
        </is>
      </c>
      <c r="R4263" t="inlineStr">
        <is>
          <t>undefined</t>
        </is>
      </c>
      <c r="S4263" t="inlineStr">
        <is>
          <t>6896150478935</t>
        </is>
      </c>
    </row>
    <row r="4264" ht="75" customHeight="1">
      <c r="A4264" s="2">
        <f>HYPERLINK("https://faoschwarz.com/products/little-chef-chelsea-modern-play-kitchen-pink-gold", "https://faoschwarz.com/products/little-chef-chelsea-modern-play-kitchen-pink-gold")</f>
        <v/>
      </c>
      <c r="B4264" s="2">
        <f>HYPERLINK("https://faoschwarz.com/products/little-chef-chelsea-modern-play-kitchen-pink-gold", "https://faoschwarz.com/products/little-chef-chelsea-modern-play-kitchen-pink-gold")</f>
        <v/>
      </c>
      <c r="C4264" t="inlineStr">
        <is>
          <t>Little Chef Chelsea Modern Play Kitchen - Pink / Gold</t>
        </is>
      </c>
      <c r="D4264" t="inlineStr">
        <is>
          <t>Teamson Kids Little Chef Mayfair Classic Kids Kitchen Playset with 11 Accessories, White/Gold</t>
        </is>
      </c>
      <c r="E4264" s="2">
        <f>HYPERLINK("https://www.amazon.com/Teamson-Kids-Mayfair-Classic-Accessories/dp/B08N4R8JPL/ref=sr_1_3?keywords=Little+Chef+Chelsea+Modern+Play+Kitchen+-+Pink+%2F+Gold&amp;qid=1695565923&amp;sr=8-3", "https://www.amazon.com/Teamson-Kids-Mayfair-Classic-Accessories/dp/B08N4R8JPL/ref=sr_1_3?keywords=Little+Chef+Chelsea+Modern+Play+Kitchen+-+Pink+%2F+Gold&amp;qid=1695565923&amp;sr=8-3")</f>
        <v/>
      </c>
      <c r="F4264" t="inlineStr">
        <is>
          <t>B08N4R8JPL</t>
        </is>
      </c>
      <c r="G4264">
        <f>_xlfn.IMAGE("https://faoschwarz.com/cdn/shop/products/teamson-kids-preschool-little-chef-chelsea-modern-play-kitchen-pink-gold-28541496426583_1080x.jpg?v=1656042396")</f>
        <v/>
      </c>
      <c r="H4264">
        <f>_xlfn.IMAGE("https://m.media-amazon.com/images/I/7168u1TD9XL._AC_UL320_.jpg")</f>
        <v/>
      </c>
      <c r="K4264" t="inlineStr">
        <is>
          <t>268.0</t>
        </is>
      </c>
      <c r="L4264" t="n">
        <v>186.95</v>
      </c>
      <c r="M4264" s="1" t="inlineStr">
        <is>
          <t>-30.24%</t>
        </is>
      </c>
      <c r="N4264" t="n">
        <v>3.8</v>
      </c>
      <c r="O4264" t="n">
        <v>29</v>
      </c>
      <c r="Q4264" t="inlineStr">
        <is>
          <t>InStock</t>
        </is>
      </c>
      <c r="R4264" t="inlineStr">
        <is>
          <t>undefined</t>
        </is>
      </c>
      <c r="S4264" t="inlineStr">
        <is>
          <t>6638847787095</t>
        </is>
      </c>
    </row>
    <row r="4265" ht="75" customHeight="1">
      <c r="A4265" s="2">
        <f>HYPERLINK("https://faoschwarz.com/products/little-chef-chelsea-modern-play-kitchen-pink-gold", "https://faoschwarz.com/products/little-chef-chelsea-modern-play-kitchen-pink-gold")</f>
        <v/>
      </c>
      <c r="B4265" s="2">
        <f>HYPERLINK("https://faoschwarz.com/products/little-chef-chelsea-modern-play-kitchen-pink-gold", "https://faoschwarz.com/products/little-chef-chelsea-modern-play-kitchen-pink-gold")</f>
        <v/>
      </c>
      <c r="C4265" t="inlineStr">
        <is>
          <t>Little Chef Chelsea Modern Play Kitchen - Pink / Gold</t>
        </is>
      </c>
      <c r="D4265" t="inlineStr">
        <is>
          <t>Teamson Kids Little Chef Chelsea Modern Play Kitchen Toddler Pretend 2 pcs Play Set with Accessories and Ice Maker Mint Gold</t>
        </is>
      </c>
      <c r="E4265" s="2">
        <f>HYPERLINK("https://www.amazon.com/Teamson-Kids-Chelsea-Kitchen-Accessories/dp/B07Z3LFZ9J/ref=sr_1_2?keywords=Little+Chef+Chelsea+Modern+Play+Kitchen+-+Pink+%2F+Gold&amp;qid=1695565923&amp;sr=8-2", "https://www.amazon.com/Teamson-Kids-Chelsea-Kitchen-Accessories/dp/B07Z3LFZ9J/ref=sr_1_2?keywords=Little+Chef+Chelsea+Modern+Play+Kitchen+-+Pink+%2F+Gold&amp;qid=1695565923&amp;sr=8-2")</f>
        <v/>
      </c>
      <c r="F4265" t="inlineStr">
        <is>
          <t>B07Z3LFZ9J</t>
        </is>
      </c>
      <c r="G4265">
        <f>_xlfn.IMAGE("https://faoschwarz.com/cdn/shop/products/teamson-kids-preschool-little-chef-chelsea-modern-play-kitchen-pink-gold-28541496426583_1080x.jpg?v=1656042396")</f>
        <v/>
      </c>
      <c r="H4265">
        <f>_xlfn.IMAGE("https://m.media-amazon.com/images/I/71ppnXPH9NL._AC_UL320_.jpg")</f>
        <v/>
      </c>
      <c r="K4265" t="inlineStr">
        <is>
          <t>268.0</t>
        </is>
      </c>
      <c r="L4265" t="n">
        <v>129.24</v>
      </c>
      <c r="M4265" s="1" t="inlineStr">
        <is>
          <t>-51.78%</t>
        </is>
      </c>
      <c r="N4265" t="n">
        <v>4.2</v>
      </c>
      <c r="O4265" t="n">
        <v>1407</v>
      </c>
      <c r="Q4265" t="inlineStr">
        <is>
          <t>InStock</t>
        </is>
      </c>
      <c r="R4265" t="inlineStr">
        <is>
          <t>undefined</t>
        </is>
      </c>
      <c r="S4265" t="inlineStr">
        <is>
          <t>6638847787095</t>
        </is>
      </c>
    </row>
    <row r="4266" ht="75" customHeight="1">
      <c r="A4266" s="2">
        <f>HYPERLINK("https://faoschwarz.com/products/little-chef-chelsea-modern-play-kitchen-pink-gold", "https://faoschwarz.com/products/little-chef-chelsea-modern-play-kitchen-pink-gold")</f>
        <v/>
      </c>
      <c r="B4266" s="2">
        <f>HYPERLINK("https://faoschwarz.com/products/little-chef-chelsea-modern-play-kitchen-pink-gold", "https://faoschwarz.com/products/little-chef-chelsea-modern-play-kitchen-pink-gold")</f>
        <v/>
      </c>
      <c r="C4266" t="inlineStr">
        <is>
          <t>Little Chef Chelsea Modern Play Kitchen - Pink / Gold</t>
        </is>
      </c>
      <c r="D4266" t="inlineStr">
        <is>
          <t>Teamson Kids Little Chef Chelsea Modern Play Kitchen Toddler Pretend 2 pcs Play Set with Accessories and Ice Maker Pink Gold</t>
        </is>
      </c>
      <c r="E4266" s="2">
        <f>HYPERLINK("https://www.amazon.com/Teamson-Kids-TD-12302P-Modern-Kitchen/dp/B072XWZP7F/ref=sr_1_1?keywords=Little+Chef+Chelsea+Modern+Play+Kitchen+-+Pink+%2F+Gold&amp;qid=1695565923&amp;sr=8-1", "https://www.amazon.com/Teamson-Kids-TD-12302P-Modern-Kitchen/dp/B072XWZP7F/ref=sr_1_1?keywords=Little+Chef+Chelsea+Modern+Play+Kitchen+-+Pink+%2F+Gold&amp;qid=1695565923&amp;sr=8-1")</f>
        <v/>
      </c>
      <c r="F4266" t="inlineStr">
        <is>
          <t>B072XWZP7F</t>
        </is>
      </c>
      <c r="G4266">
        <f>_xlfn.IMAGE("https://faoschwarz.com/cdn/shop/products/teamson-kids-preschool-little-chef-chelsea-modern-play-kitchen-pink-gold-28541496426583_1080x.jpg?v=1656042396")</f>
        <v/>
      </c>
      <c r="H4266">
        <f>_xlfn.IMAGE("https://m.media-amazon.com/images/I/71DFZK1sNPL._AC_UL320_.jpg")</f>
        <v/>
      </c>
      <c r="K4266" t="inlineStr">
        <is>
          <t>268.0</t>
        </is>
      </c>
      <c r="L4266" t="n">
        <v>129.24</v>
      </c>
      <c r="M4266" s="1" t="inlineStr">
        <is>
          <t>-51.78%</t>
        </is>
      </c>
      <c r="N4266" t="n">
        <v>4.1</v>
      </c>
      <c r="O4266" t="n">
        <v>210</v>
      </c>
      <c r="Q4266" t="inlineStr">
        <is>
          <t>InStock</t>
        </is>
      </c>
      <c r="R4266" t="inlineStr">
        <is>
          <t>undefined</t>
        </is>
      </c>
      <c r="S4266" t="inlineStr">
        <is>
          <t>6638847787095</t>
        </is>
      </c>
    </row>
    <row r="4267" ht="75" customHeight="1">
      <c r="A4267" s="2">
        <f>HYPERLINK("https://faoschwarz.com/products/little-chef-chelsea-modern-play-kitchen-pink-gold", "https://faoschwarz.com/products/little-chef-chelsea-modern-play-kitchen-pink-gold")</f>
        <v/>
      </c>
      <c r="B4267" s="2">
        <f>HYPERLINK("https://faoschwarz.com/products/little-chef-chelsea-modern-play-kitchen-pink-gold", "https://faoschwarz.com/products/little-chef-chelsea-modern-play-kitchen-pink-gold")</f>
        <v/>
      </c>
      <c r="C4267" t="inlineStr">
        <is>
          <t>Little Chef Chelsea Modern Play Kitchen - Pink / Gold</t>
        </is>
      </c>
      <c r="D4267" t="inlineStr">
        <is>
          <t>Teamson Kids Little Chef Boston Kids Play Kitchen Set with Play Phone &amp; Cookware, Small Play Kitchen with Subway Tile Backsplash, White/Gold</t>
        </is>
      </c>
      <c r="E4267" s="2">
        <f>HYPERLINK("https://www.amazon.com/Teamson-Kids-TD-12679C-Little-Kitchen/dp/B07J4QH4FL/ref=sr_1_6?keywords=Little+Chef+Chelsea+Modern+Play+Kitchen+-+Pink+%2F+Gold&amp;qid=1695565923&amp;sr=8-6", "https://www.amazon.com/Teamson-Kids-TD-12679C-Little-Kitchen/dp/B07J4QH4FL/ref=sr_1_6?keywords=Little+Chef+Chelsea+Modern+Play+Kitchen+-+Pink+%2F+Gold&amp;qid=1695565923&amp;sr=8-6")</f>
        <v/>
      </c>
      <c r="F4267" t="inlineStr">
        <is>
          <t>B07J4QH4FL</t>
        </is>
      </c>
      <c r="G4267">
        <f>_xlfn.IMAGE("https://faoschwarz.com/cdn/shop/products/teamson-kids-preschool-little-chef-chelsea-modern-play-kitchen-pink-gold-28541496426583_1080x.jpg?v=1656042396")</f>
        <v/>
      </c>
      <c r="H4267">
        <f>_xlfn.IMAGE("https://m.media-amazon.com/images/I/71B-79GsYAL._AC_UL320_.jpg")</f>
        <v/>
      </c>
      <c r="K4267" t="inlineStr">
        <is>
          <t>268.0</t>
        </is>
      </c>
      <c r="L4267" t="n">
        <v>92</v>
      </c>
      <c r="M4267" s="1" t="inlineStr">
        <is>
          <t>-65.67%</t>
        </is>
      </c>
      <c r="N4267" t="n">
        <v>4.2</v>
      </c>
      <c r="O4267" t="n">
        <v>321</v>
      </c>
      <c r="Q4267" t="inlineStr">
        <is>
          <t>InStock</t>
        </is>
      </c>
      <c r="R4267" t="inlineStr">
        <is>
          <t>undefined</t>
        </is>
      </c>
      <c r="S4267" t="inlineStr">
        <is>
          <t>6638847787095</t>
        </is>
      </c>
    </row>
    <row r="4268" ht="75" customHeight="1">
      <c r="A4268" s="2">
        <f>HYPERLINK("https://faoschwarz.com/products/little-chef-chelsea-modern-play-kitchen-pink-gold", "https://faoschwarz.com/products/little-chef-chelsea-modern-play-kitchen-pink-gold")</f>
        <v/>
      </c>
      <c r="B4268" s="2">
        <f>HYPERLINK("https://faoschwarz.com/products/little-chef-chelsea-modern-play-kitchen-pink-gold", "https://faoschwarz.com/products/little-chef-chelsea-modern-play-kitchen-pink-gold")</f>
        <v/>
      </c>
      <c r="C4268" t="inlineStr">
        <is>
          <t>Little Chef Chelsea Modern Play Kitchen - Pink / Gold</t>
        </is>
      </c>
      <c r="D4268" t="inlineStr">
        <is>
          <t>HONEY JOY Pink Kids Kitchen Playset, Wooden Little Chef Pretend Toy Kitchen Set w/Chalkboard, Telephone, Utensils, Oven, Microwave, Sink, Play Kitchen for Toddlers, Gift for Boys Girls 3+, Pink</t>
        </is>
      </c>
      <c r="E4268" s="2">
        <f>HYPERLINK("https://www.amazon.com/HONEY-JOY-Chalkboard-Telephone-Microwave/dp/B0CHRYHNK3/ref=sr_1_4?keywords=Little+Chef+Chelsea+Modern+Play+Kitchen+-+Pink+%2F+Gold&amp;qid=1695565923&amp;sr=8-4", "https://www.amazon.com/HONEY-JOY-Chalkboard-Telephone-Microwave/dp/B0CHRYHNK3/ref=sr_1_4?keywords=Little+Chef+Chelsea+Modern+Play+Kitchen+-+Pink+%2F+Gold&amp;qid=1695565923&amp;sr=8-4")</f>
        <v/>
      </c>
      <c r="F4268" t="inlineStr">
        <is>
          <t>B0CHRYHNK3</t>
        </is>
      </c>
      <c r="G4268">
        <f>_xlfn.IMAGE("https://faoschwarz.com/cdn/shop/products/teamson-kids-preschool-little-chef-chelsea-modern-play-kitchen-pink-gold-28541496426583_1080x.jpg?v=1656042396")</f>
        <v/>
      </c>
      <c r="H4268">
        <f>_xlfn.IMAGE("https://m.media-amazon.com/images/I/71sMOQBAxcL._AC_UL320_.jpg")</f>
        <v/>
      </c>
      <c r="K4268" t="inlineStr">
        <is>
          <t>268.0</t>
        </is>
      </c>
      <c r="L4268" t="n">
        <v>85.98</v>
      </c>
      <c r="M4268" s="1" t="inlineStr">
        <is>
          <t>-67.92%</t>
        </is>
      </c>
      <c r="N4268" t="n">
        <v>1</v>
      </c>
      <c r="O4268" t="n">
        <v>1</v>
      </c>
      <c r="Q4268" t="inlineStr">
        <is>
          <t>InStock</t>
        </is>
      </c>
      <c r="R4268" t="inlineStr">
        <is>
          <t>undefined</t>
        </is>
      </c>
      <c r="S4268" t="inlineStr">
        <is>
          <t>6638847787095</t>
        </is>
      </c>
    </row>
    <row r="4269" ht="75" customHeight="1">
      <c r="A4269" s="2">
        <f>HYPERLINK("https://faoschwarz.com/products/little-chef-westchester-retro-play-kitchen-mint", "https://faoschwarz.com/products/little-chef-westchester-retro-play-kitchen-mint")</f>
        <v/>
      </c>
      <c r="B4269" s="2">
        <f>HYPERLINK("https://faoschwarz.com/products/little-chef-westchester-retro-play-kitchen-mint", "https://faoschwarz.com/products/little-chef-westchester-retro-play-kitchen-mint")</f>
        <v/>
      </c>
      <c r="C4269" t="inlineStr">
        <is>
          <t>Little Chef Westchester Retro Play Kitchen - Mint</t>
        </is>
      </c>
      <c r="D4269" t="inlineStr">
        <is>
          <t>Teamson Kids Little Chef Marseille Retro Kids Corner Play Kitchen Toddler Pretend Play Set - White</t>
        </is>
      </c>
      <c r="E4269" s="2">
        <f>HYPERLINK("https://www.amazon.com/Teamson-Kids-Little-Marseille-Kitchen/dp/B07YMSSZ6W/ref=sr_1_7?keywords=Little+Chef+Westchester+Retro+Play+Kitchen+-+Mint&amp;qid=1695565927&amp;sr=8-7", "https://www.amazon.com/Teamson-Kids-Little-Marseille-Kitchen/dp/B07YMSSZ6W/ref=sr_1_7?keywords=Little+Chef+Westchester+Retro+Play+Kitchen+-+Mint&amp;qid=1695565927&amp;sr=8-7")</f>
        <v/>
      </c>
      <c r="F4269" t="inlineStr">
        <is>
          <t>B07YMSSZ6W</t>
        </is>
      </c>
      <c r="G4269">
        <f>_xlfn.IMAGE("https://faoschwarz.com/cdn/shop/products/teamson-kids-preschool-little-chef-westchester-retro-play-kitchen-mint-28541888036951_1080x.jpg?v=1656052503")</f>
        <v/>
      </c>
      <c r="H4269">
        <f>_xlfn.IMAGE("https://m.media-amazon.com/images/I/71y1PhBUa+L._AC_UL320_.jpg")</f>
        <v/>
      </c>
      <c r="K4269" t="inlineStr">
        <is>
          <t>315.0</t>
        </is>
      </c>
      <c r="L4269" t="n">
        <v>235.49</v>
      </c>
      <c r="M4269" s="1" t="inlineStr">
        <is>
          <t>-25.24%</t>
        </is>
      </c>
      <c r="N4269" t="n">
        <v>3.9</v>
      </c>
      <c r="O4269" t="n">
        <v>87</v>
      </c>
      <c r="Q4269" t="inlineStr">
        <is>
          <t>InStock</t>
        </is>
      </c>
      <c r="R4269" t="inlineStr">
        <is>
          <t>undefined</t>
        </is>
      </c>
      <c r="S4269" t="inlineStr">
        <is>
          <t>6638897168471</t>
        </is>
      </c>
    </row>
    <row r="4270" ht="75" customHeight="1">
      <c r="A4270" s="2">
        <f>HYPERLINK("https://faoschwarz.com/products/little-chef-westchester-retro-play-kitchen-mint", "https://faoschwarz.com/products/little-chef-westchester-retro-play-kitchen-mint")</f>
        <v/>
      </c>
      <c r="B4270" s="2">
        <f>HYPERLINK("https://faoschwarz.com/products/little-chef-westchester-retro-play-kitchen-mint", "https://faoschwarz.com/products/little-chef-westchester-retro-play-kitchen-mint")</f>
        <v/>
      </c>
      <c r="C4270" t="inlineStr">
        <is>
          <t>Little Chef Westchester Retro Play Kitchen - Mint</t>
        </is>
      </c>
      <c r="D4270" t="inlineStr">
        <is>
          <t>Teamson Kids - Little Chef Mayfair Retro Play Kitchen - Pink</t>
        </is>
      </c>
      <c r="E4270" s="2">
        <f>HYPERLINK("https://www.amazon.com/Teamson-Kids-Kitchen-Accessories-ZMA-ACCJBA/dp/B0B9GSTN8H/ref=sr_1_4?keywords=Little+Chef+Westchester+Retro+Play+Kitchen+-+Mint&amp;qid=1695565927&amp;sr=8-4", "https://www.amazon.com/Teamson-Kids-Kitchen-Accessories-ZMA-ACCJBA/dp/B0B9GSTN8H/ref=sr_1_4?keywords=Little+Chef+Westchester+Retro+Play+Kitchen+-+Mint&amp;qid=1695565927&amp;sr=8-4")</f>
        <v/>
      </c>
      <c r="F4270" t="inlineStr">
        <is>
          <t>B0B9GSTN8H</t>
        </is>
      </c>
      <c r="G4270">
        <f>_xlfn.IMAGE("https://faoschwarz.com/cdn/shop/products/teamson-kids-preschool-little-chef-westchester-retro-play-kitchen-mint-28541888036951_1080x.jpg?v=1656052503")</f>
        <v/>
      </c>
      <c r="H4270">
        <f>_xlfn.IMAGE("https://m.media-amazon.com/images/I/71o19tkk3PL._AC_UL320_.jpg")</f>
        <v/>
      </c>
      <c r="K4270" t="inlineStr">
        <is>
          <t>315.0</t>
        </is>
      </c>
      <c r="L4270" t="n">
        <v>224.39</v>
      </c>
      <c r="M4270" s="1" t="inlineStr">
        <is>
          <t>-28.77%</t>
        </is>
      </c>
      <c r="N4270" t="n">
        <v>4.7</v>
      </c>
      <c r="O4270" t="n">
        <v>23</v>
      </c>
      <c r="Q4270" t="inlineStr">
        <is>
          <t>InStock</t>
        </is>
      </c>
      <c r="R4270" t="inlineStr">
        <is>
          <t>undefined</t>
        </is>
      </c>
      <c r="S4270" t="inlineStr">
        <is>
          <t>6638897168471</t>
        </is>
      </c>
    </row>
    <row r="4271" ht="75" customHeight="1">
      <c r="A4271" s="2">
        <f>HYPERLINK("https://faoschwarz.com/products/little-garden-designer", "https://faoschwarz.com/products/little-garden-designer")</f>
        <v/>
      </c>
      <c r="B4271" s="2">
        <f>HYPERLINK("https://faoschwarz.com/products/little-garden-designer", "https://faoschwarz.com/products/little-garden-designer")</f>
        <v/>
      </c>
      <c r="C4271" t="inlineStr">
        <is>
          <t>Little Garden Designer Wooden Toy</t>
        </is>
      </c>
      <c r="D4271" t="inlineStr">
        <is>
          <t>My Little Garden | Growing Vegetables Wooden Playset Activity for Children | Includes Carrots, Beets, Potatoes, Mushrooms, Trowel, Seeds, Fertilizer, Caterpillar (13 pcs.) | Early Learning Toy</t>
        </is>
      </c>
      <c r="E4271" s="2">
        <f>HYPERLINK("https://www.amazon.com/Vegetables-Activity-Mushrooms-Fertilizer-Caterpillar/dp/B07JBQY5SL/ref=sr_1_6?keywords=Little+Garden+Designer+Wooden+Toy&amp;qid=1695565914&amp;sr=8-6", "https://www.amazon.com/Vegetables-Activity-Mushrooms-Fertilizer-Caterpillar/dp/B07JBQY5SL/ref=sr_1_6?keywords=Little+Garden+Designer+Wooden+Toy&amp;qid=1695565914&amp;sr=8-6")</f>
        <v/>
      </c>
      <c r="F4271" t="inlineStr">
        <is>
          <t>B07JBQY5SL</t>
        </is>
      </c>
      <c r="G4271">
        <f>_xlfn.IMAGE("https://faoschwarz.com/cdn/shop/files/tender-leaf-toys-preschool-little-garden-designer-30332844310615_1080x.jpg?v=1684799221")</f>
        <v/>
      </c>
      <c r="H4271">
        <f>_xlfn.IMAGE("https://m.media-amazon.com/images/I/819tMO-0z4L._AC_UL320_.jpg")</f>
        <v/>
      </c>
      <c r="K4271" t="inlineStr">
        <is>
          <t>100.0</t>
        </is>
      </c>
      <c r="L4271" t="n">
        <v>34.99</v>
      </c>
      <c r="M4271" s="1" t="inlineStr">
        <is>
          <t>-65.01%</t>
        </is>
      </c>
      <c r="N4271" t="n">
        <v>4.5</v>
      </c>
      <c r="O4271" t="n">
        <v>175</v>
      </c>
      <c r="Q4271" t="inlineStr">
        <is>
          <t>InStock</t>
        </is>
      </c>
      <c r="R4271" t="inlineStr">
        <is>
          <t>undefined</t>
        </is>
      </c>
      <c r="S4271" t="inlineStr">
        <is>
          <t>6880572571735</t>
        </is>
      </c>
    </row>
    <row r="4272" ht="75" customHeight="1">
      <c r="A4272" s="2">
        <f>HYPERLINK("https://faoschwarz.com/products/locomotive-mini-jigsaw-puzzle", "https://faoschwarz.com/products/locomotive-mini-jigsaw-puzzle")</f>
        <v/>
      </c>
      <c r="B4272" s="2">
        <f>HYPERLINK("https://faoschwarz.com/products/locomotive-mini-jigsaw-puzzle", "https://faoschwarz.com/products/locomotive-mini-jigsaw-puzzle")</f>
        <v/>
      </c>
      <c r="C4272" t="inlineStr">
        <is>
          <t>Locomotive Mini Jigsaw Puzzle</t>
        </is>
      </c>
      <c r="D4272" t="inlineStr">
        <is>
          <t>Small Jigsaw Puzzles for Adults 150 Pieces Mini Jigsaw Puzzles Challenging Christmas Night Fantasy Tree Peaceful Town Tiny Jigsaw Puzzles 6 x 4 Inches, 3 Pcs,Mini Easel Included</t>
        </is>
      </c>
      <c r="E4272" s="2">
        <f>HYPERLINK("https://www.amazon.com/Puzzles-Challenging-Christmas-Peaceful-Included/dp/B08MVXJCCM/ref=sr_1_6?keywords=Locomotive+Mini+Jigsaw+Puzzle&amp;qid=1695565996&amp;sr=8-6", "https://www.amazon.com/Puzzles-Challenging-Christmas-Peaceful-Included/dp/B08MVXJCCM/ref=sr_1_6?keywords=Locomotive+Mini+Jigsaw+Puzzle&amp;qid=1695565996&amp;sr=8-6")</f>
        <v/>
      </c>
      <c r="F4272" t="inlineStr">
        <is>
          <t>B08MVXJCCM</t>
        </is>
      </c>
      <c r="G4272">
        <f>_xlfn.IMAGE("https://faoschwarz.com/cdn/shop/products/djeco-puzzles-locomotive-mini-jigsaw-puzzle-28292135354455_1080x.jpg?v=1656266736")</f>
        <v/>
      </c>
      <c r="H4272">
        <f>_xlfn.IMAGE("https://m.media-amazon.com/images/I/71w8J1fjzoL._AC_UL320_.jpg")</f>
        <v/>
      </c>
      <c r="K4272" t="inlineStr">
        <is>
          <t>13.0</t>
        </is>
      </c>
      <c r="L4272" t="n">
        <v>14.99</v>
      </c>
      <c r="M4272" s="1" t="inlineStr">
        <is>
          <t>15.31%</t>
        </is>
      </c>
      <c r="N4272" t="n">
        <v>4.4</v>
      </c>
      <c r="O4272" t="n">
        <v>103</v>
      </c>
      <c r="Q4272" t="inlineStr">
        <is>
          <t>InStock</t>
        </is>
      </c>
      <c r="R4272" t="inlineStr">
        <is>
          <t>undefined</t>
        </is>
      </c>
      <c r="S4272" t="inlineStr">
        <is>
          <t>4687943401559</t>
        </is>
      </c>
    </row>
    <row r="4273" ht="75" customHeight="1">
      <c r="A4273" s="2">
        <f>HYPERLINK("https://faoschwarz.com/products/lucite-chess-checkers-limited-edition-whiskey-noir", "https://faoschwarz.com/products/lucite-chess-checkers-limited-edition-whiskey-noir")</f>
        <v/>
      </c>
      <c r="B4273" s="2">
        <f>HYPERLINK("https://faoschwarz.com/products/lucite-chess-checkers-limited-edition-whiskey-noir", "https://faoschwarz.com/products/lucite-chess-checkers-limited-edition-whiskey-noir")</f>
        <v/>
      </c>
      <c r="C4273" t="inlineStr">
        <is>
          <t>Lucite Chess &amp; Checkers Limited Edition Whiskey Noir</t>
        </is>
      </c>
      <c r="D4273" t="inlineStr">
        <is>
          <t>Sunnylife Lucite Chess &amp; Checkers Whiskey Noir</t>
        </is>
      </c>
      <c r="E4273" s="2">
        <f>HYPERLINK("https://www.amazon.com/Lucite-Chess-Checkers-Limited-Whiskey/dp/B09J1B4RDS/ref=sr_1_2?keywords=Lucite+Chess&amp;qid=1695565993&amp;sr=8-2", "https://www.amazon.com/Lucite-Chess-Checkers-Limited-Whiskey/dp/B09J1B4RDS/ref=sr_1_2?keywords=Lucite+Chess&amp;qid=1695565993&amp;sr=8-2")</f>
        <v/>
      </c>
      <c r="F4273" t="inlineStr">
        <is>
          <t>B09J1B4RDS</t>
        </is>
      </c>
      <c r="G4273">
        <f>_xlfn.IMAGE("https://faoschwarz.com/cdn/shop/products/sunnylife-outdoor-lucite-chess-checkers-limited-edition-whiskey-noir-29377406926935_1080x.jpg?v=1660531487")</f>
        <v/>
      </c>
      <c r="H4273">
        <f>_xlfn.IMAGE("https://m.media-amazon.com/images/I/813c7XxbIyL._AC_UL320_.jpg")</f>
        <v/>
      </c>
      <c r="K4273" t="inlineStr">
        <is>
          <t>240.0</t>
        </is>
      </c>
      <c r="L4273" t="n">
        <v>158.95</v>
      </c>
      <c r="M4273" s="1" t="inlineStr">
        <is>
          <t>-33.77%</t>
        </is>
      </c>
      <c r="N4273" t="n">
        <v>4.6</v>
      </c>
      <c r="O4273" t="n">
        <v>3</v>
      </c>
      <c r="Q4273" t="inlineStr">
        <is>
          <t>InStock</t>
        </is>
      </c>
      <c r="R4273" t="inlineStr">
        <is>
          <t>undefined</t>
        </is>
      </c>
      <c r="S4273" t="inlineStr">
        <is>
          <t>6793732423767</t>
        </is>
      </c>
    </row>
    <row r="4274" ht="75" customHeight="1">
      <c r="A4274" s="2">
        <f>HYPERLINK("https://faoschwarz.com/products/lucite-chess-checkers-limited-edition-whiskey-noir", "https://faoschwarz.com/products/lucite-chess-checkers-limited-edition-whiskey-noir")</f>
        <v/>
      </c>
      <c r="B4274" s="2">
        <f>HYPERLINK("https://faoschwarz.com/products/lucite-chess-checkers-limited-edition-whiskey-noir", "https://faoschwarz.com/products/lucite-chess-checkers-limited-edition-whiskey-noir")</f>
        <v/>
      </c>
      <c r="C4274" t="inlineStr">
        <is>
          <t>Lucite Chess &amp; Checkers Limited Edition Whiskey Noir</t>
        </is>
      </c>
      <c r="D4274" t="inlineStr">
        <is>
          <t>Sunnylife Lucite Chess &amp; Checkers Whiskey Noir</t>
        </is>
      </c>
      <c r="E4274" s="2">
        <f>HYPERLINK("https://www.amazon.com/Lucite-Chess-Checkers-Limited-Whiskey/dp/B09J1B4RDS/ref=sr_1_2?keywords=Lucite+Chess&amp;qid=1695565993&amp;sr=8-2", "https://www.amazon.com/Lucite-Chess-Checkers-Limited-Whiskey/dp/B09J1B4RDS/ref=sr_1_2?keywords=Lucite+Chess&amp;qid=1695565993&amp;sr=8-2")</f>
        <v/>
      </c>
      <c r="F4274" t="inlineStr">
        <is>
          <t>B09J1B4RDS</t>
        </is>
      </c>
      <c r="G4274">
        <f>_xlfn.IMAGE("https://faoschwarz.com/cdn/shop/products/sunnylife-outdoor-lucite-chess-checkers-limited-edition-whiskey-noir-29377406926935_1080x.jpg?v=1660531487")</f>
        <v/>
      </c>
      <c r="H4274">
        <f>_xlfn.IMAGE("https://m.media-amazon.com/images/I/813c7XxbIyL._AC_UL320_.jpg")</f>
        <v/>
      </c>
      <c r="K4274" t="inlineStr">
        <is>
          <t>240.0</t>
        </is>
      </c>
      <c r="L4274" t="n">
        <v>158.95</v>
      </c>
      <c r="M4274" s="1" t="inlineStr">
        <is>
          <t>-33.77%</t>
        </is>
      </c>
      <c r="N4274" t="n">
        <v>4.6</v>
      </c>
      <c r="O4274" t="n">
        <v>3</v>
      </c>
      <c r="Q4274" t="inlineStr">
        <is>
          <t>InStock</t>
        </is>
      </c>
      <c r="R4274" t="inlineStr">
        <is>
          <t>undefined</t>
        </is>
      </c>
      <c r="S4274" t="inlineStr">
        <is>
          <t>6793732423767</t>
        </is>
      </c>
    </row>
    <row r="4275" ht="75" customHeight="1">
      <c r="A4275" s="2">
        <f>HYPERLINK("https://faoschwarz.com/products/magnetic-jungle-play-scene", "https://faoschwarz.com/products/magnetic-jungle-play-scene")</f>
        <v/>
      </c>
      <c r="B4275" s="2">
        <f>HYPERLINK("https://faoschwarz.com/products/magnetic-jungle-play-scene", "https://faoschwarz.com/products/magnetic-jungle-play-scene")</f>
        <v/>
      </c>
      <c r="C4275" t="inlineStr">
        <is>
          <t>Magnetic Jungle Play Scene</t>
        </is>
      </c>
      <c r="D4275" t="inlineStr">
        <is>
          <t>Floss &amp; Rock Magnetic Scenes Playset - Jungle</t>
        </is>
      </c>
      <c r="E4275" s="2">
        <f>HYPERLINK("https://www.amazon.com/Floss-Rock-Magnetic-Scenes-Playset/dp/B07THZXQ87/ref=sr_1_1?keywords=Magnetic+Jungle+Play+Scene&amp;qid=1695565946&amp;sr=8-1", "https://www.amazon.com/Floss-Rock-Magnetic-Scenes-Playset/dp/B07THZXQ87/ref=sr_1_1?keywords=Magnetic+Jungle+Play+Scene&amp;qid=1695565946&amp;sr=8-1")</f>
        <v/>
      </c>
      <c r="F4275" t="inlineStr">
        <is>
          <t>B07THZXQ87</t>
        </is>
      </c>
      <c r="G4275">
        <f>_xlfn.IMAGE("https://faoschwarz.com/cdn/shop/products/floss-rock-preschool-magnetic-jungle-play-scene-29571672801367_1080x.jpg?v=1665785177")</f>
        <v/>
      </c>
      <c r="H4275">
        <f>_xlfn.IMAGE("https://m.media-amazon.com/images/I/61AcSyyGvrL._AC_UL320_.jpg")</f>
        <v/>
      </c>
      <c r="K4275" t="inlineStr">
        <is>
          <t>25.0</t>
        </is>
      </c>
      <c r="L4275" t="n">
        <v>25</v>
      </c>
      <c r="M4275" s="1" t="inlineStr">
        <is>
          <t>0.00%</t>
        </is>
      </c>
      <c r="N4275" t="n">
        <v>4.5</v>
      </c>
      <c r="O4275" t="n">
        <v>39</v>
      </c>
      <c r="Q4275" t="inlineStr">
        <is>
          <t>InStock</t>
        </is>
      </c>
      <c r="R4275" t="inlineStr">
        <is>
          <t>undefined</t>
        </is>
      </c>
      <c r="S4275" t="inlineStr">
        <is>
          <t>6815330697303</t>
        </is>
      </c>
    </row>
    <row r="4276" ht="75" customHeight="1">
      <c r="A4276" s="2">
        <f>HYPERLINK("https://faoschwarz.com/products/magnetic-jungle-play-scene", "https://faoschwarz.com/products/magnetic-jungle-play-scene")</f>
        <v/>
      </c>
      <c r="B4276" s="2">
        <f>HYPERLINK("https://faoschwarz.com/products/magnetic-jungle-play-scene", "https://faoschwarz.com/products/magnetic-jungle-play-scene")</f>
        <v/>
      </c>
      <c r="C4276" t="inlineStr">
        <is>
          <t>Magnetic Jungle Play Scene</t>
        </is>
      </c>
      <c r="D4276" t="inlineStr">
        <is>
          <t>Floss &amp; Rock 40P3587 Rainbow Fairy Magnetic Play Scenes Toy</t>
        </is>
      </c>
      <c r="E4276" s="2">
        <f>HYPERLINK("https://www.amazon.com/Floss-Rock-40P3587-Rainbow-Magnetic/dp/B084HL55HQ/ref=sr_1_3?keywords=Magnetic+Jungle+Play+Scene&amp;qid=1695565946&amp;sr=8-3", "https://www.amazon.com/Floss-Rock-40P3587-Rainbow-Magnetic/dp/B084HL55HQ/ref=sr_1_3?keywords=Magnetic+Jungle+Play+Scene&amp;qid=1695565946&amp;sr=8-3")</f>
        <v/>
      </c>
      <c r="F4276" t="inlineStr">
        <is>
          <t>B084HL55HQ</t>
        </is>
      </c>
      <c r="G4276">
        <f>_xlfn.IMAGE("https://faoschwarz.com/cdn/shop/products/floss-rock-preschool-magnetic-jungle-play-scene-29571672801367_1080x.jpg?v=1665785177")</f>
        <v/>
      </c>
      <c r="H4276">
        <f>_xlfn.IMAGE("https://m.media-amazon.com/images/I/61GpfflZU9L._AC_UL320_.jpg")</f>
        <v/>
      </c>
      <c r="K4276" t="inlineStr">
        <is>
          <t>25.0</t>
        </is>
      </c>
      <c r="L4276" t="n">
        <v>25</v>
      </c>
      <c r="M4276" s="1" t="inlineStr">
        <is>
          <t>0.00%</t>
        </is>
      </c>
      <c r="N4276" t="n">
        <v>4.7</v>
      </c>
      <c r="O4276" t="n">
        <v>41</v>
      </c>
      <c r="Q4276" t="inlineStr">
        <is>
          <t>InStock</t>
        </is>
      </c>
      <c r="R4276" t="inlineStr">
        <is>
          <t>undefined</t>
        </is>
      </c>
      <c r="S4276" t="inlineStr">
        <is>
          <t>6815330697303</t>
        </is>
      </c>
    </row>
    <row r="4277" ht="75" customHeight="1">
      <c r="A4277" s="2">
        <f>HYPERLINK("https://faoschwarz.com/products/magnetic-jungle-play-scene", "https://faoschwarz.com/products/magnetic-jungle-play-scene")</f>
        <v/>
      </c>
      <c r="B4277" s="2">
        <f>HYPERLINK("https://faoschwarz.com/products/magnetic-jungle-play-scene", "https://faoschwarz.com/products/magnetic-jungle-play-scene")</f>
        <v/>
      </c>
      <c r="C4277" t="inlineStr">
        <is>
          <t>Magnetic Jungle Play Scene</t>
        </is>
      </c>
      <c r="D4277" t="inlineStr">
        <is>
          <t>Petit Collage Animal Friends Magnetic Game Board with Mix &amp; Match, Ideal for Ages 3+, Includes Mag Play Scene Treehouse Party, 74 Count</t>
        </is>
      </c>
      <c r="E4277" s="2">
        <f>HYPERLINK("https://www.amazon.com/Petit-Collage-Magnetic-Animal-Friends/dp/B07DKLWX4X/ref=sr_1_2?keywords=Magnetic+Jungle+Play+Scene&amp;qid=1695565946&amp;sr=8-2", "https://www.amazon.com/Petit-Collage-Magnetic-Animal-Friends/dp/B07DKLWX4X/ref=sr_1_2?keywords=Magnetic+Jungle+Play+Scene&amp;qid=1695565946&amp;sr=8-2")</f>
        <v/>
      </c>
      <c r="F4277" t="inlineStr">
        <is>
          <t>B07DKLWX4X</t>
        </is>
      </c>
      <c r="G4277">
        <f>_xlfn.IMAGE("https://faoschwarz.com/cdn/shop/products/floss-rock-preschool-magnetic-jungle-play-scene-29571672801367_1080x.jpg?v=1665785177")</f>
        <v/>
      </c>
      <c r="H4277">
        <f>_xlfn.IMAGE("https://m.media-amazon.com/images/I/91R-SBa+PWL._AC_UL320_.jpg")</f>
        <v/>
      </c>
      <c r="K4277" t="inlineStr">
        <is>
          <t>25.0</t>
        </is>
      </c>
      <c r="L4277" t="n">
        <v>17.35</v>
      </c>
      <c r="M4277" s="1" t="inlineStr">
        <is>
          <t>-30.60%</t>
        </is>
      </c>
      <c r="N4277" t="n">
        <v>4.5</v>
      </c>
      <c r="O4277" t="n">
        <v>254</v>
      </c>
      <c r="Q4277" t="inlineStr">
        <is>
          <t>InStock</t>
        </is>
      </c>
      <c r="R4277" t="inlineStr">
        <is>
          <t>undefined</t>
        </is>
      </c>
      <c r="S4277" t="inlineStr">
        <is>
          <t>6815330697303</t>
        </is>
      </c>
    </row>
    <row r="4278" ht="75" customHeight="1">
      <c r="A4278" s="2">
        <f>HYPERLINK("https://faoschwarz.com/products/magnetic-jungle-play-scene", "https://faoschwarz.com/products/magnetic-jungle-play-scene")</f>
        <v/>
      </c>
      <c r="B4278" s="2">
        <f>HYPERLINK("https://faoschwarz.com/products/magnetic-jungle-play-scene", "https://faoschwarz.com/products/magnetic-jungle-play-scene")</f>
        <v/>
      </c>
      <c r="C4278" t="inlineStr">
        <is>
          <t>Magnetic Jungle Play Scene</t>
        </is>
      </c>
      <c r="D4278" t="inlineStr">
        <is>
          <t>Petit Collage On-The-Go Magnetic Play Scene, Dinosaur Kingdom – Magnetic Board with Mix and Match Magnetic Animal Friends, Ideal Ages 3+ – Includes 2 Scenes and 21 Pieces</t>
        </is>
      </c>
      <c r="E4278" s="2">
        <f>HYPERLINK("https://www.amazon.com/Petit-Collage-Magnetic-Dinosaur-Kingdom/dp/B08D6BNZRM/ref=sr_1_5?keywords=Magnetic+Jungle+Play+Scene&amp;qid=1695565946&amp;sr=8-5", "https://www.amazon.com/Petit-Collage-Magnetic-Dinosaur-Kingdom/dp/B08D6BNZRM/ref=sr_1_5?keywords=Magnetic+Jungle+Play+Scene&amp;qid=1695565946&amp;sr=8-5")</f>
        <v/>
      </c>
      <c r="F4278" t="inlineStr">
        <is>
          <t>B08D6BNZRM</t>
        </is>
      </c>
      <c r="G4278">
        <f>_xlfn.IMAGE("https://faoschwarz.com/cdn/shop/products/floss-rock-preschool-magnetic-jungle-play-scene-29571672801367_1080x.jpg?v=1665785177")</f>
        <v/>
      </c>
      <c r="H4278">
        <f>_xlfn.IMAGE("https://m.media-amazon.com/images/I/61FS5E1jOML._AC_UL320_.jpg")</f>
        <v/>
      </c>
      <c r="K4278" t="inlineStr">
        <is>
          <t>25.0</t>
        </is>
      </c>
      <c r="L4278" t="n">
        <v>15</v>
      </c>
      <c r="M4278" s="1" t="inlineStr">
        <is>
          <t>-40.00%</t>
        </is>
      </c>
      <c r="N4278" t="n">
        <v>4.8</v>
      </c>
      <c r="O4278" t="n">
        <v>62</v>
      </c>
      <c r="Q4278" t="inlineStr">
        <is>
          <t>InStock</t>
        </is>
      </c>
      <c r="R4278" t="inlineStr">
        <is>
          <t>undefined</t>
        </is>
      </c>
      <c r="S4278" t="inlineStr">
        <is>
          <t>6815330697303</t>
        </is>
      </c>
    </row>
    <row r="4279" ht="75" customHeight="1">
      <c r="A4279" s="2">
        <f>HYPERLINK("https://faoschwarz.com/products/magnetic-jungle-play-scene", "https://faoschwarz.com/products/magnetic-jungle-play-scene")</f>
        <v/>
      </c>
      <c r="B4279" s="2">
        <f>HYPERLINK("https://faoschwarz.com/products/magnetic-jungle-play-scene", "https://faoschwarz.com/products/magnetic-jungle-play-scene")</f>
        <v/>
      </c>
      <c r="C4279" t="inlineStr">
        <is>
          <t>Magnetic Jungle Play Scene</t>
        </is>
      </c>
      <c r="D4279" t="inlineStr">
        <is>
          <t>PlayMonster Create-A-Scene — Farm — Magnetic Playset — Portable Mess-Free Magnet Activities — Creative Fun — For Ages 3+</t>
        </is>
      </c>
      <c r="E4279" s="2">
        <f>HYPERLINK("https://www.amazon.com/PlayMonster-7101-Create-A-Scene-Magnetic-Playset/dp/B00005C12F/ref=sr_1_7?keywords=Magnetic+Jungle+Play+Scene&amp;qid=1695565946&amp;sr=8-7", "https://www.amazon.com/PlayMonster-7101-Create-A-Scene-Magnetic-Playset/dp/B00005C12F/ref=sr_1_7?keywords=Magnetic+Jungle+Play+Scene&amp;qid=1695565946&amp;sr=8-7")</f>
        <v/>
      </c>
      <c r="F4279" t="inlineStr">
        <is>
          <t>B00005C12F</t>
        </is>
      </c>
      <c r="G4279">
        <f>_xlfn.IMAGE("https://faoschwarz.com/cdn/shop/products/floss-rock-preschool-magnetic-jungle-play-scene-29571672801367_1080x.jpg?v=1665785177")</f>
        <v/>
      </c>
      <c r="H4279">
        <f>_xlfn.IMAGE("https://m.media-amazon.com/images/I/61Ve+8EeItL._AC_UL320_.jpg")</f>
        <v/>
      </c>
      <c r="K4279" t="inlineStr">
        <is>
          <t>25.0</t>
        </is>
      </c>
      <c r="L4279" t="n">
        <v>11.99</v>
      </c>
      <c r="M4279" s="1" t="inlineStr">
        <is>
          <t>-52.04%</t>
        </is>
      </c>
      <c r="N4279" t="n">
        <v>4.7</v>
      </c>
      <c r="O4279" t="n">
        <v>297</v>
      </c>
      <c r="Q4279" t="inlineStr">
        <is>
          <t>InStock</t>
        </is>
      </c>
      <c r="R4279" t="inlineStr">
        <is>
          <t>undefined</t>
        </is>
      </c>
      <c r="S4279" t="inlineStr">
        <is>
          <t>6815330697303</t>
        </is>
      </c>
    </row>
    <row r="4280" ht="75" customHeight="1">
      <c r="A4280" s="2">
        <f>HYPERLINK("https://faoschwarz.com/products/magnetic-jungle-play-scene", "https://faoschwarz.com/products/magnetic-jungle-play-scene")</f>
        <v/>
      </c>
      <c r="B4280" s="2">
        <f>HYPERLINK("https://faoschwarz.com/products/magnetic-jungle-play-scene", "https://faoschwarz.com/products/magnetic-jungle-play-scene")</f>
        <v/>
      </c>
      <c r="C4280" t="inlineStr">
        <is>
          <t>Magnetic Jungle Play Scene</t>
        </is>
      </c>
      <c r="D4280" t="inlineStr">
        <is>
          <t>Magnetic Portable Playboard Cute Zoo Ainimal Magnets Create Scene for Todder Kids Perfect Preschool Learning Travel Toy (51 Pcs)</t>
        </is>
      </c>
      <c r="E4280" s="2">
        <f>HYPERLINK("https://www.amazon.com/GrandLmoon-Magnetic-Portable-Playboard-Preschool/dp/B08DHG5ZNX/ref=sr_1_8?keywords=Magnetic+Jungle+Play+Scene&amp;qid=1695565946&amp;sr=8-8", "https://www.amazon.com/GrandLmoon-Magnetic-Portable-Playboard-Preschool/dp/B08DHG5ZNX/ref=sr_1_8?keywords=Magnetic+Jungle+Play+Scene&amp;qid=1695565946&amp;sr=8-8")</f>
        <v/>
      </c>
      <c r="F4280" t="inlineStr">
        <is>
          <t>B08DHG5ZNX</t>
        </is>
      </c>
      <c r="G4280">
        <f>_xlfn.IMAGE("https://faoschwarz.com/cdn/shop/products/floss-rock-preschool-magnetic-jungle-play-scene-29571672801367_1080x.jpg?v=1665785177")</f>
        <v/>
      </c>
      <c r="H4280">
        <f>_xlfn.IMAGE("https://m.media-amazon.com/images/I/51XKgE4JCBL._AC_UL320_.jpg")</f>
        <v/>
      </c>
      <c r="K4280" t="inlineStr">
        <is>
          <t>25.0</t>
        </is>
      </c>
      <c r="L4280" t="n">
        <v>11.99</v>
      </c>
      <c r="M4280" s="1" t="inlineStr">
        <is>
          <t>-52.04%</t>
        </is>
      </c>
      <c r="N4280" t="n">
        <v>4.3</v>
      </c>
      <c r="O4280" t="n">
        <v>204</v>
      </c>
      <c r="Q4280" t="inlineStr">
        <is>
          <t>InStock</t>
        </is>
      </c>
      <c r="R4280" t="inlineStr">
        <is>
          <t>undefined</t>
        </is>
      </c>
      <c r="S4280" t="inlineStr">
        <is>
          <t>6815330697303</t>
        </is>
      </c>
    </row>
    <row r="4281" ht="75" customHeight="1">
      <c r="A4281" s="2">
        <f>HYPERLINK("https://faoschwarz.com/products/magnetic-jungle-play-scene", "https://faoschwarz.com/products/magnetic-jungle-play-scene")</f>
        <v/>
      </c>
      <c r="B4281" s="2">
        <f>HYPERLINK("https://faoschwarz.com/products/magnetic-jungle-play-scene", "https://faoschwarz.com/products/magnetic-jungle-play-scene")</f>
        <v/>
      </c>
      <c r="C4281" t="inlineStr">
        <is>
          <t>Magnetic Jungle Play Scene</t>
        </is>
      </c>
      <c r="D4281" t="inlineStr">
        <is>
          <t>Create-A-Scene Magnetic Playset - Ocean Adventure</t>
        </is>
      </c>
      <c r="E4281" s="2">
        <f>HYPERLINK("https://www.amazon.com/Create-A-Scene-Magnetic-Playset-Ocean-Adventure/dp/B005JTILGC/ref=sr_1_6?keywords=Magnetic+Jungle+Play+Scene&amp;qid=1695565946&amp;sr=8-6", "https://www.amazon.com/Create-A-Scene-Magnetic-Playset-Ocean-Adventure/dp/B005JTILGC/ref=sr_1_6?keywords=Magnetic+Jungle+Play+Scene&amp;qid=1695565946&amp;sr=8-6")</f>
        <v/>
      </c>
      <c r="F4281" t="inlineStr">
        <is>
          <t>B005JTILGC</t>
        </is>
      </c>
      <c r="G4281">
        <f>_xlfn.IMAGE("https://faoschwarz.com/cdn/shop/products/floss-rock-preschool-magnetic-jungle-play-scene-29571672801367_1080x.jpg?v=1665785177")</f>
        <v/>
      </c>
      <c r="H4281">
        <f>_xlfn.IMAGE("https://m.media-amazon.com/images/I/61JGLvxkKJL._AC_UL320_.jpg")</f>
        <v/>
      </c>
      <c r="K4281" t="inlineStr">
        <is>
          <t>25.0</t>
        </is>
      </c>
      <c r="L4281" t="n">
        <v>9.99</v>
      </c>
      <c r="M4281" s="1" t="inlineStr">
        <is>
          <t>-60.04%</t>
        </is>
      </c>
      <c r="N4281" t="n">
        <v>4.6</v>
      </c>
      <c r="O4281" t="n">
        <v>61</v>
      </c>
      <c r="Q4281" t="inlineStr">
        <is>
          <t>InStock</t>
        </is>
      </c>
      <c r="R4281" t="inlineStr">
        <is>
          <t>undefined</t>
        </is>
      </c>
      <c r="S4281" t="inlineStr">
        <is>
          <t>6815330697303</t>
        </is>
      </c>
    </row>
    <row r="4282" ht="75" customHeight="1">
      <c r="A4282" s="2">
        <f>HYPERLINK("https://faoschwarz.com/products/magnetic-jungle-play-scene", "https://faoschwarz.com/products/magnetic-jungle-play-scene")</f>
        <v/>
      </c>
      <c r="B4282" s="2">
        <f>HYPERLINK("https://faoschwarz.com/products/magnetic-jungle-play-scene", "https://faoschwarz.com/products/magnetic-jungle-play-scene")</f>
        <v/>
      </c>
      <c r="C4282" t="inlineStr">
        <is>
          <t>Magnetic Jungle Play Scene</t>
        </is>
      </c>
      <c r="D4282" t="inlineStr">
        <is>
          <t>PlayMonster Create-A-Scene — Train Magnetic Playset — Portable Mess-Free Magnet Activities — Creative Fun— Ages 3+</t>
        </is>
      </c>
      <c r="E4282" s="2">
        <f>HYPERLINK("https://www.amazon.com/PlayMonster-7133-Create-A-Scene-Magnetic-Playset/dp/B001AQS212/ref=sr_1_10?keywords=Magnetic+Jungle+Play+Scene&amp;qid=1695565946&amp;sr=8-10", "https://www.amazon.com/PlayMonster-7133-Create-A-Scene-Magnetic-Playset/dp/B001AQS212/ref=sr_1_10?keywords=Magnetic+Jungle+Play+Scene&amp;qid=1695565946&amp;sr=8-10")</f>
        <v/>
      </c>
      <c r="F4282" t="inlineStr">
        <is>
          <t>B001AQS212</t>
        </is>
      </c>
      <c r="G4282">
        <f>_xlfn.IMAGE("https://faoschwarz.com/cdn/shop/products/floss-rock-preschool-magnetic-jungle-play-scene-29571672801367_1080x.jpg?v=1665785177")</f>
        <v/>
      </c>
      <c r="H4282">
        <f>_xlfn.IMAGE("https://m.media-amazon.com/images/I/713laEVXB4L._AC_UL320_.jpg")</f>
        <v/>
      </c>
      <c r="K4282" t="inlineStr">
        <is>
          <t>25.0</t>
        </is>
      </c>
      <c r="L4282" t="n">
        <v>9.99</v>
      </c>
      <c r="M4282" s="1" t="inlineStr">
        <is>
          <t>-60.04%</t>
        </is>
      </c>
      <c r="N4282" t="n">
        <v>4.5</v>
      </c>
      <c r="O4282" t="n">
        <v>148</v>
      </c>
      <c r="Q4282" t="inlineStr">
        <is>
          <t>InStock</t>
        </is>
      </c>
      <c r="R4282" t="inlineStr">
        <is>
          <t>undefined</t>
        </is>
      </c>
      <c r="S4282" t="inlineStr">
        <is>
          <t>6815330697303</t>
        </is>
      </c>
    </row>
    <row r="4283" ht="75" customHeight="1">
      <c r="A4283" s="2">
        <f>HYPERLINK("https://faoschwarz.com/products/magnetic-jungle-play-scene", "https://faoschwarz.com/products/magnetic-jungle-play-scene")</f>
        <v/>
      </c>
      <c r="B4283" s="2">
        <f>HYPERLINK("https://faoschwarz.com/products/magnetic-jungle-play-scene", "https://faoschwarz.com/products/magnetic-jungle-play-scene")</f>
        <v/>
      </c>
      <c r="C4283" t="inlineStr">
        <is>
          <t>Magnetic Jungle Play Scene</t>
        </is>
      </c>
      <c r="D4283" t="inlineStr">
        <is>
          <t>Lauri Create-A-Scene — Doll House Magnetic Playset — Portable Mess-Free Magnet Activities — Creative Fun — For Ages 3+</t>
        </is>
      </c>
      <c r="E4283" s="2">
        <f>HYPERLINK("https://www.amazon.com/PlayMonster-7107-Create-A-Scene-Magnetic-Playset/dp/B00005C12J/ref=sr_1_9?keywords=Magnetic+Jungle+Play+Scene&amp;qid=1695565946&amp;sr=8-9", "https://www.amazon.com/PlayMonster-7107-Create-A-Scene-Magnetic-Playset/dp/B00005C12J/ref=sr_1_9?keywords=Magnetic+Jungle+Play+Scene&amp;qid=1695565946&amp;sr=8-9")</f>
        <v/>
      </c>
      <c r="F4283" t="inlineStr">
        <is>
          <t>B00005C12J</t>
        </is>
      </c>
      <c r="G4283">
        <f>_xlfn.IMAGE("https://faoschwarz.com/cdn/shop/products/floss-rock-preschool-magnetic-jungle-play-scene-29571672801367_1080x.jpg?v=1665785177")</f>
        <v/>
      </c>
      <c r="H4283">
        <f>_xlfn.IMAGE("https://m.media-amazon.com/images/I/71RtMnD805L._AC_UL320_.jpg")</f>
        <v/>
      </c>
      <c r="K4283" t="inlineStr">
        <is>
          <t>25.0</t>
        </is>
      </c>
      <c r="L4283" t="n">
        <v>7.99</v>
      </c>
      <c r="M4283" s="1" t="inlineStr">
        <is>
          <t>-68.04%</t>
        </is>
      </c>
      <c r="N4283" t="n">
        <v>4.6</v>
      </c>
      <c r="O4283" t="n">
        <v>405</v>
      </c>
      <c r="Q4283" t="inlineStr">
        <is>
          <t>InStock</t>
        </is>
      </c>
      <c r="R4283" t="inlineStr">
        <is>
          <t>undefined</t>
        </is>
      </c>
      <c r="S4283" t="inlineStr">
        <is>
          <t>6815330697303</t>
        </is>
      </c>
    </row>
    <row r="4284" ht="75" customHeight="1">
      <c r="A4284" s="2">
        <f>HYPERLINK("https://faoschwarz.com/products/magnetic-jungle-play-scene", "https://faoschwarz.com/products/magnetic-jungle-play-scene")</f>
        <v/>
      </c>
      <c r="B4284" s="2">
        <f>HYPERLINK("https://faoschwarz.com/products/magnetic-jungle-play-scene", "https://faoschwarz.com/products/magnetic-jungle-play-scene")</f>
        <v/>
      </c>
      <c r="C4284" t="inlineStr">
        <is>
          <t>Magnetic Jungle Play Scene</t>
        </is>
      </c>
      <c r="D4284" t="inlineStr">
        <is>
          <t>Create-A-Scene — Zoo Magnetic Playset — Portable Mess-Free Magnet Activities — For Ages 3+</t>
        </is>
      </c>
      <c r="E4284" s="2">
        <f>HYPERLINK("https://www.amazon.com/PlayMonster-7102-Create-A-Scene-Magnetic-Playset/dp/B000VWEEOA/ref=sr_1_4?keywords=Magnetic+Jungle+Play+Scene&amp;qid=1695565946&amp;sr=8-4", "https://www.amazon.com/PlayMonster-7102-Create-A-Scene-Magnetic-Playset/dp/B000VWEEOA/ref=sr_1_4?keywords=Magnetic+Jungle+Play+Scene&amp;qid=1695565946&amp;sr=8-4")</f>
        <v/>
      </c>
      <c r="F4284" t="inlineStr">
        <is>
          <t>B000VWEEOA</t>
        </is>
      </c>
      <c r="G4284">
        <f>_xlfn.IMAGE("https://faoschwarz.com/cdn/shop/products/floss-rock-preschool-magnetic-jungle-play-scene-29571672801367_1080x.jpg?v=1665785177")</f>
        <v/>
      </c>
      <c r="H4284">
        <f>_xlfn.IMAGE("https://m.media-amazon.com/images/I/71kjIrLhEdL._AC_UL320_.jpg")</f>
        <v/>
      </c>
      <c r="K4284" t="inlineStr">
        <is>
          <t>25.0</t>
        </is>
      </c>
      <c r="L4284" t="n">
        <v>7.99</v>
      </c>
      <c r="M4284" s="1" t="inlineStr">
        <is>
          <t>-68.04%</t>
        </is>
      </c>
      <c r="N4284" t="n">
        <v>4.6</v>
      </c>
      <c r="O4284" t="n">
        <v>330</v>
      </c>
      <c r="Q4284" t="inlineStr">
        <is>
          <t>InStock</t>
        </is>
      </c>
      <c r="R4284" t="inlineStr">
        <is>
          <t>undefined</t>
        </is>
      </c>
      <c r="S4284" t="inlineStr">
        <is>
          <t>6815330697303</t>
        </is>
      </c>
    </row>
    <row r="4285" ht="75" customHeight="1">
      <c r="A4285" s="2">
        <f>HYPERLINK("https://faoschwarz.com/products/magnetic-rainbow-fairy-play-scene", "https://faoschwarz.com/products/magnetic-rainbow-fairy-play-scene")</f>
        <v/>
      </c>
      <c r="B4285" s="2">
        <f>HYPERLINK("https://faoschwarz.com/products/magnetic-rainbow-fairy-play-scene", "https://faoschwarz.com/products/magnetic-rainbow-fairy-play-scene")</f>
        <v/>
      </c>
      <c r="C4285" t="inlineStr">
        <is>
          <t>Magnetic Rainbow Fairy Play Scene</t>
        </is>
      </c>
      <c r="D4285" t="inlineStr">
        <is>
          <t>Floss &amp; Rock Fairy Tale Kids Magnetic Play Scenes with 2 Interchangeable Backdrops and 50 Magnetic Play Pieces</t>
        </is>
      </c>
      <c r="E4285" s="2">
        <f>HYPERLINK("https://www.amazon.com/Floss-Rock-Magnetic-Interchangeable-Backdrops/dp/B0BV234SRC/ref=sr_1_2?keywords=Magnetic+Rainbow+Fairy+Play+Scene&amp;qid=1695565943&amp;sr=8-2", "https://www.amazon.com/Floss-Rock-Magnetic-Interchangeable-Backdrops/dp/B0BV234SRC/ref=sr_1_2?keywords=Magnetic+Rainbow+Fairy+Play+Scene&amp;qid=1695565943&amp;sr=8-2")</f>
        <v/>
      </c>
      <c r="F4285" t="inlineStr">
        <is>
          <t>B0BV234SRC</t>
        </is>
      </c>
      <c r="G4285">
        <f>_xlfn.IMAGE("https://faoschwarz.com/cdn/shop/products/floss-rock-preschool-magnetic-rainbow-fairy-play-scene-29571673063511_1080x.jpg?v=1665783719")</f>
        <v/>
      </c>
      <c r="H4285">
        <f>_xlfn.IMAGE("https://m.media-amazon.com/images/I/61lXFWHsNpL._AC_UL320_.jpg")</f>
        <v/>
      </c>
      <c r="K4285" t="inlineStr">
        <is>
          <t>25.0</t>
        </is>
      </c>
      <c r="L4285" t="n">
        <v>25</v>
      </c>
      <c r="M4285" s="1" t="inlineStr">
        <is>
          <t>0.00%</t>
        </is>
      </c>
      <c r="N4285" t="n">
        <v>5</v>
      </c>
      <c r="O4285" t="n">
        <v>1</v>
      </c>
      <c r="Q4285" t="inlineStr">
        <is>
          <t>InStock</t>
        </is>
      </c>
      <c r="R4285" t="inlineStr">
        <is>
          <t>undefined</t>
        </is>
      </c>
      <c r="S4285" t="inlineStr">
        <is>
          <t>6815330730071</t>
        </is>
      </c>
    </row>
    <row r="4286" ht="75" customHeight="1">
      <c r="A4286" s="2">
        <f>HYPERLINK("https://faoschwarz.com/products/marvins-magic-rabbit-top-hat", "https://faoschwarz.com/products/marvins-magic-rabbit-top-hat")</f>
        <v/>
      </c>
      <c r="B4286" s="2">
        <f>HYPERLINK("https://faoschwarz.com/products/marvins-magic-rabbit-top-hat", "https://faoschwarz.com/products/marvins-magic-rabbit-top-hat")</f>
        <v/>
      </c>
      <c r="C4286" t="inlineStr">
        <is>
          <t>Magic Rabbit and Hat</t>
        </is>
      </c>
      <c r="D4286" t="inlineStr">
        <is>
          <t>Melissa &amp; Doug Magician Role Play Costume Set - Includes Hat, Cape, Wand, Magic Tricks Frustration-Free Packaging</t>
        </is>
      </c>
      <c r="E4286" s="2">
        <f>HYPERLINK("https://www.amazon.com/Melissa-Doug-96025-Magician-Costume/dp/B07GQHCJNG/ref=sr_1_9?keywords=Magic+Rabbit+and+Hat&amp;qid=1695566008&amp;sr=8-9", "https://www.amazon.com/Melissa-Doug-96025-Magician-Costume/dp/B07GQHCJNG/ref=sr_1_9?keywords=Magic+Rabbit+and+Hat&amp;qid=1695566008&amp;sr=8-9")</f>
        <v/>
      </c>
      <c r="F4286" t="inlineStr">
        <is>
          <t>B07GQHCJNG</t>
        </is>
      </c>
      <c r="G4286">
        <f>_xlfn.IMAGE("https://faoschwarz.com/cdn/shop/files/marvin-s-magic-magic-magic-rabbit-and-hat-30238697979991_1080x.jpg?v=1684539567")</f>
        <v/>
      </c>
      <c r="H4286">
        <f>_xlfn.IMAGE("https://m.media-amazon.com/images/I/71Y6Vkk6-YL._AC_UL320_.jpg")</f>
        <v/>
      </c>
      <c r="K4286" t="inlineStr">
        <is>
          <t>35.0</t>
        </is>
      </c>
      <c r="L4286" t="n">
        <v>32.49</v>
      </c>
      <c r="M4286" s="1" t="inlineStr">
        <is>
          <t>-7.17%</t>
        </is>
      </c>
      <c r="N4286" t="n">
        <v>4.7</v>
      </c>
      <c r="O4286" t="n">
        <v>661</v>
      </c>
      <c r="Q4286" t="inlineStr">
        <is>
          <t>InStock</t>
        </is>
      </c>
      <c r="R4286" t="inlineStr">
        <is>
          <t>undefined</t>
        </is>
      </c>
      <c r="S4286" t="inlineStr">
        <is>
          <t>1399622205527</t>
        </is>
      </c>
    </row>
    <row r="4287" ht="75" customHeight="1">
      <c r="A4287" s="2">
        <f>HYPERLINK("https://faoschwarz.com/products/marvins-magic-rabbit-top-hat", "https://faoschwarz.com/products/marvins-magic-rabbit-top-hat")</f>
        <v/>
      </c>
      <c r="B4287" s="2">
        <f>HYPERLINK("https://faoschwarz.com/products/marvins-magic-rabbit-top-hat", "https://faoschwarz.com/products/marvins-magic-rabbit-top-hat")</f>
        <v/>
      </c>
      <c r="C4287" t="inlineStr">
        <is>
          <t>Magic Rabbit and Hat</t>
        </is>
      </c>
      <c r="D4287" t="inlineStr">
        <is>
          <t>Click N' Play Magician Costume for Kids with Cape &amp; Accessories, Halloween Dress Up &amp; Pretend Play Set Complete with a Magic Set: Top Hat, Magic Wand &amp; Rabbit Magic Tricks, Magic Kit for Kids Age 8-10</t>
        </is>
      </c>
      <c r="E4287" s="2">
        <f>HYPERLINK("https://www.amazon.com/Click-Play-Magician-Pretend-Accessories/dp/B07JNR4Z85/ref=sr_1_7?keywords=Magic+Rabbit+and+Hat&amp;qid=1695566008&amp;sr=8-7", "https://www.amazon.com/Click-Play-Magician-Pretend-Accessories/dp/B07JNR4Z85/ref=sr_1_7?keywords=Magic+Rabbit+and+Hat&amp;qid=1695566008&amp;sr=8-7")</f>
        <v/>
      </c>
      <c r="F4287" t="inlineStr">
        <is>
          <t>B07JNR4Z85</t>
        </is>
      </c>
      <c r="G4287">
        <f>_xlfn.IMAGE("https://faoschwarz.com/cdn/shop/files/marvin-s-magic-magic-magic-rabbit-and-hat-30238697979991_1080x.jpg?v=1684539567")</f>
        <v/>
      </c>
      <c r="H4287">
        <f>_xlfn.IMAGE("https://m.media-amazon.com/images/I/61cS0Ngq+HL._AC_UL320_.jpg")</f>
        <v/>
      </c>
      <c r="K4287" t="inlineStr">
        <is>
          <t>35.0</t>
        </is>
      </c>
      <c r="L4287" t="n">
        <v>31.99</v>
      </c>
      <c r="M4287" s="1" t="inlineStr">
        <is>
          <t>-8.60%</t>
        </is>
      </c>
      <c r="N4287" t="n">
        <v>4.6</v>
      </c>
      <c r="O4287" t="n">
        <v>1463</v>
      </c>
      <c r="Q4287" t="inlineStr">
        <is>
          <t>InStock</t>
        </is>
      </c>
      <c r="R4287" t="inlineStr">
        <is>
          <t>undefined</t>
        </is>
      </c>
      <c r="S4287" t="inlineStr">
        <is>
          <t>1399622205527</t>
        </is>
      </c>
    </row>
    <row r="4288" ht="75" customHeight="1">
      <c r="A4288" s="2">
        <f>HYPERLINK("https://faoschwarz.com/products/marvins-magic-rabbit-top-hat", "https://faoschwarz.com/products/marvins-magic-rabbit-top-hat")</f>
        <v/>
      </c>
      <c r="B4288" s="2">
        <f>HYPERLINK("https://faoschwarz.com/products/marvins-magic-rabbit-top-hat", "https://faoschwarz.com/products/marvins-magic-rabbit-top-hat")</f>
        <v/>
      </c>
      <c r="C4288" t="inlineStr">
        <is>
          <t>Magic Rabbit and Hat</t>
        </is>
      </c>
      <c r="D4288" t="inlineStr">
        <is>
          <t>Young Magician Role Play Kits Magic Cosplay Set for Kids Contains Magic Hat Magic Cape Magic Wand Magic Rabbit Puppet Gloves and Color Ribbons (Red)</t>
        </is>
      </c>
      <c r="E4288" s="2" t="n"/>
      <c r="F4288" t="inlineStr">
        <is>
          <t>B07SJHHHH4</t>
        </is>
      </c>
      <c r="G4288">
        <f>_xlfn.IMAGE("https://faoschwarz.com/cdn/shop/files/marvin-s-magic-magic-magic-rabbit-and-hat-30238697979991_1080x.jpg?v=1684539567")</f>
        <v/>
      </c>
      <c r="H4288">
        <f>_xlfn.IMAGE("https://m.media-amazon.com/images/I/61Fo1KBrTbL._AC_UL320_.jpg")</f>
        <v/>
      </c>
      <c r="K4288" t="inlineStr">
        <is>
          <t>35.0</t>
        </is>
      </c>
      <c r="L4288" t="n">
        <v>26.9</v>
      </c>
      <c r="M4288" s="1" t="inlineStr">
        <is>
          <t>-23.14%</t>
        </is>
      </c>
      <c r="N4288" t="n">
        <v>4.5</v>
      </c>
      <c r="O4288" t="n">
        <v>77</v>
      </c>
      <c r="Q4288" t="inlineStr">
        <is>
          <t>InStock</t>
        </is>
      </c>
      <c r="R4288" t="inlineStr">
        <is>
          <t>undefined</t>
        </is>
      </c>
      <c r="S4288" t="inlineStr">
        <is>
          <t>1399622205527</t>
        </is>
      </c>
    </row>
    <row r="4289" ht="75" customHeight="1">
      <c r="A4289" s="2">
        <f>HYPERLINK("https://faoschwarz.com/products/marvins-magic-rabbit-top-hat", "https://faoschwarz.com/products/marvins-magic-rabbit-top-hat")</f>
        <v/>
      </c>
      <c r="B4289" s="2">
        <f>HYPERLINK("https://faoschwarz.com/products/marvins-magic-rabbit-top-hat", "https://faoschwarz.com/products/marvins-magic-rabbit-top-hat")</f>
        <v/>
      </c>
      <c r="C4289" t="inlineStr">
        <is>
          <t>Magic Rabbit and Hat</t>
        </is>
      </c>
      <c r="D4289" t="inlineStr">
        <is>
          <t>BrilliantMagic Kids Magician Role Play Set Contains Magic Top Hat Magic Wand Rabbit Puppet Color Ribbons Gloves(Model:BMM006) (S)</t>
        </is>
      </c>
      <c r="E4289" s="2">
        <f>HYPERLINK("https://www.amazon.com/BrilliantMagic-Magician-Contains-Rabbit-Ribbons/dp/B07S98PKMV/ref=sr_1_5?keywords=Magic+Rabbit+and+Hat&amp;qid=1695566008&amp;sr=8-5", "https://www.amazon.com/BrilliantMagic-Magician-Contains-Rabbit-Ribbons/dp/B07S98PKMV/ref=sr_1_5?keywords=Magic+Rabbit+and+Hat&amp;qid=1695566008&amp;sr=8-5")</f>
        <v/>
      </c>
      <c r="F4289" t="inlineStr">
        <is>
          <t>B07S98PKMV</t>
        </is>
      </c>
      <c r="G4289">
        <f>_xlfn.IMAGE("https://faoschwarz.com/cdn/shop/files/marvin-s-magic-magic-magic-rabbit-and-hat-30238697979991_1080x.jpg?v=1684539567")</f>
        <v/>
      </c>
      <c r="H4289">
        <f>_xlfn.IMAGE("https://m.media-amazon.com/images/I/613t2dPL4VL._AC_UL320_.jpg")</f>
        <v/>
      </c>
      <c r="K4289" t="inlineStr">
        <is>
          <t>35.0</t>
        </is>
      </c>
      <c r="L4289" t="n">
        <v>26.5</v>
      </c>
      <c r="M4289" s="1" t="inlineStr">
        <is>
          <t>-24.29%</t>
        </is>
      </c>
      <c r="N4289" t="n">
        <v>4.3</v>
      </c>
      <c r="O4289" t="n">
        <v>210</v>
      </c>
      <c r="Q4289" t="inlineStr">
        <is>
          <t>InStock</t>
        </is>
      </c>
      <c r="R4289" t="inlineStr">
        <is>
          <t>undefined</t>
        </is>
      </c>
      <c r="S4289" t="inlineStr">
        <is>
          <t>1399622205527</t>
        </is>
      </c>
    </row>
    <row r="4290" ht="75" customHeight="1">
      <c r="A4290" s="2">
        <f>HYPERLINK("https://faoschwarz.com/products/marvins-magic-rabbit-top-hat", "https://faoschwarz.com/products/marvins-magic-rabbit-top-hat")</f>
        <v/>
      </c>
      <c r="B4290" s="2">
        <f>HYPERLINK("https://faoschwarz.com/products/marvins-magic-rabbit-top-hat", "https://faoschwarz.com/products/marvins-magic-rabbit-top-hat")</f>
        <v/>
      </c>
      <c r="C4290" t="inlineStr">
        <is>
          <t>Magic Rabbit and Hat</t>
        </is>
      </c>
      <c r="D4290" t="inlineStr">
        <is>
          <t>Beelittle Kids Magician Costume Set with Cloak Cape Top Hat Wand Gloves Rabbit Puppet</t>
        </is>
      </c>
      <c r="E4290" s="2">
        <f>HYPERLINK("https://www.amazon.com/Magician-Costume-Gloves-Rabbit-Puppet/dp/B08J7MWVVT/ref=sr_1_8?keywords=Magic+Rabbit+and+Hat&amp;qid=1695566008&amp;sr=8-8", "https://www.amazon.com/Magician-Costume-Gloves-Rabbit-Puppet/dp/B08J7MWVVT/ref=sr_1_8?keywords=Magic+Rabbit+and+Hat&amp;qid=1695566008&amp;sr=8-8")</f>
        <v/>
      </c>
      <c r="F4290" t="inlineStr">
        <is>
          <t>B08J7MWVVT</t>
        </is>
      </c>
      <c r="G4290">
        <f>_xlfn.IMAGE("https://faoschwarz.com/cdn/shop/files/marvin-s-magic-magic-magic-rabbit-and-hat-30238697979991_1080x.jpg?v=1684539567")</f>
        <v/>
      </c>
      <c r="H4290">
        <f>_xlfn.IMAGE("https://m.media-amazon.com/images/I/71OGYroJH0L._AC_UL320_.jpg")</f>
        <v/>
      </c>
      <c r="K4290" t="inlineStr">
        <is>
          <t>35.0</t>
        </is>
      </c>
      <c r="L4290" t="n">
        <v>24.99</v>
      </c>
      <c r="M4290" s="1" t="inlineStr">
        <is>
          <t>-28.60%</t>
        </is>
      </c>
      <c r="N4290" t="n">
        <v>4.2</v>
      </c>
      <c r="O4290" t="n">
        <v>165</v>
      </c>
      <c r="Q4290" t="inlineStr">
        <is>
          <t>InStock</t>
        </is>
      </c>
      <c r="R4290" t="inlineStr">
        <is>
          <t>undefined</t>
        </is>
      </c>
      <c r="S4290" t="inlineStr">
        <is>
          <t>1399622205527</t>
        </is>
      </c>
    </row>
    <row r="4291" ht="75" customHeight="1">
      <c r="A4291" s="2">
        <f>HYPERLINK("https://faoschwarz.com/products/marvins-magic-rabbit-top-hat", "https://faoschwarz.com/products/marvins-magic-rabbit-top-hat")</f>
        <v/>
      </c>
      <c r="B4291" s="2">
        <f>HYPERLINK("https://faoschwarz.com/products/marvins-magic-rabbit-top-hat", "https://faoschwarz.com/products/marvins-magic-rabbit-top-hat")</f>
        <v/>
      </c>
      <c r="C4291" t="inlineStr">
        <is>
          <t>Magic Rabbit and Hat</t>
        </is>
      </c>
      <c r="D4291" t="inlineStr">
        <is>
          <t>Schylling Magic Rabbit Magic Hat Set</t>
        </is>
      </c>
      <c r="E4291" s="2">
        <f>HYPERLINK("https://www.amazon.com/Schylling-Magic-Rabbit-Hat-Set/dp/B06Y14MJNQ/ref=sr_1_4?keywords=Magic+Rabbit+and+Hat&amp;qid=1695566008&amp;sr=8-4", "https://www.amazon.com/Schylling-Magic-Rabbit-Hat-Set/dp/B06Y14MJNQ/ref=sr_1_4?keywords=Magic+Rabbit+and+Hat&amp;qid=1695566008&amp;sr=8-4")</f>
        <v/>
      </c>
      <c r="F4291" t="inlineStr">
        <is>
          <t>B06Y14MJNQ</t>
        </is>
      </c>
      <c r="G4291">
        <f>_xlfn.IMAGE("https://faoschwarz.com/cdn/shop/files/marvin-s-magic-magic-magic-rabbit-and-hat-30238697979991_1080x.jpg?v=1684539567")</f>
        <v/>
      </c>
      <c r="H4291">
        <f>_xlfn.IMAGE("https://m.media-amazon.com/images/I/71HKLrDy0QL._AC_UL320_.jpg")</f>
        <v/>
      </c>
      <c r="K4291" t="inlineStr">
        <is>
          <t>35.0</t>
        </is>
      </c>
      <c r="L4291" t="n">
        <v>19.95</v>
      </c>
      <c r="M4291" s="1" t="inlineStr">
        <is>
          <t>-43.00%</t>
        </is>
      </c>
      <c r="N4291" t="n">
        <v>3.5</v>
      </c>
      <c r="O4291" t="n">
        <v>15</v>
      </c>
      <c r="Q4291" t="inlineStr">
        <is>
          <t>InStock</t>
        </is>
      </c>
      <c r="R4291" t="inlineStr">
        <is>
          <t>undefined</t>
        </is>
      </c>
      <c r="S4291" t="inlineStr">
        <is>
          <t>1399622205527</t>
        </is>
      </c>
    </row>
    <row r="4292" ht="75" customHeight="1">
      <c r="A4292" s="2">
        <f>HYPERLINK("https://faoschwarz.com/products/marvins-magic-rabbit-top-hat", "https://faoschwarz.com/products/marvins-magic-rabbit-top-hat")</f>
        <v/>
      </c>
      <c r="B4292" s="2">
        <f>HYPERLINK("https://faoschwarz.com/products/marvins-magic-rabbit-top-hat", "https://faoschwarz.com/products/marvins-magic-rabbit-top-hat")</f>
        <v/>
      </c>
      <c r="C4292" t="inlineStr">
        <is>
          <t>Magic Rabbit and Hat</t>
        </is>
      </c>
      <c r="D4292" t="inlineStr">
        <is>
          <t>Squish Outs Squishy Animals Mini Rabbit in The Hat Fidget Toy (1 Unit) by Ja-Ru. Mochi Squishy Toy Kids and Adult | Cute Mini Animals | Easter Basket Party Favor Christmas Squishies Bulk. 4413-1</t>
        </is>
      </c>
      <c r="E4292" s="2">
        <f>HYPERLINK("https://www.amazon.com/Squish-Squishy-Animals-Christmas-Squishies/dp/B0BK11DCQM/ref=sr_1_3?keywords=Magic+Rabbit+and+Hat&amp;qid=1695566008&amp;sr=8-3", "https://www.amazon.com/Squish-Squishy-Animals-Christmas-Squishies/dp/B0BK11DCQM/ref=sr_1_3?keywords=Magic+Rabbit+and+Hat&amp;qid=1695566008&amp;sr=8-3")</f>
        <v/>
      </c>
      <c r="F4292" t="inlineStr">
        <is>
          <t>B0BK11DCQM</t>
        </is>
      </c>
      <c r="G4292">
        <f>_xlfn.IMAGE("https://faoschwarz.com/cdn/shop/files/marvin-s-magic-magic-magic-rabbit-and-hat-30238697979991_1080x.jpg?v=1684539567")</f>
        <v/>
      </c>
      <c r="H4292">
        <f>_xlfn.IMAGE("https://m.media-amazon.com/images/I/71i1r-JMFdL._AC_UL320_.jpg")</f>
        <v/>
      </c>
      <c r="K4292" t="inlineStr">
        <is>
          <t>35.0</t>
        </is>
      </c>
      <c r="L4292" t="n">
        <v>7.89</v>
      </c>
      <c r="M4292" s="1" t="inlineStr">
        <is>
          <t>-77.46%</t>
        </is>
      </c>
      <c r="N4292" t="n">
        <v>4.6</v>
      </c>
      <c r="O4292" t="n">
        <v>3</v>
      </c>
      <c r="Q4292" t="inlineStr">
        <is>
          <t>InStock</t>
        </is>
      </c>
      <c r="R4292" t="inlineStr">
        <is>
          <t>undefined</t>
        </is>
      </c>
      <c r="S4292" t="inlineStr">
        <is>
          <t>1399622205527</t>
        </is>
      </c>
    </row>
    <row r="4293" ht="75" customHeight="1">
      <c r="A4293" s="2">
        <f>HYPERLINK("https://faoschwarz.com/products/marvins-magic-rabbit-top-hat", "https://faoschwarz.com/products/marvins-magic-rabbit-top-hat")</f>
        <v/>
      </c>
      <c r="B4293" s="2">
        <f>HYPERLINK("https://faoschwarz.com/products/marvins-magic-rabbit-top-hat", "https://faoschwarz.com/products/marvins-magic-rabbit-top-hat")</f>
        <v/>
      </c>
      <c r="C4293" t="inlineStr">
        <is>
          <t>Magic Rabbit and Hat</t>
        </is>
      </c>
      <c r="D4293" t="inlineStr">
        <is>
          <t>Click N' Play Magician Costume for Kids with Cape &amp; Accessories, Halloween Dress Up &amp; Pretend Play Set Complete with a Magic Set: Top Hat, Magic Wand &amp; Rabbit Magic Tricks, Magic Kit for Kids Age 8-10</t>
        </is>
      </c>
      <c r="E4293" s="2">
        <f>HYPERLINK("https://www.amazon.com/Click-Play-Magician-Pretend-Accessories/dp/B07JNR4Z85/ref=sr_1_7?keywords=Magic+Rabbit+and+Hat&amp;qid=1695566008&amp;sr=8-7", "https://www.amazon.com/Click-Play-Magician-Pretend-Accessories/dp/B07JNR4Z85/ref=sr_1_7?keywords=Magic+Rabbit+and+Hat&amp;qid=1695566008&amp;sr=8-7")</f>
        <v/>
      </c>
      <c r="F4293" t="inlineStr">
        <is>
          <t>B07JNR4Z85</t>
        </is>
      </c>
      <c r="G4293">
        <f>_xlfn.IMAGE("https://faoschwarz.com/cdn/shop/files/marvin-s-magic-magic-magic-rabbit-and-hat-30238697979991_1080x.jpg?v=1684539567")</f>
        <v/>
      </c>
      <c r="H4293">
        <f>_xlfn.IMAGE("https://m.media-amazon.com/images/I/61cS0Ngq+HL._AC_UL320_.jpg")</f>
        <v/>
      </c>
      <c r="K4293" t="inlineStr">
        <is>
          <t>35.0</t>
        </is>
      </c>
      <c r="L4293" t="n">
        <v>31.99</v>
      </c>
      <c r="M4293" s="1" t="inlineStr">
        <is>
          <t>-8.60%</t>
        </is>
      </c>
      <c r="N4293" t="n">
        <v>4.6</v>
      </c>
      <c r="O4293" t="n">
        <v>1463</v>
      </c>
      <c r="Q4293" t="inlineStr">
        <is>
          <t>InStock</t>
        </is>
      </c>
      <c r="R4293" t="inlineStr">
        <is>
          <t>undefined</t>
        </is>
      </c>
      <c r="S4293" t="inlineStr">
        <is>
          <t>1399622205527</t>
        </is>
      </c>
    </row>
    <row r="4294" ht="75" customHeight="1">
      <c r="A4294" s="2">
        <f>HYPERLINK("https://faoschwarz.com/products/marvins-magic-rabbit-top-hat", "https://faoschwarz.com/products/marvins-magic-rabbit-top-hat")</f>
        <v/>
      </c>
      <c r="B4294" s="2">
        <f>HYPERLINK("https://faoschwarz.com/products/marvins-magic-rabbit-top-hat", "https://faoschwarz.com/products/marvins-magic-rabbit-top-hat")</f>
        <v/>
      </c>
      <c r="C4294" t="inlineStr">
        <is>
          <t>Magic Rabbit and Hat</t>
        </is>
      </c>
      <c r="D4294" t="inlineStr">
        <is>
          <t>Young Magician Role Play Kits Magic Cosplay Set for Kids Contains Magic Hat Magic Cape Magic Wand Magic Rabbit Puppet Gloves and Color Ribbons (Red)</t>
        </is>
      </c>
      <c r="E4294" s="2" t="n"/>
      <c r="F4294" t="inlineStr">
        <is>
          <t>B07SJHHHH4</t>
        </is>
      </c>
      <c r="G4294">
        <f>_xlfn.IMAGE("https://faoschwarz.com/cdn/shop/files/marvin-s-magic-magic-magic-rabbit-and-hat-30238697979991_1080x.jpg?v=1684539567")</f>
        <v/>
      </c>
      <c r="H4294">
        <f>_xlfn.IMAGE("https://m.media-amazon.com/images/I/61Fo1KBrTbL._AC_UL320_.jpg")</f>
        <v/>
      </c>
      <c r="K4294" t="inlineStr">
        <is>
          <t>35.0</t>
        </is>
      </c>
      <c r="L4294" t="n">
        <v>26.9</v>
      </c>
      <c r="M4294" s="1" t="inlineStr">
        <is>
          <t>-23.14%</t>
        </is>
      </c>
      <c r="N4294" t="n">
        <v>4.5</v>
      </c>
      <c r="O4294" t="n">
        <v>77</v>
      </c>
      <c r="Q4294" t="inlineStr">
        <is>
          <t>InStock</t>
        </is>
      </c>
      <c r="R4294" t="inlineStr">
        <is>
          <t>undefined</t>
        </is>
      </c>
      <c r="S4294" t="inlineStr">
        <is>
          <t>1399622205527</t>
        </is>
      </c>
    </row>
    <row r="4295" ht="75" customHeight="1">
      <c r="A4295" s="2">
        <f>HYPERLINK("https://faoschwarz.com/products/marvins-magic-rabbit-top-hat", "https://faoschwarz.com/products/marvins-magic-rabbit-top-hat")</f>
        <v/>
      </c>
      <c r="B4295" s="2">
        <f>HYPERLINK("https://faoschwarz.com/products/marvins-magic-rabbit-top-hat", "https://faoschwarz.com/products/marvins-magic-rabbit-top-hat")</f>
        <v/>
      </c>
      <c r="C4295" t="inlineStr">
        <is>
          <t>Magic Rabbit and Hat</t>
        </is>
      </c>
      <c r="D4295" t="inlineStr">
        <is>
          <t>BrilliantMagic Kids Magician Role Play Set Contains Magic Top Hat Magic Wand Rabbit Puppet Color Ribbons Gloves(Model:BMM006) (S)</t>
        </is>
      </c>
      <c r="E4295" s="2">
        <f>HYPERLINK("https://www.amazon.com/BrilliantMagic-Magician-Contains-Rabbit-Ribbons/dp/B07S98PKMV/ref=sr_1_5?keywords=Magic+Rabbit+and+Hat&amp;qid=1695566008&amp;sr=8-5", "https://www.amazon.com/BrilliantMagic-Magician-Contains-Rabbit-Ribbons/dp/B07S98PKMV/ref=sr_1_5?keywords=Magic+Rabbit+and+Hat&amp;qid=1695566008&amp;sr=8-5")</f>
        <v/>
      </c>
      <c r="F4295" t="inlineStr">
        <is>
          <t>B07S98PKMV</t>
        </is>
      </c>
      <c r="G4295">
        <f>_xlfn.IMAGE("https://faoschwarz.com/cdn/shop/files/marvin-s-magic-magic-magic-rabbit-and-hat-30238697979991_1080x.jpg?v=1684539567")</f>
        <v/>
      </c>
      <c r="H4295">
        <f>_xlfn.IMAGE("https://m.media-amazon.com/images/I/613t2dPL4VL._AC_UL320_.jpg")</f>
        <v/>
      </c>
      <c r="K4295" t="inlineStr">
        <is>
          <t>35.0</t>
        </is>
      </c>
      <c r="L4295" t="n">
        <v>26.5</v>
      </c>
      <c r="M4295" s="1" t="inlineStr">
        <is>
          <t>-24.29%</t>
        </is>
      </c>
      <c r="N4295" t="n">
        <v>4.3</v>
      </c>
      <c r="O4295" t="n">
        <v>210</v>
      </c>
      <c r="Q4295" t="inlineStr">
        <is>
          <t>InStock</t>
        </is>
      </c>
      <c r="R4295" t="inlineStr">
        <is>
          <t>undefined</t>
        </is>
      </c>
      <c r="S4295" t="inlineStr">
        <is>
          <t>1399622205527</t>
        </is>
      </c>
    </row>
    <row r="4296" ht="75" customHeight="1">
      <c r="A4296" s="2">
        <f>HYPERLINK("https://faoschwarz.com/products/marvins-magic-rabbit-top-hat", "https://faoschwarz.com/products/marvins-magic-rabbit-top-hat")</f>
        <v/>
      </c>
      <c r="B4296" s="2">
        <f>HYPERLINK("https://faoschwarz.com/products/marvins-magic-rabbit-top-hat", "https://faoschwarz.com/products/marvins-magic-rabbit-top-hat")</f>
        <v/>
      </c>
      <c r="C4296" t="inlineStr">
        <is>
          <t>Magic Rabbit and Hat</t>
        </is>
      </c>
      <c r="D4296" t="inlineStr">
        <is>
          <t>Beelittle Kids Magician Costume Set with Cloak Cape Top Hat Wand Gloves Rabbit Puppet</t>
        </is>
      </c>
      <c r="E4296" s="2">
        <f>HYPERLINK("https://www.amazon.com/Magician-Costume-Gloves-Rabbit-Puppet/dp/B08J7MWVVT/ref=sr_1_8?keywords=Magic+Rabbit+and+Hat&amp;qid=1695566008&amp;sr=8-8", "https://www.amazon.com/Magician-Costume-Gloves-Rabbit-Puppet/dp/B08J7MWVVT/ref=sr_1_8?keywords=Magic+Rabbit+and+Hat&amp;qid=1695566008&amp;sr=8-8")</f>
        <v/>
      </c>
      <c r="F4296" t="inlineStr">
        <is>
          <t>B08J7MWVVT</t>
        </is>
      </c>
      <c r="G4296">
        <f>_xlfn.IMAGE("https://faoschwarz.com/cdn/shop/files/marvin-s-magic-magic-magic-rabbit-and-hat-30238697979991_1080x.jpg?v=1684539567")</f>
        <v/>
      </c>
      <c r="H4296">
        <f>_xlfn.IMAGE("https://m.media-amazon.com/images/I/71OGYroJH0L._AC_UL320_.jpg")</f>
        <v/>
      </c>
      <c r="K4296" t="inlineStr">
        <is>
          <t>35.0</t>
        </is>
      </c>
      <c r="L4296" t="n">
        <v>24.99</v>
      </c>
      <c r="M4296" s="1" t="inlineStr">
        <is>
          <t>-28.60%</t>
        </is>
      </c>
      <c r="N4296" t="n">
        <v>4.2</v>
      </c>
      <c r="O4296" t="n">
        <v>165</v>
      </c>
      <c r="Q4296" t="inlineStr">
        <is>
          <t>InStock</t>
        </is>
      </c>
      <c r="R4296" t="inlineStr">
        <is>
          <t>undefined</t>
        </is>
      </c>
      <c r="S4296" t="inlineStr">
        <is>
          <t>1399622205527</t>
        </is>
      </c>
    </row>
    <row r="4297" ht="75" customHeight="1">
      <c r="A4297" s="2">
        <f>HYPERLINK("https://faoschwarz.com/products/marvins-magic-rabbit-top-hat", "https://faoschwarz.com/products/marvins-magic-rabbit-top-hat")</f>
        <v/>
      </c>
      <c r="B4297" s="2">
        <f>HYPERLINK("https://faoschwarz.com/products/marvins-magic-rabbit-top-hat", "https://faoschwarz.com/products/marvins-magic-rabbit-top-hat")</f>
        <v/>
      </c>
      <c r="C4297" t="inlineStr">
        <is>
          <t>Magic Rabbit and Hat</t>
        </is>
      </c>
      <c r="D4297" t="inlineStr">
        <is>
          <t>Schylling Magic Rabbit Magic Hat Set</t>
        </is>
      </c>
      <c r="E4297" s="2">
        <f>HYPERLINK("https://www.amazon.com/Schylling-Magic-Rabbit-Hat-Set/dp/B06Y14MJNQ/ref=sr_1_4?keywords=Magic+Rabbit+and+Hat&amp;qid=1695566008&amp;sr=8-4", "https://www.amazon.com/Schylling-Magic-Rabbit-Hat-Set/dp/B06Y14MJNQ/ref=sr_1_4?keywords=Magic+Rabbit+and+Hat&amp;qid=1695566008&amp;sr=8-4")</f>
        <v/>
      </c>
      <c r="F4297" t="inlineStr">
        <is>
          <t>B06Y14MJNQ</t>
        </is>
      </c>
      <c r="G4297">
        <f>_xlfn.IMAGE("https://faoschwarz.com/cdn/shop/files/marvin-s-magic-magic-magic-rabbit-and-hat-30238697979991_1080x.jpg?v=1684539567")</f>
        <v/>
      </c>
      <c r="H4297">
        <f>_xlfn.IMAGE("https://m.media-amazon.com/images/I/71HKLrDy0QL._AC_UL320_.jpg")</f>
        <v/>
      </c>
      <c r="K4297" t="inlineStr">
        <is>
          <t>35.0</t>
        </is>
      </c>
      <c r="L4297" t="n">
        <v>19.95</v>
      </c>
      <c r="M4297" s="1" t="inlineStr">
        <is>
          <t>-43.00%</t>
        </is>
      </c>
      <c r="N4297" t="n">
        <v>3.5</v>
      </c>
      <c r="O4297" t="n">
        <v>15</v>
      </c>
      <c r="Q4297" t="inlineStr">
        <is>
          <t>InStock</t>
        </is>
      </c>
      <c r="R4297" t="inlineStr">
        <is>
          <t>undefined</t>
        </is>
      </c>
      <c r="S4297" t="inlineStr">
        <is>
          <t>1399622205527</t>
        </is>
      </c>
    </row>
    <row r="4298" ht="75" customHeight="1">
      <c r="A4298" s="2">
        <f>HYPERLINK("https://faoschwarz.com/products/marvins-magic-rabbit-top-hat", "https://faoschwarz.com/products/marvins-magic-rabbit-top-hat")</f>
        <v/>
      </c>
      <c r="B4298" s="2">
        <f>HYPERLINK("https://faoschwarz.com/products/marvins-magic-rabbit-top-hat", "https://faoschwarz.com/products/marvins-magic-rabbit-top-hat")</f>
        <v/>
      </c>
      <c r="C4298" t="inlineStr">
        <is>
          <t>Magic Rabbit and Hat</t>
        </is>
      </c>
      <c r="D4298" t="inlineStr">
        <is>
          <t>Squish Outs Squishy Animals Mini Rabbit in The Hat Fidget Toy (1 Unit) by Ja-Ru. Mochi Squishy Toy Kids and Adult | Cute Mini Animals | Easter Basket Party Favor Christmas Squishies Bulk. 4413-1</t>
        </is>
      </c>
      <c r="E4298" s="2">
        <f>HYPERLINK("https://www.amazon.com/Squish-Squishy-Animals-Christmas-Squishies/dp/B0BK11DCQM/ref=sr_1_3?keywords=Magic+Rabbit+and+Hat&amp;qid=1695566008&amp;sr=8-3", "https://www.amazon.com/Squish-Squishy-Animals-Christmas-Squishies/dp/B0BK11DCQM/ref=sr_1_3?keywords=Magic+Rabbit+and+Hat&amp;qid=1695566008&amp;sr=8-3")</f>
        <v/>
      </c>
      <c r="F4298" t="inlineStr">
        <is>
          <t>B0BK11DCQM</t>
        </is>
      </c>
      <c r="G4298">
        <f>_xlfn.IMAGE("https://faoschwarz.com/cdn/shop/files/marvin-s-magic-magic-magic-rabbit-and-hat-30238697979991_1080x.jpg?v=1684539567")</f>
        <v/>
      </c>
      <c r="H4298">
        <f>_xlfn.IMAGE("https://m.media-amazon.com/images/I/71i1r-JMFdL._AC_UL320_.jpg")</f>
        <v/>
      </c>
      <c r="K4298" t="inlineStr">
        <is>
          <t>35.0</t>
        </is>
      </c>
      <c r="L4298" t="n">
        <v>7.89</v>
      </c>
      <c r="M4298" s="1" t="inlineStr">
        <is>
          <t>-77.46%</t>
        </is>
      </c>
      <c r="N4298" t="n">
        <v>4.6</v>
      </c>
      <c r="O4298" t="n">
        <v>3</v>
      </c>
      <c r="Q4298" t="inlineStr">
        <is>
          <t>InStock</t>
        </is>
      </c>
      <c r="R4298" t="inlineStr">
        <is>
          <t>undefined</t>
        </is>
      </c>
      <c r="S4298" t="inlineStr">
        <is>
          <t>1399622205527</t>
        </is>
      </c>
    </row>
    <row r="4299" ht="75" customHeight="1">
      <c r="A4299" s="2">
        <f>HYPERLINK("https://faoschwarz.com/products/mine-to-love-tyler-taylor-twins", "https://faoschwarz.com/products/mine-to-love-tyler-taylor-twins")</f>
        <v/>
      </c>
      <c r="B4299" s="2">
        <f>HYPERLINK("https://faoschwarz.com/products/mine-to-love-tyler-taylor-twins", "https://faoschwarz.com/products/mine-to-love-tyler-taylor-twins")</f>
        <v/>
      </c>
      <c r="C4299" t="inlineStr">
        <is>
          <t>Mine to Love - Tyler &amp; Taylor Twins</t>
        </is>
      </c>
      <c r="D4299" t="inlineStr">
        <is>
          <t>Melissa &amp; Doug Mine to Love Twins Luke &amp; Lucy 15” Light Skin-Tone Boy and Girl Baby Dolls with Rompers, Caps, Pacifiers - First Baby Dolls For Toddlers 18 Months And Up</t>
        </is>
      </c>
      <c r="E4299" s="2">
        <f>HYPERLINK("https://www.amazon.com/Melissa-Doug-Twins-Frustration-Free-Packaging/dp/B08LG2Q5S7/ref=sr_1_9?keywords=Mine+to+Love+-+Tyler&amp;qid=1695565939&amp;sr=8-9", "https://www.amazon.com/Melissa-Doug-Twins-Frustration-Free-Packaging/dp/B08LG2Q5S7/ref=sr_1_9?keywords=Mine+to+Love+-+Tyler&amp;qid=1695565939&amp;sr=8-9")</f>
        <v/>
      </c>
      <c r="F4299" t="inlineStr">
        <is>
          <t>B08LG2Q5S7</t>
        </is>
      </c>
      <c r="G4299">
        <f>_xlfn.IMAGE("https://faoschwarz.com/cdn/shop/products/melissa-doug-dolls-mine-to-love-tyler-taylor-twins-29619294077015_1080x.jpg?v=1665780450")</f>
        <v/>
      </c>
      <c r="H4299">
        <f>_xlfn.IMAGE("https://m.media-amazon.com/images/I/61uuEH+LKOL._AC_UY218_.jpg")</f>
        <v/>
      </c>
      <c r="K4299" t="inlineStr">
        <is>
          <t>35.7</t>
        </is>
      </c>
      <c r="L4299" t="n">
        <v>44.99</v>
      </c>
      <c r="M4299" s="1" t="inlineStr">
        <is>
          <t>26.02%</t>
        </is>
      </c>
      <c r="N4299" t="n">
        <v>4.8</v>
      </c>
      <c r="O4299" t="n">
        <v>220</v>
      </c>
      <c r="Q4299" t="inlineStr">
        <is>
          <t>InStock</t>
        </is>
      </c>
      <c r="R4299" t="inlineStr">
        <is>
          <t>51.0</t>
        </is>
      </c>
      <c r="S4299" t="inlineStr">
        <is>
          <t>6819140796503</t>
        </is>
      </c>
    </row>
    <row r="4300" ht="75" customHeight="1">
      <c r="A4300" s="2">
        <f>HYPERLINK("https://faoschwarz.com/products/mine-to-love-tyler-taylor-twins", "https://faoschwarz.com/products/mine-to-love-tyler-taylor-twins")</f>
        <v/>
      </c>
      <c r="B4300" s="2">
        <f>HYPERLINK("https://faoschwarz.com/products/mine-to-love-tyler-taylor-twins", "https://faoschwarz.com/products/mine-to-love-tyler-taylor-twins")</f>
        <v/>
      </c>
      <c r="C4300" t="inlineStr">
        <is>
          <t>Mine to Love - Tyler &amp; Taylor Twins</t>
        </is>
      </c>
      <c r="D4300" t="inlineStr">
        <is>
          <t>Melissa &amp; Doug Mine to Love Twins Tyler &amp; Taylor 15” Dark Skin-Tone Boy and Girl Baby Dolls with Rompers, Caps, Pacifiers</t>
        </is>
      </c>
      <c r="E4300" s="2">
        <f>HYPERLINK("https://www.amazon.com/Melissa-Doug-Mine-Love-Twins/dp/B088J9QB62/ref=sr_1_1?keywords=Mine+to+Love+-+Tyler&amp;qid=1695565939&amp;sr=8-1", "https://www.amazon.com/Melissa-Doug-Mine-Love-Twins/dp/B088J9QB62/ref=sr_1_1?keywords=Mine+to+Love+-+Tyler&amp;qid=1695565939&amp;sr=8-1")</f>
        <v/>
      </c>
      <c r="F4300" t="inlineStr">
        <is>
          <t>B088J9QB62</t>
        </is>
      </c>
      <c r="G4300">
        <f>_xlfn.IMAGE("https://faoschwarz.com/cdn/shop/products/melissa-doug-dolls-mine-to-love-tyler-taylor-twins-29619294077015_1080x.jpg?v=1665780450")</f>
        <v/>
      </c>
      <c r="H4300">
        <f>_xlfn.IMAGE("https://m.media-amazon.com/images/I/71nlS-CUSaL._AC_UY218_.jpg")</f>
        <v/>
      </c>
      <c r="K4300" t="inlineStr">
        <is>
          <t>35.7</t>
        </is>
      </c>
      <c r="L4300" t="n">
        <v>38.49</v>
      </c>
      <c r="M4300" s="1" t="inlineStr">
        <is>
          <t>7.82%</t>
        </is>
      </c>
      <c r="N4300" t="n">
        <v>4.8</v>
      </c>
      <c r="O4300" t="n">
        <v>1349</v>
      </c>
      <c r="Q4300" t="inlineStr">
        <is>
          <t>InStock</t>
        </is>
      </c>
      <c r="R4300" t="inlineStr">
        <is>
          <t>51.0</t>
        </is>
      </c>
      <c r="S4300" t="inlineStr">
        <is>
          <t>6819140796503</t>
        </is>
      </c>
    </row>
    <row r="4301" ht="75" customHeight="1">
      <c r="A4301" s="2">
        <f>HYPERLINK("https://faoschwarz.com/products/mini-chef-home-kitchen", "https://faoschwarz.com/products/mini-chef-home-kitchen")</f>
        <v/>
      </c>
      <c r="B4301" s="2">
        <f>HYPERLINK("https://faoschwarz.com/products/mini-chef-home-kitchen", "https://faoschwarz.com/products/mini-chef-home-kitchen")</f>
        <v/>
      </c>
      <c r="C4301" t="inlineStr">
        <is>
          <t>Mini Chef Home Kitchen</t>
        </is>
      </c>
      <c r="D4301" t="inlineStr">
        <is>
          <t>Tender Leaf Toys - Mini Chef Home Kitchen - Wooden Kitchenette Fully Equipped with Accessories for Pretend Cooking - Develops Social, Creative &amp; Imaginative Skills - Learning Role Play - Age 3+</t>
        </is>
      </c>
      <c r="E4301" s="2">
        <f>HYPERLINK("https://www.amazon.com/Tender-Leaf-Toys-Mini-Kitchen/dp/B08798XDKB/ref=sr_1_1?keywords=Mini+Chef+Home+Kitchen&amp;qid=1695565925&amp;sr=8-1", "https://www.amazon.com/Tender-Leaf-Toys-Mini-Kitchen/dp/B08798XDKB/ref=sr_1_1?keywords=Mini+Chef+Home+Kitchen&amp;qid=1695565925&amp;sr=8-1")</f>
        <v/>
      </c>
      <c r="F4301" t="inlineStr">
        <is>
          <t>B08798XDKB</t>
        </is>
      </c>
      <c r="G4301">
        <f>_xlfn.IMAGE("https://faoschwarz.com/cdn/shop/products/tender-leaf-preschool-mini-chef-home-kitchen-28281768902743_1080x.jpg?v=1656185223")</f>
        <v/>
      </c>
      <c r="H4301">
        <f>_xlfn.IMAGE("https://m.media-amazon.com/images/I/61q5-WLHFlL._AC_UL320_.jpg")</f>
        <v/>
      </c>
      <c r="K4301" t="inlineStr">
        <is>
          <t>180.0</t>
        </is>
      </c>
      <c r="L4301" t="n">
        <v>171</v>
      </c>
      <c r="M4301" s="1" t="inlineStr">
        <is>
          <t>-5.00%</t>
        </is>
      </c>
      <c r="N4301" t="n">
        <v>4</v>
      </c>
      <c r="O4301" t="n">
        <v>25</v>
      </c>
      <c r="Q4301" t="inlineStr">
        <is>
          <t>InStock</t>
        </is>
      </c>
      <c r="R4301" t="inlineStr">
        <is>
          <t>undefined</t>
        </is>
      </c>
      <c r="S4301" t="inlineStr">
        <is>
          <t>4672501481559</t>
        </is>
      </c>
    </row>
    <row r="4302" ht="75" customHeight="1">
      <c r="A4302" s="2">
        <f>HYPERLINK("https://faoschwarz.com/products/mini-chef-home-kitchen", "https://faoschwarz.com/products/mini-chef-home-kitchen")</f>
        <v/>
      </c>
      <c r="B4302" s="2">
        <f>HYPERLINK("https://faoschwarz.com/products/mini-chef-home-kitchen", "https://faoschwarz.com/products/mini-chef-home-kitchen")</f>
        <v/>
      </c>
      <c r="C4302" t="inlineStr">
        <is>
          <t>Mini Chef Home Kitchen</t>
        </is>
      </c>
      <c r="D4302" t="inlineStr">
        <is>
          <t>Tender Leaf Toys Mini Chef Home Baking Set – 27 Pc Wooden Baker's Mixing Set -Classic Toy for Pretend Cooking – Develops Social, Creative &amp; Imaginative Skills – Learning Role Play – Ages 3+ Years</t>
        </is>
      </c>
      <c r="E4302" s="2">
        <f>HYPERLINK("https://www.amazon.com/Tender-Leaf-Toys-Mini-Baking/dp/B087943Z5S/ref=sr_1_2?keywords=Mini+Chef+Home+Kitchen&amp;qid=1695565925&amp;sr=8-2", "https://www.amazon.com/Tender-Leaf-Toys-Mini-Baking/dp/B087943Z5S/ref=sr_1_2?keywords=Mini+Chef+Home+Kitchen&amp;qid=1695565925&amp;sr=8-2")</f>
        <v/>
      </c>
      <c r="F4302" t="inlineStr">
        <is>
          <t>B087943Z5S</t>
        </is>
      </c>
      <c r="G4302">
        <f>_xlfn.IMAGE("https://faoschwarz.com/cdn/shop/products/tender-leaf-preschool-mini-chef-home-kitchen-28281768902743_1080x.jpg?v=1656185223")</f>
        <v/>
      </c>
      <c r="H4302">
        <f>_xlfn.IMAGE("https://m.media-amazon.com/images/I/61rUq61lbVL._AC_UL320_.jpg")</f>
        <v/>
      </c>
      <c r="K4302" t="inlineStr">
        <is>
          <t>180.0</t>
        </is>
      </c>
      <c r="L4302" t="n">
        <v>59.98</v>
      </c>
      <c r="M4302" s="1" t="inlineStr">
        <is>
          <t>-66.68%</t>
        </is>
      </c>
      <c r="N4302" t="n">
        <v>4.2</v>
      </c>
      <c r="O4302" t="n">
        <v>30</v>
      </c>
      <c r="Q4302" t="inlineStr">
        <is>
          <t>InStock</t>
        </is>
      </c>
      <c r="R4302" t="inlineStr">
        <is>
          <t>undefined</t>
        </is>
      </c>
      <c r="S4302" t="inlineStr">
        <is>
          <t>4672501481559</t>
        </is>
      </c>
    </row>
    <row r="4303" ht="75" customHeight="1">
      <c r="A4303" s="2">
        <f>HYPERLINK("https://faoschwarz.com/products/mini-chef-home-kitchen", "https://faoschwarz.com/products/mini-chef-home-kitchen")</f>
        <v/>
      </c>
      <c r="B4303" s="2">
        <f>HYPERLINK("https://faoschwarz.com/products/mini-chef-home-kitchen", "https://faoschwarz.com/products/mini-chef-home-kitchen")</f>
        <v/>
      </c>
      <c r="C4303" t="inlineStr">
        <is>
          <t>Mini Chef Home Kitchen</t>
        </is>
      </c>
      <c r="D4303" t="inlineStr">
        <is>
          <t>Kids Junior Tiny Real Easy Cooking Kitchen Set and Baking Kit - Mini Stove Burner, Chef - Easy Cook Real Food Utensils Gift for Boys and Girls Ages 6-12</t>
        </is>
      </c>
      <c r="E4303" s="2">
        <f>HYPERLINK("https://www.amazon.com/BABYHORSE-Junior-Cooking-Kitchen-Baking/dp/B09NRXVRSR/ref=sr_1_7?keywords=Mini+Chef+Home+Kitchen&amp;qid=1695565925&amp;sr=8-7", "https://www.amazon.com/BABYHORSE-Junior-Cooking-Kitchen-Baking/dp/B09NRXVRSR/ref=sr_1_7?keywords=Mini+Chef+Home+Kitchen&amp;qid=1695565925&amp;sr=8-7")</f>
        <v/>
      </c>
      <c r="F4303" t="inlineStr">
        <is>
          <t>B09NRXVRSR</t>
        </is>
      </c>
      <c r="G4303">
        <f>_xlfn.IMAGE("https://faoschwarz.com/cdn/shop/products/tender-leaf-preschool-mini-chef-home-kitchen-28281768902743_1080x.jpg?v=1656185223")</f>
        <v/>
      </c>
      <c r="H4303">
        <f>_xlfn.IMAGE("https://m.media-amazon.com/images/I/71IH0yFhXhL._AC_UL320_.jpg")</f>
        <v/>
      </c>
      <c r="K4303" t="inlineStr">
        <is>
          <t>180.0</t>
        </is>
      </c>
      <c r="L4303" t="n">
        <v>51.99</v>
      </c>
      <c r="M4303" s="1" t="inlineStr">
        <is>
          <t>-71.12%</t>
        </is>
      </c>
      <c r="N4303" t="n">
        <v>4.5</v>
      </c>
      <c r="O4303" t="n">
        <v>32</v>
      </c>
      <c r="Q4303" t="inlineStr">
        <is>
          <t>InStock</t>
        </is>
      </c>
      <c r="R4303" t="inlineStr">
        <is>
          <t>undefined</t>
        </is>
      </c>
      <c r="S4303" t="inlineStr">
        <is>
          <t>4672501481559</t>
        </is>
      </c>
    </row>
    <row r="4304" ht="75" customHeight="1">
      <c r="A4304" s="2">
        <f>HYPERLINK("https://faoschwarz.com/products/mini-chef-home-kitchen", "https://faoschwarz.com/products/mini-chef-home-kitchen")</f>
        <v/>
      </c>
      <c r="B4304" s="2">
        <f>HYPERLINK("https://faoschwarz.com/products/mini-chef-home-kitchen", "https://faoschwarz.com/products/mini-chef-home-kitchen")</f>
        <v/>
      </c>
      <c r="C4304" t="inlineStr">
        <is>
          <t>Mini Chef Home Kitchen</t>
        </is>
      </c>
      <c r="D4304" t="inlineStr">
        <is>
          <t>3OZ Mini Scoop Set of 8, P&amp;P CHEF Stainless Steel Candy Sweet Ice Cube Scoop for Home Bar Buffet Wedding Canisters, Easy Clean &amp; Durable - Gold</t>
        </is>
      </c>
      <c r="E4304" s="2">
        <f>HYPERLINK("https://www.amazon.com/CHEF-Stainless-Wedding-Canisters-Durable/dp/B09W9GHM5K/ref=sr_1_10?keywords=Mini+Chef+Home+Kitchen&amp;qid=1695565925&amp;sr=8-10", "https://www.amazon.com/CHEF-Stainless-Wedding-Canisters-Durable/dp/B09W9GHM5K/ref=sr_1_10?keywords=Mini+Chef+Home+Kitchen&amp;qid=1695565925&amp;sr=8-10")</f>
        <v/>
      </c>
      <c r="F4304" t="inlineStr">
        <is>
          <t>B09W9GHM5K</t>
        </is>
      </c>
      <c r="G4304">
        <f>_xlfn.IMAGE("https://faoschwarz.com/cdn/shop/products/tender-leaf-preschool-mini-chef-home-kitchen-28281768902743_1080x.jpg?v=1656185223")</f>
        <v/>
      </c>
      <c r="H4304">
        <f>_xlfn.IMAGE("https://m.media-amazon.com/images/I/61SScnFWVjL._AC_UL320_.jpg")</f>
        <v/>
      </c>
      <c r="K4304" t="inlineStr">
        <is>
          <t>180.0</t>
        </is>
      </c>
      <c r="L4304" t="n">
        <v>27.99</v>
      </c>
      <c r="M4304" s="1" t="inlineStr">
        <is>
          <t>-84.45%</t>
        </is>
      </c>
      <c r="N4304" t="n">
        <v>4.8</v>
      </c>
      <c r="O4304" t="n">
        <v>207</v>
      </c>
      <c r="Q4304" t="inlineStr">
        <is>
          <t>InStock</t>
        </is>
      </c>
      <c r="R4304" t="inlineStr">
        <is>
          <t>undefined</t>
        </is>
      </c>
      <c r="S4304" t="inlineStr">
        <is>
          <t>4672501481559</t>
        </is>
      </c>
    </row>
    <row r="4305" ht="75" customHeight="1">
      <c r="A4305" s="2">
        <f>HYPERLINK("https://faoschwarz.com/products/mini-chef-home-kitchen", "https://faoschwarz.com/products/mini-chef-home-kitchen")</f>
        <v/>
      </c>
      <c r="B4305" s="2">
        <f>HYPERLINK("https://faoschwarz.com/products/mini-chef-home-kitchen", "https://faoschwarz.com/products/mini-chef-home-kitchen")</f>
        <v/>
      </c>
      <c r="C4305" t="inlineStr">
        <is>
          <t>Mini Chef Home Kitchen</t>
        </is>
      </c>
      <c r="D4305" t="inlineStr">
        <is>
          <t>Pampered Chef The Mini Whipper Model: 2635 (Home &amp; Kitchen)</t>
        </is>
      </c>
      <c r="E4305" s="2">
        <f>HYPERLINK("https://www.amazon.com/Pampered-Chef-Mini-Whipper-Model/dp/B014USG736/ref=sr_1_3?keywords=Mini+Chef+Home+Kitchen&amp;qid=1695565925&amp;sr=8-3", "https://www.amazon.com/Pampered-Chef-Mini-Whipper-Model/dp/B014USG736/ref=sr_1_3?keywords=Mini+Chef+Home+Kitchen&amp;qid=1695565925&amp;sr=8-3")</f>
        <v/>
      </c>
      <c r="F4305" t="inlineStr">
        <is>
          <t>B014USG736</t>
        </is>
      </c>
      <c r="G4305">
        <f>_xlfn.IMAGE("https://faoschwarz.com/cdn/shop/products/tender-leaf-preschool-mini-chef-home-kitchen-28281768902743_1080x.jpg?v=1656185223")</f>
        <v/>
      </c>
      <c r="H4305">
        <f>_xlfn.IMAGE("https://m.media-amazon.com/images/I/41vdiYBFs5L._AC_UL320_.jpg")</f>
        <v/>
      </c>
      <c r="K4305" t="inlineStr">
        <is>
          <t>180.0</t>
        </is>
      </c>
      <c r="L4305" t="n">
        <v>19.48</v>
      </c>
      <c r="M4305" s="1" t="inlineStr">
        <is>
          <t>-89.18%</t>
        </is>
      </c>
      <c r="N4305" t="n">
        <v>4.8</v>
      </c>
      <c r="O4305" t="n">
        <v>179</v>
      </c>
      <c r="Q4305" t="inlineStr">
        <is>
          <t>InStock</t>
        </is>
      </c>
      <c r="R4305" t="inlineStr">
        <is>
          <t>undefined</t>
        </is>
      </c>
      <c r="S4305" t="inlineStr">
        <is>
          <t>4672501481559</t>
        </is>
      </c>
    </row>
    <row r="4306" ht="75" customHeight="1">
      <c r="A4306" s="2">
        <f>HYPERLINK("https://faoschwarz.com/products/mini-chef-home-kitchen", "https://faoschwarz.com/products/mini-chef-home-kitchen")</f>
        <v/>
      </c>
      <c r="B4306" s="2">
        <f>HYPERLINK("https://faoschwarz.com/products/mini-chef-home-kitchen", "https://faoschwarz.com/products/mini-chef-home-kitchen")</f>
        <v/>
      </c>
      <c r="C4306" t="inlineStr">
        <is>
          <t>Mini Chef Home Kitchen</t>
        </is>
      </c>
      <c r="D4306" t="inlineStr">
        <is>
          <t>12 Pack of .5 Oz Mini Spice Shakers with Stainless Steel Storage Rack - Salt &amp; Pepper, Spices, &amp; Seasonings - Stainless Steel Top &amp; Glass Body - Restaurant &amp; Home Kitchen Supplies</t>
        </is>
      </c>
      <c r="E4306" s="2">
        <f>HYPERLINK("https://www.amazon.com/Spice-Shakers-Stainless-Steel-Storage/dp/B084Q4573Z/ref=sr_1_4?keywords=Mini+Chef+Home+Kitchen&amp;qid=1695565925&amp;sr=8-4", "https://www.amazon.com/Spice-Shakers-Stainless-Steel-Storage/dp/B084Q4573Z/ref=sr_1_4?keywords=Mini+Chef+Home+Kitchen&amp;qid=1695565925&amp;sr=8-4")</f>
        <v/>
      </c>
      <c r="F4306" t="inlineStr">
        <is>
          <t>B084Q4573Z</t>
        </is>
      </c>
      <c r="G4306">
        <f>_xlfn.IMAGE("https://faoschwarz.com/cdn/shop/products/tender-leaf-preschool-mini-chef-home-kitchen-28281768902743_1080x.jpg?v=1656185223")</f>
        <v/>
      </c>
      <c r="H4306">
        <f>_xlfn.IMAGE("https://m.media-amazon.com/images/I/81OspxjCqCL._AC_UL320_.jpg")</f>
        <v/>
      </c>
      <c r="K4306" t="inlineStr">
        <is>
          <t>180.0</t>
        </is>
      </c>
      <c r="L4306" t="n">
        <v>17.99</v>
      </c>
      <c r="M4306" s="1" t="inlineStr">
        <is>
          <t>-90.01%</t>
        </is>
      </c>
      <c r="N4306" t="n">
        <v>4.5</v>
      </c>
      <c r="O4306" t="n">
        <v>1407</v>
      </c>
      <c r="Q4306" t="inlineStr">
        <is>
          <t>InStock</t>
        </is>
      </c>
      <c r="R4306" t="inlineStr">
        <is>
          <t>undefined</t>
        </is>
      </c>
      <c r="S4306" t="inlineStr">
        <is>
          <t>4672501481559</t>
        </is>
      </c>
    </row>
    <row r="4307" ht="75" customHeight="1">
      <c r="A4307" s="2">
        <f>HYPERLINK("https://faoschwarz.com/products/mini-chef-kitchen-range", "https://faoschwarz.com/products/mini-chef-kitchen-range")</f>
        <v/>
      </c>
      <c r="B4307" s="2">
        <f>HYPERLINK("https://faoschwarz.com/products/mini-chef-kitchen-range", "https://faoschwarz.com/products/mini-chef-kitchen-range")</f>
        <v/>
      </c>
      <c r="C4307" t="inlineStr">
        <is>
          <t>Mini Chef Kitchen Range</t>
        </is>
      </c>
      <c r="D4307" t="inlineStr">
        <is>
          <t>Tender Leaf Toys - Mini Chef Kitchen Range- Wooden Pretend Play Kitchen Set Develops Social, Creative and Imaginative Skills, Gender-Neutral - Age 3+</t>
        </is>
      </c>
      <c r="E4307" s="2">
        <f>HYPERLINK("https://www.amazon.com/TENDER-LEAF-TOYS-Imaginative-Gender-Neutral/dp/B087947NX8/ref=sr_1_1?keywords=Mini+Chef+Kitchen+Range&amp;qid=1695565930&amp;sr=8-1", "https://www.amazon.com/TENDER-LEAF-TOYS-Imaginative-Gender-Neutral/dp/B087947NX8/ref=sr_1_1?keywords=Mini+Chef+Kitchen+Range&amp;qid=1695565930&amp;sr=8-1")</f>
        <v/>
      </c>
      <c r="F4307" t="inlineStr">
        <is>
          <t>B087947NX8</t>
        </is>
      </c>
      <c r="G4307">
        <f>_xlfn.IMAGE("https://faoschwarz.com/cdn/shop/products/tender-leaf-preschool-mini-chef-kitchen-range-14932522434647_1080x.jpg?v=1656250323")</f>
        <v/>
      </c>
      <c r="H4307">
        <f>_xlfn.IMAGE("https://m.media-amazon.com/images/I/71QGouVEvxL._AC_UL320_.jpg")</f>
        <v/>
      </c>
      <c r="K4307" t="inlineStr">
        <is>
          <t>300.0</t>
        </is>
      </c>
      <c r="L4307" t="n">
        <v>299.99</v>
      </c>
      <c r="M4307" s="1" t="inlineStr">
        <is>
          <t>-0.00%</t>
        </is>
      </c>
      <c r="N4307" t="n">
        <v>5</v>
      </c>
      <c r="O4307" t="n">
        <v>10</v>
      </c>
      <c r="Q4307" t="inlineStr">
        <is>
          <t>InStock</t>
        </is>
      </c>
      <c r="R4307" t="inlineStr">
        <is>
          <t>undefined</t>
        </is>
      </c>
      <c r="S4307" t="inlineStr">
        <is>
          <t>4680250359895</t>
        </is>
      </c>
    </row>
    <row r="4308" ht="75" customHeight="1">
      <c r="A4308" s="2">
        <f>HYPERLINK("https://faoschwarz.com/products/mini-chef-kitchen-range", "https://faoschwarz.com/products/mini-chef-kitchen-range")</f>
        <v/>
      </c>
      <c r="B4308" s="2">
        <f>HYPERLINK("https://faoschwarz.com/products/mini-chef-kitchen-range", "https://faoschwarz.com/products/mini-chef-kitchen-range")</f>
        <v/>
      </c>
      <c r="C4308" t="inlineStr">
        <is>
          <t>Mini Chef Kitchen Range</t>
        </is>
      </c>
      <c r="D4308" t="inlineStr">
        <is>
          <t>36" Range Hood, GASLAND Chef GR36SS Curved Glass Stainless Steel Wall Mount Range Hood, 3 Speed 450 CFM Ducted Kitchen Hood with LED Lights, Sensor Touch Control, Convertible Chimney, Aluminum Filter</t>
        </is>
      </c>
      <c r="E4308" s="2">
        <f>HYPERLINK("https://www.amazon.com/GASLAND-Stainless-Kitchen-Convertible-Aluminum/dp/B0878ZDHVC/ref=sr_1_9?keywords=Mini+Chef+Kitchen+Range&amp;qid=1695565930&amp;sr=8-9", "https://www.amazon.com/GASLAND-Stainless-Kitchen-Convertible-Aluminum/dp/B0878ZDHVC/ref=sr_1_9?keywords=Mini+Chef+Kitchen+Range&amp;qid=1695565930&amp;sr=8-9")</f>
        <v/>
      </c>
      <c r="F4308" t="inlineStr">
        <is>
          <t>B0878ZDHVC</t>
        </is>
      </c>
      <c r="G4308">
        <f>_xlfn.IMAGE("https://faoschwarz.com/cdn/shop/products/tender-leaf-preschool-mini-chef-kitchen-range-14932522434647_1080x.jpg?v=1656250323")</f>
        <v/>
      </c>
      <c r="H4308">
        <f>_xlfn.IMAGE("https://m.media-amazon.com/images/I/51tEQJIknOL._AC_UL320_.jpg")</f>
        <v/>
      </c>
      <c r="K4308" t="inlineStr">
        <is>
          <t>300.0</t>
        </is>
      </c>
      <c r="L4308" t="n">
        <v>279.99</v>
      </c>
      <c r="M4308" s="1" t="inlineStr">
        <is>
          <t>-6.67%</t>
        </is>
      </c>
      <c r="N4308" t="n">
        <v>4.3</v>
      </c>
      <c r="O4308" t="n">
        <v>89</v>
      </c>
      <c r="Q4308" t="inlineStr">
        <is>
          <t>InStock</t>
        </is>
      </c>
      <c r="R4308" t="inlineStr">
        <is>
          <t>undefined</t>
        </is>
      </c>
      <c r="S4308" t="inlineStr">
        <is>
          <t>4680250359895</t>
        </is>
      </c>
    </row>
    <row r="4309" ht="75" customHeight="1">
      <c r="A4309" s="2">
        <f>HYPERLINK("https://faoschwarz.com/products/mini-chef-kitchen-range", "https://faoschwarz.com/products/mini-chef-kitchen-range")</f>
        <v/>
      </c>
      <c r="B4309" s="2">
        <f>HYPERLINK("https://faoschwarz.com/products/mini-chef-kitchen-range", "https://faoschwarz.com/products/mini-chef-kitchen-range")</f>
        <v/>
      </c>
      <c r="C4309" t="inlineStr">
        <is>
          <t>Mini Chef Kitchen Range</t>
        </is>
      </c>
      <c r="D4309" t="inlineStr">
        <is>
          <t>30" Range Hood, GASLAND Chef PR30SS Wall Mount Kitchen Hood, Ducted/Ductless Convertible,350CFM Stove Hood with Charcoal Filter,3 Speed Exhaust Hood Fan, Aluminum Mesh Filters, Stainless Steel</t>
        </is>
      </c>
      <c r="E4309" s="2">
        <f>HYPERLINK("https://www.amazon.com/Gasland-Stainless-Professional-Premium-Aluminum/dp/B07S8ZC4FN/ref=sr_1_2?keywords=Mini+Chef+Kitchen+Range&amp;qid=1695565930&amp;sr=8-2", "https://www.amazon.com/Gasland-Stainless-Professional-Premium-Aluminum/dp/B07S8ZC4FN/ref=sr_1_2?keywords=Mini+Chef+Kitchen+Range&amp;qid=1695565930&amp;sr=8-2")</f>
        <v/>
      </c>
      <c r="F4309" t="inlineStr">
        <is>
          <t>B07S8ZC4FN</t>
        </is>
      </c>
      <c r="G4309">
        <f>_xlfn.IMAGE("https://faoschwarz.com/cdn/shop/products/tender-leaf-preschool-mini-chef-kitchen-range-14932522434647_1080x.jpg?v=1656250323")</f>
        <v/>
      </c>
      <c r="H4309">
        <f>_xlfn.IMAGE("https://m.media-amazon.com/images/I/61A84DT5taL._AC_UL320_.jpg")</f>
        <v/>
      </c>
      <c r="K4309" t="inlineStr">
        <is>
          <t>300.0</t>
        </is>
      </c>
      <c r="L4309" t="n">
        <v>159.99</v>
      </c>
      <c r="M4309" s="1" t="inlineStr">
        <is>
          <t>-46.67%</t>
        </is>
      </c>
      <c r="N4309" t="n">
        <v>4.2</v>
      </c>
      <c r="O4309" t="n">
        <v>101</v>
      </c>
      <c r="Q4309" t="inlineStr">
        <is>
          <t>InStock</t>
        </is>
      </c>
      <c r="R4309" t="inlineStr">
        <is>
          <t>undefined</t>
        </is>
      </c>
      <c r="S4309" t="inlineStr">
        <is>
          <t>4680250359895</t>
        </is>
      </c>
    </row>
    <row r="4310" ht="75" customHeight="1">
      <c r="A4310" s="2">
        <f>HYPERLINK("https://faoschwarz.com/products/mini-chef-kitchen-range", "https://faoschwarz.com/products/mini-chef-kitchen-range")</f>
        <v/>
      </c>
      <c r="B4310" s="2">
        <f>HYPERLINK("https://faoschwarz.com/products/mini-chef-kitchen-range", "https://faoschwarz.com/products/mini-chef-kitchen-range")</f>
        <v/>
      </c>
      <c r="C4310" t="inlineStr">
        <is>
          <t>Mini Chef Kitchen Range</t>
        </is>
      </c>
      <c r="D4310" t="inlineStr">
        <is>
          <t>30" Wall Mount Range Hood, GASLAND Chef ECO PR30SP Ducted Kitchen Stove Hood with LED lights, 3 Speed Exhaust Fan, Push Button Control, Aluminum Filter</t>
        </is>
      </c>
      <c r="E4310" s="2">
        <f>HYPERLINK("https://www.amazon.com/GASLAND-Stainless-Exhaust-Convertible-Aluminum/dp/B08LY864DQ/ref=sr_1_8?keywords=Mini+Chef+Kitchen+Range&amp;qid=1695565930&amp;sr=8-8", "https://www.amazon.com/GASLAND-Stainless-Exhaust-Convertible-Aluminum/dp/B08LY864DQ/ref=sr_1_8?keywords=Mini+Chef+Kitchen+Range&amp;qid=1695565930&amp;sr=8-8")</f>
        <v/>
      </c>
      <c r="F4310" t="inlineStr">
        <is>
          <t>B08LY864DQ</t>
        </is>
      </c>
      <c r="G4310">
        <f>_xlfn.IMAGE("https://faoschwarz.com/cdn/shop/products/tender-leaf-preschool-mini-chef-kitchen-range-14932522434647_1080x.jpg?v=1656250323")</f>
        <v/>
      </c>
      <c r="H4310">
        <f>_xlfn.IMAGE("https://m.media-amazon.com/images/I/61Nn1LV6osL._AC_UL320_.jpg")</f>
        <v/>
      </c>
      <c r="K4310" t="inlineStr">
        <is>
          <t>300.0</t>
        </is>
      </c>
      <c r="L4310" t="n">
        <v>139.99</v>
      </c>
      <c r="M4310" s="1" t="inlineStr">
        <is>
          <t>-53.34%</t>
        </is>
      </c>
      <c r="N4310" t="n">
        <v>4.5</v>
      </c>
      <c r="O4310" t="n">
        <v>29</v>
      </c>
      <c r="Q4310" t="inlineStr">
        <is>
          <t>InStock</t>
        </is>
      </c>
      <c r="R4310" t="inlineStr">
        <is>
          <t>undefined</t>
        </is>
      </c>
      <c r="S4310" t="inlineStr">
        <is>
          <t>4680250359895</t>
        </is>
      </c>
    </row>
    <row r="4311" ht="75" customHeight="1">
      <c r="A4311" s="2">
        <f>HYPERLINK("https://faoschwarz.com/products/mini-chef-kitchen-range", "https://faoschwarz.com/products/mini-chef-kitchen-range")</f>
        <v/>
      </c>
      <c r="B4311" s="2">
        <f>HYPERLINK("https://faoschwarz.com/products/mini-chef-kitchen-range", "https://faoschwarz.com/products/mini-chef-kitchen-range")</f>
        <v/>
      </c>
      <c r="C4311" t="inlineStr">
        <is>
          <t>Mini Chef Kitchen Range</t>
        </is>
      </c>
      <c r="D4311" t="inlineStr">
        <is>
          <t>TOOKYLAND Kitchen Set for Kids, Wooden Chef Play Kitchen for Toddler with Sink,Oven,Range Hood,Stove,ice Maker and Microwave, Kids Kitchen Playset for Toddlers 4-8</t>
        </is>
      </c>
      <c r="E4311" s="2">
        <f>HYPERLINK("https://www.amazon.com/TOOKYLAND-Kitchen-Wooden-Playset-Toddlers/dp/B0BFDMX29C/ref=sr_1_6?keywords=Mini+Chef+Kitchen+Range&amp;qid=1695565930&amp;sr=8-6", "https://www.amazon.com/TOOKYLAND-Kitchen-Wooden-Playset-Toddlers/dp/B0BFDMX29C/ref=sr_1_6?keywords=Mini+Chef+Kitchen+Range&amp;qid=1695565930&amp;sr=8-6")</f>
        <v/>
      </c>
      <c r="F4311" t="inlineStr">
        <is>
          <t>B0BFDMX29C</t>
        </is>
      </c>
      <c r="G4311">
        <f>_xlfn.IMAGE("https://faoschwarz.com/cdn/shop/products/tender-leaf-preschool-mini-chef-kitchen-range-14932522434647_1080x.jpg?v=1656250323")</f>
        <v/>
      </c>
      <c r="H4311">
        <f>_xlfn.IMAGE("https://m.media-amazon.com/images/I/612huU8PJ-L._AC_UL320_.jpg")</f>
        <v/>
      </c>
      <c r="K4311" t="inlineStr">
        <is>
          <t>300.0</t>
        </is>
      </c>
      <c r="L4311" t="n">
        <v>129.99</v>
      </c>
      <c r="M4311" s="1" t="inlineStr">
        <is>
          <t>-56.67%</t>
        </is>
      </c>
      <c r="N4311" t="n">
        <v>4.4</v>
      </c>
      <c r="O4311" t="n">
        <v>62</v>
      </c>
      <c r="Q4311" t="inlineStr">
        <is>
          <t>InStock</t>
        </is>
      </c>
      <c r="R4311" t="inlineStr">
        <is>
          <t>undefined</t>
        </is>
      </c>
      <c r="S4311" t="inlineStr">
        <is>
          <t>4680250359895</t>
        </is>
      </c>
    </row>
    <row r="4312" ht="75" customHeight="1">
      <c r="A4312" s="2">
        <f>HYPERLINK("https://faoschwarz.com/products/mini-chef-kitchen-range", "https://faoschwarz.com/products/mini-chef-kitchen-range")</f>
        <v/>
      </c>
      <c r="B4312" s="2">
        <f>HYPERLINK("https://faoschwarz.com/products/mini-chef-kitchen-range", "https://faoschwarz.com/products/mini-chef-kitchen-range")</f>
        <v/>
      </c>
      <c r="C4312" t="inlineStr">
        <is>
          <t>Mini Chef Kitchen Range</t>
        </is>
      </c>
      <c r="D4312" t="inlineStr">
        <is>
          <t>Kids Junior Tiny Real Easy Cooking Kitchen Set and Baking Kit - Mini Stove Burner, Chef - Easy Cook Real Food Utensils Gift for Boys and Girls Ages 6-12</t>
        </is>
      </c>
      <c r="E4312" s="2">
        <f>HYPERLINK("https://www.amazon.com/BABYHORSE-Junior-Cooking-Kitchen-Baking/dp/B09NRXVRSR/ref=sr_1_4?keywords=Mini+Chef+Kitchen+Range&amp;qid=1695565930&amp;sr=8-4", "https://www.amazon.com/BABYHORSE-Junior-Cooking-Kitchen-Baking/dp/B09NRXVRSR/ref=sr_1_4?keywords=Mini+Chef+Kitchen+Range&amp;qid=1695565930&amp;sr=8-4")</f>
        <v/>
      </c>
      <c r="F4312" t="inlineStr">
        <is>
          <t>B09NRXVRSR</t>
        </is>
      </c>
      <c r="G4312">
        <f>_xlfn.IMAGE("https://faoschwarz.com/cdn/shop/products/tender-leaf-preschool-mini-chef-kitchen-range-14932522434647_1080x.jpg?v=1656250323")</f>
        <v/>
      </c>
      <c r="H4312">
        <f>_xlfn.IMAGE("https://m.media-amazon.com/images/I/71IH0yFhXhL._AC_UL320_.jpg")</f>
        <v/>
      </c>
      <c r="K4312" t="inlineStr">
        <is>
          <t>300.0</t>
        </is>
      </c>
      <c r="L4312" t="n">
        <v>51.99</v>
      </c>
      <c r="M4312" s="1" t="inlineStr">
        <is>
          <t>-82.67%</t>
        </is>
      </c>
      <c r="N4312" t="n">
        <v>4.5</v>
      </c>
      <c r="O4312" t="n">
        <v>32</v>
      </c>
      <c r="Q4312" t="inlineStr">
        <is>
          <t>InStock</t>
        </is>
      </c>
      <c r="R4312" t="inlineStr">
        <is>
          <t>undefined</t>
        </is>
      </c>
      <c r="S4312" t="inlineStr">
        <is>
          <t>4680250359895</t>
        </is>
      </c>
    </row>
    <row r="4313" ht="75" customHeight="1">
      <c r="A4313" s="2">
        <f>HYPERLINK("https://faoschwarz.com/products/mini-lucite-4-in-a-row-limited-edition-neon", "https://faoschwarz.com/products/mini-lucite-4-in-a-row-limited-edition-neon")</f>
        <v/>
      </c>
      <c r="B4313" s="2">
        <f>HYPERLINK("https://faoschwarz.com/products/mini-lucite-4-in-a-row-limited-edition-neon", "https://faoschwarz.com/products/mini-lucite-4-in-a-row-limited-edition-neon")</f>
        <v/>
      </c>
      <c r="C4313" t="inlineStr">
        <is>
          <t>Mini Lucite 4 In A Row Limited Edition Neon</t>
        </is>
      </c>
      <c r="D4313" t="inlineStr">
        <is>
          <t>Mini Lucite 4 in A Row Limited Edition Neon</t>
        </is>
      </c>
      <c r="E4313" s="2">
        <f>HYPERLINK("https://www.amazon.com/Lucite-Old-4-Stripe-Set/dp/B09HKTCSQ4/ref=sr_1_1?keywords=Mini+Lucite+4+In+A+Row+Limited+Edition+Neon&amp;qid=1695565979&amp;sr=8-1", "https://www.amazon.com/Lucite-Old-4-Stripe-Set/dp/B09HKTCSQ4/ref=sr_1_1?keywords=Mini+Lucite+4+In+A+Row+Limited+Edition+Neon&amp;qid=1695565979&amp;sr=8-1")</f>
        <v/>
      </c>
      <c r="F4313" t="inlineStr">
        <is>
          <t>B09HKTCSQ4</t>
        </is>
      </c>
      <c r="G4313">
        <f>_xlfn.IMAGE("https://faoschwarz.com/cdn/shop/products/sunnylife-outdoor-mini-lucite-4-in-a-row-limited-edition-neon-29384532557911_1080x.jpg?v=1660682212")</f>
        <v/>
      </c>
      <c r="H4313">
        <f>_xlfn.IMAGE("https://m.media-amazon.com/images/I/917zsT98t+L._AC_UL320_.jpg")</f>
        <v/>
      </c>
      <c r="K4313" t="inlineStr">
        <is>
          <t>110.0</t>
        </is>
      </c>
      <c r="L4313" t="n">
        <v>76</v>
      </c>
      <c r="M4313" s="1" t="inlineStr">
        <is>
          <t>-30.91%</t>
        </is>
      </c>
      <c r="N4313" t="n">
        <v>5</v>
      </c>
      <c r="O4313" t="n">
        <v>1</v>
      </c>
      <c r="Q4313" t="inlineStr">
        <is>
          <t>InStock</t>
        </is>
      </c>
      <c r="R4313" t="inlineStr">
        <is>
          <t>undefined</t>
        </is>
      </c>
      <c r="S4313" t="inlineStr">
        <is>
          <t>6795557765207</t>
        </is>
      </c>
    </row>
    <row r="4314" ht="75" customHeight="1">
      <c r="A4314" s="2">
        <f>HYPERLINK("https://faoschwarz.com/products/mini-lucite-4-in-a-row-limited-edition-neon", "https://faoschwarz.com/products/mini-lucite-4-in-a-row-limited-edition-neon")</f>
        <v/>
      </c>
      <c r="B4314" s="2">
        <f>HYPERLINK("https://faoschwarz.com/products/mini-lucite-4-in-a-row-limited-edition-neon", "https://faoschwarz.com/products/mini-lucite-4-in-a-row-limited-edition-neon")</f>
        <v/>
      </c>
      <c r="C4314" t="inlineStr">
        <is>
          <t>Mini Lucite 4 In A Row Limited Edition Neon</t>
        </is>
      </c>
      <c r="D4314" t="inlineStr">
        <is>
          <t>Mini Lucite 4 in A Row Limited Edition Neon</t>
        </is>
      </c>
      <c r="E4314" s="2">
        <f>HYPERLINK("https://www.amazon.com/Lucite-Old-4-Stripe-Set/dp/B09HKTCSQ4/ref=sr_1_1?keywords=Mini+Lucite+4+In+A+Row+Limited+Edition+Neon&amp;qid=1695565979&amp;sr=8-1", "https://www.amazon.com/Lucite-Old-4-Stripe-Set/dp/B09HKTCSQ4/ref=sr_1_1?keywords=Mini+Lucite+4+In+A+Row+Limited+Edition+Neon&amp;qid=1695565979&amp;sr=8-1")</f>
        <v/>
      </c>
      <c r="F4314" t="inlineStr">
        <is>
          <t>B09HKTCSQ4</t>
        </is>
      </c>
      <c r="G4314">
        <f>_xlfn.IMAGE("https://faoschwarz.com/cdn/shop/products/sunnylife-outdoor-mini-lucite-4-in-a-row-limited-edition-neon-29384532557911_1080x.jpg?v=1660682212")</f>
        <v/>
      </c>
      <c r="H4314">
        <f>_xlfn.IMAGE("https://m.media-amazon.com/images/I/917zsT98t+L._AC_UL320_.jpg")</f>
        <v/>
      </c>
      <c r="K4314" t="inlineStr">
        <is>
          <t>110.0</t>
        </is>
      </c>
      <c r="L4314" t="n">
        <v>76</v>
      </c>
      <c r="M4314" s="1" t="inlineStr">
        <is>
          <t>-30.91%</t>
        </is>
      </c>
      <c r="N4314" t="n">
        <v>5</v>
      </c>
      <c r="O4314" t="n">
        <v>1</v>
      </c>
      <c r="Q4314" t="inlineStr">
        <is>
          <t>InStock</t>
        </is>
      </c>
      <c r="R4314" t="inlineStr">
        <is>
          <t>undefined</t>
        </is>
      </c>
      <c r="S4314" t="inlineStr">
        <is>
          <t>6795557765207</t>
        </is>
      </c>
    </row>
    <row r="4315" ht="75" customHeight="1">
      <c r="A4315" s="2">
        <f>HYPERLINK("https://faoschwarz.com/products/mini-rocket-16-pcs", "https://faoschwarz.com/products/mini-rocket-16-pcs")</f>
        <v/>
      </c>
      <c r="B4315" s="2">
        <f>HYPERLINK("https://faoschwarz.com/products/mini-rocket-16-pcs", "https://faoschwarz.com/products/mini-rocket-16-pcs")</f>
        <v/>
      </c>
      <c r="C4315" t="inlineStr">
        <is>
          <t>Spaceship Jigsaw Puzzle</t>
        </is>
      </c>
      <c r="D4315" t="inlineStr">
        <is>
          <t>Mudpuppy Spaceship Shaped Mini Puzzle, 24 Pieces, 6” x 6” – Die-Cut Jigsaw Puzzle in The Shape of a Spaceship Driven by a Hippo – Great Travel Activity for Kids, Makes a Great Gift Idea, Multicolor</t>
        </is>
      </c>
      <c r="E4315" s="2">
        <f>HYPERLINK("https://www.amazon.com/Mudpuppy-Spaceship-Shaped-Puzzle-Pieces/dp/0735365040/ref=sr_1_2?keywords=Spaceship+Jigsaw+Puzzle&amp;qid=1695566040&amp;sr=8-2", "https://www.amazon.com/Mudpuppy-Spaceship-Shaped-Puzzle-Pieces/dp/0735365040/ref=sr_1_2?keywords=Spaceship+Jigsaw+Puzzle&amp;qid=1695566040&amp;sr=8-2")</f>
        <v/>
      </c>
      <c r="F4315" t="inlineStr">
        <is>
          <t>0735365040</t>
        </is>
      </c>
      <c r="G4315">
        <f>_xlfn.IMAGE("https://faoschwarz.com/cdn/shop/products/djeco-puzzles-spaceship-jigsaw-puzzle-28821844295767_1080x.jpg?v=1655999044")</f>
        <v/>
      </c>
      <c r="H4315">
        <f>_xlfn.IMAGE("https://m.media-amazon.com/images/I/61lZCKyW+9L._AC_UL320_.jpg")</f>
        <v/>
      </c>
      <c r="K4315" t="inlineStr">
        <is>
          <t>13.0</t>
        </is>
      </c>
      <c r="L4315" t="n">
        <v>4.99</v>
      </c>
      <c r="M4315" s="1" t="inlineStr">
        <is>
          <t>-61.62%</t>
        </is>
      </c>
      <c r="N4315" t="n">
        <v>4.4</v>
      </c>
      <c r="O4315" t="n">
        <v>119</v>
      </c>
      <c r="Q4315" t="inlineStr">
        <is>
          <t>InStock</t>
        </is>
      </c>
      <c r="R4315" t="inlineStr">
        <is>
          <t>undefined</t>
        </is>
      </c>
      <c r="S4315" t="inlineStr">
        <is>
          <t>6562331983959</t>
        </is>
      </c>
    </row>
    <row r="4316" ht="75" customHeight="1">
      <c r="A4316" s="2">
        <f>HYPERLINK("https://faoschwarz.com/products/mini-rocket-16-pcs", "https://faoschwarz.com/products/mini-rocket-16-pcs")</f>
        <v/>
      </c>
      <c r="B4316" s="2">
        <f>HYPERLINK("https://faoschwarz.com/products/mini-rocket-16-pcs", "https://faoschwarz.com/products/mini-rocket-16-pcs")</f>
        <v/>
      </c>
      <c r="C4316" t="inlineStr">
        <is>
          <t>Spaceship Jigsaw Puzzle</t>
        </is>
      </c>
      <c r="D4316" t="inlineStr">
        <is>
          <t>Mudpuppy Spaceship Shaped Mini Puzzle, 24 Pieces, 6” x 6” – Die-Cut Jigsaw Puzzle in The Shape of a Spaceship Driven by a Hippo – Great Travel Activity for Kids, Makes a Great Gift Idea, Multicolor</t>
        </is>
      </c>
      <c r="E4316" s="2">
        <f>HYPERLINK("https://www.amazon.com/Mudpuppy-Spaceship-Shaped-Puzzle-Pieces/dp/0735365040/ref=sr_1_2?keywords=Spaceship+Jigsaw+Puzzle&amp;qid=1695566040&amp;sr=8-2", "https://www.amazon.com/Mudpuppy-Spaceship-Shaped-Puzzle-Pieces/dp/0735365040/ref=sr_1_2?keywords=Spaceship+Jigsaw+Puzzle&amp;qid=1695566040&amp;sr=8-2")</f>
        <v/>
      </c>
      <c r="F4316" t="inlineStr">
        <is>
          <t>0735365040</t>
        </is>
      </c>
      <c r="G4316">
        <f>_xlfn.IMAGE("https://faoschwarz.com/cdn/shop/products/djeco-puzzles-spaceship-jigsaw-puzzle-28821844295767_1080x.jpg?v=1655999044")</f>
        <v/>
      </c>
      <c r="H4316">
        <f>_xlfn.IMAGE("https://m.media-amazon.com/images/I/61lZCKyW+9L._AC_UL320_.jpg")</f>
        <v/>
      </c>
      <c r="K4316" t="inlineStr">
        <is>
          <t>13.0</t>
        </is>
      </c>
      <c r="L4316" t="n">
        <v>4.99</v>
      </c>
      <c r="M4316" s="1" t="inlineStr">
        <is>
          <t>-61.62%</t>
        </is>
      </c>
      <c r="N4316" t="n">
        <v>4.4</v>
      </c>
      <c r="O4316" t="n">
        <v>119</v>
      </c>
      <c r="Q4316" t="inlineStr">
        <is>
          <t>InStock</t>
        </is>
      </c>
      <c r="R4316" t="inlineStr">
        <is>
          <t>undefined</t>
        </is>
      </c>
      <c r="S4316" t="inlineStr">
        <is>
          <t>6562331983959</t>
        </is>
      </c>
    </row>
    <row r="4317" ht="75" customHeight="1">
      <c r="A4317" s="2">
        <f>HYPERLINK("https://faoschwarz.com/products/monopoly-85th-anniversary-edition", "https://faoschwarz.com/products/monopoly-85th-anniversary-edition")</f>
        <v/>
      </c>
      <c r="B4317" s="2">
        <f>HYPERLINK("https://faoschwarz.com/products/monopoly-85th-anniversary-edition", "https://faoschwarz.com/products/monopoly-85th-anniversary-edition")</f>
        <v/>
      </c>
      <c r="C4317" t="inlineStr">
        <is>
          <t>MONOPOLY 85TH ANNIVERSARY EDITION</t>
        </is>
      </c>
      <c r="D4317" t="inlineStr">
        <is>
          <t>WS Game Company Monopoly 85th Anniversary Edition</t>
        </is>
      </c>
      <c r="E4317" s="2">
        <f>HYPERLINK("https://www.amazon.com/Monopoly-85th-Anniversary-Swarovski-Edition/dp/B08K1YWY8B/ref=sr_1_2?keywords=MONOPOLY+85TH+ANNIVERSARY+EDITION&amp;qid=1695566002&amp;sr=8-2", "https://www.amazon.com/Monopoly-85th-Anniversary-Swarovski-Edition/dp/B08K1YWY8B/ref=sr_1_2?keywords=MONOPOLY+85TH+ANNIVERSARY+EDITION&amp;qid=1695566002&amp;sr=8-2")</f>
        <v/>
      </c>
      <c r="F4317" t="inlineStr">
        <is>
          <t>B08K1YWY8B</t>
        </is>
      </c>
      <c r="G4317">
        <f>_xlfn.IMAGE("https://faoschwarz.com/cdn/shop/products/ws-game-company-games-monopoly-85th-anniversary-edition-28699143569495_1080x.jpg?v=1656005000")</f>
        <v/>
      </c>
      <c r="H4317">
        <f>_xlfn.IMAGE("https://m.media-amazon.com/images/I/81-aZgy3ChL._AC_UL320_.jpg")</f>
        <v/>
      </c>
      <c r="K4317" t="inlineStr">
        <is>
          <t>1000.0</t>
        </is>
      </c>
      <c r="L4317" t="n">
        <v>899.99</v>
      </c>
      <c r="M4317" s="1" t="inlineStr">
        <is>
          <t>-10.00%</t>
        </is>
      </c>
      <c r="N4317" t="n">
        <v>5</v>
      </c>
      <c r="O4317" t="n">
        <v>3</v>
      </c>
      <c r="Q4317" t="inlineStr">
        <is>
          <t>InStock</t>
        </is>
      </c>
      <c r="R4317" t="inlineStr">
        <is>
          <t>undefined</t>
        </is>
      </c>
      <c r="S4317" t="inlineStr">
        <is>
          <t>6679966646359</t>
        </is>
      </c>
    </row>
    <row r="4318" ht="75" customHeight="1">
      <c r="A4318" s="2">
        <f>HYPERLINK("https://faoschwarz.com/products/monopoly-85th-anniversary-edition", "https://faoschwarz.com/products/monopoly-85th-anniversary-edition")</f>
        <v/>
      </c>
      <c r="B4318" s="2">
        <f>HYPERLINK("https://faoschwarz.com/products/monopoly-85th-anniversary-edition", "https://faoschwarz.com/products/monopoly-85th-anniversary-edition")</f>
        <v/>
      </c>
      <c r="C4318" t="inlineStr">
        <is>
          <t>MONOPOLY 85TH ANNIVERSARY EDITION</t>
        </is>
      </c>
      <c r="D4318" t="inlineStr">
        <is>
          <t>Hasbro Monopoly Game 70th Anniversary Edition</t>
        </is>
      </c>
      <c r="E4318" s="2">
        <f>HYPERLINK("https://www.amazon.com/Hasbro-Monopoly-Game-70th-Anniversary/dp/B00061I4YM/ref=sr_1_9?keywords=MONOPOLY+85TH+ANNIVERSARY+EDITION&amp;qid=1695566002&amp;sr=8-9", "https://www.amazon.com/Hasbro-Monopoly-Game-70th-Anniversary/dp/B00061I4YM/ref=sr_1_9?keywords=MONOPOLY+85TH+ANNIVERSARY+EDITION&amp;qid=1695566002&amp;sr=8-9")</f>
        <v/>
      </c>
      <c r="F4318" t="inlineStr">
        <is>
          <t>B00061I4YM</t>
        </is>
      </c>
      <c r="G4318">
        <f>_xlfn.IMAGE("https://faoschwarz.com/cdn/shop/products/ws-game-company-games-monopoly-85th-anniversary-edition-28699143569495_1080x.jpg?v=1656005000")</f>
        <v/>
      </c>
      <c r="H4318">
        <f>_xlfn.IMAGE("https://m.media-amazon.com/images/I/A1N95J13ULL._AC_UL320_.jpg")</f>
        <v/>
      </c>
      <c r="K4318" t="inlineStr">
        <is>
          <t>1000.0</t>
        </is>
      </c>
      <c r="L4318" t="n">
        <v>72.16</v>
      </c>
      <c r="M4318" s="1" t="inlineStr">
        <is>
          <t>-92.78%</t>
        </is>
      </c>
      <c r="N4318" t="n">
        <v>3.9</v>
      </c>
      <c r="O4318" t="n">
        <v>20</v>
      </c>
      <c r="Q4318" t="inlineStr">
        <is>
          <t>InStock</t>
        </is>
      </c>
      <c r="R4318" t="inlineStr">
        <is>
          <t>undefined</t>
        </is>
      </c>
      <c r="S4318" t="inlineStr">
        <is>
          <t>6679966646359</t>
        </is>
      </c>
    </row>
    <row r="4319" ht="75" customHeight="1">
      <c r="A4319" s="2">
        <f>HYPERLINK("https://faoschwarz.com/products/monopoly-85th-anniversary-edition", "https://faoschwarz.com/products/monopoly-85th-anniversary-edition")</f>
        <v/>
      </c>
      <c r="B4319" s="2">
        <f>HYPERLINK("https://faoschwarz.com/products/monopoly-85th-anniversary-edition", "https://faoschwarz.com/products/monopoly-85th-anniversary-edition")</f>
        <v/>
      </c>
      <c r="C4319" t="inlineStr">
        <is>
          <t>MONOPOLY 85TH ANNIVERSARY EDITION</t>
        </is>
      </c>
      <c r="D4319" t="inlineStr">
        <is>
          <t>Monopoly: 85th Anniversary Edition</t>
        </is>
      </c>
      <c r="E4319" s="2">
        <f>HYPERLINK("https://www.amazon.com/Monopoly-E9983-85th-Anniversary-Edition/dp/B08X7H32Q7/ref=sr_1_1?keywords=MONOPOLY+85TH+ANNIVERSARY+EDITION&amp;qid=1695566002&amp;sr=8-1", "https://www.amazon.com/Monopoly-E9983-85th-Anniversary-Edition/dp/B08X7H32Q7/ref=sr_1_1?keywords=MONOPOLY+85TH+ANNIVERSARY+EDITION&amp;qid=1695566002&amp;sr=8-1")</f>
        <v/>
      </c>
      <c r="F4319" t="inlineStr">
        <is>
          <t>B08X7H32Q7</t>
        </is>
      </c>
      <c r="G4319">
        <f>_xlfn.IMAGE("https://faoschwarz.com/cdn/shop/products/ws-game-company-games-monopoly-85th-anniversary-edition-28699143569495_1080x.jpg?v=1656005000")</f>
        <v/>
      </c>
      <c r="H4319">
        <f>_xlfn.IMAGE("https://m.media-amazon.com/images/I/71n6ue9LExL._AC_UL320_.jpg")</f>
        <v/>
      </c>
      <c r="K4319" t="inlineStr">
        <is>
          <t>1000.0</t>
        </is>
      </c>
      <c r="L4319" t="n">
        <v>39.99</v>
      </c>
      <c r="M4319" s="1" t="inlineStr">
        <is>
          <t>-96.00%</t>
        </is>
      </c>
      <c r="N4319" t="n">
        <v>4.5</v>
      </c>
      <c r="O4319" t="n">
        <v>213</v>
      </c>
      <c r="Q4319" t="inlineStr">
        <is>
          <t>InStock</t>
        </is>
      </c>
      <c r="R4319" t="inlineStr">
        <is>
          <t>undefined</t>
        </is>
      </c>
      <c r="S4319" t="inlineStr">
        <is>
          <t>6679966646359</t>
        </is>
      </c>
    </row>
    <row r="4320" ht="75" customHeight="1">
      <c r="A4320" s="2">
        <f>HYPERLINK("https://faoschwarz.com/products/monopoly-85th-anniversary-edition", "https://faoschwarz.com/products/monopoly-85th-anniversary-edition")</f>
        <v/>
      </c>
      <c r="B4320" s="2">
        <f>HYPERLINK("https://faoschwarz.com/products/monopoly-85th-anniversary-edition", "https://faoschwarz.com/products/monopoly-85th-anniversary-edition")</f>
        <v/>
      </c>
      <c r="C4320" t="inlineStr">
        <is>
          <t>MONOPOLY 85TH ANNIVERSARY EDITION</t>
        </is>
      </c>
      <c r="D4320" t="inlineStr">
        <is>
          <t>WS Game Company Monopoly 85th Anniversary Edition</t>
        </is>
      </c>
      <c r="E4320" s="2">
        <f>HYPERLINK("https://www.amazon.com/Monopoly-85th-Anniversary-Swarovski-Edition/dp/B08K1YWY8B/ref=sr_1_2?keywords=MONOPOLY+85TH+ANNIVERSARY+EDITION&amp;qid=1695566002&amp;sr=8-2", "https://www.amazon.com/Monopoly-85th-Anniversary-Swarovski-Edition/dp/B08K1YWY8B/ref=sr_1_2?keywords=MONOPOLY+85TH+ANNIVERSARY+EDITION&amp;qid=1695566002&amp;sr=8-2")</f>
        <v/>
      </c>
      <c r="F4320" t="inlineStr">
        <is>
          <t>B08K1YWY8B</t>
        </is>
      </c>
      <c r="G4320">
        <f>_xlfn.IMAGE("https://faoschwarz.com/cdn/shop/products/ws-game-company-games-monopoly-85th-anniversary-edition-28699143569495_1080x.jpg?v=1656005000")</f>
        <v/>
      </c>
      <c r="H4320">
        <f>_xlfn.IMAGE("https://m.media-amazon.com/images/I/81-aZgy3ChL._AC_UL320_.jpg")</f>
        <v/>
      </c>
      <c r="K4320" t="inlineStr">
        <is>
          <t>1000.0</t>
        </is>
      </c>
      <c r="L4320" t="n">
        <v>899.99</v>
      </c>
      <c r="M4320" s="1" t="inlineStr">
        <is>
          <t>-10.00%</t>
        </is>
      </c>
      <c r="N4320" t="n">
        <v>5</v>
      </c>
      <c r="O4320" t="n">
        <v>3</v>
      </c>
      <c r="Q4320" t="inlineStr">
        <is>
          <t>InStock</t>
        </is>
      </c>
      <c r="R4320" t="inlineStr">
        <is>
          <t>undefined</t>
        </is>
      </c>
      <c r="S4320" t="inlineStr">
        <is>
          <t>6679966646359</t>
        </is>
      </c>
    </row>
    <row r="4321" ht="75" customHeight="1">
      <c r="A4321" s="2">
        <f>HYPERLINK("https://faoschwarz.com/products/monopoly-85th-anniversary-edition", "https://faoschwarz.com/products/monopoly-85th-anniversary-edition")</f>
        <v/>
      </c>
      <c r="B4321" s="2">
        <f>HYPERLINK("https://faoschwarz.com/products/monopoly-85th-anniversary-edition", "https://faoschwarz.com/products/monopoly-85th-anniversary-edition")</f>
        <v/>
      </c>
      <c r="C4321" t="inlineStr">
        <is>
          <t>MONOPOLY 85TH ANNIVERSARY EDITION</t>
        </is>
      </c>
      <c r="D4321" t="inlineStr">
        <is>
          <t>Hasbro Monopoly Game 70th Anniversary Edition</t>
        </is>
      </c>
      <c r="E4321" s="2">
        <f>HYPERLINK("https://www.amazon.com/Hasbro-Monopoly-Game-70th-Anniversary/dp/B00061I4YM/ref=sr_1_9?keywords=MONOPOLY+85TH+ANNIVERSARY+EDITION&amp;qid=1695566002&amp;sr=8-9", "https://www.amazon.com/Hasbro-Monopoly-Game-70th-Anniversary/dp/B00061I4YM/ref=sr_1_9?keywords=MONOPOLY+85TH+ANNIVERSARY+EDITION&amp;qid=1695566002&amp;sr=8-9")</f>
        <v/>
      </c>
      <c r="F4321" t="inlineStr">
        <is>
          <t>B00061I4YM</t>
        </is>
      </c>
      <c r="G4321">
        <f>_xlfn.IMAGE("https://faoschwarz.com/cdn/shop/products/ws-game-company-games-monopoly-85th-anniversary-edition-28699143569495_1080x.jpg?v=1656005000")</f>
        <v/>
      </c>
      <c r="H4321">
        <f>_xlfn.IMAGE("https://m.media-amazon.com/images/I/A1N95J13ULL._AC_UL320_.jpg")</f>
        <v/>
      </c>
      <c r="K4321" t="inlineStr">
        <is>
          <t>1000.0</t>
        </is>
      </c>
      <c r="L4321" t="n">
        <v>72.16</v>
      </c>
      <c r="M4321" s="1" t="inlineStr">
        <is>
          <t>-92.78%</t>
        </is>
      </c>
      <c r="N4321" t="n">
        <v>3.9</v>
      </c>
      <c r="O4321" t="n">
        <v>20</v>
      </c>
      <c r="Q4321" t="inlineStr">
        <is>
          <t>InStock</t>
        </is>
      </c>
      <c r="R4321" t="inlineStr">
        <is>
          <t>undefined</t>
        </is>
      </c>
      <c r="S4321" t="inlineStr">
        <is>
          <t>6679966646359</t>
        </is>
      </c>
    </row>
    <row r="4322" ht="75" customHeight="1">
      <c r="A4322" s="2">
        <f>HYPERLINK("https://faoschwarz.com/products/monopoly-85th-anniversary-edition", "https://faoschwarz.com/products/monopoly-85th-anniversary-edition")</f>
        <v/>
      </c>
      <c r="B4322" s="2">
        <f>HYPERLINK("https://faoschwarz.com/products/monopoly-85th-anniversary-edition", "https://faoschwarz.com/products/monopoly-85th-anniversary-edition")</f>
        <v/>
      </c>
      <c r="C4322" t="inlineStr">
        <is>
          <t>MONOPOLY 85TH ANNIVERSARY EDITION</t>
        </is>
      </c>
      <c r="D4322" t="inlineStr">
        <is>
          <t>Monopoly: 85th Anniversary Edition</t>
        </is>
      </c>
      <c r="E4322" s="2">
        <f>HYPERLINK("https://www.amazon.com/Monopoly-E9983-85th-Anniversary-Edition/dp/B08X7H32Q7/ref=sr_1_1?keywords=MONOPOLY+85TH+ANNIVERSARY+EDITION&amp;qid=1695566002&amp;sr=8-1", "https://www.amazon.com/Monopoly-E9983-85th-Anniversary-Edition/dp/B08X7H32Q7/ref=sr_1_1?keywords=MONOPOLY+85TH+ANNIVERSARY+EDITION&amp;qid=1695566002&amp;sr=8-1")</f>
        <v/>
      </c>
      <c r="F4322" t="inlineStr">
        <is>
          <t>B08X7H32Q7</t>
        </is>
      </c>
      <c r="G4322">
        <f>_xlfn.IMAGE("https://faoschwarz.com/cdn/shop/products/ws-game-company-games-monopoly-85th-anniversary-edition-28699143569495_1080x.jpg?v=1656005000")</f>
        <v/>
      </c>
      <c r="H4322">
        <f>_xlfn.IMAGE("https://m.media-amazon.com/images/I/71n6ue9LExL._AC_UL320_.jpg")</f>
        <v/>
      </c>
      <c r="K4322" t="inlineStr">
        <is>
          <t>1000.0</t>
        </is>
      </c>
      <c r="L4322" t="n">
        <v>39.99</v>
      </c>
      <c r="M4322" s="1" t="inlineStr">
        <is>
          <t>-96.00%</t>
        </is>
      </c>
      <c r="N4322" t="n">
        <v>4.5</v>
      </c>
      <c r="O4322" t="n">
        <v>213</v>
      </c>
      <c r="Q4322" t="inlineStr">
        <is>
          <t>InStock</t>
        </is>
      </c>
      <c r="R4322" t="inlineStr">
        <is>
          <t>undefined</t>
        </is>
      </c>
      <c r="S4322" t="inlineStr">
        <is>
          <t>6679966646359</t>
        </is>
      </c>
    </row>
    <row r="4323" ht="75" customHeight="1">
      <c r="A4323" s="2">
        <f>HYPERLINK("https://faoschwarz.com/products/monopoly-del-mar-shagreen-edition", "https://faoschwarz.com/products/monopoly-del-mar-shagreen-edition")</f>
        <v/>
      </c>
      <c r="B4323" s="2">
        <f>HYPERLINK("https://faoschwarz.com/products/monopoly-del-mar-shagreen-edition", "https://faoschwarz.com/products/monopoly-del-mar-shagreen-edition")</f>
        <v/>
      </c>
      <c r="C4323" t="inlineStr">
        <is>
          <t>Monopoly Del Mar Shagreen Edition</t>
        </is>
      </c>
      <c r="D4323" t="inlineStr">
        <is>
          <t>WS Game Company Monopoly Del Mar Shagreen Edition</t>
        </is>
      </c>
      <c r="E4323" s="2">
        <f>HYPERLINK("https://www.amazon.com/WS-Game-Company-Monopoly-Shagreen/dp/B0BBF2P98K/ref=sr_1_1?keywords=Monopoly+Del+Mar+Shagreen+Edition&amp;qid=1695565983&amp;sr=8-1", "https://www.amazon.com/WS-Game-Company-Monopoly-Shagreen/dp/B0BBF2P98K/ref=sr_1_1?keywords=Monopoly+Del+Mar+Shagreen+Edition&amp;qid=1695565983&amp;sr=8-1")</f>
        <v/>
      </c>
      <c r="F4323" t="inlineStr">
        <is>
          <t>B0BBF2P98K</t>
        </is>
      </c>
      <c r="G4323">
        <f>_xlfn.IMAGE("https://faoschwarz.com/cdn/shop/files/ws-game-company-games-monopoly-del-mar-shagreen-edition-30432177520727_1080x.jpg?v=1693343762")</f>
        <v/>
      </c>
      <c r="H4323">
        <f>_xlfn.IMAGE("https://m.media-amazon.com/images/I/81eC3hAsLBL._AC_UL320_.jpg")</f>
        <v/>
      </c>
      <c r="K4323" t="inlineStr">
        <is>
          <t>250.0</t>
        </is>
      </c>
      <c r="L4323" t="n">
        <v>199.99</v>
      </c>
      <c r="M4323" s="1" t="inlineStr">
        <is>
          <t>-20.00%</t>
        </is>
      </c>
      <c r="N4323" t="n">
        <v>5</v>
      </c>
      <c r="O4323" t="n">
        <v>1</v>
      </c>
      <c r="Q4323" t="inlineStr">
        <is>
          <t>InStock</t>
        </is>
      </c>
      <c r="R4323" t="inlineStr">
        <is>
          <t>undefined</t>
        </is>
      </c>
      <c r="S4323" t="inlineStr">
        <is>
          <t>6887071154263</t>
        </is>
      </c>
    </row>
    <row r="4324" ht="75" customHeight="1">
      <c r="A4324" s="2">
        <f>HYPERLINK("https://faoschwarz.com/products/monopoly-del-mar-shagreen-edition", "https://faoschwarz.com/products/monopoly-del-mar-shagreen-edition")</f>
        <v/>
      </c>
      <c r="B4324" s="2">
        <f>HYPERLINK("https://faoschwarz.com/products/monopoly-del-mar-shagreen-edition", "https://faoschwarz.com/products/monopoly-del-mar-shagreen-edition")</f>
        <v/>
      </c>
      <c r="C4324" t="inlineStr">
        <is>
          <t>Monopoly Del Mar Shagreen Edition</t>
        </is>
      </c>
      <c r="D4324" t="inlineStr">
        <is>
          <t>WS Game Company Monopoly Del Mar Shagreen Edition</t>
        </is>
      </c>
      <c r="E4324" s="2">
        <f>HYPERLINK("https://www.amazon.com/WS-Game-Company-Monopoly-Shagreen/dp/B0BBF2P98K/ref=sr_1_1?keywords=Monopoly+Del+Mar+Shagreen+Edition&amp;qid=1695565983&amp;sr=8-1", "https://www.amazon.com/WS-Game-Company-Monopoly-Shagreen/dp/B0BBF2P98K/ref=sr_1_1?keywords=Monopoly+Del+Mar+Shagreen+Edition&amp;qid=1695565983&amp;sr=8-1")</f>
        <v/>
      </c>
      <c r="F4324" t="inlineStr">
        <is>
          <t>B0BBF2P98K</t>
        </is>
      </c>
      <c r="G4324">
        <f>_xlfn.IMAGE("https://faoschwarz.com/cdn/shop/files/ws-game-company-games-monopoly-del-mar-shagreen-edition-30432177520727_1080x.jpg?v=1693343762")</f>
        <v/>
      </c>
      <c r="H4324">
        <f>_xlfn.IMAGE("https://m.media-amazon.com/images/I/81eC3hAsLBL._AC_UL320_.jpg")</f>
        <v/>
      </c>
      <c r="K4324" t="inlineStr">
        <is>
          <t>250.0</t>
        </is>
      </c>
      <c r="L4324" t="n">
        <v>199.99</v>
      </c>
      <c r="M4324" s="1" t="inlineStr">
        <is>
          <t>-20.00%</t>
        </is>
      </c>
      <c r="N4324" t="n">
        <v>5</v>
      </c>
      <c r="O4324" t="n">
        <v>1</v>
      </c>
      <c r="Q4324" t="inlineStr">
        <is>
          <t>InStock</t>
        </is>
      </c>
      <c r="R4324" t="inlineStr">
        <is>
          <t>undefined</t>
        </is>
      </c>
      <c r="S4324" t="inlineStr">
        <is>
          <t>6887071154263</t>
        </is>
      </c>
    </row>
    <row r="4325" ht="75" customHeight="1">
      <c r="A4325" s="2">
        <f>HYPERLINK("https://faoschwarz.com/products/monopoly-glass-edition", "https://faoschwarz.com/products/monopoly-glass-edition")</f>
        <v/>
      </c>
      <c r="B4325" s="2">
        <f>HYPERLINK("https://faoschwarz.com/products/monopoly-glass-edition", "https://faoschwarz.com/products/monopoly-glass-edition")</f>
        <v/>
      </c>
      <c r="C4325" t="inlineStr">
        <is>
          <t>Monopoly Glass Edition</t>
        </is>
      </c>
      <c r="D4325" t="inlineStr">
        <is>
          <t>WS Game Company Monopoly Prisma Glass Edition</t>
        </is>
      </c>
      <c r="E4325" s="2">
        <f>HYPERLINK("https://www.amazon.com/WS-Game-Company-Monopoly-Prisma/dp/B0BC96266S/ref=sr_1_1?keywords=Monopoly+Glass+Edition&amp;qid=1695566000&amp;sr=8-1", "https://www.amazon.com/WS-Game-Company-Monopoly-Prisma/dp/B0BC96266S/ref=sr_1_1?keywords=Monopoly+Glass+Edition&amp;qid=1695566000&amp;sr=8-1")</f>
        <v/>
      </c>
      <c r="F4325" t="inlineStr">
        <is>
          <t>B0BC96266S</t>
        </is>
      </c>
      <c r="G4325">
        <f>_xlfn.IMAGE("https://faoschwarz.com/cdn/shop/products/ws-game-company-games-monopoly-glass-edition-28455260618839_1080x.jpg?v=1656068316")</f>
        <v/>
      </c>
      <c r="H4325">
        <f>_xlfn.IMAGE("https://m.media-amazon.com/images/I/71lzdN31AEL._AC_UL320_.jpg")</f>
        <v/>
      </c>
      <c r="K4325" t="inlineStr">
        <is>
          <t>100.0</t>
        </is>
      </c>
      <c r="L4325" t="n">
        <v>199.99</v>
      </c>
      <c r="M4325" s="1" t="inlineStr">
        <is>
          <t>99.99%</t>
        </is>
      </c>
      <c r="N4325" t="n">
        <v>5</v>
      </c>
      <c r="O4325" t="n">
        <v>5</v>
      </c>
      <c r="Q4325" t="inlineStr">
        <is>
          <t>InStock</t>
        </is>
      </c>
      <c r="R4325" t="inlineStr">
        <is>
          <t>undefined</t>
        </is>
      </c>
      <c r="S4325" t="inlineStr">
        <is>
          <t>6615673569367</t>
        </is>
      </c>
    </row>
    <row r="4326" ht="75" customHeight="1">
      <c r="A4326" s="2">
        <f>HYPERLINK("https://faoschwarz.com/products/monopoly-heirloom-edition", "https://faoschwarz.com/products/monopoly-heirloom-edition")</f>
        <v/>
      </c>
      <c r="B4326" s="2">
        <f>HYPERLINK("https://faoschwarz.com/products/monopoly-heirloom-edition", "https://faoschwarz.com/products/monopoly-heirloom-edition")</f>
        <v/>
      </c>
      <c r="C4326" t="inlineStr">
        <is>
          <t>Monopoly Heirloom Edition</t>
        </is>
      </c>
      <c r="D4326" t="inlineStr">
        <is>
          <t>WS Game Company Monopoly Heirloom Edition, 2 to 6 Players</t>
        </is>
      </c>
      <c r="E4326" s="2">
        <f>HYPERLINK("https://www.amazon.com/WS-Game-Company-Monopoly-Heirloom/dp/B07W4FSNL5/ref=sr_1_1?keywords=Monopoly+Heirloom+Edition&amp;qid=1695565988&amp;sr=8-1", "https://www.amazon.com/WS-Game-Company-Monopoly-Heirloom/dp/B07W4FSNL5/ref=sr_1_1?keywords=Monopoly+Heirloom+Edition&amp;qid=1695565988&amp;sr=8-1")</f>
        <v/>
      </c>
      <c r="F4326" t="inlineStr">
        <is>
          <t>B07W4FSNL5</t>
        </is>
      </c>
      <c r="G4326">
        <f>_xlfn.IMAGE("https://faoschwarz.com/cdn/shop/files/ws-game-company-games-monopoly-heirloom-edition-30418405425239_1080x.jpg?v=1693426643")</f>
        <v/>
      </c>
      <c r="H4326">
        <f>_xlfn.IMAGE("https://m.media-amazon.com/images/I/816cQmWhe2L._AC_UL320_.jpg")</f>
        <v/>
      </c>
      <c r="K4326" t="inlineStr">
        <is>
          <t>400.0</t>
        </is>
      </c>
      <c r="L4326" t="n">
        <v>349.99</v>
      </c>
      <c r="M4326" s="1" t="inlineStr">
        <is>
          <t>-12.50%</t>
        </is>
      </c>
      <c r="N4326" t="n">
        <v>4.3</v>
      </c>
      <c r="O4326" t="n">
        <v>57</v>
      </c>
      <c r="Q4326" t="inlineStr">
        <is>
          <t>InStock</t>
        </is>
      </c>
      <c r="R4326" t="inlineStr">
        <is>
          <t>undefined</t>
        </is>
      </c>
      <c r="S4326" t="inlineStr">
        <is>
          <t>6572802277463</t>
        </is>
      </c>
    </row>
    <row r="4327" ht="75" customHeight="1">
      <c r="A4327" s="2">
        <f>HYPERLINK("https://faoschwarz.com/products/monopoly-heirloom-edition", "https://faoschwarz.com/products/monopoly-heirloom-edition")</f>
        <v/>
      </c>
      <c r="B4327" s="2">
        <f>HYPERLINK("https://faoschwarz.com/products/monopoly-heirloom-edition", "https://faoschwarz.com/products/monopoly-heirloom-edition")</f>
        <v/>
      </c>
      <c r="C4327" t="inlineStr">
        <is>
          <t>Monopoly Heirloom Edition</t>
        </is>
      </c>
      <c r="D4327" t="inlineStr">
        <is>
          <t>Monopoly The Heirloom Edition</t>
        </is>
      </c>
      <c r="E4327" s="2">
        <f>HYPERLINK("https://www.amazon.com/Monopoly-The-Heirloom-Edition/dp/B001GNFUDC/ref=sr_1_2?keywords=Monopoly+Heirloom+Edition&amp;qid=1695565988&amp;sr=8-2", "https://www.amazon.com/Monopoly-The-Heirloom-Edition/dp/B001GNFUDC/ref=sr_1_2?keywords=Monopoly+Heirloom+Edition&amp;qid=1695565988&amp;sr=8-2")</f>
        <v/>
      </c>
      <c r="F4327" t="inlineStr">
        <is>
          <t>B001GNFUDC</t>
        </is>
      </c>
      <c r="G4327">
        <f>_xlfn.IMAGE("https://faoschwarz.com/cdn/shop/files/ws-game-company-games-monopoly-heirloom-edition-30418405425239_1080x.jpg?v=1693426643")</f>
        <v/>
      </c>
      <c r="H4327">
        <f>_xlfn.IMAGE("https://m.media-amazon.com/images/I/91yvo9RUXeL._AC_UL320_.jpg")</f>
        <v/>
      </c>
      <c r="K4327" t="inlineStr">
        <is>
          <t>400.0</t>
        </is>
      </c>
      <c r="L4327" t="n">
        <v>139.99</v>
      </c>
      <c r="M4327" s="1" t="inlineStr">
        <is>
          <t>-65.00%</t>
        </is>
      </c>
      <c r="N4327" t="n">
        <v>3.4</v>
      </c>
      <c r="O4327" t="n">
        <v>15</v>
      </c>
      <c r="Q4327" t="inlineStr">
        <is>
          <t>InStock</t>
        </is>
      </c>
      <c r="R4327" t="inlineStr">
        <is>
          <t>undefined</t>
        </is>
      </c>
      <c r="S4327" t="inlineStr">
        <is>
          <t>6572802277463</t>
        </is>
      </c>
    </row>
    <row r="4328" ht="75" customHeight="1">
      <c r="A4328" s="2">
        <f>HYPERLINK("https://faoschwarz.com/products/monopoly-heirloom-edition", "https://faoschwarz.com/products/monopoly-heirloom-edition")</f>
        <v/>
      </c>
      <c r="B4328" s="2">
        <f>HYPERLINK("https://faoschwarz.com/products/monopoly-heirloom-edition", "https://faoschwarz.com/products/monopoly-heirloom-edition")</f>
        <v/>
      </c>
      <c r="C4328" t="inlineStr">
        <is>
          <t>Monopoly Heirloom Edition</t>
        </is>
      </c>
      <c r="D4328" t="inlineStr">
        <is>
          <t>WS Game Company Monopoly Heirloom Edition, 2 to 6 Players</t>
        </is>
      </c>
      <c r="E4328" s="2">
        <f>HYPERLINK("https://www.amazon.com/WS-Game-Company-Monopoly-Heirloom/dp/B07W4FSNL5/ref=sr_1_1?keywords=Monopoly+Heirloom+Edition&amp;qid=1695565988&amp;sr=8-1", "https://www.amazon.com/WS-Game-Company-Monopoly-Heirloom/dp/B07W4FSNL5/ref=sr_1_1?keywords=Monopoly+Heirloom+Edition&amp;qid=1695565988&amp;sr=8-1")</f>
        <v/>
      </c>
      <c r="F4328" t="inlineStr">
        <is>
          <t>B07W4FSNL5</t>
        </is>
      </c>
      <c r="G4328">
        <f>_xlfn.IMAGE("https://faoschwarz.com/cdn/shop/files/ws-game-company-games-monopoly-heirloom-edition-30418405425239_1080x.jpg?v=1693426643")</f>
        <v/>
      </c>
      <c r="H4328">
        <f>_xlfn.IMAGE("https://m.media-amazon.com/images/I/816cQmWhe2L._AC_UL320_.jpg")</f>
        <v/>
      </c>
      <c r="K4328" t="inlineStr">
        <is>
          <t>400.0</t>
        </is>
      </c>
      <c r="L4328" t="n">
        <v>349.99</v>
      </c>
      <c r="M4328" s="1" t="inlineStr">
        <is>
          <t>-12.50%</t>
        </is>
      </c>
      <c r="N4328" t="n">
        <v>4.3</v>
      </c>
      <c r="O4328" t="n">
        <v>57</v>
      </c>
      <c r="Q4328" t="inlineStr">
        <is>
          <t>InStock</t>
        </is>
      </c>
      <c r="R4328" t="inlineStr">
        <is>
          <t>undefined</t>
        </is>
      </c>
      <c r="S4328" t="inlineStr">
        <is>
          <t>6572802277463</t>
        </is>
      </c>
    </row>
    <row r="4329" ht="75" customHeight="1">
      <c r="A4329" s="2">
        <f>HYPERLINK("https://faoschwarz.com/products/monopoly-heirloom-edition", "https://faoschwarz.com/products/monopoly-heirloom-edition")</f>
        <v/>
      </c>
      <c r="B4329" s="2">
        <f>HYPERLINK("https://faoschwarz.com/products/monopoly-heirloom-edition", "https://faoschwarz.com/products/monopoly-heirloom-edition")</f>
        <v/>
      </c>
      <c r="C4329" t="inlineStr">
        <is>
          <t>Monopoly Heirloom Edition</t>
        </is>
      </c>
      <c r="D4329" t="inlineStr">
        <is>
          <t>Monopoly The Heirloom Edition</t>
        </is>
      </c>
      <c r="E4329" s="2">
        <f>HYPERLINK("https://www.amazon.com/Monopoly-The-Heirloom-Edition/dp/B001GNFUDC/ref=sr_1_2?keywords=Monopoly+Heirloom+Edition&amp;qid=1695565988&amp;sr=8-2", "https://www.amazon.com/Monopoly-The-Heirloom-Edition/dp/B001GNFUDC/ref=sr_1_2?keywords=Monopoly+Heirloom+Edition&amp;qid=1695565988&amp;sr=8-2")</f>
        <v/>
      </c>
      <c r="F4329" t="inlineStr">
        <is>
          <t>B001GNFUDC</t>
        </is>
      </c>
      <c r="G4329">
        <f>_xlfn.IMAGE("https://faoschwarz.com/cdn/shop/files/ws-game-company-games-monopoly-heirloom-edition-30418405425239_1080x.jpg?v=1693426643")</f>
        <v/>
      </c>
      <c r="H4329">
        <f>_xlfn.IMAGE("https://m.media-amazon.com/images/I/91yvo9RUXeL._AC_UL320_.jpg")</f>
        <v/>
      </c>
      <c r="K4329" t="inlineStr">
        <is>
          <t>400.0</t>
        </is>
      </c>
      <c r="L4329" t="n">
        <v>139.99</v>
      </c>
      <c r="M4329" s="1" t="inlineStr">
        <is>
          <t>-65.00%</t>
        </is>
      </c>
      <c r="N4329" t="n">
        <v>3.4</v>
      </c>
      <c r="O4329" t="n">
        <v>15</v>
      </c>
      <c r="Q4329" t="inlineStr">
        <is>
          <t>InStock</t>
        </is>
      </c>
      <c r="R4329" t="inlineStr">
        <is>
          <t>undefined</t>
        </is>
      </c>
      <c r="S4329" t="inlineStr">
        <is>
          <t>6572802277463</t>
        </is>
      </c>
    </row>
    <row r="4330" ht="75" customHeight="1">
      <c r="A4330" s="2">
        <f>HYPERLINK("https://faoschwarz.com/products/monopoly-luxe-maple-edition", "https://faoschwarz.com/products/monopoly-luxe-maple-edition")</f>
        <v/>
      </c>
      <c r="B4330" s="2">
        <f>HYPERLINK("https://faoschwarz.com/products/monopoly-luxe-maple-edition", "https://faoschwarz.com/products/monopoly-luxe-maple-edition")</f>
        <v/>
      </c>
      <c r="C4330" t="inlineStr">
        <is>
          <t>Monopoly Luxe Maple Edition</t>
        </is>
      </c>
      <c r="D4330" t="inlineStr">
        <is>
          <t>WS Game Company Monopoly Luxe Maple Edition</t>
        </is>
      </c>
      <c r="E4330" s="2">
        <f>HYPERLINK("https://www.amazon.com/WS-Game-Company-Monopoly-Maple/dp/B08BH9KY8V/ref=sr_1_1?keywords=Monopoly+Luxe+Maple+Edition&amp;qid=1695565993&amp;sr=8-1", "https://www.amazon.com/WS-Game-Company-Monopoly-Maple/dp/B08BH9KY8V/ref=sr_1_1?keywords=Monopoly+Luxe+Maple+Edition&amp;qid=1695565993&amp;sr=8-1")</f>
        <v/>
      </c>
      <c r="F4330" t="inlineStr">
        <is>
          <t>B08BH9KY8V</t>
        </is>
      </c>
      <c r="G4330">
        <f>_xlfn.IMAGE("https://faoschwarz.com/cdn/shop/files/ws-game-company-games-monopoly-luxe-maple-edition-30418370658391_1080x.jpg?v=1693361587")</f>
        <v/>
      </c>
      <c r="H4330">
        <f>_xlfn.IMAGE("https://m.media-amazon.com/images/I/513eduLoNGL._AC_UL320_.jpg")</f>
        <v/>
      </c>
      <c r="K4330" t="inlineStr">
        <is>
          <t>200.0</t>
        </is>
      </c>
      <c r="L4330" t="n">
        <v>182</v>
      </c>
      <c r="M4330" s="1" t="inlineStr">
        <is>
          <t>-9.00%</t>
        </is>
      </c>
      <c r="N4330" t="n">
        <v>4.6</v>
      </c>
      <c r="O4330" t="n">
        <v>106</v>
      </c>
      <c r="Q4330" t="inlineStr">
        <is>
          <t>InStock</t>
        </is>
      </c>
      <c r="R4330" t="inlineStr">
        <is>
          <t>undefined</t>
        </is>
      </c>
      <c r="S4330" t="inlineStr">
        <is>
          <t>6609457217623</t>
        </is>
      </c>
    </row>
    <row r="4331" ht="75" customHeight="1">
      <c r="A4331" s="2">
        <f>HYPERLINK("https://faoschwarz.com/products/monopoly-luxe-maple-edition", "https://faoschwarz.com/products/monopoly-luxe-maple-edition")</f>
        <v/>
      </c>
      <c r="B4331" s="2">
        <f>HYPERLINK("https://faoschwarz.com/products/monopoly-luxe-maple-edition", "https://faoschwarz.com/products/monopoly-luxe-maple-edition")</f>
        <v/>
      </c>
      <c r="C4331" t="inlineStr">
        <is>
          <t>Monopoly Luxe Maple Edition</t>
        </is>
      </c>
      <c r="D4331" t="inlineStr">
        <is>
          <t>WS Game Company Monopoly Luxe Maple Edition</t>
        </is>
      </c>
      <c r="E4331" s="2">
        <f>HYPERLINK("https://www.amazon.com/WS-Game-Company-Monopoly-Maple/dp/B08BH9KY8V/ref=sr_1_1?keywords=Monopoly+Luxe+Maple+Edition&amp;qid=1695565993&amp;sr=8-1", "https://www.amazon.com/WS-Game-Company-Monopoly-Maple/dp/B08BH9KY8V/ref=sr_1_1?keywords=Monopoly+Luxe+Maple+Edition&amp;qid=1695565993&amp;sr=8-1")</f>
        <v/>
      </c>
      <c r="F4331" t="inlineStr">
        <is>
          <t>B08BH9KY8V</t>
        </is>
      </c>
      <c r="G4331">
        <f>_xlfn.IMAGE("https://faoschwarz.com/cdn/shop/files/ws-game-company-games-monopoly-luxe-maple-edition-30418370658391_1080x.jpg?v=1693361587")</f>
        <v/>
      </c>
      <c r="H4331">
        <f>_xlfn.IMAGE("https://m.media-amazon.com/images/I/513eduLoNGL._AC_UL320_.jpg")</f>
        <v/>
      </c>
      <c r="K4331" t="inlineStr">
        <is>
          <t>200.0</t>
        </is>
      </c>
      <c r="L4331" t="n">
        <v>182</v>
      </c>
      <c r="M4331" s="1" t="inlineStr">
        <is>
          <t>-9.00%</t>
        </is>
      </c>
      <c r="N4331" t="n">
        <v>4.6</v>
      </c>
      <c r="O4331" t="n">
        <v>106</v>
      </c>
      <c r="Q4331" t="inlineStr">
        <is>
          <t>InStock</t>
        </is>
      </c>
      <c r="R4331" t="inlineStr">
        <is>
          <t>undefined</t>
        </is>
      </c>
      <c r="S4331" t="inlineStr">
        <is>
          <t>6609457217623</t>
        </is>
      </c>
    </row>
    <row r="4332" ht="75" customHeight="1">
      <c r="A4332" s="2">
        <f>HYPERLINK("https://faoschwarz.com/products/monopoly-luxury-edition", "https://faoschwarz.com/products/monopoly-luxury-edition")</f>
        <v/>
      </c>
      <c r="B4332" s="2">
        <f>HYPERLINK("https://faoschwarz.com/products/monopoly-luxury-edition", "https://faoschwarz.com/products/monopoly-luxury-edition")</f>
        <v/>
      </c>
      <c r="C4332" t="inlineStr">
        <is>
          <t>Monopoly Luxury Edition</t>
        </is>
      </c>
      <c r="D4332" t="inlineStr">
        <is>
          <t>Monopoly Luxury Edition Board Game</t>
        </is>
      </c>
      <c r="E4332" s="2">
        <f>HYPERLINK("https://www.amazon.com/Winning-Solutions-Monopoly-Luxury-Board/dp/B000J591JM/ref=sr_1_1?keywords=Monopoly+Luxury+Edition&amp;qid=1695565976&amp;sr=8-1", "https://www.amazon.com/Winning-Solutions-Monopoly-Luxury-Board/dp/B000J591JM/ref=sr_1_1?keywords=Monopoly+Luxury+Edition&amp;qid=1695565976&amp;sr=8-1")</f>
        <v/>
      </c>
      <c r="F4332" t="inlineStr">
        <is>
          <t>B000J591JM</t>
        </is>
      </c>
      <c r="G4332">
        <f>_xlfn.IMAGE("https://faoschwarz.com/cdn/shop/products/ws-game-company-games-monopoly-luxury-edition-28455231225943_1080x.jpg?v=1656075499")</f>
        <v/>
      </c>
      <c r="H4332">
        <f>_xlfn.IMAGE("https://m.media-amazon.com/images/I/81hKuIqGP2L._AC_UL320_.jpg")</f>
        <v/>
      </c>
      <c r="K4332" t="inlineStr">
        <is>
          <t>300.0</t>
        </is>
      </c>
      <c r="L4332" t="n">
        <v>279.99</v>
      </c>
      <c r="M4332" s="1" t="inlineStr">
        <is>
          <t>-6.67%</t>
        </is>
      </c>
      <c r="N4332" t="n">
        <v>4.8</v>
      </c>
      <c r="O4332" t="n">
        <v>572</v>
      </c>
      <c r="Q4332" t="inlineStr">
        <is>
          <t>InStock</t>
        </is>
      </c>
      <c r="R4332" t="inlineStr">
        <is>
          <t>undefined</t>
        </is>
      </c>
      <c r="S4332" t="inlineStr">
        <is>
          <t>6609457053783</t>
        </is>
      </c>
    </row>
    <row r="4333" ht="75" customHeight="1">
      <c r="A4333" s="2">
        <f>HYPERLINK("https://faoschwarz.com/products/monopoly-luxury-edition", "https://faoschwarz.com/products/monopoly-luxury-edition")</f>
        <v/>
      </c>
      <c r="B4333" s="2">
        <f>HYPERLINK("https://faoschwarz.com/products/monopoly-luxury-edition", "https://faoschwarz.com/products/monopoly-luxury-edition")</f>
        <v/>
      </c>
      <c r="C4333" t="inlineStr">
        <is>
          <t>Monopoly Luxury Edition</t>
        </is>
      </c>
      <c r="D4333" t="inlineStr">
        <is>
          <t>WS Game Company Monopoly Trophy Luxury Edition</t>
        </is>
      </c>
      <c r="E4333" s="2">
        <f>HYPERLINK("https://www.amazon.com/Winning-Solutions-Monopoly-Trophy-Game/dp/B09VS6Z1VF/ref=sr_1_2?keywords=Monopoly+Luxury+Edition&amp;qid=1695565976&amp;sr=8-2", "https://www.amazon.com/Winning-Solutions-Monopoly-Trophy-Game/dp/B09VS6Z1VF/ref=sr_1_2?keywords=Monopoly+Luxury+Edition&amp;qid=1695565976&amp;sr=8-2")</f>
        <v/>
      </c>
      <c r="F4333" t="inlineStr">
        <is>
          <t>B09VS6Z1VF</t>
        </is>
      </c>
      <c r="G4333">
        <f>_xlfn.IMAGE("https://faoschwarz.com/cdn/shop/products/ws-game-company-games-monopoly-luxury-edition-28455231225943_1080x.jpg?v=1656075499")</f>
        <v/>
      </c>
      <c r="H4333">
        <f>_xlfn.IMAGE("https://m.media-amazon.com/images/I/812-fJFtmFL._AC_UL320_.jpg")</f>
        <v/>
      </c>
      <c r="K4333" t="inlineStr">
        <is>
          <t>300.0</t>
        </is>
      </c>
      <c r="L4333" t="n">
        <v>189.99</v>
      </c>
      <c r="M4333" s="1" t="inlineStr">
        <is>
          <t>-36.67%</t>
        </is>
      </c>
      <c r="N4333" t="n">
        <v>4</v>
      </c>
      <c r="O4333" t="n">
        <v>39</v>
      </c>
      <c r="Q4333" t="inlineStr">
        <is>
          <t>InStock</t>
        </is>
      </c>
      <c r="R4333" t="inlineStr">
        <is>
          <t>undefined</t>
        </is>
      </c>
      <c r="S4333" t="inlineStr">
        <is>
          <t>6609457053783</t>
        </is>
      </c>
    </row>
    <row r="4334" ht="75" customHeight="1">
      <c r="A4334" s="2">
        <f>HYPERLINK("https://faoschwarz.com/products/monopoly-luxury-edition", "https://faoschwarz.com/products/monopoly-luxury-edition")</f>
        <v/>
      </c>
      <c r="B4334" s="2">
        <f>HYPERLINK("https://faoschwarz.com/products/monopoly-luxury-edition", "https://faoschwarz.com/products/monopoly-luxury-edition")</f>
        <v/>
      </c>
      <c r="C4334" t="inlineStr">
        <is>
          <t>Monopoly Luxury Edition</t>
        </is>
      </c>
      <c r="D4334" t="inlineStr">
        <is>
          <t>WS Game Company Monopoly Trophy Luxury Edition</t>
        </is>
      </c>
      <c r="E4334" s="2">
        <f>HYPERLINK("https://www.amazon.com/Winning-Solutions-Monopoly-Trophy-Game/dp/B09VS6Z1VF/ref=sr_1_2?keywords=Monopoly+Luxury+Edition&amp;qid=1695565976&amp;sr=8-2", "https://www.amazon.com/Winning-Solutions-Monopoly-Trophy-Game/dp/B09VS6Z1VF/ref=sr_1_2?keywords=Monopoly+Luxury+Edition&amp;qid=1695565976&amp;sr=8-2")</f>
        <v/>
      </c>
      <c r="F4334" t="inlineStr">
        <is>
          <t>B09VS6Z1VF</t>
        </is>
      </c>
      <c r="G4334">
        <f>_xlfn.IMAGE("https://faoschwarz.com/cdn/shop/products/ws-game-company-games-monopoly-luxury-edition-28455231225943_1080x.jpg?v=1656075499")</f>
        <v/>
      </c>
      <c r="H4334">
        <f>_xlfn.IMAGE("https://m.media-amazon.com/images/I/812-fJFtmFL._AC_UL320_.jpg")</f>
        <v/>
      </c>
      <c r="K4334" t="inlineStr">
        <is>
          <t>300.0</t>
        </is>
      </c>
      <c r="L4334" t="n">
        <v>189.99</v>
      </c>
      <c r="M4334" s="1" t="inlineStr">
        <is>
          <t>-36.67%</t>
        </is>
      </c>
      <c r="N4334" t="n">
        <v>4</v>
      </c>
      <c r="O4334" t="n">
        <v>39</v>
      </c>
      <c r="Q4334" t="inlineStr">
        <is>
          <t>InStock</t>
        </is>
      </c>
      <c r="R4334" t="inlineStr">
        <is>
          <t>undefined</t>
        </is>
      </c>
      <c r="S4334" t="inlineStr">
        <is>
          <t>6609457053783</t>
        </is>
      </c>
    </row>
    <row r="4335" ht="75" customHeight="1">
      <c r="A4335" s="2">
        <f>HYPERLINK("https://faoschwarz.com/products/monopoly-nostalgia-tin", "https://faoschwarz.com/products/monopoly-nostalgia-tin")</f>
        <v/>
      </c>
      <c r="B4335" s="2">
        <f>HYPERLINK("https://faoschwarz.com/products/monopoly-nostalgia-tin", "https://faoschwarz.com/products/monopoly-nostalgia-tin")</f>
        <v/>
      </c>
      <c r="C4335" t="inlineStr">
        <is>
          <t>Monopoly Nostalgia Tin</t>
        </is>
      </c>
      <c r="D4335" t="inlineStr">
        <is>
          <t>WS Game Company Monopoly Nostalgia Edition in Collectible Tin</t>
        </is>
      </c>
      <c r="E4335" s="2">
        <f>HYPERLINK("https://www.amazon.com/Winning-Solutions-Monopoly-Nostalgia-Board/dp/B0099RITFS/ref=sr_1_1?keywords=Monopoly+Nostalgia+Tin&amp;qid=1695565974&amp;sr=8-1", "https://www.amazon.com/Winning-Solutions-Monopoly-Nostalgia-Board/dp/B0099RITFS/ref=sr_1_1?keywords=Monopoly+Nostalgia+Tin&amp;qid=1695565974&amp;sr=8-1")</f>
        <v/>
      </c>
      <c r="F4335" t="inlineStr">
        <is>
          <t>B0099RITFS</t>
        </is>
      </c>
      <c r="G4335">
        <f>_xlfn.IMAGE("https://faoschwarz.com/cdn/shop/products/ws-game-company-games-monopoly-nostalgia-tin-28900028940375_1080x.jpg?v=1655993557")</f>
        <v/>
      </c>
      <c r="H4335">
        <f>_xlfn.IMAGE("https://m.media-amazon.com/images/I/61ldPQJd8QL._AC_UL320_.jpg")</f>
        <v/>
      </c>
      <c r="K4335" t="inlineStr">
        <is>
          <t>35.0</t>
        </is>
      </c>
      <c r="L4335" t="n">
        <v>29.99</v>
      </c>
      <c r="M4335" s="1" t="inlineStr">
        <is>
          <t>-14.31%</t>
        </is>
      </c>
      <c r="N4335" t="n">
        <v>4.6</v>
      </c>
      <c r="O4335" t="n">
        <v>510</v>
      </c>
      <c r="Q4335" t="inlineStr">
        <is>
          <t>InStock</t>
        </is>
      </c>
      <c r="R4335" t="inlineStr">
        <is>
          <t>undefined</t>
        </is>
      </c>
      <c r="S4335" t="inlineStr">
        <is>
          <t>6715353595991</t>
        </is>
      </c>
    </row>
    <row r="4336" ht="75" customHeight="1">
      <c r="A4336" s="2">
        <f>HYPERLINK("https://faoschwarz.com/products/monopoly-nostalgia-tin", "https://faoschwarz.com/products/monopoly-nostalgia-tin")</f>
        <v/>
      </c>
      <c r="B4336" s="2">
        <f>HYPERLINK("https://faoschwarz.com/products/monopoly-nostalgia-tin", "https://faoschwarz.com/products/monopoly-nostalgia-tin")</f>
        <v/>
      </c>
      <c r="C4336" t="inlineStr">
        <is>
          <t>Monopoly Nostalgia Tin</t>
        </is>
      </c>
      <c r="D4336" t="inlineStr">
        <is>
          <t>WS Game Company Monopoly Nostalgia Edition in Collectible Tin</t>
        </is>
      </c>
      <c r="E4336" s="2">
        <f>HYPERLINK("https://www.amazon.com/Winning-Solutions-Monopoly-Nostalgia-Board/dp/B0099RITFS/ref=sr_1_1?keywords=Monopoly+Nostalgia+Tin&amp;qid=1695565974&amp;sr=8-1", "https://www.amazon.com/Winning-Solutions-Monopoly-Nostalgia-Board/dp/B0099RITFS/ref=sr_1_1?keywords=Monopoly+Nostalgia+Tin&amp;qid=1695565974&amp;sr=8-1")</f>
        <v/>
      </c>
      <c r="F4336" t="inlineStr">
        <is>
          <t>B0099RITFS</t>
        </is>
      </c>
      <c r="G4336">
        <f>_xlfn.IMAGE("https://faoschwarz.com/cdn/shop/products/ws-game-company-games-monopoly-nostalgia-tin-28900028940375_1080x.jpg?v=1655993557")</f>
        <v/>
      </c>
      <c r="H4336">
        <f>_xlfn.IMAGE("https://m.media-amazon.com/images/I/61ldPQJd8QL._AC_UL320_.jpg")</f>
        <v/>
      </c>
      <c r="K4336" t="inlineStr">
        <is>
          <t>35.0</t>
        </is>
      </c>
      <c r="L4336" t="n">
        <v>29.99</v>
      </c>
      <c r="M4336" s="1" t="inlineStr">
        <is>
          <t>-14.31%</t>
        </is>
      </c>
      <c r="N4336" t="n">
        <v>4.6</v>
      </c>
      <c r="O4336" t="n">
        <v>510</v>
      </c>
      <c r="Q4336" t="inlineStr">
        <is>
          <t>InStock</t>
        </is>
      </c>
      <c r="R4336" t="inlineStr">
        <is>
          <t>undefined</t>
        </is>
      </c>
      <c r="S4336" t="inlineStr">
        <is>
          <t>6715353595991</t>
        </is>
      </c>
    </row>
    <row r="4337" ht="75" customHeight="1">
      <c r="A4337" s="2">
        <f>HYPERLINK("https://faoschwarz.com/products/monopoly-prisma-glass-edition", "https://faoschwarz.com/products/monopoly-prisma-glass-edition")</f>
        <v/>
      </c>
      <c r="B4337" s="2">
        <f>HYPERLINK("https://faoschwarz.com/products/monopoly-prisma-glass-edition", "https://faoschwarz.com/products/monopoly-prisma-glass-edition")</f>
        <v/>
      </c>
      <c r="C4337" t="inlineStr">
        <is>
          <t>Monopoly Prisma Glass Edition</t>
        </is>
      </c>
      <c r="D4337" t="inlineStr">
        <is>
          <t>WS Game Company Monopoly Prisma Glass Edition</t>
        </is>
      </c>
      <c r="E4337" s="2">
        <f>HYPERLINK("https://www.amazon.com/WS-Game-Company-Monopoly-Prisma/dp/B0BC96266S/ref=sr_1_1?keywords=Monopoly+Prisma+Glass+Edition&amp;qid=1695566007&amp;sr=8-1", "https://www.amazon.com/WS-Game-Company-Monopoly-Prisma/dp/B0BC96266S/ref=sr_1_1?keywords=Monopoly+Prisma+Glass+Edition&amp;qid=1695566007&amp;sr=8-1")</f>
        <v/>
      </c>
      <c r="F4337" t="inlineStr">
        <is>
          <t>B0BC96266S</t>
        </is>
      </c>
      <c r="G4337">
        <f>_xlfn.IMAGE("https://faoschwarz.com/cdn/shop/products/ws-game-company-games-monopoly-prisma-glass-edition-29800494399575_1080x.jpg?v=1668918102")</f>
        <v/>
      </c>
      <c r="H4337">
        <f>_xlfn.IMAGE("https://m.media-amazon.com/images/I/71lzdN31AEL._AC_UL320_.jpg")</f>
        <v/>
      </c>
      <c r="K4337" t="inlineStr">
        <is>
          <t>250.0</t>
        </is>
      </c>
      <c r="L4337" t="n">
        <v>199.99</v>
      </c>
      <c r="M4337" s="1" t="inlineStr">
        <is>
          <t>-20.00%</t>
        </is>
      </c>
      <c r="N4337" t="n">
        <v>5</v>
      </c>
      <c r="O4337" t="n">
        <v>5</v>
      </c>
      <c r="Q4337" t="inlineStr">
        <is>
          <t>InStock</t>
        </is>
      </c>
      <c r="R4337" t="inlineStr">
        <is>
          <t>undefined</t>
        </is>
      </c>
      <c r="S4337" t="inlineStr">
        <is>
          <t>6835304038487</t>
        </is>
      </c>
    </row>
    <row r="4338" ht="75" customHeight="1">
      <c r="A4338" s="2">
        <f>HYPERLINK("https://faoschwarz.com/products/monopoly-prisma-glass-edition", "https://faoschwarz.com/products/monopoly-prisma-glass-edition")</f>
        <v/>
      </c>
      <c r="B4338" s="2">
        <f>HYPERLINK("https://faoschwarz.com/products/monopoly-prisma-glass-edition", "https://faoschwarz.com/products/monopoly-prisma-glass-edition")</f>
        <v/>
      </c>
      <c r="C4338" t="inlineStr">
        <is>
          <t>Monopoly Prisma Glass Edition</t>
        </is>
      </c>
      <c r="D4338" t="inlineStr">
        <is>
          <t>WS Game Company Monopoly Prisma Glass Edition</t>
        </is>
      </c>
      <c r="E4338" s="2">
        <f>HYPERLINK("https://www.amazon.com/WS-Game-Company-Monopoly-Prisma/dp/B0BC96266S/ref=sr_1_1?keywords=Monopoly+Prisma+Glass+Edition&amp;qid=1695566007&amp;sr=8-1", "https://www.amazon.com/WS-Game-Company-Monopoly-Prisma/dp/B0BC96266S/ref=sr_1_1?keywords=Monopoly+Prisma+Glass+Edition&amp;qid=1695566007&amp;sr=8-1")</f>
        <v/>
      </c>
      <c r="F4338" t="inlineStr">
        <is>
          <t>B0BC96266S</t>
        </is>
      </c>
      <c r="G4338">
        <f>_xlfn.IMAGE("https://faoschwarz.com/cdn/shop/products/ws-game-company-games-monopoly-prisma-glass-edition-29800494399575_1080x.jpg?v=1668918102")</f>
        <v/>
      </c>
      <c r="H4338">
        <f>_xlfn.IMAGE("https://m.media-amazon.com/images/I/71lzdN31AEL._AC_UL320_.jpg")</f>
        <v/>
      </c>
      <c r="K4338" t="inlineStr">
        <is>
          <t>250.0</t>
        </is>
      </c>
      <c r="L4338" t="n">
        <v>199.99</v>
      </c>
      <c r="M4338" s="1" t="inlineStr">
        <is>
          <t>-20.00%</t>
        </is>
      </c>
      <c r="N4338" t="n">
        <v>5</v>
      </c>
      <c r="O4338" t="n">
        <v>5</v>
      </c>
      <c r="Q4338" t="inlineStr">
        <is>
          <t>InStock</t>
        </is>
      </c>
      <c r="R4338" t="inlineStr">
        <is>
          <t>undefined</t>
        </is>
      </c>
      <c r="S4338" t="inlineStr">
        <is>
          <t>6835304038487</t>
        </is>
      </c>
    </row>
    <row r="4339" ht="75" customHeight="1">
      <c r="A4339" s="2">
        <f>HYPERLINK("https://faoschwarz.com/products/monopoly-the-mega-edition", "https://faoschwarz.com/products/monopoly-the-mega-edition")</f>
        <v/>
      </c>
      <c r="B4339" s="2">
        <f>HYPERLINK("https://faoschwarz.com/products/monopoly-the-mega-edition", "https://faoschwarz.com/products/monopoly-the-mega-edition")</f>
        <v/>
      </c>
      <c r="C4339" t="inlineStr">
        <is>
          <t>Monopoly: The Mega Edition</t>
        </is>
      </c>
      <c r="D4339" t="inlineStr">
        <is>
          <t>Winning Moves Games Monopoly The Mega Edition for 2 to 8 players</t>
        </is>
      </c>
      <c r="E4339" s="2">
        <f>HYPERLINK("https://www.amazon.com/Winning-Moves-Games-Monopoly-Mega/dp/B000ITBYU8/ref=sr_1_2?keywords=Monopoly%3A+The+Mega+Edition&amp;qid=1695565987&amp;sr=8-2", "https://www.amazon.com/Winning-Moves-Games-Monopoly-Mega/dp/B000ITBYU8/ref=sr_1_2?keywords=Monopoly%3A+The+Mega+Edition&amp;qid=1695565987&amp;sr=8-2")</f>
        <v/>
      </c>
      <c r="F4339" t="inlineStr">
        <is>
          <t>B000ITBYU8</t>
        </is>
      </c>
      <c r="G4339">
        <f>_xlfn.IMAGE("https://faoschwarz.com/cdn/shop/products/winning-moves-games-monopoly-the-mega-edition-28288034603095_1080x.jpg?v=1656262519")</f>
        <v/>
      </c>
      <c r="H4339">
        <f>_xlfn.IMAGE("https://m.media-amazon.com/images/I/9105SYMsSiL._AC_UL320_.jpg")</f>
        <v/>
      </c>
      <c r="K4339" t="inlineStr">
        <is>
          <t>40.0</t>
        </is>
      </c>
      <c r="L4339" t="n">
        <v>39.99</v>
      </c>
      <c r="M4339" s="1" t="inlineStr">
        <is>
          <t>-0.02%</t>
        </is>
      </c>
      <c r="N4339" t="n">
        <v>4.8</v>
      </c>
      <c r="O4339" t="n">
        <v>4240</v>
      </c>
      <c r="Q4339" t="inlineStr">
        <is>
          <t>InStock</t>
        </is>
      </c>
      <c r="R4339" t="inlineStr">
        <is>
          <t>undefined</t>
        </is>
      </c>
      <c r="S4339" t="inlineStr">
        <is>
          <t>4627634421847</t>
        </is>
      </c>
    </row>
    <row r="4340" ht="75" customHeight="1">
      <c r="A4340" s="2">
        <f>HYPERLINK("https://faoschwarz.com/products/monopoly-trophy-edition", "https://faoschwarz.com/products/monopoly-trophy-edition")</f>
        <v/>
      </c>
      <c r="B4340" s="2">
        <f>HYPERLINK("https://faoschwarz.com/products/monopoly-trophy-edition", "https://faoschwarz.com/products/monopoly-trophy-edition")</f>
        <v/>
      </c>
      <c r="C4340" t="inlineStr">
        <is>
          <t>Monopoly Trophy Edition</t>
        </is>
      </c>
      <c r="D4340" t="inlineStr">
        <is>
          <t>WS Game Company Monopoly Trophy Luxury Edition</t>
        </is>
      </c>
      <c r="E4340" s="2">
        <f>HYPERLINK("https://www.amazon.com/Winning-Solutions-Monopoly-Trophy-Game/dp/B09VS6Z1VF/ref=sr_1_1?keywords=Monopoly+Trophy+Edition&amp;qid=1695565978&amp;sr=8-1", "https://www.amazon.com/Winning-Solutions-Monopoly-Trophy-Game/dp/B09VS6Z1VF/ref=sr_1_1?keywords=Monopoly+Trophy+Edition&amp;qid=1695565978&amp;sr=8-1")</f>
        <v/>
      </c>
      <c r="F4340" t="inlineStr">
        <is>
          <t>B09VS6Z1VF</t>
        </is>
      </c>
      <c r="G4340">
        <f>_xlfn.IMAGE("https://faoschwarz.com/cdn/shop/products/ws-game-company-games-monopoly-trophy-edition-29077084373079_1080x.jpg?v=1655945523")</f>
        <v/>
      </c>
      <c r="H4340">
        <f>_xlfn.IMAGE("https://m.media-amazon.com/images/I/812-fJFtmFL._AC_UL320_.jpg")</f>
        <v/>
      </c>
      <c r="K4340" t="inlineStr">
        <is>
          <t>215.0</t>
        </is>
      </c>
      <c r="L4340" t="n">
        <v>189.99</v>
      </c>
      <c r="M4340" s="1" t="inlineStr">
        <is>
          <t>-11.63%</t>
        </is>
      </c>
      <c r="N4340" t="n">
        <v>4</v>
      </c>
      <c r="O4340" t="n">
        <v>39</v>
      </c>
      <c r="Q4340" t="inlineStr">
        <is>
          <t>InStock</t>
        </is>
      </c>
      <c r="R4340" t="inlineStr">
        <is>
          <t>undefined</t>
        </is>
      </c>
      <c r="S4340" t="inlineStr">
        <is>
          <t>6715353858135</t>
        </is>
      </c>
    </row>
    <row r="4341" ht="75" customHeight="1">
      <c r="A4341" s="2">
        <f>HYPERLINK("https://faoschwarz.com/products/monopoly-trophy-edition", "https://faoschwarz.com/products/monopoly-trophy-edition")</f>
        <v/>
      </c>
      <c r="B4341" s="2">
        <f>HYPERLINK("https://faoschwarz.com/products/monopoly-trophy-edition", "https://faoschwarz.com/products/monopoly-trophy-edition")</f>
        <v/>
      </c>
      <c r="C4341" t="inlineStr">
        <is>
          <t>Monopoly Trophy Edition</t>
        </is>
      </c>
      <c r="D4341" t="inlineStr">
        <is>
          <t>WS Game Company Monopoly Trophy Luxury Edition</t>
        </is>
      </c>
      <c r="E4341" s="2">
        <f>HYPERLINK("https://www.amazon.com/Winning-Solutions-Monopoly-Trophy-Game/dp/B09VS6Z1VF/ref=sr_1_1?keywords=Monopoly+Trophy+Edition&amp;qid=1695565978&amp;sr=8-1", "https://www.amazon.com/Winning-Solutions-Monopoly-Trophy-Game/dp/B09VS6Z1VF/ref=sr_1_1?keywords=Monopoly+Trophy+Edition&amp;qid=1695565978&amp;sr=8-1")</f>
        <v/>
      </c>
      <c r="F4341" t="inlineStr">
        <is>
          <t>B09VS6Z1VF</t>
        </is>
      </c>
      <c r="G4341">
        <f>_xlfn.IMAGE("https://faoschwarz.com/cdn/shop/products/ws-game-company-games-monopoly-trophy-edition-29077084373079_1080x.jpg?v=1655945523")</f>
        <v/>
      </c>
      <c r="H4341">
        <f>_xlfn.IMAGE("https://m.media-amazon.com/images/I/812-fJFtmFL._AC_UL320_.jpg")</f>
        <v/>
      </c>
      <c r="K4341" t="inlineStr">
        <is>
          <t>215.0</t>
        </is>
      </c>
      <c r="L4341" t="n">
        <v>189.99</v>
      </c>
      <c r="M4341" s="1" t="inlineStr">
        <is>
          <t>-11.63%</t>
        </is>
      </c>
      <c r="N4341" t="n">
        <v>4</v>
      </c>
      <c r="O4341" t="n">
        <v>39</v>
      </c>
      <c r="Q4341" t="inlineStr">
        <is>
          <t>InStock</t>
        </is>
      </c>
      <c r="R4341" t="inlineStr">
        <is>
          <t>undefined</t>
        </is>
      </c>
      <c r="S4341" t="inlineStr">
        <is>
          <t>6715353858135</t>
        </is>
      </c>
    </row>
    <row r="4342" ht="75" customHeight="1">
      <c r="A4342" s="2">
        <f>HYPERLINK("https://faoschwarz.com/products/monopoly-vintage-bookshelf-edition", "https://faoschwarz.com/products/monopoly-vintage-bookshelf-edition")</f>
        <v/>
      </c>
      <c r="B4342" s="2">
        <f>HYPERLINK("https://faoschwarz.com/products/monopoly-vintage-bookshelf-edition", "https://faoschwarz.com/products/monopoly-vintage-bookshelf-edition")</f>
        <v/>
      </c>
      <c r="C4342" t="inlineStr">
        <is>
          <t>Monopoly Vintage Bookshelf Edition</t>
        </is>
      </c>
      <c r="D4342" t="inlineStr">
        <is>
          <t>Scrabble, Monopoly, and Clue Vintage Board Game Bookshelf Collection</t>
        </is>
      </c>
      <c r="E4342" s="2">
        <f>HYPERLINK("https://www.amazon.com/Scrabble-Monopoly-Game-Bookshelf-Collection/dp/B07WTNZ1XF/ref=sr_1_2?keywords=Monopoly+Vintage+Bookshelf+Edition&amp;qid=1695565977&amp;sr=8-2", "https://www.amazon.com/Scrabble-Monopoly-Game-Bookshelf-Collection/dp/B07WTNZ1XF/ref=sr_1_2?keywords=Monopoly+Vintage+Bookshelf+Edition&amp;qid=1695565977&amp;sr=8-2")</f>
        <v/>
      </c>
      <c r="F4342" t="inlineStr">
        <is>
          <t>B07WTNZ1XF</t>
        </is>
      </c>
      <c r="G4342">
        <f>_xlfn.IMAGE("https://faoschwarz.com/cdn/shop/products/ws-game-company-games-monopoly-vintage-bookshelf-edition-28896748503127_1080x.jpg?v=1655985320")</f>
        <v/>
      </c>
      <c r="H4342">
        <f>_xlfn.IMAGE("https://m.media-amazon.com/images/I/819IbI0hyFL._AC_UL320_.jpg")</f>
        <v/>
      </c>
      <c r="K4342" t="inlineStr">
        <is>
          <t>40.0</t>
        </is>
      </c>
      <c r="L4342" t="n">
        <v>112.99</v>
      </c>
      <c r="M4342" s="1" t="inlineStr">
        <is>
          <t>182.47%</t>
        </is>
      </c>
      <c r="N4342" t="n">
        <v>4.8</v>
      </c>
      <c r="O4342" t="n">
        <v>434</v>
      </c>
      <c r="Q4342" t="inlineStr">
        <is>
          <t>InStock</t>
        </is>
      </c>
      <c r="R4342" t="inlineStr">
        <is>
          <t>undefined</t>
        </is>
      </c>
      <c r="S4342" t="inlineStr">
        <is>
          <t>6715353137239</t>
        </is>
      </c>
    </row>
    <row r="4343" ht="75" customHeight="1">
      <c r="A4343" s="2">
        <f>HYPERLINK("https://faoschwarz.com/products/monopoly-vintage-bookshelf-edition", "https://faoschwarz.com/products/monopoly-vintage-bookshelf-edition")</f>
        <v/>
      </c>
      <c r="B4343" s="2">
        <f>HYPERLINK("https://faoschwarz.com/products/monopoly-vintage-bookshelf-edition", "https://faoschwarz.com/products/monopoly-vintage-bookshelf-edition")</f>
        <v/>
      </c>
      <c r="C4343" t="inlineStr">
        <is>
          <t>Monopoly Vintage Bookshelf Edition</t>
        </is>
      </c>
      <c r="D4343" t="inlineStr">
        <is>
          <t>WS Game Company The Game of Life Vintage Bookshelf Edition</t>
        </is>
      </c>
      <c r="E4343" s="2">
        <f>HYPERLINK("https://www.amazon.com/Winning-Solutions-Linen-Vintage-Board/dp/B075SDMMMT/ref=sr_1_10?keywords=Monopoly+Vintage+Bookshelf+Edition&amp;qid=1695565977&amp;sr=8-10", "https://www.amazon.com/Winning-Solutions-Linen-Vintage-Board/dp/B075SDMMMT/ref=sr_1_10?keywords=Monopoly+Vintage+Bookshelf+Edition&amp;qid=1695565977&amp;sr=8-10")</f>
        <v/>
      </c>
      <c r="F4343" t="inlineStr">
        <is>
          <t>B075SDMMMT</t>
        </is>
      </c>
      <c r="G4343">
        <f>_xlfn.IMAGE("https://faoschwarz.com/cdn/shop/products/ws-game-company-games-monopoly-vintage-bookshelf-edition-28896748503127_1080x.jpg?v=1655985320")</f>
        <v/>
      </c>
      <c r="H4343">
        <f>_xlfn.IMAGE("https://m.media-amazon.com/images/I/91GMf7H9POL._AC_UL320_.jpg")</f>
        <v/>
      </c>
      <c r="K4343" t="inlineStr">
        <is>
          <t>40.0</t>
        </is>
      </c>
      <c r="L4343" t="n">
        <v>44.99</v>
      </c>
      <c r="M4343" s="1" t="inlineStr">
        <is>
          <t>12.48%</t>
        </is>
      </c>
      <c r="N4343" t="n">
        <v>4.7</v>
      </c>
      <c r="O4343" t="n">
        <v>49</v>
      </c>
      <c r="Q4343" t="inlineStr">
        <is>
          <t>InStock</t>
        </is>
      </c>
      <c r="R4343" t="inlineStr">
        <is>
          <t>undefined</t>
        </is>
      </c>
      <c r="S4343" t="inlineStr">
        <is>
          <t>6715353137239</t>
        </is>
      </c>
    </row>
    <row r="4344" ht="75" customHeight="1">
      <c r="A4344" s="2">
        <f>HYPERLINK("https://faoschwarz.com/products/monopoly-vintage-bookshelf-edition", "https://faoschwarz.com/products/monopoly-vintage-bookshelf-edition")</f>
        <v/>
      </c>
      <c r="B4344" s="2">
        <f>HYPERLINK("https://faoschwarz.com/products/monopoly-vintage-bookshelf-edition", "https://faoschwarz.com/products/monopoly-vintage-bookshelf-edition")</f>
        <v/>
      </c>
      <c r="C4344" t="inlineStr">
        <is>
          <t>Monopoly Vintage Bookshelf Edition</t>
        </is>
      </c>
      <c r="D4344" t="inlineStr">
        <is>
          <t>WS Game Company Chess Vintage Bookshelf Edition</t>
        </is>
      </c>
      <c r="E4344" s="2">
        <f>HYPERLINK("https://www.amazon.com/WS-Game-Company-Vintage-Bookshelf/dp/B09N451M4X/ref=sr_1_6?keywords=Monopoly+Vintage+Bookshelf+Edition&amp;qid=1695565977&amp;sr=8-6", "https://www.amazon.com/WS-Game-Company-Vintage-Bookshelf/dp/B09N451M4X/ref=sr_1_6?keywords=Monopoly+Vintage+Bookshelf+Edition&amp;qid=1695565977&amp;sr=8-6")</f>
        <v/>
      </c>
      <c r="F4344" t="inlineStr">
        <is>
          <t>B09N451M4X</t>
        </is>
      </c>
      <c r="G4344">
        <f>_xlfn.IMAGE("https://faoschwarz.com/cdn/shop/products/ws-game-company-games-monopoly-vintage-bookshelf-edition-28896748503127_1080x.jpg?v=1655985320")</f>
        <v/>
      </c>
      <c r="H4344">
        <f>_xlfn.IMAGE("https://m.media-amazon.com/images/I/81yVQWnPdbL._AC_UL320_.jpg")</f>
        <v/>
      </c>
      <c r="K4344" t="inlineStr">
        <is>
          <t>40.0</t>
        </is>
      </c>
      <c r="L4344" t="n">
        <v>39.99</v>
      </c>
      <c r="M4344" s="1" t="inlineStr">
        <is>
          <t>-0.02%</t>
        </is>
      </c>
      <c r="N4344" t="n">
        <v>4.9</v>
      </c>
      <c r="O4344" t="n">
        <v>94</v>
      </c>
      <c r="Q4344" t="inlineStr">
        <is>
          <t>InStock</t>
        </is>
      </c>
      <c r="R4344" t="inlineStr">
        <is>
          <t>undefined</t>
        </is>
      </c>
      <c r="S4344" t="inlineStr">
        <is>
          <t>6715353137239</t>
        </is>
      </c>
    </row>
    <row r="4345" ht="75" customHeight="1">
      <c r="A4345" s="2">
        <f>HYPERLINK("https://faoschwarz.com/products/monopoly-vintage-bookshelf-edition", "https://faoschwarz.com/products/monopoly-vintage-bookshelf-edition")</f>
        <v/>
      </c>
      <c r="B4345" s="2">
        <f>HYPERLINK("https://faoschwarz.com/products/monopoly-vintage-bookshelf-edition", "https://faoschwarz.com/products/monopoly-vintage-bookshelf-edition")</f>
        <v/>
      </c>
      <c r="C4345" t="inlineStr">
        <is>
          <t>Monopoly Vintage Bookshelf Edition</t>
        </is>
      </c>
      <c r="D4345" t="inlineStr">
        <is>
          <t>WS Game Company Sorry! Vintage Bookshelf Edition</t>
        </is>
      </c>
      <c r="E4345" s="2">
        <f>HYPERLINK("https://www.amazon.com/WS-Game-Company-Vintage-Bookshelf/dp/B09N21R993/ref=sr_1_4?keywords=Monopoly+Vintage+Bookshelf+Edition&amp;qid=1695565977&amp;sr=8-4", "https://www.amazon.com/WS-Game-Company-Vintage-Bookshelf/dp/B09N21R993/ref=sr_1_4?keywords=Monopoly+Vintage+Bookshelf+Edition&amp;qid=1695565977&amp;sr=8-4")</f>
        <v/>
      </c>
      <c r="F4345" t="inlineStr">
        <is>
          <t>B09N21R993</t>
        </is>
      </c>
      <c r="G4345">
        <f>_xlfn.IMAGE("https://faoschwarz.com/cdn/shop/products/ws-game-company-games-monopoly-vintage-bookshelf-edition-28896748503127_1080x.jpg?v=1655985320")</f>
        <v/>
      </c>
      <c r="H4345">
        <f>_xlfn.IMAGE("https://m.media-amazon.com/images/I/81K6S3Yn+HL._AC_UL320_.jpg")</f>
        <v/>
      </c>
      <c r="K4345" t="inlineStr">
        <is>
          <t>40.0</t>
        </is>
      </c>
      <c r="L4345" t="n">
        <v>39.99</v>
      </c>
      <c r="M4345" s="1" t="inlineStr">
        <is>
          <t>-0.02%</t>
        </is>
      </c>
      <c r="N4345" t="n">
        <v>4.9</v>
      </c>
      <c r="O4345" t="n">
        <v>184</v>
      </c>
      <c r="Q4345" t="inlineStr">
        <is>
          <t>InStock</t>
        </is>
      </c>
      <c r="R4345" t="inlineStr">
        <is>
          <t>undefined</t>
        </is>
      </c>
      <c r="S4345" t="inlineStr">
        <is>
          <t>6715353137239</t>
        </is>
      </c>
    </row>
    <row r="4346" ht="75" customHeight="1">
      <c r="A4346" s="2">
        <f>HYPERLINK("https://faoschwarz.com/products/monopoly-vintage-bookshelf-edition", "https://faoschwarz.com/products/monopoly-vintage-bookshelf-edition")</f>
        <v/>
      </c>
      <c r="B4346" s="2">
        <f>HYPERLINK("https://faoschwarz.com/products/monopoly-vintage-bookshelf-edition", "https://faoschwarz.com/products/monopoly-vintage-bookshelf-edition")</f>
        <v/>
      </c>
      <c r="C4346" t="inlineStr">
        <is>
          <t>Monopoly Vintage Bookshelf Edition</t>
        </is>
      </c>
      <c r="D4346" t="inlineStr">
        <is>
          <t>WS Game Company Monopoly Vintage Bookshelf Edition</t>
        </is>
      </c>
      <c r="E4346" s="2">
        <f>HYPERLINK("https://www.amazon.com/Winning-Solutions-21410-Monopoly-Bookshelf/dp/B01CPUJVOI/ref=sr_1_1?keywords=Monopoly+Vintage+Bookshelf+Edition&amp;qid=1695565977&amp;sr=8-1", "https://www.amazon.com/Winning-Solutions-21410-Monopoly-Bookshelf/dp/B01CPUJVOI/ref=sr_1_1?keywords=Monopoly+Vintage+Bookshelf+Edition&amp;qid=1695565977&amp;sr=8-1")</f>
        <v/>
      </c>
      <c r="F4346" t="inlineStr">
        <is>
          <t>B01CPUJVOI</t>
        </is>
      </c>
      <c r="G4346">
        <f>_xlfn.IMAGE("https://faoschwarz.com/cdn/shop/products/ws-game-company-games-monopoly-vintage-bookshelf-edition-28896748503127_1080x.jpg?v=1655985320")</f>
        <v/>
      </c>
      <c r="H4346">
        <f>_xlfn.IMAGE("https://m.media-amazon.com/images/I/71elDkuW9UL._AC_UL320_.jpg")</f>
        <v/>
      </c>
      <c r="K4346" t="inlineStr">
        <is>
          <t>40.0</t>
        </is>
      </c>
      <c r="L4346" t="n">
        <v>35</v>
      </c>
      <c r="M4346" s="1" t="inlineStr">
        <is>
          <t>-12.50%</t>
        </is>
      </c>
      <c r="N4346" t="n">
        <v>4.8</v>
      </c>
      <c r="O4346" t="n">
        <v>1124</v>
      </c>
      <c r="Q4346" t="inlineStr">
        <is>
          <t>InStock</t>
        </is>
      </c>
      <c r="R4346" t="inlineStr">
        <is>
          <t>undefined</t>
        </is>
      </c>
      <c r="S4346" t="inlineStr">
        <is>
          <t>6715353137239</t>
        </is>
      </c>
    </row>
    <row r="4347" ht="75" customHeight="1">
      <c r="A4347" s="2">
        <f>HYPERLINK("https://faoschwarz.com/products/monopoly-vintage-bookshelf-edition", "https://faoschwarz.com/products/monopoly-vintage-bookshelf-edition")</f>
        <v/>
      </c>
      <c r="B4347" s="2">
        <f>HYPERLINK("https://faoschwarz.com/products/monopoly-vintage-bookshelf-edition", "https://faoschwarz.com/products/monopoly-vintage-bookshelf-edition")</f>
        <v/>
      </c>
      <c r="C4347" t="inlineStr">
        <is>
          <t>Monopoly Vintage Bookshelf Edition</t>
        </is>
      </c>
      <c r="D4347" t="inlineStr">
        <is>
          <t>Scrabble Vintage Bookshelf Edition</t>
        </is>
      </c>
      <c r="E4347" s="2">
        <f>HYPERLINK("https://www.amazon.com/WS-Game-Company-21420-Bookshelf/dp/B01CPUSHSO/ref=sr_1_5?keywords=Monopoly+Vintage+Bookshelf+Edition&amp;qid=1695565977&amp;sr=8-5", "https://www.amazon.com/WS-Game-Company-21420-Bookshelf/dp/B01CPUSHSO/ref=sr_1_5?keywords=Monopoly+Vintage+Bookshelf+Edition&amp;qid=1695565977&amp;sr=8-5")</f>
        <v/>
      </c>
      <c r="F4347" t="inlineStr">
        <is>
          <t>B01CPUSHSO</t>
        </is>
      </c>
      <c r="G4347">
        <f>_xlfn.IMAGE("https://faoschwarz.com/cdn/shop/products/ws-game-company-games-monopoly-vintage-bookshelf-edition-28896748503127_1080x.jpg?v=1655985320")</f>
        <v/>
      </c>
      <c r="H4347">
        <f>_xlfn.IMAGE("https://m.media-amazon.com/images/I/81UMj2xiq3L._AC_UL320_.jpg")</f>
        <v/>
      </c>
      <c r="K4347" t="inlineStr">
        <is>
          <t>40.0</t>
        </is>
      </c>
      <c r="L4347" t="n">
        <v>35</v>
      </c>
      <c r="M4347" s="1" t="inlineStr">
        <is>
          <t>-12.50%</t>
        </is>
      </c>
      <c r="N4347" t="n">
        <v>4.8</v>
      </c>
      <c r="O4347" t="n">
        <v>840</v>
      </c>
      <c r="Q4347" t="inlineStr">
        <is>
          <t>InStock</t>
        </is>
      </c>
      <c r="R4347" t="inlineStr">
        <is>
          <t>undefined</t>
        </is>
      </c>
      <c r="S4347" t="inlineStr">
        <is>
          <t>6715353137239</t>
        </is>
      </c>
    </row>
    <row r="4348" ht="75" customHeight="1">
      <c r="A4348" s="2">
        <f>HYPERLINK("https://faoschwarz.com/products/monopoly-vintage-bookshelf-edition", "https://faoschwarz.com/products/monopoly-vintage-bookshelf-edition")</f>
        <v/>
      </c>
      <c r="B4348" s="2">
        <f>HYPERLINK("https://faoschwarz.com/products/monopoly-vintage-bookshelf-edition", "https://faoschwarz.com/products/monopoly-vintage-bookshelf-edition")</f>
        <v/>
      </c>
      <c r="C4348" t="inlineStr">
        <is>
          <t>Monopoly Vintage Bookshelf Edition</t>
        </is>
      </c>
      <c r="D4348" t="inlineStr">
        <is>
          <t>Candy Land Vintage Bookshelf Edition</t>
        </is>
      </c>
      <c r="E4348" s="2">
        <f>HYPERLINK("https://www.amazon.com/WS-Game-Company-Vintage-Bookshelf/dp/B0844NRKT3/ref=sr_1_7?keywords=Monopoly+Vintage+Bookshelf+Edition&amp;qid=1695565977&amp;sr=8-7", "https://www.amazon.com/WS-Game-Company-Vintage-Bookshelf/dp/B0844NRKT3/ref=sr_1_7?keywords=Monopoly+Vintage+Bookshelf+Edition&amp;qid=1695565977&amp;sr=8-7")</f>
        <v/>
      </c>
      <c r="F4348" t="inlineStr">
        <is>
          <t>B0844NRKT3</t>
        </is>
      </c>
      <c r="G4348">
        <f>_xlfn.IMAGE("https://faoschwarz.com/cdn/shop/products/ws-game-company-games-monopoly-vintage-bookshelf-edition-28896748503127_1080x.jpg?v=1655985320")</f>
        <v/>
      </c>
      <c r="H4348">
        <f>_xlfn.IMAGE("https://m.media-amazon.com/images/I/915Jx+kTAuL._AC_UL320_.jpg")</f>
        <v/>
      </c>
      <c r="K4348" t="inlineStr">
        <is>
          <t>40.0</t>
        </is>
      </c>
      <c r="L4348" t="n">
        <v>27.56</v>
      </c>
      <c r="M4348" s="1" t="inlineStr">
        <is>
          <t>-31.10%</t>
        </is>
      </c>
      <c r="N4348" t="n">
        <v>4.9</v>
      </c>
      <c r="O4348" t="n">
        <v>298</v>
      </c>
      <c r="Q4348" t="inlineStr">
        <is>
          <t>InStock</t>
        </is>
      </c>
      <c r="R4348" t="inlineStr">
        <is>
          <t>undefined</t>
        </is>
      </c>
      <c r="S4348" t="inlineStr">
        <is>
          <t>6715353137239</t>
        </is>
      </c>
    </row>
    <row r="4349" ht="75" customHeight="1">
      <c r="A4349" s="2">
        <f>HYPERLINK("https://faoschwarz.com/products/monopoly-vintage-bookshelf-edition", "https://faoschwarz.com/products/monopoly-vintage-bookshelf-edition")</f>
        <v/>
      </c>
      <c r="B4349" s="2">
        <f>HYPERLINK("https://faoschwarz.com/products/monopoly-vintage-bookshelf-edition", "https://faoschwarz.com/products/monopoly-vintage-bookshelf-edition")</f>
        <v/>
      </c>
      <c r="C4349" t="inlineStr">
        <is>
          <t>Monopoly Vintage Bookshelf Edition</t>
        </is>
      </c>
      <c r="D4349" t="inlineStr">
        <is>
          <t>WS Game Company Monopoly Vintage Bookshelf Edition</t>
        </is>
      </c>
      <c r="E4349" s="2">
        <f>HYPERLINK("https://www.amazon.com/Winning-Solutions-21410-Monopoly-Bookshelf/dp/B01CPUJVOI/ref=sr_1_1?keywords=Monopoly+Vintage+Bookshelf+Edition&amp;qid=1695565977&amp;sr=8-1", "https://www.amazon.com/Winning-Solutions-21410-Monopoly-Bookshelf/dp/B01CPUJVOI/ref=sr_1_1?keywords=Monopoly+Vintage+Bookshelf+Edition&amp;qid=1695565977&amp;sr=8-1")</f>
        <v/>
      </c>
      <c r="F4349" t="inlineStr">
        <is>
          <t>B01CPUJVOI</t>
        </is>
      </c>
      <c r="G4349">
        <f>_xlfn.IMAGE("https://faoschwarz.com/cdn/shop/products/ws-game-company-games-monopoly-vintage-bookshelf-edition-28896748503127_1080x.jpg?v=1655985320")</f>
        <v/>
      </c>
      <c r="H4349">
        <f>_xlfn.IMAGE("https://m.media-amazon.com/images/I/71elDkuW9UL._AC_UL320_.jpg")</f>
        <v/>
      </c>
      <c r="K4349" t="inlineStr">
        <is>
          <t>40.0</t>
        </is>
      </c>
      <c r="L4349" t="n">
        <v>35</v>
      </c>
      <c r="M4349" s="1" t="inlineStr">
        <is>
          <t>-12.50%</t>
        </is>
      </c>
      <c r="N4349" t="n">
        <v>4.8</v>
      </c>
      <c r="O4349" t="n">
        <v>1124</v>
      </c>
      <c r="Q4349" t="inlineStr">
        <is>
          <t>InStock</t>
        </is>
      </c>
      <c r="R4349" t="inlineStr">
        <is>
          <t>undefined</t>
        </is>
      </c>
      <c r="S4349" t="inlineStr">
        <is>
          <t>6715353137239</t>
        </is>
      </c>
    </row>
    <row r="4350" ht="75" customHeight="1">
      <c r="A4350" s="2">
        <f>HYPERLINK("https://faoschwarz.com/products/monopoly-vintage-bookshelf-edition", "https://faoschwarz.com/products/monopoly-vintage-bookshelf-edition")</f>
        <v/>
      </c>
      <c r="B4350" s="2">
        <f>HYPERLINK("https://faoschwarz.com/products/monopoly-vintage-bookshelf-edition", "https://faoschwarz.com/products/monopoly-vintage-bookshelf-edition")</f>
        <v/>
      </c>
      <c r="C4350" t="inlineStr">
        <is>
          <t>Monopoly Vintage Bookshelf Edition</t>
        </is>
      </c>
      <c r="D4350" t="inlineStr">
        <is>
          <t>Scrabble Vintage Bookshelf Edition</t>
        </is>
      </c>
      <c r="E4350" s="2">
        <f>HYPERLINK("https://www.amazon.com/WS-Game-Company-21420-Bookshelf/dp/B01CPUSHSO/ref=sr_1_5?keywords=Monopoly+Vintage+Bookshelf+Edition&amp;qid=1695565977&amp;sr=8-5", "https://www.amazon.com/WS-Game-Company-21420-Bookshelf/dp/B01CPUSHSO/ref=sr_1_5?keywords=Monopoly+Vintage+Bookshelf+Edition&amp;qid=1695565977&amp;sr=8-5")</f>
        <v/>
      </c>
      <c r="F4350" t="inlineStr">
        <is>
          <t>B01CPUSHSO</t>
        </is>
      </c>
      <c r="G4350">
        <f>_xlfn.IMAGE("https://faoschwarz.com/cdn/shop/products/ws-game-company-games-monopoly-vintage-bookshelf-edition-28896748503127_1080x.jpg?v=1655985320")</f>
        <v/>
      </c>
      <c r="H4350">
        <f>_xlfn.IMAGE("https://m.media-amazon.com/images/I/81UMj2xiq3L._AC_UL320_.jpg")</f>
        <v/>
      </c>
      <c r="K4350" t="inlineStr">
        <is>
          <t>40.0</t>
        </is>
      </c>
      <c r="L4350" t="n">
        <v>35</v>
      </c>
      <c r="M4350" s="1" t="inlineStr">
        <is>
          <t>-12.50%</t>
        </is>
      </c>
      <c r="N4350" t="n">
        <v>4.8</v>
      </c>
      <c r="O4350" t="n">
        <v>840</v>
      </c>
      <c r="Q4350" t="inlineStr">
        <is>
          <t>InStock</t>
        </is>
      </c>
      <c r="R4350" t="inlineStr">
        <is>
          <t>undefined</t>
        </is>
      </c>
      <c r="S4350" t="inlineStr">
        <is>
          <t>6715353137239</t>
        </is>
      </c>
    </row>
    <row r="4351" ht="75" customHeight="1">
      <c r="A4351" s="2">
        <f>HYPERLINK("https://faoschwarz.com/products/monopoly-vintage-bookshelf-edition", "https://faoschwarz.com/products/monopoly-vintage-bookshelf-edition")</f>
        <v/>
      </c>
      <c r="B4351" s="2">
        <f>HYPERLINK("https://faoschwarz.com/products/monopoly-vintage-bookshelf-edition", "https://faoschwarz.com/products/monopoly-vintage-bookshelf-edition")</f>
        <v/>
      </c>
      <c r="C4351" t="inlineStr">
        <is>
          <t>Monopoly Vintage Bookshelf Edition</t>
        </is>
      </c>
      <c r="D4351" t="inlineStr">
        <is>
          <t>Candy Land Vintage Bookshelf Edition</t>
        </is>
      </c>
      <c r="E4351" s="2">
        <f>HYPERLINK("https://www.amazon.com/WS-Game-Company-Vintage-Bookshelf/dp/B0844NRKT3/ref=sr_1_7?keywords=Monopoly+Vintage+Bookshelf+Edition&amp;qid=1695565977&amp;sr=8-7", "https://www.amazon.com/WS-Game-Company-Vintage-Bookshelf/dp/B0844NRKT3/ref=sr_1_7?keywords=Monopoly+Vintage+Bookshelf+Edition&amp;qid=1695565977&amp;sr=8-7")</f>
        <v/>
      </c>
      <c r="F4351" t="inlineStr">
        <is>
          <t>B0844NRKT3</t>
        </is>
      </c>
      <c r="G4351">
        <f>_xlfn.IMAGE("https://faoschwarz.com/cdn/shop/products/ws-game-company-games-monopoly-vintage-bookshelf-edition-28896748503127_1080x.jpg?v=1655985320")</f>
        <v/>
      </c>
      <c r="H4351">
        <f>_xlfn.IMAGE("https://m.media-amazon.com/images/I/915Jx+kTAuL._AC_UL320_.jpg")</f>
        <v/>
      </c>
      <c r="K4351" t="inlineStr">
        <is>
          <t>40.0</t>
        </is>
      </c>
      <c r="L4351" t="n">
        <v>27.56</v>
      </c>
      <c r="M4351" s="1" t="inlineStr">
        <is>
          <t>-31.10%</t>
        </is>
      </c>
      <c r="N4351" t="n">
        <v>4.9</v>
      </c>
      <c r="O4351" t="n">
        <v>298</v>
      </c>
      <c r="Q4351" t="inlineStr">
        <is>
          <t>InStock</t>
        </is>
      </c>
      <c r="R4351" t="inlineStr">
        <is>
          <t>undefined</t>
        </is>
      </c>
      <c r="S4351" t="inlineStr">
        <is>
          <t>6715353137239</t>
        </is>
      </c>
    </row>
    <row r="4352" ht="75" customHeight="1">
      <c r="A4352" s="2">
        <f>HYPERLINK("https://faoschwarz.com/products/my-little-pony-tonie", "https://faoschwarz.com/products/my-little-pony-tonie")</f>
        <v/>
      </c>
      <c r="B4352" s="2">
        <f>HYPERLINK("https://faoschwarz.com/products/my-little-pony-tonie", "https://faoschwarz.com/products/my-little-pony-tonie")</f>
        <v/>
      </c>
      <c r="C4352" t="inlineStr">
        <is>
          <t>My Little Pony Tonie</t>
        </is>
      </c>
      <c r="D4352" t="inlineStr">
        <is>
          <t>My Little Pony: A New Generation Movie Royal Gala Collection Toy for Kids - 9 Pony Figures, 13 Accessories, Poster (Amazon Exclusive)</t>
        </is>
      </c>
      <c r="E4352" s="2">
        <f>HYPERLINK("https://www.amazon.com/My-Little-Pony-Movie-Collection/dp/B08TQJ7DFP/ref=sr_1_6?keywords=My+Little+Pony+Tonie&amp;qid=1695565945&amp;sr=8-6", "https://www.amazon.com/My-Little-Pony-Movie-Collection/dp/B08TQJ7DFP/ref=sr_1_6?keywords=My+Little+Pony+Tonie&amp;qid=1695565945&amp;sr=8-6")</f>
        <v/>
      </c>
      <c r="F4352" t="inlineStr">
        <is>
          <t>B08TQJ7DFP</t>
        </is>
      </c>
      <c r="G4352">
        <f>_xlfn.IMAGE("https://faoschwarz.com/cdn/shop/products/tonies-electronics-my-little-pony-tonie-29619300073559_1080x.jpg?v=1665783723")</f>
        <v/>
      </c>
      <c r="H4352">
        <f>_xlfn.IMAGE("https://m.media-amazon.com/images/I/71526DKIqCL._AC_UL320_.jpg")</f>
        <v/>
      </c>
      <c r="K4352" t="inlineStr">
        <is>
          <t>18.0</t>
        </is>
      </c>
      <c r="L4352" t="n">
        <v>38.18</v>
      </c>
      <c r="M4352" s="1" t="inlineStr">
        <is>
          <t>112.11%</t>
        </is>
      </c>
      <c r="N4352" t="n">
        <v>4.8</v>
      </c>
      <c r="O4352" t="n">
        <v>1549</v>
      </c>
      <c r="Q4352" t="inlineStr">
        <is>
          <t>InStock</t>
        </is>
      </c>
      <c r="R4352" t="inlineStr">
        <is>
          <t>undefined</t>
        </is>
      </c>
      <c r="S4352" t="inlineStr">
        <is>
          <t>6782940479575</t>
        </is>
      </c>
    </row>
    <row r="4353" ht="75" customHeight="1">
      <c r="A4353" s="2">
        <f>HYPERLINK("https://faoschwarz.com/products/my-little-pony-tonie", "https://faoschwarz.com/products/my-little-pony-tonie")</f>
        <v/>
      </c>
      <c r="B4353" s="2">
        <f>HYPERLINK("https://faoschwarz.com/products/my-little-pony-tonie", "https://faoschwarz.com/products/my-little-pony-tonie")</f>
        <v/>
      </c>
      <c r="C4353" t="inlineStr">
        <is>
          <t>My Little Pony Tonie</t>
        </is>
      </c>
      <c r="D4353" t="inlineStr">
        <is>
          <t>My Little Pony Mini World Magic Meet The Minis Collection Set with 22 Figures, for Kids Ages 5 and Up (Amazon Exclusive)</t>
        </is>
      </c>
      <c r="E4353" s="2">
        <f>HYPERLINK("https://www.amazon.com/My-Little-Pony-MINIS-Collection/dp/B000NDJH1M/ref=sr_1_5?keywords=My+Little+Pony+Tonie&amp;qid=1695565945&amp;sr=8-5", "https://www.amazon.com/My-Little-Pony-MINIS-Collection/dp/B000NDJH1M/ref=sr_1_5?keywords=My+Little+Pony+Tonie&amp;qid=1695565945&amp;sr=8-5")</f>
        <v/>
      </c>
      <c r="F4353" t="inlineStr">
        <is>
          <t>B000NDJH1M</t>
        </is>
      </c>
      <c r="G4353">
        <f>_xlfn.IMAGE("https://faoschwarz.com/cdn/shop/products/tonies-electronics-my-little-pony-tonie-29619300073559_1080x.jpg?v=1665783723")</f>
        <v/>
      </c>
      <c r="H4353">
        <f>_xlfn.IMAGE("https://m.media-amazon.com/images/I/81GO1NhtEQL._AC_UL320_.jpg")</f>
        <v/>
      </c>
      <c r="K4353" t="inlineStr">
        <is>
          <t>18.0</t>
        </is>
      </c>
      <c r="L4353" t="n">
        <v>24.99</v>
      </c>
      <c r="M4353" s="1" t="inlineStr">
        <is>
          <t>38.83%</t>
        </is>
      </c>
      <c r="N4353" t="n">
        <v>4.5</v>
      </c>
      <c r="O4353" t="n">
        <v>454</v>
      </c>
      <c r="Q4353" t="inlineStr">
        <is>
          <t>InStock</t>
        </is>
      </c>
      <c r="R4353" t="inlineStr">
        <is>
          <t>undefined</t>
        </is>
      </c>
      <c r="S4353" t="inlineStr">
        <is>
          <t>6782940479575</t>
        </is>
      </c>
    </row>
    <row r="4354" ht="75" customHeight="1">
      <c r="A4354" s="2">
        <f>HYPERLINK("https://faoschwarz.com/products/my-little-pony-tonie", "https://faoschwarz.com/products/my-little-pony-tonie")</f>
        <v/>
      </c>
      <c r="B4354" s="2">
        <f>HYPERLINK("https://faoschwarz.com/products/my-little-pony-tonie", "https://faoschwarz.com/products/my-little-pony-tonie")</f>
        <v/>
      </c>
      <c r="C4354" t="inlineStr">
        <is>
          <t>My Little Pony Tonie</t>
        </is>
      </c>
      <c r="D4354" t="inlineStr">
        <is>
          <t>My Little Pony: Friendship is Magic Toy Meet The Mane 6 Collection Set - 6 Pony Figures Including Twilight Sparkle, Kids Ages 3 and Up (Amazon Exclusive)</t>
        </is>
      </c>
      <c r="E4354" s="2">
        <f>HYPERLINK("https://www.amazon.com/My-Little-Pony-Collection-Exclusive/dp/B09M7JZG3Z/ref=sr_1_4?keywords=My+Little+Pony+Tonie&amp;qid=1695565945&amp;sr=8-4", "https://www.amazon.com/My-Little-Pony-Collection-Exclusive/dp/B09M7JZG3Z/ref=sr_1_4?keywords=My+Little+Pony+Tonie&amp;qid=1695565945&amp;sr=8-4")</f>
        <v/>
      </c>
      <c r="F4354" t="inlineStr">
        <is>
          <t>B09M7JZG3Z</t>
        </is>
      </c>
      <c r="G4354">
        <f>_xlfn.IMAGE("https://faoschwarz.com/cdn/shop/products/tonies-electronics-my-little-pony-tonie-29619300073559_1080x.jpg?v=1665783723")</f>
        <v/>
      </c>
      <c r="H4354">
        <f>_xlfn.IMAGE("https://m.media-amazon.com/images/I/71C4cBGMLbL._AC_UL320_.jpg")</f>
        <v/>
      </c>
      <c r="K4354" t="inlineStr">
        <is>
          <t>18.0</t>
        </is>
      </c>
      <c r="L4354" t="n">
        <v>21.83</v>
      </c>
      <c r="M4354" s="1" t="inlineStr">
        <is>
          <t>21.28%</t>
        </is>
      </c>
      <c r="N4354" t="n">
        <v>4.7</v>
      </c>
      <c r="O4354" t="n">
        <v>12627</v>
      </c>
      <c r="Q4354" t="inlineStr">
        <is>
          <t>InStock</t>
        </is>
      </c>
      <c r="R4354" t="inlineStr">
        <is>
          <t>undefined</t>
        </is>
      </c>
      <c r="S4354" t="inlineStr">
        <is>
          <t>6782940479575</t>
        </is>
      </c>
    </row>
    <row r="4355" ht="75" customHeight="1">
      <c r="A4355" s="2">
        <f>HYPERLINK("https://faoschwarz.com/products/my-little-pony-tonie", "https://faoschwarz.com/products/my-little-pony-tonie")</f>
        <v/>
      </c>
      <c r="B4355" s="2">
        <f>HYPERLINK("https://faoschwarz.com/products/my-little-pony-tonie", "https://faoschwarz.com/products/my-little-pony-tonie")</f>
        <v/>
      </c>
      <c r="C4355" t="inlineStr">
        <is>
          <t>My Little Pony Tonie</t>
        </is>
      </c>
      <c r="D4355" t="inlineStr">
        <is>
          <t>Simple Modern My Little Pony Kids Water Bottle with Straw Lid | Reusable Insulated Stainless Steel Cup for School | Summit Collection | 14oz, My Little Pony Garden of Rainbows</t>
        </is>
      </c>
      <c r="E4355" s="2">
        <f>HYPERLINK("https://www.amazon.com/Simple-Modern-Insulated-Stainless-Collection/dp/B0CDZSN4DL/ref=sr_1_2?keywords=My+Little+Pony+Tonie&amp;qid=1695565945&amp;sr=8-2", "https://www.amazon.com/Simple-Modern-Insulated-Stainless-Collection/dp/B0CDZSN4DL/ref=sr_1_2?keywords=My+Little+Pony+Tonie&amp;qid=1695565945&amp;sr=8-2")</f>
        <v/>
      </c>
      <c r="F4355" t="inlineStr">
        <is>
          <t>B0CDZSN4DL</t>
        </is>
      </c>
      <c r="G4355">
        <f>_xlfn.IMAGE("https://faoschwarz.com/cdn/shop/products/tonies-electronics-my-little-pony-tonie-29619300073559_1080x.jpg?v=1665783723")</f>
        <v/>
      </c>
      <c r="H4355">
        <f>_xlfn.IMAGE("https://m.media-amazon.com/images/I/71WNn2mWu9L._AC_UL320_.jpg")</f>
        <v/>
      </c>
      <c r="K4355" t="inlineStr">
        <is>
          <t>18.0</t>
        </is>
      </c>
      <c r="L4355" t="n">
        <v>19.99</v>
      </c>
      <c r="M4355" s="1" t="inlineStr">
        <is>
          <t>11.06%</t>
        </is>
      </c>
      <c r="N4355" t="n">
        <v>4.7</v>
      </c>
      <c r="O4355" t="n">
        <v>12696</v>
      </c>
      <c r="Q4355" t="inlineStr">
        <is>
          <t>InStock</t>
        </is>
      </c>
      <c r="R4355" t="inlineStr">
        <is>
          <t>undefined</t>
        </is>
      </c>
      <c r="S4355" t="inlineStr">
        <is>
          <t>6782940479575</t>
        </is>
      </c>
    </row>
    <row r="4356" ht="75" customHeight="1">
      <c r="A4356" s="2">
        <f>HYPERLINK("https://faoschwarz.com/products/my-little-pony-tonie", "https://faoschwarz.com/products/my-little-pony-tonie")</f>
        <v/>
      </c>
      <c r="B4356" s="2">
        <f>HYPERLINK("https://faoschwarz.com/products/my-little-pony-tonie", "https://faoschwarz.com/products/my-little-pony-tonie")</f>
        <v/>
      </c>
      <c r="C4356" t="inlineStr">
        <is>
          <t>My Little Pony Tonie</t>
        </is>
      </c>
      <c r="D4356" t="inlineStr">
        <is>
          <t>Tonies My Little Pony Audio Play Character</t>
        </is>
      </c>
      <c r="E4356" s="2">
        <f>HYPERLINK("https://www.amazon.com/Tonies-Little-Pony-Audio-Character/dp/B0B4TC3PLW/ref=sr_1_1?keywords=My+Little+Pony+Tonie&amp;qid=1695565945&amp;sr=8-1", "https://www.amazon.com/Tonies-Little-Pony-Audio-Character/dp/B0B4TC3PLW/ref=sr_1_1?keywords=My+Little+Pony+Tonie&amp;qid=1695565945&amp;sr=8-1")</f>
        <v/>
      </c>
      <c r="F4356" t="inlineStr">
        <is>
          <t>B0B4TC3PLW</t>
        </is>
      </c>
      <c r="G4356">
        <f>_xlfn.IMAGE("https://faoschwarz.com/cdn/shop/products/tonies-electronics-my-little-pony-tonie-29619300073559_1080x.jpg?v=1665783723")</f>
        <v/>
      </c>
      <c r="H4356">
        <f>_xlfn.IMAGE("https://m.media-amazon.com/images/I/81yjuPXs5jL._AC_UL320_.jpg")</f>
        <v/>
      </c>
      <c r="K4356" t="inlineStr">
        <is>
          <t>18.0</t>
        </is>
      </c>
      <c r="L4356" t="n">
        <v>17.99</v>
      </c>
      <c r="M4356" s="1" t="inlineStr">
        <is>
          <t>-0.06%</t>
        </is>
      </c>
      <c r="N4356" t="n">
        <v>4.8</v>
      </c>
      <c r="O4356" t="n">
        <v>219</v>
      </c>
      <c r="Q4356" t="inlineStr">
        <is>
          <t>InStock</t>
        </is>
      </c>
      <c r="R4356" t="inlineStr">
        <is>
          <t>undefined</t>
        </is>
      </c>
      <c r="S4356" t="inlineStr">
        <is>
          <t>6782940479575</t>
        </is>
      </c>
    </row>
    <row r="4357" ht="75" customHeight="1">
      <c r="A4357" s="2">
        <f>HYPERLINK("https://faoschwarz.com/products/my-little-pony-tonie", "https://faoschwarz.com/products/my-little-pony-tonie")</f>
        <v/>
      </c>
      <c r="B4357" s="2">
        <f>HYPERLINK("https://faoschwarz.com/products/my-little-pony-tonie", "https://faoschwarz.com/products/my-little-pony-tonie")</f>
        <v/>
      </c>
      <c r="C4357" t="inlineStr">
        <is>
          <t>My Little Pony Tonie</t>
        </is>
      </c>
      <c r="D4357" t="inlineStr">
        <is>
          <t>Play-Doh My Little Pony Make 'n Style Ponies, Molds &amp; Tools, Includes 9 Cans of Play-Doh, Ages 3+ (Amazon Exclusive)</t>
        </is>
      </c>
      <c r="E4357" s="2">
        <f>HYPERLINK("https://www.amazon.com/Play-Doh-Little-Pony-Style-Ponies/dp/B00N3T3N4A/ref=sr_1_3?keywords=My+Little+Pony+Tonie&amp;qid=1695565945&amp;sr=8-3", "https://www.amazon.com/Play-Doh-Little-Pony-Style-Ponies/dp/B00N3T3N4A/ref=sr_1_3?keywords=My+Little+Pony+Tonie&amp;qid=1695565945&amp;sr=8-3")</f>
        <v/>
      </c>
      <c r="F4357" t="inlineStr">
        <is>
          <t>B00N3T3N4A</t>
        </is>
      </c>
      <c r="G4357">
        <f>_xlfn.IMAGE("https://faoschwarz.com/cdn/shop/products/tonies-electronics-my-little-pony-tonie-29619300073559_1080x.jpg?v=1665783723")</f>
        <v/>
      </c>
      <c r="H4357">
        <f>_xlfn.IMAGE("https://m.media-amazon.com/images/I/81RnlJQbesL._AC_UL320_.jpg")</f>
        <v/>
      </c>
      <c r="K4357" t="inlineStr">
        <is>
          <t>18.0</t>
        </is>
      </c>
      <c r="L4357" t="n">
        <v>11.99</v>
      </c>
      <c r="M4357" s="1" t="inlineStr">
        <is>
          <t>-33.39%</t>
        </is>
      </c>
      <c r="N4357" t="n">
        <v>4.7</v>
      </c>
      <c r="O4357" t="n">
        <v>8997</v>
      </c>
      <c r="Q4357" t="inlineStr">
        <is>
          <t>InStock</t>
        </is>
      </c>
      <c r="R4357" t="inlineStr">
        <is>
          <t>undefined</t>
        </is>
      </c>
      <c r="S4357" t="inlineStr">
        <is>
          <t>6782940479575</t>
        </is>
      </c>
    </row>
    <row r="4358" ht="75" customHeight="1">
      <c r="A4358" s="2">
        <f>HYPERLINK("https://faoschwarz.com/products/my-little-pony-tonie", "https://faoschwarz.com/products/my-little-pony-tonie")</f>
        <v/>
      </c>
      <c r="B4358" s="2">
        <f>HYPERLINK("https://faoschwarz.com/products/my-little-pony-tonie", "https://faoschwarz.com/products/my-little-pony-tonie")</f>
        <v/>
      </c>
      <c r="C4358" t="inlineStr">
        <is>
          <t>My Little Pony Tonie</t>
        </is>
      </c>
      <c r="D4358" t="inlineStr">
        <is>
          <t>My Little Pony: A New Generation Rainbow Reveal Sunny Starscout - 6-Inch Orange Pony Toy with Surprise Rainbow Braid and 17 Accessories</t>
        </is>
      </c>
      <c r="E4358" s="2">
        <f>HYPERLINK("https://www.amazon.com/My-Little-Pony-Rainbow-Reveal/dp/B08SSHJM5V/ref=sr_1_9?keywords=My+Little+Pony+Tonie&amp;qid=1695565945&amp;sr=8-9", "https://www.amazon.com/My-Little-Pony-Rainbow-Reveal/dp/B08SSHJM5V/ref=sr_1_9?keywords=My+Little+Pony+Tonie&amp;qid=1695565945&amp;sr=8-9")</f>
        <v/>
      </c>
      <c r="F4358" t="inlineStr">
        <is>
          <t>B08SSHJM5V</t>
        </is>
      </c>
      <c r="G4358">
        <f>_xlfn.IMAGE("https://faoschwarz.com/cdn/shop/products/tonies-electronics-my-little-pony-tonie-29619300073559_1080x.jpg?v=1665783723")</f>
        <v/>
      </c>
      <c r="H4358">
        <f>_xlfn.IMAGE("https://m.media-amazon.com/images/I/71HzwcwTaVS._AC_UL320_.jpg")</f>
        <v/>
      </c>
      <c r="K4358" t="inlineStr">
        <is>
          <t>18.0</t>
        </is>
      </c>
      <c r="L4358" t="n">
        <v>11.29</v>
      </c>
      <c r="M4358" s="1" t="inlineStr">
        <is>
          <t>-37.28%</t>
        </is>
      </c>
      <c r="N4358" t="n">
        <v>4.5</v>
      </c>
      <c r="O4358" t="n">
        <v>533</v>
      </c>
      <c r="Q4358" t="inlineStr">
        <is>
          <t>InStock</t>
        </is>
      </c>
      <c r="R4358" t="inlineStr">
        <is>
          <t>undefined</t>
        </is>
      </c>
      <c r="S4358" t="inlineStr">
        <is>
          <t>6782940479575</t>
        </is>
      </c>
    </row>
    <row r="4359" ht="75" customHeight="1">
      <c r="A4359" s="2">
        <f>HYPERLINK("https://faoschwarz.com/products/mystery-date-nostalgia-tin", "https://faoschwarz.com/products/mystery-date-nostalgia-tin")</f>
        <v/>
      </c>
      <c r="B4359" s="2">
        <f>HYPERLINK("https://faoschwarz.com/products/mystery-date-nostalgia-tin", "https://faoschwarz.com/products/mystery-date-nostalgia-tin")</f>
        <v/>
      </c>
      <c r="C4359" t="inlineStr">
        <is>
          <t>Mystery Date Nostalgia Tin</t>
        </is>
      </c>
      <c r="D4359" t="inlineStr">
        <is>
          <t>Winning Solutions Mystery Date Classic Board Game With Nostalgic Tin Case, Pink</t>
        </is>
      </c>
      <c r="E4359" s="2">
        <f>HYPERLINK("https://www.amazon.com/WS-Game-Company-Nostalgia-Collectible/dp/B000J5AAR4/ref=sr_1_1?keywords=Mystery+Date+Nostalgia+Tin&amp;qid=1695565974&amp;sr=8-1", "https://www.amazon.com/WS-Game-Company-Nostalgia-Collectible/dp/B000J5AAR4/ref=sr_1_1?keywords=Mystery+Date+Nostalgia+Tin&amp;qid=1695565974&amp;sr=8-1")</f>
        <v/>
      </c>
      <c r="F4359" t="inlineStr">
        <is>
          <t>B000J5AAR4</t>
        </is>
      </c>
      <c r="G4359">
        <f>_xlfn.IMAGE("https://faoschwarz.com/cdn/shop/products/ws-game-company-games-mystery-date-nostalgia-tin-29124472012887_1080x.jpg?v=1655930105")</f>
        <v/>
      </c>
      <c r="H4359">
        <f>_xlfn.IMAGE("https://m.media-amazon.com/images/I/81pIH5CyUiL._AC_UL320_.jpg")</f>
        <v/>
      </c>
      <c r="K4359" t="inlineStr">
        <is>
          <t>35.0</t>
        </is>
      </c>
      <c r="L4359" t="n">
        <v>29.99</v>
      </c>
      <c r="M4359" s="1" t="inlineStr">
        <is>
          <t>-14.31%</t>
        </is>
      </c>
      <c r="N4359" t="n">
        <v>4.8</v>
      </c>
      <c r="O4359" t="n">
        <v>1044</v>
      </c>
      <c r="Q4359" t="inlineStr">
        <is>
          <t>InStock</t>
        </is>
      </c>
      <c r="R4359" t="inlineStr">
        <is>
          <t>undefined</t>
        </is>
      </c>
      <c r="S4359" t="inlineStr">
        <is>
          <t>6715353628759</t>
        </is>
      </c>
    </row>
    <row r="4360" ht="75" customHeight="1">
      <c r="A4360" s="2">
        <f>HYPERLINK("https://faoschwarz.com/products/mystery-date-nostalgia-tin", "https://faoschwarz.com/products/mystery-date-nostalgia-tin")</f>
        <v/>
      </c>
      <c r="B4360" s="2">
        <f>HYPERLINK("https://faoschwarz.com/products/mystery-date-nostalgia-tin", "https://faoschwarz.com/products/mystery-date-nostalgia-tin")</f>
        <v/>
      </c>
      <c r="C4360" t="inlineStr">
        <is>
          <t>Mystery Date Nostalgia Tin</t>
        </is>
      </c>
      <c r="D4360" t="inlineStr">
        <is>
          <t>Winning Solutions Mystery Date Classic Board Game With Nostalgic Tin Case, Pink</t>
        </is>
      </c>
      <c r="E4360" s="2">
        <f>HYPERLINK("https://www.amazon.com/WS-Game-Company-Nostalgia-Collectible/dp/B000J5AAR4/ref=sr_1_1?keywords=Mystery+Date+Nostalgia+Tin&amp;qid=1695565974&amp;sr=8-1", "https://www.amazon.com/WS-Game-Company-Nostalgia-Collectible/dp/B000J5AAR4/ref=sr_1_1?keywords=Mystery+Date+Nostalgia+Tin&amp;qid=1695565974&amp;sr=8-1")</f>
        <v/>
      </c>
      <c r="F4360" t="inlineStr">
        <is>
          <t>B000J5AAR4</t>
        </is>
      </c>
      <c r="G4360">
        <f>_xlfn.IMAGE("https://faoschwarz.com/cdn/shop/products/ws-game-company-games-mystery-date-nostalgia-tin-29124472012887_1080x.jpg?v=1655930105")</f>
        <v/>
      </c>
      <c r="H4360">
        <f>_xlfn.IMAGE("https://m.media-amazon.com/images/I/81pIH5CyUiL._AC_UL320_.jpg")</f>
        <v/>
      </c>
      <c r="K4360" t="inlineStr">
        <is>
          <t>35.0</t>
        </is>
      </c>
      <c r="L4360" t="n">
        <v>29.99</v>
      </c>
      <c r="M4360" s="1" t="inlineStr">
        <is>
          <t>-14.31%</t>
        </is>
      </c>
      <c r="N4360" t="n">
        <v>4.8</v>
      </c>
      <c r="O4360" t="n">
        <v>1044</v>
      </c>
      <c r="Q4360" t="inlineStr">
        <is>
          <t>InStock</t>
        </is>
      </c>
      <c r="R4360" t="inlineStr">
        <is>
          <t>undefined</t>
        </is>
      </c>
      <c r="S4360" t="inlineStr">
        <is>
          <t>6715353628759</t>
        </is>
      </c>
    </row>
    <row r="4361" ht="75" customHeight="1">
      <c r="A4361" s="2">
        <f>HYPERLINK("https://faoschwarz.com/products/mystery-date-vintage-bookshelf-edition", "https://faoschwarz.com/products/mystery-date-vintage-bookshelf-edition")</f>
        <v/>
      </c>
      <c r="B4361" s="2">
        <f>HYPERLINK("https://faoschwarz.com/products/mystery-date-vintage-bookshelf-edition", "https://faoschwarz.com/products/mystery-date-vintage-bookshelf-edition")</f>
        <v/>
      </c>
      <c r="C4361" t="inlineStr">
        <is>
          <t>Mystery Date Vintage Bookshelf Edition</t>
        </is>
      </c>
      <c r="D4361" t="inlineStr">
        <is>
          <t>WS Game Company Mystery Date Vintage Bookshelf Edition</t>
        </is>
      </c>
      <c r="E4361" s="2">
        <f>HYPERLINK("https://www.amazon.com/WS-Game-Company-Mystery-Bookshelf/dp/B07YQB5M1G/ref=sr_1_1?keywords=Mystery+Date+Vintage+Bookshelf+Edition&amp;qid=1695566000&amp;sr=8-1", "https://www.amazon.com/WS-Game-Company-Mystery-Bookshelf/dp/B07YQB5M1G/ref=sr_1_1?keywords=Mystery+Date+Vintage+Bookshelf+Edition&amp;qid=1695566000&amp;sr=8-1")</f>
        <v/>
      </c>
      <c r="F4361" t="inlineStr">
        <is>
          <t>B07YQB5M1G</t>
        </is>
      </c>
      <c r="G4361">
        <f>_xlfn.IMAGE("https://faoschwarz.com/cdn/shop/products/ws-game-company-games-mystery-date-vintage-bookshelf-edition-28900041785431_1080x.jpg?v=1655993720")</f>
        <v/>
      </c>
      <c r="H4361">
        <f>_xlfn.IMAGE("https://m.media-amazon.com/images/I/81ag6b-ekrL._AC_UL320_.jpg")</f>
        <v/>
      </c>
      <c r="K4361" t="inlineStr">
        <is>
          <t>40.0</t>
        </is>
      </c>
      <c r="L4361" t="n">
        <v>39.99</v>
      </c>
      <c r="M4361" s="1" t="inlineStr">
        <is>
          <t>-0.02%</t>
        </is>
      </c>
      <c r="N4361" t="n">
        <v>4.8</v>
      </c>
      <c r="O4361" t="n">
        <v>165</v>
      </c>
      <c r="Q4361" t="inlineStr">
        <is>
          <t>InStock</t>
        </is>
      </c>
      <c r="R4361" t="inlineStr">
        <is>
          <t>undefined</t>
        </is>
      </c>
      <c r="S4361" t="inlineStr">
        <is>
          <t>6715353301079</t>
        </is>
      </c>
    </row>
    <row r="4362" ht="75" customHeight="1">
      <c r="A4362" s="2">
        <f>HYPERLINK("https://faoschwarz.com/products/new-york-cabs-1500-piece", "https://faoschwarz.com/products/new-york-cabs-1500-piece")</f>
        <v/>
      </c>
      <c r="B4362" s="2">
        <f>HYPERLINK("https://faoschwarz.com/products/new-york-cabs-1500-piece", "https://faoschwarz.com/products/new-york-cabs-1500-piece")</f>
        <v/>
      </c>
      <c r="C4362" t="inlineStr">
        <is>
          <t>New York Cabs 1500 Piece</t>
        </is>
      </c>
      <c r="D4362" t="inlineStr">
        <is>
          <t>Ravensburger New York Cabs 1500 Piece Jigsaw Puzzle - 16354 - Every Piece is Unique, Softclick Technology Means Pieces Fit Together Perfectly</t>
        </is>
      </c>
      <c r="E4362" s="2">
        <f>HYPERLINK("https://www.amazon.com/Ravensburger-16354-Colour-Jigsaw-Puzzle-500-Pieces/dp/B00069L7WK/ref=sr_1_1?keywords=New+York+Cabs+1500+Piece&amp;qid=1695565992&amp;sr=8-1", "https://www.amazon.com/Ravensburger-16354-Colour-Jigsaw-Puzzle-500-Pieces/dp/B00069L7WK/ref=sr_1_1?keywords=New+York+Cabs+1500+Piece&amp;qid=1695565992&amp;sr=8-1")</f>
        <v/>
      </c>
      <c r="F4362" t="inlineStr">
        <is>
          <t>B00069L7WK</t>
        </is>
      </c>
      <c r="G4362">
        <f>_xlfn.IMAGE("https://faoschwarz.com/cdn/shop/products/ravensburger-puzzles-new-york-cabs-1500-piece-14614744432727_1080x.jpg?v=1656150844")</f>
        <v/>
      </c>
      <c r="H4362">
        <f>_xlfn.IMAGE("https://m.media-amazon.com/images/I/71x-sk2Z63L._AC_UL320_.jpg")</f>
        <v/>
      </c>
      <c r="K4362" t="inlineStr">
        <is>
          <t>27.0</t>
        </is>
      </c>
      <c r="L4362" t="n">
        <v>49.6</v>
      </c>
      <c r="M4362" s="1" t="inlineStr">
        <is>
          <t>83.70%</t>
        </is>
      </c>
      <c r="N4362" t="n">
        <v>4.7</v>
      </c>
      <c r="O4362" t="n">
        <v>266</v>
      </c>
      <c r="Q4362" t="inlineStr">
        <is>
          <t>InStock</t>
        </is>
      </c>
      <c r="R4362" t="inlineStr">
        <is>
          <t>undefined</t>
        </is>
      </c>
      <c r="S4362" t="inlineStr">
        <is>
          <t>4625498865751</t>
        </is>
      </c>
    </row>
    <row r="4363" ht="75" customHeight="1">
      <c r="A4363" s="2">
        <f>HYPERLINK("https://faoschwarz.com/products/non-slide-puzzle-mat", "https://faoschwarz.com/products/non-slide-puzzle-mat")</f>
        <v/>
      </c>
      <c r="B4363" s="2">
        <f>HYPERLINK("https://faoschwarz.com/products/non-slide-puzzle-mat", "https://faoschwarz.com/products/non-slide-puzzle-mat")</f>
        <v/>
      </c>
      <c r="C4363" t="inlineStr">
        <is>
          <t>Non-Slide Puzzle Mat</t>
        </is>
      </c>
      <c r="D4363" t="inlineStr">
        <is>
          <t>1000 Piece Wooden Puzzle Board with Full Coverage Protective Hand Non-Slip Felt Puzzle Mat - 4 Colorful Drawers | 30” X 22” Rotating Jigsaw Puzzle Table | Portable Puzzle Tables for Adults, Kids</t>
        </is>
      </c>
      <c r="E4363" s="2">
        <f>HYPERLINK("https://www.amazon.com/Wooden-Puzzle-Coverage-Protective-Non-Slip/dp/B0C7GY69RT/ref=sr_1_8?keywords=non-slip+puzzle+mat&amp;qid=1695566005&amp;sr=8-8", "https://www.amazon.com/Wooden-Puzzle-Coverage-Protective-Non-Slip/dp/B0C7GY69RT/ref=sr_1_8?keywords=non-slip+puzzle+mat&amp;qid=1695566005&amp;sr=8-8")</f>
        <v/>
      </c>
      <c r="F4363" t="inlineStr">
        <is>
          <t>B0C7GY69RT</t>
        </is>
      </c>
      <c r="G4363">
        <f>_xlfn.IMAGE("https://faoschwarz.com/cdn/shop/products/ravensburger-puzzles-non-slide-puzzle-mat-28844767903831_1080x.jpg?v=1655996044")</f>
        <v/>
      </c>
      <c r="H4363">
        <f>_xlfn.IMAGE("https://m.media-amazon.com/images/I/81p65VQMycL._AC_UL320_.jpg")</f>
        <v/>
      </c>
      <c r="K4363" t="inlineStr">
        <is>
          <t>25.0</t>
        </is>
      </c>
      <c r="L4363" t="n">
        <v>42.99</v>
      </c>
      <c r="M4363" s="1" t="inlineStr">
        <is>
          <t>71.96%</t>
        </is>
      </c>
      <c r="N4363" t="n">
        <v>4.7</v>
      </c>
      <c r="O4363" t="n">
        <v>35</v>
      </c>
      <c r="Q4363" t="inlineStr">
        <is>
          <t>InStock</t>
        </is>
      </c>
      <c r="R4363" t="inlineStr">
        <is>
          <t>undefined</t>
        </is>
      </c>
      <c r="S4363" t="inlineStr">
        <is>
          <t>6719679529047</t>
        </is>
      </c>
    </row>
    <row r="4364" ht="75" customHeight="1">
      <c r="A4364" s="2">
        <f>HYPERLINK("https://faoschwarz.com/products/non-slide-puzzle-mat", "https://faoschwarz.com/products/non-slide-puzzle-mat")</f>
        <v/>
      </c>
      <c r="B4364" s="2">
        <f>HYPERLINK("https://faoschwarz.com/products/non-slide-puzzle-mat", "https://faoschwarz.com/products/non-slide-puzzle-mat")</f>
        <v/>
      </c>
      <c r="C4364" t="inlineStr">
        <is>
          <t>Non-Slide Puzzle Mat</t>
        </is>
      </c>
      <c r="D4364" t="inlineStr">
        <is>
          <t>Jigsaw Puzzle Mat Roll Up, Saver Pad 46” x 26” Portable Keeper Up to 1500 pieces with Non-Slip Rubber Bottom and Smooth Polyester Top + 3 Puzzle Sorting Trays and Travel-Friendly Storage Bag</t>
        </is>
      </c>
      <c r="E4364" s="2">
        <f>HYPERLINK("https://www.amazon.com/Newverest-Portable-Non-Slip-Polyester-Fastener/dp/B08TMT2CY8/ref=sr_1_2?keywords=non-slip+puzzle+mat&amp;qid=1695566005&amp;sr=8-2", "https://www.amazon.com/Newverest-Portable-Non-Slip-Polyester-Fastener/dp/B08TMT2CY8/ref=sr_1_2?keywords=non-slip+puzzle+mat&amp;qid=1695566005&amp;sr=8-2")</f>
        <v/>
      </c>
      <c r="F4364" t="inlineStr">
        <is>
          <t>B08TMT2CY8</t>
        </is>
      </c>
      <c r="G4364">
        <f>_xlfn.IMAGE("https://faoschwarz.com/cdn/shop/products/ravensburger-puzzles-non-slide-puzzle-mat-28844767903831_1080x.jpg?v=1655996044")</f>
        <v/>
      </c>
      <c r="H4364">
        <f>_xlfn.IMAGE("https://m.media-amazon.com/images/I/91z4A9Le3VL._AC_UL320_.jpg")</f>
        <v/>
      </c>
      <c r="K4364" t="inlineStr">
        <is>
          <t>25.0</t>
        </is>
      </c>
      <c r="L4364" t="n">
        <v>33.99</v>
      </c>
      <c r="M4364" s="1" t="inlineStr">
        <is>
          <t>35.96%</t>
        </is>
      </c>
      <c r="N4364" t="n">
        <v>4.6</v>
      </c>
      <c r="O4364" t="n">
        <v>1410</v>
      </c>
      <c r="Q4364" t="inlineStr">
        <is>
          <t>InStock</t>
        </is>
      </c>
      <c r="R4364" t="inlineStr">
        <is>
          <t>undefined</t>
        </is>
      </c>
      <c r="S4364" t="inlineStr">
        <is>
          <t>6719679529047</t>
        </is>
      </c>
    </row>
    <row r="4365" ht="75" customHeight="1">
      <c r="A4365" s="2">
        <f>HYPERLINK("https://faoschwarz.com/products/non-slide-puzzle-mat", "https://faoschwarz.com/products/non-slide-puzzle-mat")</f>
        <v/>
      </c>
      <c r="B4365" s="2">
        <f>HYPERLINK("https://faoschwarz.com/products/non-slide-puzzle-mat", "https://faoschwarz.com/products/non-slide-puzzle-mat")</f>
        <v/>
      </c>
      <c r="C4365" t="inlineStr">
        <is>
          <t>Non-Slide Puzzle Mat</t>
        </is>
      </c>
      <c r="D4365" t="inlineStr">
        <is>
          <t>Puzzle Saver Board Puzzle Mat Roll Up - Oversized 35"x 23" Water Proof and Non-Slip Puzzle Mat Organizer Up to 1500 Pcs Also for Desktop Mat, Outdoor Camping, Beach, and Picnic Activities</t>
        </is>
      </c>
      <c r="E4365" s="2">
        <f>HYPERLINK("https://www.amazon.com/AGREATLIFE-Puzzle-Saver-Board-Roll/dp/B0BPH45LCC/ref=sr_1_10?keywords=non-slip+puzzle+mat&amp;qid=1695566005&amp;sr=8-10", "https://www.amazon.com/AGREATLIFE-Puzzle-Saver-Board-Roll/dp/B0BPH45LCC/ref=sr_1_10?keywords=non-slip+puzzle+mat&amp;qid=1695566005&amp;sr=8-10")</f>
        <v/>
      </c>
      <c r="F4365" t="inlineStr">
        <is>
          <t>B0BPH45LCC</t>
        </is>
      </c>
      <c r="G4365">
        <f>_xlfn.IMAGE("https://faoschwarz.com/cdn/shop/products/ravensburger-puzzles-non-slide-puzzle-mat-28844767903831_1080x.jpg?v=1655996044")</f>
        <v/>
      </c>
      <c r="H4365">
        <f>_xlfn.IMAGE("https://m.media-amazon.com/images/I/611QHBVRqhL._AC_UL320_.jpg")</f>
        <v/>
      </c>
      <c r="K4365" t="inlineStr">
        <is>
          <t>25.0</t>
        </is>
      </c>
      <c r="L4365" t="n">
        <v>24.99</v>
      </c>
      <c r="M4365" s="1" t="inlineStr">
        <is>
          <t>-0.04%</t>
        </is>
      </c>
      <c r="N4365" t="n">
        <v>4.6</v>
      </c>
      <c r="O4365" t="n">
        <v>7883</v>
      </c>
      <c r="Q4365" t="inlineStr">
        <is>
          <t>InStock</t>
        </is>
      </c>
      <c r="R4365" t="inlineStr">
        <is>
          <t>undefined</t>
        </is>
      </c>
      <c r="S4365" t="inlineStr">
        <is>
          <t>6719679529047</t>
        </is>
      </c>
    </row>
    <row r="4366" ht="75" customHeight="1">
      <c r="A4366" s="2">
        <f>HYPERLINK("https://faoschwarz.com/products/non-slide-puzzle-mat", "https://faoschwarz.com/products/non-slide-puzzle-mat")</f>
        <v/>
      </c>
      <c r="B4366" s="2">
        <f>HYPERLINK("https://faoschwarz.com/products/non-slide-puzzle-mat", "https://faoschwarz.com/products/non-slide-puzzle-mat")</f>
        <v/>
      </c>
      <c r="C4366" t="inlineStr">
        <is>
          <t>Non-Slide Puzzle Mat</t>
        </is>
      </c>
      <c r="D4366" t="inlineStr">
        <is>
          <t>Tektalk Jigsaw Puzzle Board Portable Puzzle Mat for Puzzle Storage Puzzle Saver, Non-Slip Surface (Up to 1000 Pieces, Without Dustproof Cover)</t>
        </is>
      </c>
      <c r="E4366" s="2">
        <f>HYPERLINK("https://www.amazon.com/Tektalk-Portable-Storage-Non-Slip-Surface/dp/B083942NT7/ref=sr_1_9?keywords=non-slip+puzzle+mat&amp;qid=1695566005&amp;sr=8-9", "https://www.amazon.com/Tektalk-Portable-Storage-Non-Slip-Surface/dp/B083942NT7/ref=sr_1_9?keywords=non-slip+puzzle+mat&amp;qid=1695566005&amp;sr=8-9")</f>
        <v/>
      </c>
      <c r="F4366" t="inlineStr">
        <is>
          <t>B083942NT7</t>
        </is>
      </c>
      <c r="G4366">
        <f>_xlfn.IMAGE("https://faoschwarz.com/cdn/shop/products/ravensburger-puzzles-non-slide-puzzle-mat-28844767903831_1080x.jpg?v=1655996044")</f>
        <v/>
      </c>
      <c r="H4366">
        <f>_xlfn.IMAGE("https://m.media-amazon.com/images/I/81s1jGBKW4L._AC_UL320_.jpg")</f>
        <v/>
      </c>
      <c r="K4366" t="inlineStr">
        <is>
          <t>25.0</t>
        </is>
      </c>
      <c r="L4366" t="n">
        <v>24.99</v>
      </c>
      <c r="M4366" s="1" t="inlineStr">
        <is>
          <t>-0.04%</t>
        </is>
      </c>
      <c r="N4366" t="n">
        <v>4.5</v>
      </c>
      <c r="O4366" t="n">
        <v>1197</v>
      </c>
      <c r="Q4366" t="inlineStr">
        <is>
          <t>InStock</t>
        </is>
      </c>
      <c r="R4366" t="inlineStr">
        <is>
          <t>undefined</t>
        </is>
      </c>
      <c r="S4366" t="inlineStr">
        <is>
          <t>6719679529047</t>
        </is>
      </c>
    </row>
    <row r="4367" ht="75" customHeight="1">
      <c r="A4367" s="2">
        <f>HYPERLINK("https://faoschwarz.com/products/non-slide-puzzle-mat", "https://faoschwarz.com/products/non-slide-puzzle-mat")</f>
        <v/>
      </c>
      <c r="B4367" s="2">
        <f>HYPERLINK("https://faoschwarz.com/products/non-slide-puzzle-mat", "https://faoschwarz.com/products/non-slide-puzzle-mat")</f>
        <v/>
      </c>
      <c r="C4367" t="inlineStr">
        <is>
          <t>Non-Slide Puzzle Mat</t>
        </is>
      </c>
      <c r="D4367" t="inlineStr">
        <is>
          <t>Puzzle Mat 1500 Pieces - 26 x 47 Inches - Portable Non Slip Roll Up Jigsaw Mat - Suited for Puzzles of 500, 1000 or 1500 Pieces - Puzzlup Portapuzzle with Gift Packaging</t>
        </is>
      </c>
      <c r="E4367" s="2">
        <f>HYPERLINK("https://www.amazon.com/Jigsaw-Puzzle-Mat-Seconds-Packaging/dp/B09MBH7RFW/ref=sr_1_7?keywords=non-slip+puzzle+mat&amp;qid=1695566005&amp;sr=8-7", "https://www.amazon.com/Jigsaw-Puzzle-Mat-Seconds-Packaging/dp/B09MBH7RFW/ref=sr_1_7?keywords=non-slip+puzzle+mat&amp;qid=1695566005&amp;sr=8-7")</f>
        <v/>
      </c>
      <c r="F4367" t="inlineStr">
        <is>
          <t>B09MBH7RFW</t>
        </is>
      </c>
      <c r="G4367">
        <f>_xlfn.IMAGE("https://faoschwarz.com/cdn/shop/products/ravensburger-puzzles-non-slide-puzzle-mat-28844767903831_1080x.jpg?v=1655996044")</f>
        <v/>
      </c>
      <c r="H4367">
        <f>_xlfn.IMAGE("https://m.media-amazon.com/images/I/81uzDp9j1iL._AC_UL320_.jpg")</f>
        <v/>
      </c>
      <c r="K4367" t="inlineStr">
        <is>
          <t>25.0</t>
        </is>
      </c>
      <c r="L4367" t="n">
        <v>19.95</v>
      </c>
      <c r="M4367" s="1" t="inlineStr">
        <is>
          <t>-20.20%</t>
        </is>
      </c>
      <c r="N4367" t="n">
        <v>4.5</v>
      </c>
      <c r="O4367" t="n">
        <v>91</v>
      </c>
      <c r="Q4367" t="inlineStr">
        <is>
          <t>InStock</t>
        </is>
      </c>
      <c r="R4367" t="inlineStr">
        <is>
          <t>undefined</t>
        </is>
      </c>
      <c r="S4367" t="inlineStr">
        <is>
          <t>6719679529047</t>
        </is>
      </c>
    </row>
    <row r="4368" ht="75" customHeight="1">
      <c r="A4368" s="2">
        <f>HYPERLINK("https://faoschwarz.com/products/non-slide-puzzle-mat", "https://faoschwarz.com/products/non-slide-puzzle-mat")</f>
        <v/>
      </c>
      <c r="B4368" s="2">
        <f>HYPERLINK("https://faoschwarz.com/products/non-slide-puzzle-mat", "https://faoschwarz.com/products/non-slide-puzzle-mat")</f>
        <v/>
      </c>
      <c r="C4368" t="inlineStr">
        <is>
          <t>Non-Slide Puzzle Mat</t>
        </is>
      </c>
      <c r="D4368" t="inlineStr">
        <is>
          <t>Collectix Premium Felt Puzzle Mat Roll Up - Non-Slip and Beautifully Soft - 3in1 Jigsaw Puzzle Storage for 500, 1000 and 1500 Pieces - Portable Saver, Keeper and Holder</t>
        </is>
      </c>
      <c r="E4368" s="2">
        <f>HYPERLINK("https://www.amazon.com/Collectix-Premium-Felt-Puzzle-Roll/dp/B0BFG5RD5S/ref=sr_1_6?keywords=non-slip+puzzle+mat&amp;qid=1695566005&amp;sr=8-6", "https://www.amazon.com/Collectix-Premium-Felt-Puzzle-Roll/dp/B0BFG5RD5S/ref=sr_1_6?keywords=non-slip+puzzle+mat&amp;qid=1695566005&amp;sr=8-6")</f>
        <v/>
      </c>
      <c r="F4368" t="inlineStr">
        <is>
          <t>B0BFG5RD5S</t>
        </is>
      </c>
      <c r="G4368">
        <f>_xlfn.IMAGE("https://faoschwarz.com/cdn/shop/products/ravensburger-puzzles-non-slide-puzzle-mat-28844767903831_1080x.jpg?v=1655996044")</f>
        <v/>
      </c>
      <c r="H4368">
        <f>_xlfn.IMAGE("https://m.media-amazon.com/images/I/71y4ibmpX6L._AC_UL320_.jpg")</f>
        <v/>
      </c>
      <c r="K4368" t="inlineStr">
        <is>
          <t>25.0</t>
        </is>
      </c>
      <c r="L4368" t="n">
        <v>13.95</v>
      </c>
      <c r="M4368" s="1" t="inlineStr">
        <is>
          <t>-44.20%</t>
        </is>
      </c>
      <c r="N4368" t="n">
        <v>3.8</v>
      </c>
      <c r="O4368" t="n">
        <v>7</v>
      </c>
      <c r="Q4368" t="inlineStr">
        <is>
          <t>InStock</t>
        </is>
      </c>
      <c r="R4368" t="inlineStr">
        <is>
          <t>undefined</t>
        </is>
      </c>
      <c r="S4368" t="inlineStr">
        <is>
          <t>6719679529047</t>
        </is>
      </c>
    </row>
    <row r="4369" ht="75" customHeight="1">
      <c r="A4369" s="2">
        <f>HYPERLINK("https://faoschwarz.com/products/non-slide-puzzle-mat", "https://faoschwarz.com/products/non-slide-puzzle-mat")</f>
        <v/>
      </c>
      <c r="B4369" s="2">
        <f>HYPERLINK("https://faoschwarz.com/products/non-slide-puzzle-mat", "https://faoschwarz.com/products/non-slide-puzzle-mat")</f>
        <v/>
      </c>
      <c r="C4369" t="inlineStr">
        <is>
          <t>Non-Slide Puzzle Mat</t>
        </is>
      </c>
      <c r="D4369" t="inlineStr">
        <is>
          <t>Jigsaw Puzzle Mat Roll Up - 2000 1000 500 Pieces Saver Large Black Non-Slip Felt Pad, Puzzles Board Gift for Adults Kids, Inflatable Pump Tube Storage Bag Transport Glue Floor Holder Keeper Cover</t>
        </is>
      </c>
      <c r="E4369" s="2">
        <f>HYPERLINK("https://www.amazon.com/Jigsaw-Puzzle-Mat-Roll-Inflatable/dp/B0BWHGQVM6/ref=sr_1_5?keywords=non-slip+puzzle+mat&amp;qid=1695566005&amp;sr=8-5", "https://www.amazon.com/Jigsaw-Puzzle-Mat-Roll-Inflatable/dp/B0BWHGQVM6/ref=sr_1_5?keywords=non-slip+puzzle+mat&amp;qid=1695566005&amp;sr=8-5")</f>
        <v/>
      </c>
      <c r="F4369" t="inlineStr">
        <is>
          <t>B0BWHGQVM6</t>
        </is>
      </c>
      <c r="G4369">
        <f>_xlfn.IMAGE("https://faoschwarz.com/cdn/shop/products/ravensburger-puzzles-non-slide-puzzle-mat-28844767903831_1080x.jpg?v=1655996044")</f>
        <v/>
      </c>
      <c r="H4369">
        <f>_xlfn.IMAGE("https://m.media-amazon.com/images/I/81N0pWrsQ+L._AC_UL320_.jpg")</f>
        <v/>
      </c>
      <c r="K4369" t="inlineStr">
        <is>
          <t>25.0</t>
        </is>
      </c>
      <c r="L4369" t="n">
        <v>11.99</v>
      </c>
      <c r="M4369" s="1" t="inlineStr">
        <is>
          <t>-52.04%</t>
        </is>
      </c>
      <c r="N4369" t="n">
        <v>3.1</v>
      </c>
      <c r="O4369" t="n">
        <v>10</v>
      </c>
      <c r="Q4369" t="inlineStr">
        <is>
          <t>InStock</t>
        </is>
      </c>
      <c r="R4369" t="inlineStr">
        <is>
          <t>undefined</t>
        </is>
      </c>
      <c r="S4369" t="inlineStr">
        <is>
          <t>6719679529047</t>
        </is>
      </c>
    </row>
    <row r="4370" ht="75" customHeight="1">
      <c r="A4370" s="2">
        <f>HYPERLINK("https://faoschwarz.com/products/non-slide-puzzle-mat", "https://faoschwarz.com/products/non-slide-puzzle-mat")</f>
        <v/>
      </c>
      <c r="B4370" s="2">
        <f>HYPERLINK("https://faoschwarz.com/products/non-slide-puzzle-mat", "https://faoschwarz.com/products/non-slide-puzzle-mat")</f>
        <v/>
      </c>
      <c r="C4370" t="inlineStr">
        <is>
          <t>Non-Slide Puzzle Mat</t>
        </is>
      </c>
      <c r="D4370" t="inlineStr">
        <is>
          <t>Puzzle Mat 1500 Pieces - 26 x 47 Inches - Portable Non Slip Roll Up Jigsaw Mat - Suited for Puzzles of 500, 1000 or 1500 Pieces - Puzzlup Portapuzzle with Gift Packaging</t>
        </is>
      </c>
      <c r="E4370" s="2">
        <f>HYPERLINK("https://www.amazon.com/Jigsaw-Puzzle-Mat-Seconds-Packaging/dp/B09MBH7RFW/ref=sr_1_7?keywords=non-slip+puzzle+mat&amp;qid=1695566005&amp;sr=8-7", "https://www.amazon.com/Jigsaw-Puzzle-Mat-Seconds-Packaging/dp/B09MBH7RFW/ref=sr_1_7?keywords=non-slip+puzzle+mat&amp;qid=1695566005&amp;sr=8-7")</f>
        <v/>
      </c>
      <c r="F4370" t="inlineStr">
        <is>
          <t>B09MBH7RFW</t>
        </is>
      </c>
      <c r="G4370">
        <f>_xlfn.IMAGE("https://faoschwarz.com/cdn/shop/products/ravensburger-puzzles-non-slide-puzzle-mat-28844767903831_1080x.jpg?v=1655996044")</f>
        <v/>
      </c>
      <c r="H4370">
        <f>_xlfn.IMAGE("https://m.media-amazon.com/images/I/81uzDp9j1iL._AC_UL320_.jpg")</f>
        <v/>
      </c>
      <c r="K4370" t="inlineStr">
        <is>
          <t>25.0</t>
        </is>
      </c>
      <c r="L4370" t="n">
        <v>19.95</v>
      </c>
      <c r="M4370" s="1" t="inlineStr">
        <is>
          <t>-20.20%</t>
        </is>
      </c>
      <c r="N4370" t="n">
        <v>4.5</v>
      </c>
      <c r="O4370" t="n">
        <v>91</v>
      </c>
      <c r="Q4370" t="inlineStr">
        <is>
          <t>InStock</t>
        </is>
      </c>
      <c r="R4370" t="inlineStr">
        <is>
          <t>undefined</t>
        </is>
      </c>
      <c r="S4370" t="inlineStr">
        <is>
          <t>6719679529047</t>
        </is>
      </c>
    </row>
    <row r="4371" ht="75" customHeight="1">
      <c r="A4371" s="2">
        <f>HYPERLINK("https://faoschwarz.com/products/non-slide-puzzle-mat", "https://faoschwarz.com/products/non-slide-puzzle-mat")</f>
        <v/>
      </c>
      <c r="B4371" s="2">
        <f>HYPERLINK("https://faoschwarz.com/products/non-slide-puzzle-mat", "https://faoschwarz.com/products/non-slide-puzzle-mat")</f>
        <v/>
      </c>
      <c r="C4371" t="inlineStr">
        <is>
          <t>Non-Slide Puzzle Mat</t>
        </is>
      </c>
      <c r="D4371" t="inlineStr">
        <is>
          <t>Collectix Premium Felt Puzzle Mat Roll Up - Non-Slip and Beautifully Soft - 3in1 Jigsaw Puzzle Storage for 500, 1000 and 1500 Pieces - Portable Saver, Keeper and Holder</t>
        </is>
      </c>
      <c r="E4371" s="2">
        <f>HYPERLINK("https://www.amazon.com/Collectix-Premium-Felt-Puzzle-Roll/dp/B0BFG5RD5S/ref=sr_1_6?keywords=non-slip+puzzle+mat&amp;qid=1695566005&amp;sr=8-6", "https://www.amazon.com/Collectix-Premium-Felt-Puzzle-Roll/dp/B0BFG5RD5S/ref=sr_1_6?keywords=non-slip+puzzle+mat&amp;qid=1695566005&amp;sr=8-6")</f>
        <v/>
      </c>
      <c r="F4371" t="inlineStr">
        <is>
          <t>B0BFG5RD5S</t>
        </is>
      </c>
      <c r="G4371">
        <f>_xlfn.IMAGE("https://faoschwarz.com/cdn/shop/products/ravensburger-puzzles-non-slide-puzzle-mat-28844767903831_1080x.jpg?v=1655996044")</f>
        <v/>
      </c>
      <c r="H4371">
        <f>_xlfn.IMAGE("https://m.media-amazon.com/images/I/71y4ibmpX6L._AC_UL320_.jpg")</f>
        <v/>
      </c>
      <c r="K4371" t="inlineStr">
        <is>
          <t>25.0</t>
        </is>
      </c>
      <c r="L4371" t="n">
        <v>13.95</v>
      </c>
      <c r="M4371" s="1" t="inlineStr">
        <is>
          <t>-44.20%</t>
        </is>
      </c>
      <c r="N4371" t="n">
        <v>3.8</v>
      </c>
      <c r="O4371" t="n">
        <v>7</v>
      </c>
      <c r="Q4371" t="inlineStr">
        <is>
          <t>InStock</t>
        </is>
      </c>
      <c r="R4371" t="inlineStr">
        <is>
          <t>undefined</t>
        </is>
      </c>
      <c r="S4371" t="inlineStr">
        <is>
          <t>6719679529047</t>
        </is>
      </c>
    </row>
    <row r="4372" ht="75" customHeight="1">
      <c r="A4372" s="2">
        <f>HYPERLINK("https://faoschwarz.com/products/non-slide-puzzle-mat", "https://faoschwarz.com/products/non-slide-puzzle-mat")</f>
        <v/>
      </c>
      <c r="B4372" s="2">
        <f>HYPERLINK("https://faoschwarz.com/products/non-slide-puzzle-mat", "https://faoschwarz.com/products/non-slide-puzzle-mat")</f>
        <v/>
      </c>
      <c r="C4372" t="inlineStr">
        <is>
          <t>Non-Slide Puzzle Mat</t>
        </is>
      </c>
      <c r="D4372" t="inlineStr">
        <is>
          <t>Jigsaw Puzzle Mat Roll Up - 2000 1000 500 Pieces Saver Large Black Non-Slip Felt Pad, Puzzles Board Gift for Adults Kids, Inflatable Pump Tube Storage Bag Transport Glue Floor Holder Keeper Cover</t>
        </is>
      </c>
      <c r="E4372" s="2">
        <f>HYPERLINK("https://www.amazon.com/Jigsaw-Puzzle-Mat-Roll-Inflatable/dp/B0BWHGQVM6/ref=sr_1_5?keywords=non-slip+puzzle+mat&amp;qid=1695566005&amp;sr=8-5", "https://www.amazon.com/Jigsaw-Puzzle-Mat-Roll-Inflatable/dp/B0BWHGQVM6/ref=sr_1_5?keywords=non-slip+puzzle+mat&amp;qid=1695566005&amp;sr=8-5")</f>
        <v/>
      </c>
      <c r="F4372" t="inlineStr">
        <is>
          <t>B0BWHGQVM6</t>
        </is>
      </c>
      <c r="G4372">
        <f>_xlfn.IMAGE("https://faoschwarz.com/cdn/shop/products/ravensburger-puzzles-non-slide-puzzle-mat-28844767903831_1080x.jpg?v=1655996044")</f>
        <v/>
      </c>
      <c r="H4372">
        <f>_xlfn.IMAGE("https://m.media-amazon.com/images/I/81N0pWrsQ+L._AC_UL320_.jpg")</f>
        <v/>
      </c>
      <c r="K4372" t="inlineStr">
        <is>
          <t>25.0</t>
        </is>
      </c>
      <c r="L4372" t="n">
        <v>11.99</v>
      </c>
      <c r="M4372" s="1" t="inlineStr">
        <is>
          <t>-52.04%</t>
        </is>
      </c>
      <c r="N4372" t="n">
        <v>3.1</v>
      </c>
      <c r="O4372" t="n">
        <v>10</v>
      </c>
      <c r="Q4372" t="inlineStr">
        <is>
          <t>InStock</t>
        </is>
      </c>
      <c r="R4372" t="inlineStr">
        <is>
          <t>undefined</t>
        </is>
      </c>
      <c r="S4372" t="inlineStr">
        <is>
          <t>6719679529047</t>
        </is>
      </c>
    </row>
    <row r="4373" ht="75" customHeight="1">
      <c r="A4373" s="2">
        <f>HYPERLINK("https://faoschwarz.com/products/ny-city-that-never-sleeps-5000-piece-puzzle", "https://faoschwarz.com/products/ny-city-that-never-sleeps-5000-piece-puzzle")</f>
        <v/>
      </c>
      <c r="B4373" s="2">
        <f>HYPERLINK("https://faoschwarz.com/products/ny-city-that-never-sleeps-5000-piece-puzzle", "https://faoschwarz.com/products/ny-city-that-never-sleeps-5000-piece-puzzle")</f>
        <v/>
      </c>
      <c r="C4373" t="inlineStr">
        <is>
          <t>NY City That Never Sleeps 5000 Piece Puzzle</t>
        </is>
      </c>
      <c r="D4373" t="inlineStr">
        <is>
          <t>Galison The City That Never Sleeps 750 Piece Shaped Puzzle - New York City Themed Shaped Jigsaw Puzzle for Adults, Thick and Sturdy Pieces, Challenging and Fun Indoor Activity!</t>
        </is>
      </c>
      <c r="E4373" s="2">
        <f>HYPERLINK("https://www.amazon.com/Galison-Never-Sleeps-Shaped-Puzzle/dp/0735373000/ref=sr_1_1?keywords=NY+City+That+Never+Sleeps+5000+Piece+Puzzle&amp;qid=1695565992&amp;sr=8-1", "https://www.amazon.com/Galison-Never-Sleeps-Shaped-Puzzle/dp/0735373000/ref=sr_1_1?keywords=NY+City+That+Never+Sleeps+5000+Piece+Puzzle&amp;qid=1695565992&amp;sr=8-1")</f>
        <v/>
      </c>
      <c r="F4373" t="inlineStr">
        <is>
          <t>0735373000</t>
        </is>
      </c>
      <c r="G4373">
        <f>_xlfn.IMAGE("https://faoschwarz.com/cdn/shop/products/ravensburger-puzzles-ny-city-that-never-sleeps-5000-piece-puzzle-14618782859351_1080x.jpg?v=1656133417")</f>
        <v/>
      </c>
      <c r="H4373">
        <f>_xlfn.IMAGE("https://m.media-amazon.com/images/I/71y6v7mdOUL._AC_UL320_.jpg")</f>
        <v/>
      </c>
      <c r="K4373" t="inlineStr">
        <is>
          <t>88.0</t>
        </is>
      </c>
      <c r="L4373" t="n">
        <v>19.99</v>
      </c>
      <c r="M4373" s="1" t="inlineStr">
        <is>
          <t>-77.28%</t>
        </is>
      </c>
      <c r="N4373" t="n">
        <v>5</v>
      </c>
      <c r="O4373" t="n">
        <v>1</v>
      </c>
      <c r="Q4373" t="inlineStr">
        <is>
          <t>InStock</t>
        </is>
      </c>
      <c r="R4373" t="inlineStr">
        <is>
          <t>undefined</t>
        </is>
      </c>
      <c r="S4373" t="inlineStr">
        <is>
          <t>4625498996823</t>
        </is>
      </c>
    </row>
    <row r="4374" ht="75" customHeight="1">
      <c r="A4374" s="2">
        <f>HYPERLINK("https://faoschwarz.com/products/ny-city-that-never-sleeps-5000-piece-puzzle", "https://faoschwarz.com/products/ny-city-that-never-sleeps-5000-piece-puzzle")</f>
        <v/>
      </c>
      <c r="B4374" s="2">
        <f>HYPERLINK("https://faoschwarz.com/products/ny-city-that-never-sleeps-5000-piece-puzzle", "https://faoschwarz.com/products/ny-city-that-never-sleeps-5000-piece-puzzle")</f>
        <v/>
      </c>
      <c r="C4374" t="inlineStr">
        <is>
          <t>NY City That Never Sleeps 5000 Piece Puzzle</t>
        </is>
      </c>
      <c r="D4374" t="inlineStr">
        <is>
          <t>Galison The City That Never Sleeps 750 Piece Shaped Puzzle - New York City Themed Shaped Jigsaw Puzzle for Adults, Thick and Sturdy Pieces, Challenging and Fun Indoor Activity!</t>
        </is>
      </c>
      <c r="E4374" s="2">
        <f>HYPERLINK("https://www.amazon.com/Galison-Never-Sleeps-Shaped-Puzzle/dp/0735373000/ref=sr_1_1?keywords=NY+City+That+Never+Sleeps+5000+Piece+Puzzle&amp;qid=1695565992&amp;sr=8-1", "https://www.amazon.com/Galison-Never-Sleeps-Shaped-Puzzle/dp/0735373000/ref=sr_1_1?keywords=NY+City+That+Never+Sleeps+5000+Piece+Puzzle&amp;qid=1695565992&amp;sr=8-1")</f>
        <v/>
      </c>
      <c r="F4374" t="inlineStr">
        <is>
          <t>0735373000</t>
        </is>
      </c>
      <c r="G4374">
        <f>_xlfn.IMAGE("https://faoschwarz.com/cdn/shop/products/ravensburger-puzzles-ny-city-that-never-sleeps-5000-piece-puzzle-14618782859351_1080x.jpg?v=1656133417")</f>
        <v/>
      </c>
      <c r="H4374">
        <f>_xlfn.IMAGE("https://m.media-amazon.com/images/I/71y6v7mdOUL._AC_UL320_.jpg")</f>
        <v/>
      </c>
      <c r="K4374" t="inlineStr">
        <is>
          <t>88.0</t>
        </is>
      </c>
      <c r="L4374" t="n">
        <v>19.99</v>
      </c>
      <c r="M4374" s="1" t="inlineStr">
        <is>
          <t>-77.28%</t>
        </is>
      </c>
      <c r="N4374" t="n">
        <v>5</v>
      </c>
      <c r="O4374" t="n">
        <v>1</v>
      </c>
      <c r="Q4374" t="inlineStr">
        <is>
          <t>InStock</t>
        </is>
      </c>
      <c r="R4374" t="inlineStr">
        <is>
          <t>undefined</t>
        </is>
      </c>
      <c r="S4374" t="inlineStr">
        <is>
          <t>4625498996823</t>
        </is>
      </c>
    </row>
    <row r="4375" ht="75" customHeight="1">
      <c r="A4375" s="2">
        <f>HYPERLINK("https://faoschwarz.com/products/outdoor-archery-set", "https://faoschwarz.com/products/outdoor-archery-set")</f>
        <v/>
      </c>
      <c r="B4375" s="2">
        <f>HYPERLINK("https://faoschwarz.com/products/outdoor-archery-set", "https://faoschwarz.com/products/outdoor-archery-set")</f>
        <v/>
      </c>
      <c r="C4375" t="inlineStr">
        <is>
          <t>Discovery Bullseye Outdoor Archery Set For Kids</t>
        </is>
      </c>
      <c r="D4375" t="inlineStr">
        <is>
          <t>Bow and Arrow for Kids, Archery Toy Set, 2 Bows &amp; 1 Blowing Bow &amp; 12 Arrows &amp; 5 Quivers &amp; Standing Target, Outdoor Toys for Children Boys Girls</t>
        </is>
      </c>
      <c r="E4375" s="2">
        <f>HYPERLINK("https://www.amazon.com/CAPTAIN-CHAOWING-Archery-Standing-Children/dp/B08PC3BD8B/ref=sr_1_10?keywords=Discovery+Bullseye+Outdoor+Archery+Set+For+Kids&amp;qid=1695566003&amp;sr=8-10", "https://www.amazon.com/CAPTAIN-CHAOWING-Archery-Standing-Children/dp/B08PC3BD8B/ref=sr_1_10?keywords=Discovery+Bullseye+Outdoor+Archery+Set+For+Kids&amp;qid=1695566003&amp;sr=8-10")</f>
        <v/>
      </c>
      <c r="F4375" t="inlineStr">
        <is>
          <t>B08PC3BD8B</t>
        </is>
      </c>
      <c r="G4375">
        <f>_xlfn.IMAGE("https://faoschwarz.com/cdn/shop/products/discovery-outdoor-outdoor-archery-set-28324973576279_1080x.jpg?v=1656071343")</f>
        <v/>
      </c>
      <c r="H4375">
        <f>_xlfn.IMAGE("https://m.media-amazon.com/images/I/71NN0CXU+VL._AC_UL320_.jpg")</f>
        <v/>
      </c>
      <c r="K4375" t="inlineStr">
        <is>
          <t>50.0</t>
        </is>
      </c>
      <c r="L4375" t="n">
        <v>45.99</v>
      </c>
      <c r="M4375" s="1" t="inlineStr">
        <is>
          <t>-8.02%</t>
        </is>
      </c>
      <c r="N4375" t="n">
        <v>4.1</v>
      </c>
      <c r="O4375" t="n">
        <v>1012</v>
      </c>
      <c r="Q4375" t="inlineStr">
        <is>
          <t>InStock</t>
        </is>
      </c>
      <c r="R4375" t="inlineStr">
        <is>
          <t>undefined</t>
        </is>
      </c>
      <c r="S4375" t="inlineStr">
        <is>
          <t>6586919944279</t>
        </is>
      </c>
    </row>
    <row r="4376" ht="75" customHeight="1">
      <c r="A4376" s="2">
        <f>HYPERLINK("https://faoschwarz.com/products/outdoor-archery-set", "https://faoschwarz.com/products/outdoor-archery-set")</f>
        <v/>
      </c>
      <c r="B4376" s="2">
        <f>HYPERLINK("https://faoschwarz.com/products/outdoor-archery-set", "https://faoschwarz.com/products/outdoor-archery-set")</f>
        <v/>
      </c>
      <c r="C4376" t="inlineStr">
        <is>
          <t>Discovery Bullseye Outdoor Archery Set For Kids</t>
        </is>
      </c>
      <c r="D4376" t="inlineStr">
        <is>
          <t>Discovery Kids Bullseye Outdoor Archery Set with LED Target Light-Up Toy Night/Day Activity Includes 4 Arrows, Quiver with Strap, 1 Bow for Ages 6+ and Older</t>
        </is>
      </c>
      <c r="E4376" s="2">
        <f>HYPERLINK("https://www.amazon.com/Discovery-Kids-Bullseye-Light-Up-Activity/dp/B08F2Y7Z6T/ref=sr_1_1?keywords=Discovery+Bullseye+Outdoor+Archery+Set+For+Kids&amp;qid=1695566003&amp;sr=8-1", "https://www.amazon.com/Discovery-Kids-Bullseye-Light-Up-Activity/dp/B08F2Y7Z6T/ref=sr_1_1?keywords=Discovery+Bullseye+Outdoor+Archery+Set+For+Kids&amp;qid=1695566003&amp;sr=8-1")</f>
        <v/>
      </c>
      <c r="F4376" t="inlineStr">
        <is>
          <t>B08F2Y7Z6T</t>
        </is>
      </c>
      <c r="G4376">
        <f>_xlfn.IMAGE("https://faoschwarz.com/cdn/shop/products/discovery-outdoor-outdoor-archery-set-28324973576279_1080x.jpg?v=1656071343")</f>
        <v/>
      </c>
      <c r="H4376">
        <f>_xlfn.IMAGE("https://m.media-amazon.com/images/I/81dAjpjvcbL._AC_UL320_.jpg")</f>
        <v/>
      </c>
      <c r="K4376" t="inlineStr">
        <is>
          <t>50.0</t>
        </is>
      </c>
      <c r="L4376" t="n">
        <v>39.99</v>
      </c>
      <c r="M4376" s="1" t="inlineStr">
        <is>
          <t>-20.02%</t>
        </is>
      </c>
      <c r="N4376" t="n">
        <v>4.1</v>
      </c>
      <c r="O4376" t="n">
        <v>60</v>
      </c>
      <c r="Q4376" t="inlineStr">
        <is>
          <t>InStock</t>
        </is>
      </c>
      <c r="R4376" t="inlineStr">
        <is>
          <t>undefined</t>
        </is>
      </c>
      <c r="S4376" t="inlineStr">
        <is>
          <t>6586919944279</t>
        </is>
      </c>
    </row>
    <row r="4377" ht="75" customHeight="1">
      <c r="A4377" s="2">
        <f>HYPERLINK("https://faoschwarz.com/products/outdoor-archery-set", "https://faoschwarz.com/products/outdoor-archery-set")</f>
        <v/>
      </c>
      <c r="B4377" s="2">
        <f>HYPERLINK("https://faoschwarz.com/products/outdoor-archery-set", "https://faoschwarz.com/products/outdoor-archery-set")</f>
        <v/>
      </c>
      <c r="C4377" t="inlineStr">
        <is>
          <t>Discovery Bullseye Outdoor Archery Set For Kids</t>
        </is>
      </c>
      <c r="D4377" t="inlineStr">
        <is>
          <t>OWNONE 1 Bow and Arrow for Kids 4-6-8-12 Years Old, Archery Toy Set for Boys with LED Lights - Includes 2 Bows, 20 Suction Cup Arrows, 2 Quivers &amp; Standing Target, Outdoor Toys for Kids Boys Girls</t>
        </is>
      </c>
      <c r="E4377" s="2">
        <f>HYPERLINK("https://www.amazon.com/OWNONE-Arrow-4-6-8-12-Archery-Lights/dp/B0BPBW8VNY/ref=sr_1_7?keywords=Discovery+Bullseye+Outdoor+Archery+Set+For+Kids&amp;qid=1695566003&amp;sr=8-7", "https://www.amazon.com/OWNONE-Arrow-4-6-8-12-Archery-Lights/dp/B0BPBW8VNY/ref=sr_1_7?keywords=Discovery+Bullseye+Outdoor+Archery+Set+For+Kids&amp;qid=1695566003&amp;sr=8-7")</f>
        <v/>
      </c>
      <c r="F4377" t="inlineStr">
        <is>
          <t>B0BPBW8VNY</t>
        </is>
      </c>
      <c r="G4377">
        <f>_xlfn.IMAGE("https://faoschwarz.com/cdn/shop/products/discovery-outdoor-outdoor-archery-set-28324973576279_1080x.jpg?v=1656071343")</f>
        <v/>
      </c>
      <c r="H4377">
        <f>_xlfn.IMAGE("https://m.media-amazon.com/images/I/71J0nvPyn1L._AC_UL320_.jpg")</f>
        <v/>
      </c>
      <c r="K4377" t="inlineStr">
        <is>
          <t>50.0</t>
        </is>
      </c>
      <c r="L4377" t="n">
        <v>35.89</v>
      </c>
      <c r="M4377" s="1" t="inlineStr">
        <is>
          <t>-28.22%</t>
        </is>
      </c>
      <c r="N4377" t="n">
        <v>4.2</v>
      </c>
      <c r="O4377" t="n">
        <v>66</v>
      </c>
      <c r="Q4377" t="inlineStr">
        <is>
          <t>InStock</t>
        </is>
      </c>
      <c r="R4377" t="inlineStr">
        <is>
          <t>undefined</t>
        </is>
      </c>
      <c r="S4377" t="inlineStr">
        <is>
          <t>6586919944279</t>
        </is>
      </c>
    </row>
    <row r="4378" ht="75" customHeight="1">
      <c r="A4378" s="2">
        <f>HYPERLINK("https://faoschwarz.com/products/outdoor-archery-set", "https://faoschwarz.com/products/outdoor-archery-set")</f>
        <v/>
      </c>
      <c r="B4378" s="2">
        <f>HYPERLINK("https://faoschwarz.com/products/outdoor-archery-set", "https://faoschwarz.com/products/outdoor-archery-set")</f>
        <v/>
      </c>
      <c r="C4378" t="inlineStr">
        <is>
          <t>Discovery Bullseye Outdoor Archery Set For Kids</t>
        </is>
      </c>
      <c r="D4378" t="inlineStr">
        <is>
          <t>Kmuxilal 2023 2 Pack Kids Bow and Arrow Set with LED Flash Lights, 14 Suction Cup Arrows and Fluorescence Standing Target-Perfect Indoor and Outdoor Archery Set Toy Gift for Boys and Girls Ages 4-12</t>
        </is>
      </c>
      <c r="E4378" s="2">
        <f>HYPERLINK("https://www.amazon.com/Kmuxilal-Suction-Fluorescence-Standing-Target-Perfect/dp/B0BTBVTV6Q/ref=sr_1_3?keywords=Discovery+Bullseye+Outdoor+Archery+Set+For+Kids&amp;qid=1695566003&amp;sr=8-3", "https://www.amazon.com/Kmuxilal-Suction-Fluorescence-Standing-Target-Perfect/dp/B0BTBVTV6Q/ref=sr_1_3?keywords=Discovery+Bullseye+Outdoor+Archery+Set+For+Kids&amp;qid=1695566003&amp;sr=8-3")</f>
        <v/>
      </c>
      <c r="F4378" t="inlineStr">
        <is>
          <t>B0BTBVTV6Q</t>
        </is>
      </c>
      <c r="G4378">
        <f>_xlfn.IMAGE("https://faoschwarz.com/cdn/shop/products/discovery-outdoor-outdoor-archery-set-28324973576279_1080x.jpg?v=1656071343")</f>
        <v/>
      </c>
      <c r="H4378">
        <f>_xlfn.IMAGE("https://m.media-amazon.com/images/I/71kJOweHY-L._AC_UL320_.jpg")</f>
        <v/>
      </c>
      <c r="K4378" t="inlineStr">
        <is>
          <t>50.0</t>
        </is>
      </c>
      <c r="L4378" t="n">
        <v>29.69</v>
      </c>
      <c r="M4378" s="1" t="inlineStr">
        <is>
          <t>-40.62%</t>
        </is>
      </c>
      <c r="N4378" t="n">
        <v>4.4</v>
      </c>
      <c r="O4378" t="n">
        <v>124</v>
      </c>
      <c r="Q4378" t="inlineStr">
        <is>
          <t>InStock</t>
        </is>
      </c>
      <c r="R4378" t="inlineStr">
        <is>
          <t>undefined</t>
        </is>
      </c>
      <c r="S4378" t="inlineStr">
        <is>
          <t>6586919944279</t>
        </is>
      </c>
    </row>
    <row r="4379" ht="75" customHeight="1">
      <c r="A4379" s="2">
        <f>HYPERLINK("https://faoschwarz.com/products/outdoor-archery-set", "https://faoschwarz.com/products/outdoor-archery-set")</f>
        <v/>
      </c>
      <c r="B4379" s="2">
        <f>HYPERLINK("https://faoschwarz.com/products/outdoor-archery-set", "https://faoschwarz.com/products/outdoor-archery-set")</f>
        <v/>
      </c>
      <c r="C4379" t="inlineStr">
        <is>
          <t>Discovery Bullseye Outdoor Archery Set For Kids</t>
        </is>
      </c>
      <c r="D4379" t="inlineStr">
        <is>
          <t>TEMI 2 Pack Set Kids Archery Bow Arrow Toy Outdoor Hunting Play with 20 Suction Cup Arrows Target &amp; Quiver, LED Light Up Function Toy, Toys for Kids, Boys Girls Ages 3-12</t>
        </is>
      </c>
      <c r="E4379" s="2">
        <f>HYPERLINK("https://www.amazon.com/Archery-Outdoor-Hunting-Function-Children/dp/B097SZZPVG/ref=sr_1_2?keywords=Discovery+Bullseye+Outdoor+Archery+Set+For+Kids&amp;qid=1695566003&amp;sr=8-2", "https://www.amazon.com/Archery-Outdoor-Hunting-Function-Children/dp/B097SZZPVG/ref=sr_1_2?keywords=Discovery+Bullseye+Outdoor+Archery+Set+For+Kids&amp;qid=1695566003&amp;sr=8-2")</f>
        <v/>
      </c>
      <c r="F4379" t="inlineStr">
        <is>
          <t>B097SZZPVG</t>
        </is>
      </c>
      <c r="G4379">
        <f>_xlfn.IMAGE("https://faoschwarz.com/cdn/shop/products/discovery-outdoor-outdoor-archery-set-28324973576279_1080x.jpg?v=1656071343")</f>
        <v/>
      </c>
      <c r="H4379">
        <f>_xlfn.IMAGE("https://m.media-amazon.com/images/I/71g4SpvNHVL._AC_UL320_.jpg")</f>
        <v/>
      </c>
      <c r="K4379" t="inlineStr">
        <is>
          <t>50.0</t>
        </is>
      </c>
      <c r="L4379" t="n">
        <v>28.89</v>
      </c>
      <c r="M4379" s="1" t="inlineStr">
        <is>
          <t>-42.22%</t>
        </is>
      </c>
      <c r="N4379" t="n">
        <v>4.1</v>
      </c>
      <c r="O4379" t="n">
        <v>7147</v>
      </c>
      <c r="Q4379" t="inlineStr">
        <is>
          <t>InStock</t>
        </is>
      </c>
      <c r="R4379" t="inlineStr">
        <is>
          <t>undefined</t>
        </is>
      </c>
      <c r="S4379" t="inlineStr">
        <is>
          <t>6586919944279</t>
        </is>
      </c>
    </row>
    <row r="4380" ht="75" customHeight="1">
      <c r="A4380" s="2">
        <f>HYPERLINK("https://faoschwarz.com/products/outdoor-archery-set", "https://faoschwarz.com/products/outdoor-archery-set")</f>
        <v/>
      </c>
      <c r="B4380" s="2">
        <f>HYPERLINK("https://faoschwarz.com/products/outdoor-archery-set", "https://faoschwarz.com/products/outdoor-archery-set")</f>
        <v/>
      </c>
      <c r="C4380" t="inlineStr">
        <is>
          <t>Discovery Bullseye Outdoor Archery Set For Kids</t>
        </is>
      </c>
      <c r="D4380" t="inlineStr">
        <is>
          <t>Bow and Arrow for Kids, Kids Archery Set with Light-up LED, Target &amp; Quiver, Indoor &amp; Outdoor Kids Archery Boys Toys Gifts for 3 4 5 6 7 8-12 Years Old Boys Girls</t>
        </is>
      </c>
      <c r="E4380" s="2">
        <f>HYPERLINK("https://www.amazon.com/Archery-Light-up-Suction-Arrows-Outdoor/dp/B09L4L4VTC/ref=sr_1_5?keywords=Discovery+Bullseye+Outdoor+Archery+Set+For+Kids&amp;qid=1695566003&amp;sr=8-5", "https://www.amazon.com/Archery-Light-up-Suction-Arrows-Outdoor/dp/B09L4L4VTC/ref=sr_1_5?keywords=Discovery+Bullseye+Outdoor+Archery+Set+For+Kids&amp;qid=1695566003&amp;sr=8-5")</f>
        <v/>
      </c>
      <c r="F4380" t="inlineStr">
        <is>
          <t>B09L4L4VTC</t>
        </is>
      </c>
      <c r="G4380">
        <f>_xlfn.IMAGE("https://faoschwarz.com/cdn/shop/products/discovery-outdoor-outdoor-archery-set-28324973576279_1080x.jpg?v=1656071343")</f>
        <v/>
      </c>
      <c r="H4380">
        <f>_xlfn.IMAGE("https://m.media-amazon.com/images/I/71MNkSdqGaL._AC_UL320_.jpg")</f>
        <v/>
      </c>
      <c r="K4380" t="inlineStr">
        <is>
          <t>50.0</t>
        </is>
      </c>
      <c r="L4380" t="n">
        <v>20.99</v>
      </c>
      <c r="M4380" s="1" t="inlineStr">
        <is>
          <t>-58.02%</t>
        </is>
      </c>
      <c r="N4380" t="n">
        <v>4</v>
      </c>
      <c r="O4380" t="n">
        <v>554</v>
      </c>
      <c r="Q4380" t="inlineStr">
        <is>
          <t>InStock</t>
        </is>
      </c>
      <c r="R4380" t="inlineStr">
        <is>
          <t>undefined</t>
        </is>
      </c>
      <c r="S4380" t="inlineStr">
        <is>
          <t>6586919944279</t>
        </is>
      </c>
    </row>
    <row r="4381" ht="75" customHeight="1">
      <c r="A4381" s="2">
        <f>HYPERLINK("https://faoschwarz.com/products/outdoor-archery-set", "https://faoschwarz.com/products/outdoor-archery-set")</f>
        <v/>
      </c>
      <c r="B4381" s="2">
        <f>HYPERLINK("https://faoschwarz.com/products/outdoor-archery-set", "https://faoschwarz.com/products/outdoor-archery-set")</f>
        <v/>
      </c>
      <c r="C4381" t="inlineStr">
        <is>
          <t>Discovery Bullseye Outdoor Archery Set For Kids</t>
        </is>
      </c>
      <c r="D4381" t="inlineStr">
        <is>
          <t>Bow and Arrow Set for Kids - LED Light Up Archery Toy Set - Includes 10 Suction Cup Arrows, Target &amp; Quiver, Indoor &amp; Outdoor Kids Archery Boys Toys</t>
        </is>
      </c>
      <c r="E4381" s="2">
        <f>HYPERLINK("https://www.amazon.com/Sport-Bow-Arrow-Kids-Shoulder-Strapped/dp/B09DV3YLKR/ref=sr_1_4?keywords=Discovery+Bullseye+Outdoor+Archery+Set+For+Kids&amp;qid=1695566003&amp;sr=8-4", "https://www.amazon.com/Sport-Bow-Arrow-Kids-Shoulder-Strapped/dp/B09DV3YLKR/ref=sr_1_4?keywords=Discovery+Bullseye+Outdoor+Archery+Set+For+Kids&amp;qid=1695566003&amp;sr=8-4")</f>
        <v/>
      </c>
      <c r="F4381" t="inlineStr">
        <is>
          <t>B09DV3YLKR</t>
        </is>
      </c>
      <c r="G4381">
        <f>_xlfn.IMAGE("https://faoschwarz.com/cdn/shop/products/discovery-outdoor-outdoor-archery-set-28324973576279_1080x.jpg?v=1656071343")</f>
        <v/>
      </c>
      <c r="H4381">
        <f>_xlfn.IMAGE("https://m.media-amazon.com/images/I/715Hd+BdXLL._AC_UL320_.jpg")</f>
        <v/>
      </c>
      <c r="K4381" t="inlineStr">
        <is>
          <t>50.0</t>
        </is>
      </c>
      <c r="L4381" t="n">
        <v>18.89</v>
      </c>
      <c r="M4381" s="1" t="inlineStr">
        <is>
          <t>-62.22%</t>
        </is>
      </c>
      <c r="N4381" t="n">
        <v>4.1</v>
      </c>
      <c r="O4381" t="n">
        <v>1114</v>
      </c>
      <c r="Q4381" t="inlineStr">
        <is>
          <t>InStock</t>
        </is>
      </c>
      <c r="R4381" t="inlineStr">
        <is>
          <t>undefined</t>
        </is>
      </c>
      <c r="S4381" t="inlineStr">
        <is>
          <t>6586919944279</t>
        </is>
      </c>
    </row>
    <row r="4382" ht="75" customHeight="1">
      <c r="A4382" s="2">
        <f>HYPERLINK("https://faoschwarz.com/products/outdoor-archery-set", "https://faoschwarz.com/products/outdoor-archery-set")</f>
        <v/>
      </c>
      <c r="B4382" s="2">
        <f>HYPERLINK("https://faoschwarz.com/products/outdoor-archery-set", "https://faoschwarz.com/products/outdoor-archery-set")</f>
        <v/>
      </c>
      <c r="C4382" t="inlineStr">
        <is>
          <t>Discovery Bullseye Outdoor Archery Set For Kids</t>
        </is>
      </c>
      <c r="D4382" t="inlineStr">
        <is>
          <t>Bow and Arrow for Kids, LED Archery Set for Kids, Indoor and Outdoor Toys Games with 20 Suction Cup Arrows, 2 Types of Targets, Wristbands, Birthday Gift for Boys and Girls Ages 4-12</t>
        </is>
      </c>
      <c r="E4382" s="2">
        <f>HYPERLINK("https://www.amazon.com/Archery-Outdoor-Suction-Wristbands-Birthday/dp/B0C7W5KXY5/ref=sr_1_8?keywords=Discovery+Bullseye+Outdoor+Archery+Set+For+Kids&amp;qid=1695566003&amp;sr=8-8", "https://www.amazon.com/Archery-Outdoor-Suction-Wristbands-Birthday/dp/B0C7W5KXY5/ref=sr_1_8?keywords=Discovery+Bullseye+Outdoor+Archery+Set+For+Kids&amp;qid=1695566003&amp;sr=8-8")</f>
        <v/>
      </c>
      <c r="F4382" t="inlineStr">
        <is>
          <t>B0C7W5KXY5</t>
        </is>
      </c>
      <c r="G4382">
        <f>_xlfn.IMAGE("https://faoschwarz.com/cdn/shop/products/discovery-outdoor-outdoor-archery-set-28324973576279_1080x.jpg?v=1656071343")</f>
        <v/>
      </c>
      <c r="H4382">
        <f>_xlfn.IMAGE("https://m.media-amazon.com/images/I/81Paff0cH4L._AC_UL320_.jpg")</f>
        <v/>
      </c>
      <c r="K4382" t="inlineStr">
        <is>
          <t>50.0</t>
        </is>
      </c>
      <c r="L4382" t="n">
        <v>15.99</v>
      </c>
      <c r="M4382" s="1" t="inlineStr">
        <is>
          <t>-68.02%</t>
        </is>
      </c>
      <c r="N4382" t="n">
        <v>3.2</v>
      </c>
      <c r="O4382" t="n">
        <v>3</v>
      </c>
      <c r="Q4382" t="inlineStr">
        <is>
          <t>InStock</t>
        </is>
      </c>
      <c r="R4382" t="inlineStr">
        <is>
          <t>undefined</t>
        </is>
      </c>
      <c r="S4382" t="inlineStr">
        <is>
          <t>6586919944279</t>
        </is>
      </c>
    </row>
    <row r="4383" ht="75" customHeight="1">
      <c r="A4383" s="2">
        <f>HYPERLINK("https://faoschwarz.com/products/outdoor-archery-set", "https://faoschwarz.com/products/outdoor-archery-set")</f>
        <v/>
      </c>
      <c r="B4383" s="2">
        <f>HYPERLINK("https://faoschwarz.com/products/outdoor-archery-set", "https://faoschwarz.com/products/outdoor-archery-set")</f>
        <v/>
      </c>
      <c r="C4383" t="inlineStr">
        <is>
          <t>Discovery Bullseye Outdoor Archery Set For Kids</t>
        </is>
      </c>
      <c r="D4383" t="inlineStr">
        <is>
          <t>Discovery Kids Bullseye Outdoor Archery Set with LED Target Light-Up Toy Night/Day Activity Includes 4 Arrows, Quiver with Strap, 1 Bow for Ages 6+ and Older</t>
        </is>
      </c>
      <c r="E4383" s="2">
        <f>HYPERLINK("https://www.amazon.com/Discovery-Kids-Bullseye-Light-Up-Activity/dp/B08F2Y7Z6T/ref=sr_1_1?keywords=Discovery+Bullseye+Outdoor+Archery+Set+For+Kids&amp;qid=1695566003&amp;sr=8-1", "https://www.amazon.com/Discovery-Kids-Bullseye-Light-Up-Activity/dp/B08F2Y7Z6T/ref=sr_1_1?keywords=Discovery+Bullseye+Outdoor+Archery+Set+For+Kids&amp;qid=1695566003&amp;sr=8-1")</f>
        <v/>
      </c>
      <c r="F4383" t="inlineStr">
        <is>
          <t>B08F2Y7Z6T</t>
        </is>
      </c>
      <c r="G4383">
        <f>_xlfn.IMAGE("https://faoschwarz.com/cdn/shop/products/discovery-outdoor-outdoor-archery-set-28324973576279_1080x.jpg?v=1656071343")</f>
        <v/>
      </c>
      <c r="H4383">
        <f>_xlfn.IMAGE("https://m.media-amazon.com/images/I/81dAjpjvcbL._AC_UL320_.jpg")</f>
        <v/>
      </c>
      <c r="K4383" t="inlineStr">
        <is>
          <t>50.0</t>
        </is>
      </c>
      <c r="L4383" t="n">
        <v>39.99</v>
      </c>
      <c r="M4383" s="1" t="inlineStr">
        <is>
          <t>-20.02%</t>
        </is>
      </c>
      <c r="N4383" t="n">
        <v>4.1</v>
      </c>
      <c r="O4383" t="n">
        <v>60</v>
      </c>
      <c r="Q4383" t="inlineStr">
        <is>
          <t>InStock</t>
        </is>
      </c>
      <c r="R4383" t="inlineStr">
        <is>
          <t>undefined</t>
        </is>
      </c>
      <c r="S4383" t="inlineStr">
        <is>
          <t>6586919944279</t>
        </is>
      </c>
    </row>
    <row r="4384" ht="75" customHeight="1">
      <c r="A4384" s="2">
        <f>HYPERLINK("https://faoschwarz.com/products/outdoor-archery-set", "https://faoschwarz.com/products/outdoor-archery-set")</f>
        <v/>
      </c>
      <c r="B4384" s="2">
        <f>HYPERLINK("https://faoschwarz.com/products/outdoor-archery-set", "https://faoschwarz.com/products/outdoor-archery-set")</f>
        <v/>
      </c>
      <c r="C4384" t="inlineStr">
        <is>
          <t>Discovery Bullseye Outdoor Archery Set For Kids</t>
        </is>
      </c>
      <c r="D4384" t="inlineStr">
        <is>
          <t>OWNONE 1 Bow and Arrow for Kids 4-6-8-12 Years Old, Archery Toy Set for Boys with LED Lights - Includes 2 Bows, 20 Suction Cup Arrows, 2 Quivers &amp; Standing Target, Outdoor Toys for Kids Boys Girls</t>
        </is>
      </c>
      <c r="E4384" s="2">
        <f>HYPERLINK("https://www.amazon.com/OWNONE-Arrow-4-6-8-12-Archery-Lights/dp/B0BPBW8VNY/ref=sr_1_7?keywords=Discovery+Bullseye+Outdoor+Archery+Set+For+Kids&amp;qid=1695566003&amp;sr=8-7", "https://www.amazon.com/OWNONE-Arrow-4-6-8-12-Archery-Lights/dp/B0BPBW8VNY/ref=sr_1_7?keywords=Discovery+Bullseye+Outdoor+Archery+Set+For+Kids&amp;qid=1695566003&amp;sr=8-7")</f>
        <v/>
      </c>
      <c r="F4384" t="inlineStr">
        <is>
          <t>B0BPBW8VNY</t>
        </is>
      </c>
      <c r="G4384">
        <f>_xlfn.IMAGE("https://faoschwarz.com/cdn/shop/products/discovery-outdoor-outdoor-archery-set-28324973576279_1080x.jpg?v=1656071343")</f>
        <v/>
      </c>
      <c r="H4384">
        <f>_xlfn.IMAGE("https://m.media-amazon.com/images/I/71J0nvPyn1L._AC_UL320_.jpg")</f>
        <v/>
      </c>
      <c r="K4384" t="inlineStr">
        <is>
          <t>50.0</t>
        </is>
      </c>
      <c r="L4384" t="n">
        <v>35.89</v>
      </c>
      <c r="M4384" s="1" t="inlineStr">
        <is>
          <t>-28.22%</t>
        </is>
      </c>
      <c r="N4384" t="n">
        <v>4.2</v>
      </c>
      <c r="O4384" t="n">
        <v>66</v>
      </c>
      <c r="Q4384" t="inlineStr">
        <is>
          <t>InStock</t>
        </is>
      </c>
      <c r="R4384" t="inlineStr">
        <is>
          <t>undefined</t>
        </is>
      </c>
      <c r="S4384" t="inlineStr">
        <is>
          <t>6586919944279</t>
        </is>
      </c>
    </row>
    <row r="4385" ht="75" customHeight="1">
      <c r="A4385" s="2">
        <f>HYPERLINK("https://faoschwarz.com/products/outdoor-archery-set", "https://faoschwarz.com/products/outdoor-archery-set")</f>
        <v/>
      </c>
      <c r="B4385" s="2">
        <f>HYPERLINK("https://faoschwarz.com/products/outdoor-archery-set", "https://faoschwarz.com/products/outdoor-archery-set")</f>
        <v/>
      </c>
      <c r="C4385" t="inlineStr">
        <is>
          <t>Discovery Bullseye Outdoor Archery Set For Kids</t>
        </is>
      </c>
      <c r="D4385" t="inlineStr">
        <is>
          <t>Kmuxilal 2023 2 Pack Kids Bow and Arrow Set with LED Flash Lights, 14 Suction Cup Arrows and Fluorescence Standing Target-Perfect Indoor and Outdoor Archery Set Toy Gift for Boys and Girls Ages 4-12</t>
        </is>
      </c>
      <c r="E4385" s="2">
        <f>HYPERLINK("https://www.amazon.com/Kmuxilal-Suction-Fluorescence-Standing-Target-Perfect/dp/B0BTBVTV6Q/ref=sr_1_3?keywords=Discovery+Bullseye+Outdoor+Archery+Set+For+Kids&amp;qid=1695566003&amp;sr=8-3", "https://www.amazon.com/Kmuxilal-Suction-Fluorescence-Standing-Target-Perfect/dp/B0BTBVTV6Q/ref=sr_1_3?keywords=Discovery+Bullseye+Outdoor+Archery+Set+For+Kids&amp;qid=1695566003&amp;sr=8-3")</f>
        <v/>
      </c>
      <c r="F4385" t="inlineStr">
        <is>
          <t>B0BTBVTV6Q</t>
        </is>
      </c>
      <c r="G4385">
        <f>_xlfn.IMAGE("https://faoschwarz.com/cdn/shop/products/discovery-outdoor-outdoor-archery-set-28324973576279_1080x.jpg?v=1656071343")</f>
        <v/>
      </c>
      <c r="H4385">
        <f>_xlfn.IMAGE("https://m.media-amazon.com/images/I/71kJOweHY-L._AC_UL320_.jpg")</f>
        <v/>
      </c>
      <c r="K4385" t="inlineStr">
        <is>
          <t>50.0</t>
        </is>
      </c>
      <c r="L4385" t="n">
        <v>29.69</v>
      </c>
      <c r="M4385" s="1" t="inlineStr">
        <is>
          <t>-40.62%</t>
        </is>
      </c>
      <c r="N4385" t="n">
        <v>4.4</v>
      </c>
      <c r="O4385" t="n">
        <v>124</v>
      </c>
      <c r="Q4385" t="inlineStr">
        <is>
          <t>InStock</t>
        </is>
      </c>
      <c r="R4385" t="inlineStr">
        <is>
          <t>undefined</t>
        </is>
      </c>
      <c r="S4385" t="inlineStr">
        <is>
          <t>6586919944279</t>
        </is>
      </c>
    </row>
    <row r="4386" ht="75" customHeight="1">
      <c r="A4386" s="2">
        <f>HYPERLINK("https://faoschwarz.com/products/outdoor-archery-set", "https://faoschwarz.com/products/outdoor-archery-set")</f>
        <v/>
      </c>
      <c r="B4386" s="2">
        <f>HYPERLINK("https://faoschwarz.com/products/outdoor-archery-set", "https://faoschwarz.com/products/outdoor-archery-set")</f>
        <v/>
      </c>
      <c r="C4386" t="inlineStr">
        <is>
          <t>Discovery Bullseye Outdoor Archery Set For Kids</t>
        </is>
      </c>
      <c r="D4386" t="inlineStr">
        <is>
          <t>TEMI 2 Pack Set Kids Archery Bow Arrow Toy Outdoor Hunting Play with 20 Suction Cup Arrows Target &amp; Quiver, LED Light Up Function Toy, Toys for Kids, Boys Girls Ages 3-12</t>
        </is>
      </c>
      <c r="E4386" s="2">
        <f>HYPERLINK("https://www.amazon.com/Archery-Outdoor-Hunting-Function-Children/dp/B097SZZPVG/ref=sr_1_2?keywords=Discovery+Bullseye+Outdoor+Archery+Set+For+Kids&amp;qid=1695566003&amp;sr=8-2", "https://www.amazon.com/Archery-Outdoor-Hunting-Function-Children/dp/B097SZZPVG/ref=sr_1_2?keywords=Discovery+Bullseye+Outdoor+Archery+Set+For+Kids&amp;qid=1695566003&amp;sr=8-2")</f>
        <v/>
      </c>
      <c r="F4386" t="inlineStr">
        <is>
          <t>B097SZZPVG</t>
        </is>
      </c>
      <c r="G4386">
        <f>_xlfn.IMAGE("https://faoschwarz.com/cdn/shop/products/discovery-outdoor-outdoor-archery-set-28324973576279_1080x.jpg?v=1656071343")</f>
        <v/>
      </c>
      <c r="H4386">
        <f>_xlfn.IMAGE("https://m.media-amazon.com/images/I/71g4SpvNHVL._AC_UL320_.jpg")</f>
        <v/>
      </c>
      <c r="K4386" t="inlineStr">
        <is>
          <t>50.0</t>
        </is>
      </c>
      <c r="L4386" t="n">
        <v>28.89</v>
      </c>
      <c r="M4386" s="1" t="inlineStr">
        <is>
          <t>-42.22%</t>
        </is>
      </c>
      <c r="N4386" t="n">
        <v>4.1</v>
      </c>
      <c r="O4386" t="n">
        <v>7147</v>
      </c>
      <c r="Q4386" t="inlineStr">
        <is>
          <t>InStock</t>
        </is>
      </c>
      <c r="R4386" t="inlineStr">
        <is>
          <t>undefined</t>
        </is>
      </c>
      <c r="S4386" t="inlineStr">
        <is>
          <t>6586919944279</t>
        </is>
      </c>
    </row>
    <row r="4387" ht="75" customHeight="1">
      <c r="A4387" s="2">
        <f>HYPERLINK("https://faoschwarz.com/products/outdoor-archery-set", "https://faoschwarz.com/products/outdoor-archery-set")</f>
        <v/>
      </c>
      <c r="B4387" s="2">
        <f>HYPERLINK("https://faoschwarz.com/products/outdoor-archery-set", "https://faoschwarz.com/products/outdoor-archery-set")</f>
        <v/>
      </c>
      <c r="C4387" t="inlineStr">
        <is>
          <t>Discovery Bullseye Outdoor Archery Set For Kids</t>
        </is>
      </c>
      <c r="D4387" t="inlineStr">
        <is>
          <t>Bow and Arrow for Kids, Kids Archery Set with Light-up LED, Target &amp; Quiver, Indoor &amp; Outdoor Kids Archery Boys Toys Gifts for 3 4 5 6 7 8-12 Years Old Boys Girls</t>
        </is>
      </c>
      <c r="E4387" s="2">
        <f>HYPERLINK("https://www.amazon.com/Archery-Light-up-Suction-Arrows-Outdoor/dp/B09L4L4VTC/ref=sr_1_5?keywords=Discovery+Bullseye+Outdoor+Archery+Set+For+Kids&amp;qid=1695566003&amp;sr=8-5", "https://www.amazon.com/Archery-Light-up-Suction-Arrows-Outdoor/dp/B09L4L4VTC/ref=sr_1_5?keywords=Discovery+Bullseye+Outdoor+Archery+Set+For+Kids&amp;qid=1695566003&amp;sr=8-5")</f>
        <v/>
      </c>
      <c r="F4387" t="inlineStr">
        <is>
          <t>B09L4L4VTC</t>
        </is>
      </c>
      <c r="G4387">
        <f>_xlfn.IMAGE("https://faoschwarz.com/cdn/shop/products/discovery-outdoor-outdoor-archery-set-28324973576279_1080x.jpg?v=1656071343")</f>
        <v/>
      </c>
      <c r="H4387">
        <f>_xlfn.IMAGE("https://m.media-amazon.com/images/I/71MNkSdqGaL._AC_UL320_.jpg")</f>
        <v/>
      </c>
      <c r="K4387" t="inlineStr">
        <is>
          <t>50.0</t>
        </is>
      </c>
      <c r="L4387" t="n">
        <v>20.99</v>
      </c>
      <c r="M4387" s="1" t="inlineStr">
        <is>
          <t>-58.02%</t>
        </is>
      </c>
      <c r="N4387" t="n">
        <v>4</v>
      </c>
      <c r="O4387" t="n">
        <v>554</v>
      </c>
      <c r="Q4387" t="inlineStr">
        <is>
          <t>InStock</t>
        </is>
      </c>
      <c r="R4387" t="inlineStr">
        <is>
          <t>undefined</t>
        </is>
      </c>
      <c r="S4387" t="inlineStr">
        <is>
          <t>6586919944279</t>
        </is>
      </c>
    </row>
    <row r="4388" ht="75" customHeight="1">
      <c r="A4388" s="2">
        <f>HYPERLINK("https://faoschwarz.com/products/outdoor-archery-set", "https://faoschwarz.com/products/outdoor-archery-set")</f>
        <v/>
      </c>
      <c r="B4388" s="2">
        <f>HYPERLINK("https://faoschwarz.com/products/outdoor-archery-set", "https://faoschwarz.com/products/outdoor-archery-set")</f>
        <v/>
      </c>
      <c r="C4388" t="inlineStr">
        <is>
          <t>Discovery Bullseye Outdoor Archery Set For Kids</t>
        </is>
      </c>
      <c r="D4388" t="inlineStr">
        <is>
          <t>Bow and Arrow Set for Kids - LED Light Up Archery Toy Set - Includes 10 Suction Cup Arrows, Target &amp; Quiver, Indoor &amp; Outdoor Kids Archery Boys Toys</t>
        </is>
      </c>
      <c r="E4388" s="2">
        <f>HYPERLINK("https://www.amazon.com/Sport-Bow-Arrow-Kids-Shoulder-Strapped/dp/B09DV3YLKR/ref=sr_1_4?keywords=Discovery+Bullseye+Outdoor+Archery+Set+For+Kids&amp;qid=1695566003&amp;sr=8-4", "https://www.amazon.com/Sport-Bow-Arrow-Kids-Shoulder-Strapped/dp/B09DV3YLKR/ref=sr_1_4?keywords=Discovery+Bullseye+Outdoor+Archery+Set+For+Kids&amp;qid=1695566003&amp;sr=8-4")</f>
        <v/>
      </c>
      <c r="F4388" t="inlineStr">
        <is>
          <t>B09DV3YLKR</t>
        </is>
      </c>
      <c r="G4388">
        <f>_xlfn.IMAGE("https://faoschwarz.com/cdn/shop/products/discovery-outdoor-outdoor-archery-set-28324973576279_1080x.jpg?v=1656071343")</f>
        <v/>
      </c>
      <c r="H4388">
        <f>_xlfn.IMAGE("https://m.media-amazon.com/images/I/715Hd+BdXLL._AC_UL320_.jpg")</f>
        <v/>
      </c>
      <c r="K4388" t="inlineStr">
        <is>
          <t>50.0</t>
        </is>
      </c>
      <c r="L4388" t="n">
        <v>18.89</v>
      </c>
      <c r="M4388" s="1" t="inlineStr">
        <is>
          <t>-62.22%</t>
        </is>
      </c>
      <c r="N4388" t="n">
        <v>4.1</v>
      </c>
      <c r="O4388" t="n">
        <v>1114</v>
      </c>
      <c r="Q4388" t="inlineStr">
        <is>
          <t>InStock</t>
        </is>
      </c>
      <c r="R4388" t="inlineStr">
        <is>
          <t>undefined</t>
        </is>
      </c>
      <c r="S4388" t="inlineStr">
        <is>
          <t>6586919944279</t>
        </is>
      </c>
    </row>
    <row r="4389" ht="75" customHeight="1">
      <c r="A4389" s="2">
        <f>HYPERLINK("https://faoschwarz.com/products/outdoor-archery-set", "https://faoschwarz.com/products/outdoor-archery-set")</f>
        <v/>
      </c>
      <c r="B4389" s="2">
        <f>HYPERLINK("https://faoschwarz.com/products/outdoor-archery-set", "https://faoschwarz.com/products/outdoor-archery-set")</f>
        <v/>
      </c>
      <c r="C4389" t="inlineStr">
        <is>
          <t>Discovery Bullseye Outdoor Archery Set For Kids</t>
        </is>
      </c>
      <c r="D4389" t="inlineStr">
        <is>
          <t>Bow and Arrow for Kids, LED Archery Set for Kids, Indoor and Outdoor Toys Games with 20 Suction Cup Arrows, 2 Types of Targets, Wristbands, Birthday Gift for Boys and Girls Ages 4-12</t>
        </is>
      </c>
      <c r="E4389" s="2">
        <f>HYPERLINK("https://www.amazon.com/Archery-Outdoor-Suction-Wristbands-Birthday/dp/B0C7W5KXY5/ref=sr_1_8?keywords=Discovery+Bullseye+Outdoor+Archery+Set+For+Kids&amp;qid=1695566003&amp;sr=8-8", "https://www.amazon.com/Archery-Outdoor-Suction-Wristbands-Birthday/dp/B0C7W5KXY5/ref=sr_1_8?keywords=Discovery+Bullseye+Outdoor+Archery+Set+For+Kids&amp;qid=1695566003&amp;sr=8-8")</f>
        <v/>
      </c>
      <c r="F4389" t="inlineStr">
        <is>
          <t>B0C7W5KXY5</t>
        </is>
      </c>
      <c r="G4389">
        <f>_xlfn.IMAGE("https://faoschwarz.com/cdn/shop/products/discovery-outdoor-outdoor-archery-set-28324973576279_1080x.jpg?v=1656071343")</f>
        <v/>
      </c>
      <c r="H4389">
        <f>_xlfn.IMAGE("https://m.media-amazon.com/images/I/81Paff0cH4L._AC_UL320_.jpg")</f>
        <v/>
      </c>
      <c r="K4389" t="inlineStr">
        <is>
          <t>50.0</t>
        </is>
      </c>
      <c r="L4389" t="n">
        <v>15.99</v>
      </c>
      <c r="M4389" s="1" t="inlineStr">
        <is>
          <t>-68.02%</t>
        </is>
      </c>
      <c r="N4389" t="n">
        <v>3.2</v>
      </c>
      <c r="O4389" t="n">
        <v>3</v>
      </c>
      <c r="Q4389" t="inlineStr">
        <is>
          <t>InStock</t>
        </is>
      </c>
      <c r="R4389" t="inlineStr">
        <is>
          <t>undefined</t>
        </is>
      </c>
      <c r="S4389" t="inlineStr">
        <is>
          <t>6586919944279</t>
        </is>
      </c>
    </row>
    <row r="4390" ht="75" customHeight="1">
      <c r="A4390" s="2">
        <f>HYPERLINK("https://faoschwarz.com/products/pampered-play-pretend-wooden-beauty-set", "https://faoschwarz.com/products/pampered-play-pretend-wooden-beauty-set")</f>
        <v/>
      </c>
      <c r="B4390" s="2">
        <f>HYPERLINK("https://faoschwarz.com/products/pampered-play-pretend-wooden-beauty-set", "https://faoschwarz.com/products/pampered-play-pretend-wooden-beauty-set")</f>
        <v/>
      </c>
      <c r="C4390" t="inlineStr">
        <is>
          <t>Pampered Play Pretend Wooden Beauty Set</t>
        </is>
      </c>
      <c r="D4390" t="inlineStr">
        <is>
          <t>Melissa &amp; Doug Wooden Beauty Salon Play Set With Accessories (18 pcs) - Pretend Hair Salon, Toddler Makeup Vanity, Fashion Role For Kids Ages 3+</t>
        </is>
      </c>
      <c r="E4390" s="2">
        <f>HYPERLINK("https://www.amazon.com/Melissa-Doug-Wooden-Beauty-Accessories/dp/B06XTJ76X2/ref=sr_1_1?keywords=Pampered+Play+Pretend+Wooden+Beauty+Set&amp;qid=1695565918&amp;sr=8-1", "https://www.amazon.com/Melissa-Doug-Wooden-Beauty-Accessories/dp/B06XTJ76X2/ref=sr_1_1?keywords=Pampered+Play+Pretend+Wooden+Beauty+Set&amp;qid=1695565918&amp;sr=8-1")</f>
        <v/>
      </c>
      <c r="F4390" t="inlineStr">
        <is>
          <t>B06XTJ76X2</t>
        </is>
      </c>
      <c r="G4390">
        <f>_xlfn.IMAGE("https://faoschwarz.com/cdn/shop/products/fao-schwarz-preschool-pampered-play-pretend-wooden-beauty-set-29582047576151_1080x.jpg?v=1665785178")</f>
        <v/>
      </c>
      <c r="H4390">
        <f>_xlfn.IMAGE("https://m.media-amazon.com/images/I/61iXI4wknYL._AC_UL320_.jpg")</f>
        <v/>
      </c>
      <c r="K4390" t="inlineStr">
        <is>
          <t>18.75</t>
        </is>
      </c>
      <c r="L4390" t="n">
        <v>54.08</v>
      </c>
      <c r="M4390" s="1" t="inlineStr">
        <is>
          <t>188.43%</t>
        </is>
      </c>
      <c r="N4390" t="n">
        <v>4.8</v>
      </c>
      <c r="O4390" t="n">
        <v>4894</v>
      </c>
      <c r="Q4390" t="inlineStr">
        <is>
          <t>InStock</t>
        </is>
      </c>
      <c r="R4390" t="inlineStr">
        <is>
          <t>25.0</t>
        </is>
      </c>
      <c r="S4390" t="inlineStr">
        <is>
          <t>6816207142999</t>
        </is>
      </c>
    </row>
    <row r="4391" ht="75" customHeight="1">
      <c r="A4391" s="2">
        <f>HYPERLINK("https://faoschwarz.com/products/pampered-play-pretend-wooden-beauty-set", "https://faoschwarz.com/products/pampered-play-pretend-wooden-beauty-set")</f>
        <v/>
      </c>
      <c r="B4391" s="2">
        <f>HYPERLINK("https://faoschwarz.com/products/pampered-play-pretend-wooden-beauty-set", "https://faoschwarz.com/products/pampered-play-pretend-wooden-beauty-set")</f>
        <v/>
      </c>
      <c r="C4391" t="inlineStr">
        <is>
          <t>Pampered Play Pretend Wooden Beauty Set</t>
        </is>
      </c>
      <c r="D4391" t="inlineStr">
        <is>
          <t>Ehome Kids Makeup Kit for Girl Toys, Wooden Salon Toys Toddler Pretend Makeup Kit for Little Girls Princess Gift Wood Play Make Up Beauty Set Toys for Girls Age 3 - 9 Birthday Christmas</t>
        </is>
      </c>
      <c r="E4391" s="2">
        <f>HYPERLINK("https://www.amazon.com/Ehome-Makeup-Toddler-Pretend-Princess/dp/B0C995GW39/ref=sr_1_3?keywords=Pampered+Play+Pretend+Wooden+Beauty+Set&amp;qid=1695565918&amp;sr=8-3", "https://www.amazon.com/Ehome-Makeup-Toddler-Pretend-Princess/dp/B0C995GW39/ref=sr_1_3?keywords=Pampered+Play+Pretend+Wooden+Beauty+Set&amp;qid=1695565918&amp;sr=8-3")</f>
        <v/>
      </c>
      <c r="F4391" t="inlineStr">
        <is>
          <t>B0C995GW39</t>
        </is>
      </c>
      <c r="G4391">
        <f>_xlfn.IMAGE("https://faoschwarz.com/cdn/shop/products/fao-schwarz-preschool-pampered-play-pretend-wooden-beauty-set-29582047576151_1080x.jpg?v=1665785178")</f>
        <v/>
      </c>
      <c r="H4391">
        <f>_xlfn.IMAGE("https://m.media-amazon.com/images/I/71Ljv8XE+tL._AC_UL320_.jpg")</f>
        <v/>
      </c>
      <c r="K4391" t="inlineStr">
        <is>
          <t>18.75</t>
        </is>
      </c>
      <c r="L4391" t="n">
        <v>33.99</v>
      </c>
      <c r="M4391" s="1" t="inlineStr">
        <is>
          <t>81.28%</t>
        </is>
      </c>
      <c r="N4391" t="n">
        <v>4.9</v>
      </c>
      <c r="O4391" t="n">
        <v>45</v>
      </c>
      <c r="Q4391" t="inlineStr">
        <is>
          <t>InStock</t>
        </is>
      </c>
      <c r="R4391" t="inlineStr">
        <is>
          <t>25.0</t>
        </is>
      </c>
      <c r="S4391" t="inlineStr">
        <is>
          <t>6816207142999</t>
        </is>
      </c>
    </row>
    <row r="4392" ht="75" customHeight="1">
      <c r="A4392" s="2">
        <f>HYPERLINK("https://faoschwarz.com/products/pampered-play-pretend-wooden-beauty-set", "https://faoschwarz.com/products/pampered-play-pretend-wooden-beauty-set")</f>
        <v/>
      </c>
      <c r="B4392" s="2">
        <f>HYPERLINK("https://faoschwarz.com/products/pampered-play-pretend-wooden-beauty-set", "https://faoschwarz.com/products/pampered-play-pretend-wooden-beauty-set")</f>
        <v/>
      </c>
      <c r="C4392" t="inlineStr">
        <is>
          <t>Pampered Play Pretend Wooden Beauty Set</t>
        </is>
      </c>
      <c r="D4392" t="inlineStr">
        <is>
          <t>Top Right Toys Wooden Makeup Toy Set, Pretend Wood Beauty Salon, 10 Pieces Toddler Wooden Makeup Play Set for Girls with Makeup, Perfume, Lipstick, Mirror, Hair Dryer, Cosmetics Case and Storage Bag</t>
        </is>
      </c>
      <c r="E4392" s="2">
        <f>HYPERLINK("https://www.amazon.com/Top-Right-Toys-Pretend-Accessories/dp/B07RMJZDJB/ref=sr_1_5?keywords=Pampered+Play+Pretend+Wooden+Beauty+Set&amp;qid=1695565918&amp;sr=8-5", "https://www.amazon.com/Top-Right-Toys-Pretend-Accessories/dp/B07RMJZDJB/ref=sr_1_5?keywords=Pampered+Play+Pretend+Wooden+Beauty+Set&amp;qid=1695565918&amp;sr=8-5")</f>
        <v/>
      </c>
      <c r="F4392" t="inlineStr">
        <is>
          <t>B07RMJZDJB</t>
        </is>
      </c>
      <c r="G4392">
        <f>_xlfn.IMAGE("https://faoschwarz.com/cdn/shop/products/fao-schwarz-preschool-pampered-play-pretend-wooden-beauty-set-29582047576151_1080x.jpg?v=1665785178")</f>
        <v/>
      </c>
      <c r="H4392">
        <f>_xlfn.IMAGE("https://m.media-amazon.com/images/I/71S1wyayYJL._AC_UL320_.jpg")</f>
        <v/>
      </c>
      <c r="K4392" t="inlineStr">
        <is>
          <t>18.75</t>
        </is>
      </c>
      <c r="L4392" t="n">
        <v>7.99</v>
      </c>
      <c r="M4392" s="1" t="inlineStr">
        <is>
          <t>-57.39%</t>
        </is>
      </c>
      <c r="N4392" t="n">
        <v>4.1</v>
      </c>
      <c r="O4392" t="n">
        <v>45</v>
      </c>
      <c r="Q4392" t="inlineStr">
        <is>
          <t>InStock</t>
        </is>
      </c>
      <c r="R4392" t="inlineStr">
        <is>
          <t>25.0</t>
        </is>
      </c>
      <c r="S4392" t="inlineStr">
        <is>
          <t>6816207142999</t>
        </is>
      </c>
    </row>
    <row r="4393" ht="75" customHeight="1">
      <c r="A4393" s="2">
        <f>HYPERLINK("https://faoschwarz.com/products/pan-am-game", "https://faoschwarz.com/products/pan-am-game")</f>
        <v/>
      </c>
      <c r="B4393" s="2">
        <f>HYPERLINK("https://faoschwarz.com/products/pan-am-game", "https://faoschwarz.com/products/pan-am-game")</f>
        <v/>
      </c>
      <c r="C4393" t="inlineStr">
        <is>
          <t>Pan Am Game</t>
        </is>
      </c>
      <c r="D4393" t="inlineStr">
        <is>
          <t>Games Pan Am Board Game, Strategy Board Game, 2-4 Players 6 and Up</t>
        </is>
      </c>
      <c r="E4393" s="2">
        <f>HYPERLINK("https://www.amazon.com/Funko-48719-Pan-Am-Game/dp/B08635WFFM/ref=sr_1_1?keywords=Pan+Am+Game&amp;qid=1695565988&amp;sr=8-1", "https://www.amazon.com/Funko-48719-Pan-Am-Game/dp/B08635WFFM/ref=sr_1_1?keywords=Pan+Am+Game&amp;qid=1695565988&amp;sr=8-1")</f>
        <v/>
      </c>
      <c r="F4393" t="inlineStr">
        <is>
          <t>B08635WFFM</t>
        </is>
      </c>
      <c r="G4393">
        <f>_xlfn.IMAGE("https://faoschwarz.com/cdn/shop/products/funko-collectibles-pan-am-game-28249965396055_1080x.png?v=1656116197")</f>
        <v/>
      </c>
      <c r="H4393">
        <f>_xlfn.IMAGE("https://m.media-amazon.com/images/I/61eLCcndfRL._AC_UL320_.jpg")</f>
        <v/>
      </c>
      <c r="K4393" t="inlineStr">
        <is>
          <t>36.0</t>
        </is>
      </c>
      <c r="L4393" t="n">
        <v>19.99</v>
      </c>
      <c r="M4393" s="1" t="inlineStr">
        <is>
          <t>-44.47%</t>
        </is>
      </c>
      <c r="N4393" t="n">
        <v>4.7</v>
      </c>
      <c r="O4393" t="n">
        <v>1301</v>
      </c>
      <c r="Q4393" t="inlineStr">
        <is>
          <t>InStock</t>
        </is>
      </c>
      <c r="R4393" t="inlineStr">
        <is>
          <t>undefined</t>
        </is>
      </c>
      <c r="S4393" t="inlineStr">
        <is>
          <t>6575811756119</t>
        </is>
      </c>
    </row>
    <row r="4394" ht="75" customHeight="1">
      <c r="A4394" s="2">
        <f>HYPERLINK("https://faoschwarz.com/products/pan-am-game", "https://faoschwarz.com/products/pan-am-game")</f>
        <v/>
      </c>
      <c r="B4394" s="2">
        <f>HYPERLINK("https://faoschwarz.com/products/pan-am-game", "https://faoschwarz.com/products/pan-am-game")</f>
        <v/>
      </c>
      <c r="C4394" t="inlineStr">
        <is>
          <t>Pan Am Game</t>
        </is>
      </c>
      <c r="D4394" t="inlineStr">
        <is>
          <t>Games Pan Am Board Game, Strategy Board Game, 2-4 Players 6 and Up</t>
        </is>
      </c>
      <c r="E4394" s="2">
        <f>HYPERLINK("https://www.amazon.com/Funko-48719-Pan-Am-Game/dp/B08635WFFM/ref=sr_1_1?keywords=Pan+Am+Game&amp;qid=1695565988&amp;sr=8-1", "https://www.amazon.com/Funko-48719-Pan-Am-Game/dp/B08635WFFM/ref=sr_1_1?keywords=Pan+Am+Game&amp;qid=1695565988&amp;sr=8-1")</f>
        <v/>
      </c>
      <c r="F4394" t="inlineStr">
        <is>
          <t>B08635WFFM</t>
        </is>
      </c>
      <c r="G4394">
        <f>_xlfn.IMAGE("https://faoschwarz.com/cdn/shop/products/funko-collectibles-pan-am-game-28249965396055_1080x.png?v=1656116197")</f>
        <v/>
      </c>
      <c r="H4394">
        <f>_xlfn.IMAGE("https://m.media-amazon.com/images/I/61eLCcndfRL._AC_UL320_.jpg")</f>
        <v/>
      </c>
      <c r="K4394" t="inlineStr">
        <is>
          <t>36.0</t>
        </is>
      </c>
      <c r="L4394" t="n">
        <v>19.99</v>
      </c>
      <c r="M4394" s="1" t="inlineStr">
        <is>
          <t>-44.47%</t>
        </is>
      </c>
      <c r="N4394" t="n">
        <v>4.7</v>
      </c>
      <c r="O4394" t="n">
        <v>1301</v>
      </c>
      <c r="Q4394" t="inlineStr">
        <is>
          <t>InStock</t>
        </is>
      </c>
      <c r="R4394" t="inlineStr">
        <is>
          <t>undefined</t>
        </is>
      </c>
      <c r="S4394" t="inlineStr">
        <is>
          <t>6575811756119</t>
        </is>
      </c>
    </row>
    <row r="4395" ht="75" customHeight="1">
      <c r="A4395" s="2">
        <f>HYPERLINK("https://faoschwarz.com/products/paradise-sunset-18-000-piece-puzzle", "https://faoschwarz.com/products/paradise-sunset-18-000-piece-puzzle")</f>
        <v/>
      </c>
      <c r="B4395" s="2">
        <f>HYPERLINK("https://faoschwarz.com/products/paradise-sunset-18-000-piece-puzzle", "https://faoschwarz.com/products/paradise-sunset-18-000-piece-puzzle")</f>
        <v/>
      </c>
      <c r="C4395" t="inlineStr">
        <is>
          <t>Paradise Sunset 18,000 piece puzzle</t>
        </is>
      </c>
      <c r="D4395" t="inlineStr">
        <is>
          <t>Ravensburger Paradise Sunset 18,000 Piece Jigsaw Puzzle for Adults - 17824 - Handcrafted Tooling, Durable Blueboard, Every Piece Fits Together Perfectly</t>
        </is>
      </c>
      <c r="E4395" s="2">
        <f>HYPERLINK("https://www.amazon.com/Ravensburger-Paradise-Sunset-Jigsaw-Puzzle/dp/B007KJFJMI/ref=sr_1_1?keywords=Paradise+Sunset+18%2C000+piece+puzzle&amp;qid=1695565977&amp;sr=8-1", "https://www.amazon.com/Ravensburger-Paradise-Sunset-Jigsaw-Puzzle/dp/B007KJFJMI/ref=sr_1_1?keywords=Paradise+Sunset+18%2C000+piece+puzzle&amp;qid=1695565977&amp;sr=8-1")</f>
        <v/>
      </c>
      <c r="F4395" t="inlineStr">
        <is>
          <t>B007KJFJMI</t>
        </is>
      </c>
      <c r="G4395">
        <f>_xlfn.IMAGE("https://faoschwarz.com/cdn/shop/products/ravensburger-puzzles-paradise-sunset-18-000-piece-puzzle-29059118694487_1080x.jpg?v=1655944717")</f>
        <v/>
      </c>
      <c r="H4395">
        <f>_xlfn.IMAGE("https://m.media-amazon.com/images/I/9133w8r1TDL._AC_UL320_.jpg")</f>
        <v/>
      </c>
      <c r="K4395" t="inlineStr">
        <is>
          <t>200.0</t>
        </is>
      </c>
      <c r="L4395" t="n">
        <v>199.99</v>
      </c>
      <c r="M4395" s="1" t="inlineStr">
        <is>
          <t>-0.00%</t>
        </is>
      </c>
      <c r="N4395" t="n">
        <v>4.7</v>
      </c>
      <c r="O4395" t="n">
        <v>209</v>
      </c>
      <c r="Q4395" t="inlineStr">
        <is>
          <t>InStock</t>
        </is>
      </c>
      <c r="R4395" t="inlineStr">
        <is>
          <t>undefined</t>
        </is>
      </c>
      <c r="S4395" t="inlineStr">
        <is>
          <t>6755408740439</t>
        </is>
      </c>
    </row>
    <row r="4396" ht="75" customHeight="1">
      <c r="A4396" s="2">
        <f>HYPERLINK("https://faoschwarz.com/products/paradise-sunset-18-000-piece-puzzle", "https://faoschwarz.com/products/paradise-sunset-18-000-piece-puzzle")</f>
        <v/>
      </c>
      <c r="B4396" s="2">
        <f>HYPERLINK("https://faoschwarz.com/products/paradise-sunset-18-000-piece-puzzle", "https://faoschwarz.com/products/paradise-sunset-18-000-piece-puzzle")</f>
        <v/>
      </c>
      <c r="C4396" t="inlineStr">
        <is>
          <t>Paradise Sunset 18,000 piece puzzle</t>
        </is>
      </c>
      <c r="D4396" t="inlineStr">
        <is>
          <t>Vermont Christmas Company Paradise Sunset Jigsaw Puzzle 1000 Piece</t>
        </is>
      </c>
      <c r="E4396" s="2">
        <f>HYPERLINK("https://www.amazon.com/Paradise-Sunset-Jigsaw-Puzzle-Piece/dp/B082VL4RV7/ref=sr_1_2?keywords=Paradise+Sunset+18%2C000+piece+puzzle&amp;qid=1695565977&amp;sr=8-2", "https://www.amazon.com/Paradise-Sunset-Jigsaw-Puzzle-Piece/dp/B082VL4RV7/ref=sr_1_2?keywords=Paradise+Sunset+18%2C000+piece+puzzle&amp;qid=1695565977&amp;sr=8-2")</f>
        <v/>
      </c>
      <c r="F4396" t="inlineStr">
        <is>
          <t>B082VL4RV7</t>
        </is>
      </c>
      <c r="G4396">
        <f>_xlfn.IMAGE("https://faoschwarz.com/cdn/shop/products/ravensburger-puzzles-paradise-sunset-18-000-piece-puzzle-29059118694487_1080x.jpg?v=1655944717")</f>
        <v/>
      </c>
      <c r="H4396">
        <f>_xlfn.IMAGE("https://m.media-amazon.com/images/I/71fD0W580RL._AC_UL320_.jpg")</f>
        <v/>
      </c>
      <c r="K4396" t="inlineStr">
        <is>
          <t>200.0</t>
        </is>
      </c>
      <c r="L4396" t="n">
        <v>17.95</v>
      </c>
      <c r="M4396" s="1" t="inlineStr">
        <is>
          <t>-91.03%</t>
        </is>
      </c>
      <c r="N4396" t="n">
        <v>4.6</v>
      </c>
      <c r="O4396" t="n">
        <v>399</v>
      </c>
      <c r="Q4396" t="inlineStr">
        <is>
          <t>InStock</t>
        </is>
      </c>
      <c r="R4396" t="inlineStr">
        <is>
          <t>undefined</t>
        </is>
      </c>
      <c r="S4396" t="inlineStr">
        <is>
          <t>6755408740439</t>
        </is>
      </c>
    </row>
    <row r="4397" ht="75" customHeight="1">
      <c r="A4397" s="2">
        <f>HYPERLINK("https://faoschwarz.com/products/paradise-sunset-18-000-piece-puzzle", "https://faoschwarz.com/products/paradise-sunset-18-000-piece-puzzle")</f>
        <v/>
      </c>
      <c r="B4397" s="2">
        <f>HYPERLINK("https://faoschwarz.com/products/paradise-sunset-18-000-piece-puzzle", "https://faoschwarz.com/products/paradise-sunset-18-000-piece-puzzle")</f>
        <v/>
      </c>
      <c r="C4397" t="inlineStr">
        <is>
          <t>Paradise Sunset 18,000 piece puzzle</t>
        </is>
      </c>
      <c r="D4397" t="inlineStr">
        <is>
          <t>Vermont Christmas Company Paradise Sunset Jigsaw Puzzle 1000 Piece</t>
        </is>
      </c>
      <c r="E4397" s="2">
        <f>HYPERLINK("https://www.amazon.com/Paradise-Sunset-Jigsaw-Puzzle-Piece/dp/B082VL4RV7/ref=sr_1_2?keywords=Paradise+Sunset+18%2C000+piece+puzzle&amp;qid=1695565977&amp;sr=8-2", "https://www.amazon.com/Paradise-Sunset-Jigsaw-Puzzle-Piece/dp/B082VL4RV7/ref=sr_1_2?keywords=Paradise+Sunset+18%2C000+piece+puzzle&amp;qid=1695565977&amp;sr=8-2")</f>
        <v/>
      </c>
      <c r="F4397" t="inlineStr">
        <is>
          <t>B082VL4RV7</t>
        </is>
      </c>
      <c r="G4397">
        <f>_xlfn.IMAGE("https://faoschwarz.com/cdn/shop/products/ravensburger-puzzles-paradise-sunset-18-000-piece-puzzle-29059118694487_1080x.jpg?v=1655944717")</f>
        <v/>
      </c>
      <c r="H4397">
        <f>_xlfn.IMAGE("https://m.media-amazon.com/images/I/71fD0W580RL._AC_UL320_.jpg")</f>
        <v/>
      </c>
      <c r="K4397" t="inlineStr">
        <is>
          <t>200.0</t>
        </is>
      </c>
      <c r="L4397" t="n">
        <v>17.95</v>
      </c>
      <c r="M4397" s="1" t="inlineStr">
        <is>
          <t>-91.03%</t>
        </is>
      </c>
      <c r="N4397" t="n">
        <v>4.6</v>
      </c>
      <c r="O4397" t="n">
        <v>399</v>
      </c>
      <c r="Q4397" t="inlineStr">
        <is>
          <t>InStock</t>
        </is>
      </c>
      <c r="R4397" t="inlineStr">
        <is>
          <t>undefined</t>
        </is>
      </c>
      <c r="S4397" t="inlineStr">
        <is>
          <t>6755408740439</t>
        </is>
      </c>
    </row>
    <row r="4398" ht="75" customHeight="1">
      <c r="A4398" s="2">
        <f>HYPERLINK("https://faoschwarz.com/products/penguins-gelato-van", "https://faoschwarz.com/products/penguins-gelato-van")</f>
        <v/>
      </c>
      <c r="B4398" s="2">
        <f>HYPERLINK("https://faoschwarz.com/products/penguins-gelato-van", "https://faoschwarz.com/products/penguins-gelato-van")</f>
        <v/>
      </c>
      <c r="C4398" t="inlineStr">
        <is>
          <t>Wooden Penguin's Gelato Van</t>
        </is>
      </c>
      <c r="D4398" t="inlineStr">
        <is>
          <t>Tender Leaf Toys - Penguin’s Gelato Van - Food Truck Style Pretend Play, Ice Cream and Ice Lolly Wooden Vehicle - Encourage Role Play and Develops Social Skills for Children - Age 18m+</t>
        </is>
      </c>
      <c r="E4398" s="2">
        <f>HYPERLINK("https://www.amazon.com/Tender-Leaf-Toys-Penguins-Encourage/dp/B07RD7ZRJF/ref=sr_1_1?keywords=Wooden+Penguins+Gelato+Van&amp;qid=1695565915&amp;sr=8-1", "https://www.amazon.com/Tender-Leaf-Toys-Penguins-Encourage/dp/B07RD7ZRJF/ref=sr_1_1?keywords=Wooden+Penguins+Gelato+Van&amp;qid=1695565915&amp;sr=8-1")</f>
        <v/>
      </c>
      <c r="F4398" t="inlineStr">
        <is>
          <t>B07RD7ZRJF</t>
        </is>
      </c>
      <c r="G4398">
        <f>_xlfn.IMAGE("https://faoschwarz.com/cdn/shop/files/tender-leaf-toys-preschool-penguin-s-gelato-van-30331633893463_1080x.jpg?v=1684712385")</f>
        <v/>
      </c>
      <c r="H4398">
        <f>_xlfn.IMAGE("https://m.media-amazon.com/images/I/715stVaQRKL._AC_UL320_.jpg")</f>
        <v/>
      </c>
      <c r="K4398" t="inlineStr">
        <is>
          <t>35.0</t>
        </is>
      </c>
      <c r="L4398" t="n">
        <v>34.99</v>
      </c>
      <c r="M4398" s="1" t="inlineStr">
        <is>
          <t>-0.03%</t>
        </is>
      </c>
      <c r="N4398" t="n">
        <v>4.3</v>
      </c>
      <c r="O4398" t="n">
        <v>39</v>
      </c>
      <c r="Q4398" t="inlineStr">
        <is>
          <t>InStock</t>
        </is>
      </c>
      <c r="R4398" t="inlineStr">
        <is>
          <t>undefined</t>
        </is>
      </c>
      <c r="S4398" t="inlineStr">
        <is>
          <t>6880487866455</t>
        </is>
      </c>
    </row>
    <row r="4399" ht="75" customHeight="1">
      <c r="A4399" s="2">
        <f>HYPERLINK("https://faoschwarz.com/products/petanque", "https://faoschwarz.com/products/petanque")</f>
        <v/>
      </c>
      <c r="B4399" s="2">
        <f>HYPERLINK("https://faoschwarz.com/products/petanque", "https://faoschwarz.com/products/petanque")</f>
        <v/>
      </c>
      <c r="C4399" t="inlineStr">
        <is>
          <t>Petanque</t>
        </is>
      </c>
      <c r="D4399" t="inlineStr">
        <is>
          <t>Flag Theme Metal Petanque Game Set of 8 73mm Boules</t>
        </is>
      </c>
      <c r="E4399" s="2">
        <f>HYPERLINK("https://www.amazon.com/Flag-Theme-Metal-Petanque-Boules/dp/B08HHX5B33/ref=sr_1_2?keywords=Petanque&amp;qid=1695565998&amp;sr=8-2", "https://www.amazon.com/Flag-Theme-Metal-Petanque-Boules/dp/B08HHX5B33/ref=sr_1_2?keywords=Petanque&amp;qid=1695565998&amp;sr=8-2")</f>
        <v/>
      </c>
      <c r="F4399" t="inlineStr">
        <is>
          <t>B08HHX5B33</t>
        </is>
      </c>
      <c r="G4399">
        <f>_xlfn.IMAGE("https://faoschwarz.com/cdn/shop/products/lucio-londero-games-petanque-28289030193239_1080x.jpg?v=1656263616")</f>
        <v/>
      </c>
      <c r="H4399">
        <f>_xlfn.IMAGE("https://m.media-amazon.com/images/I/81YyaKoPAxL._AC_UL320_.jpg")</f>
        <v/>
      </c>
      <c r="K4399" t="inlineStr">
        <is>
          <t>70.0</t>
        </is>
      </c>
      <c r="L4399" t="n">
        <v>75</v>
      </c>
      <c r="M4399" s="1" t="inlineStr">
        <is>
          <t>7.14%</t>
        </is>
      </c>
      <c r="N4399" t="n">
        <v>4.4</v>
      </c>
      <c r="O4399" t="n">
        <v>54</v>
      </c>
      <c r="Q4399" t="inlineStr">
        <is>
          <t>InStock</t>
        </is>
      </c>
      <c r="R4399" t="inlineStr">
        <is>
          <t>undefined</t>
        </is>
      </c>
      <c r="S4399" t="inlineStr">
        <is>
          <t>4496989356119</t>
        </is>
      </c>
    </row>
    <row r="4400" ht="75" customHeight="1">
      <c r="A4400" s="2">
        <f>HYPERLINK("https://faoschwarz.com/products/petanque", "https://faoschwarz.com/products/petanque")</f>
        <v/>
      </c>
      <c r="B4400" s="2">
        <f>HYPERLINK("https://faoschwarz.com/products/petanque", "https://faoschwarz.com/products/petanque")</f>
        <v/>
      </c>
      <c r="C4400" t="inlineStr">
        <is>
          <t>Petanque</t>
        </is>
      </c>
      <c r="D4400" t="inlineStr">
        <is>
          <t>BuyBocceBalls Listing - Unique 6 Ball 73mm Metal Bocce/Petanque Set with 3 Silver Balls and 3 Gold Balls</t>
        </is>
      </c>
      <c r="E4400" s="2">
        <f>HYPERLINK("https://www.amazon.com/Unique-Metal-Bocce-Petanque-Silver/dp/B07KNXC96P/ref=sr_1_4?keywords=Petanque&amp;qid=1695565998&amp;sr=8-4", "https://www.amazon.com/Unique-Metal-Bocce-Petanque-Silver/dp/B07KNXC96P/ref=sr_1_4?keywords=Petanque&amp;qid=1695565998&amp;sr=8-4")</f>
        <v/>
      </c>
      <c r="F4400" t="inlineStr">
        <is>
          <t>B07KNXC96P</t>
        </is>
      </c>
      <c r="G4400">
        <f>_xlfn.IMAGE("https://faoschwarz.com/cdn/shop/products/lucio-londero-games-petanque-28289030193239_1080x.jpg?v=1656263616")</f>
        <v/>
      </c>
      <c r="H4400">
        <f>_xlfn.IMAGE("https://m.media-amazon.com/images/I/31JKjPacIsL._AC_UL320_.jpg")</f>
        <v/>
      </c>
      <c r="K4400" t="inlineStr">
        <is>
          <t>70.0</t>
        </is>
      </c>
      <c r="L4400" t="n">
        <v>70.95</v>
      </c>
      <c r="M4400" s="1" t="inlineStr">
        <is>
          <t>1.36%</t>
        </is>
      </c>
      <c r="N4400" t="n">
        <v>4</v>
      </c>
      <c r="O4400" t="n">
        <v>30</v>
      </c>
      <c r="Q4400" t="inlineStr">
        <is>
          <t>InStock</t>
        </is>
      </c>
      <c r="R4400" t="inlineStr">
        <is>
          <t>undefined</t>
        </is>
      </c>
      <c r="S4400" t="inlineStr">
        <is>
          <t>4496989356119</t>
        </is>
      </c>
    </row>
    <row r="4401" ht="75" customHeight="1">
      <c r="A4401" s="2">
        <f>HYPERLINK("https://faoschwarz.com/products/petanque", "https://faoschwarz.com/products/petanque")</f>
        <v/>
      </c>
      <c r="B4401" s="2">
        <f>HYPERLINK("https://faoschwarz.com/products/petanque", "https://faoschwarz.com/products/petanque")</f>
        <v/>
      </c>
      <c r="C4401" t="inlineStr">
        <is>
          <t>Petanque</t>
        </is>
      </c>
      <c r="D4401" t="inlineStr">
        <is>
          <t>BuyBocceBalls Listing -73mm Metal Bocce/Petanque Set with 6 Silver Balls and Black Bag - Single</t>
        </is>
      </c>
      <c r="E4401" s="2">
        <f>HYPERLINK("https://www.amazon.com/Metal-Bocce-Petanque-Silver-balls/dp/B07142RKNQ/ref=sr_1_6?keywords=Petanque&amp;qid=1695565998&amp;sr=8-6", "https://www.amazon.com/Metal-Bocce-Petanque-Silver-balls/dp/B07142RKNQ/ref=sr_1_6?keywords=Petanque&amp;qid=1695565998&amp;sr=8-6")</f>
        <v/>
      </c>
      <c r="F4401" t="inlineStr">
        <is>
          <t>B07142RKNQ</t>
        </is>
      </c>
      <c r="G4401">
        <f>_xlfn.IMAGE("https://faoschwarz.com/cdn/shop/products/lucio-londero-games-petanque-28289030193239_1080x.jpg?v=1656263616")</f>
        <v/>
      </c>
      <c r="H4401">
        <f>_xlfn.IMAGE("https://m.media-amazon.com/images/I/911JcUr6ozL._AC_UL320_.jpg")</f>
        <v/>
      </c>
      <c r="K4401" t="inlineStr">
        <is>
          <t>70.0</t>
        </is>
      </c>
      <c r="L4401" t="n">
        <v>70.95</v>
      </c>
      <c r="M4401" s="1" t="inlineStr">
        <is>
          <t>1.36%</t>
        </is>
      </c>
      <c r="N4401" t="n">
        <v>4.8</v>
      </c>
      <c r="O4401" t="n">
        <v>11</v>
      </c>
      <c r="Q4401" t="inlineStr">
        <is>
          <t>InStock</t>
        </is>
      </c>
      <c r="R4401" t="inlineStr">
        <is>
          <t>undefined</t>
        </is>
      </c>
      <c r="S4401" t="inlineStr">
        <is>
          <t>4496989356119</t>
        </is>
      </c>
    </row>
    <row r="4402" ht="75" customHeight="1">
      <c r="A4402" s="2">
        <f>HYPERLINK("https://faoschwarz.com/products/petanque", "https://faoschwarz.com/products/petanque")</f>
        <v/>
      </c>
      <c r="B4402" s="2">
        <f>HYPERLINK("https://faoschwarz.com/products/petanque", "https://faoschwarz.com/products/petanque")</f>
        <v/>
      </c>
      <c r="C4402" t="inlineStr">
        <is>
          <t>Petanque</t>
        </is>
      </c>
      <c r="D4402" t="inlineStr">
        <is>
          <t>Never Underestimate an Old Guy with Petanque Boules T Shirt</t>
        </is>
      </c>
      <c r="E4402" s="2">
        <f>HYPERLINK("https://www.amazon.com/Never-Underestimate-Old-Petanque-Boules/dp/B07HVP68JD/ref=sr_1_7?keywords=Petanque&amp;qid=1695565998&amp;sr=8-7", "https://www.amazon.com/Never-Underestimate-Old-Petanque-Boules/dp/B07HVP68JD/ref=sr_1_7?keywords=Petanque&amp;qid=1695565998&amp;sr=8-7")</f>
        <v/>
      </c>
      <c r="F4402" t="inlineStr">
        <is>
          <t>B07HVP68JD</t>
        </is>
      </c>
      <c r="G4402">
        <f>_xlfn.IMAGE("https://faoschwarz.com/cdn/shop/products/lucio-londero-games-petanque-28289030193239_1080x.jpg?v=1656263616")</f>
        <v/>
      </c>
      <c r="H4402">
        <f>_xlfn.IMAGE("https://m.media-amazon.com/images/I/61at1BgGBnL._AC_UL320_.jpg")</f>
        <v/>
      </c>
      <c r="K4402" t="inlineStr">
        <is>
          <t>70.0</t>
        </is>
      </c>
      <c r="L4402" t="n">
        <v>19.47</v>
      </c>
      <c r="M4402" s="1" t="inlineStr">
        <is>
          <t>-72.19%</t>
        </is>
      </c>
      <c r="N4402" t="n">
        <v>4.4</v>
      </c>
      <c r="O4402" t="n">
        <v>4</v>
      </c>
      <c r="Q4402" t="inlineStr">
        <is>
          <t>InStock</t>
        </is>
      </c>
      <c r="R4402" t="inlineStr">
        <is>
          <t>undefined</t>
        </is>
      </c>
      <c r="S4402" t="inlineStr">
        <is>
          <t>4496989356119</t>
        </is>
      </c>
    </row>
    <row r="4403" ht="75" customHeight="1">
      <c r="A4403" s="2">
        <f>HYPERLINK("https://faoschwarz.com/products/petanque", "https://faoschwarz.com/products/petanque")</f>
        <v/>
      </c>
      <c r="B4403" s="2">
        <f>HYPERLINK("https://faoschwarz.com/products/petanque", "https://faoschwarz.com/products/petanque")</f>
        <v/>
      </c>
      <c r="C4403" t="inlineStr">
        <is>
          <t>Petanque</t>
        </is>
      </c>
      <c r="D4403" t="inlineStr">
        <is>
          <t>Petanque Knowledge Vintage Style Metal Sign Iron Painting for Indoor &amp; Outdoor Home Bar Coffee Kitchen Wall Decor 8 X 12 Inch</t>
        </is>
      </c>
      <c r="E4403" s="2">
        <f>HYPERLINK("https://www.amazon.com/Petanque-Knowledge-Vintage-Painting-Outdoor/dp/B0B28X52BG/ref=sr_1_9?keywords=Petanque&amp;qid=1695565998&amp;sr=8-9", "https://www.amazon.com/Petanque-Knowledge-Vintage-Painting-Outdoor/dp/B0B28X52BG/ref=sr_1_9?keywords=Petanque&amp;qid=1695565998&amp;sr=8-9")</f>
        <v/>
      </c>
      <c r="F4403" t="inlineStr">
        <is>
          <t>B0B28X52BG</t>
        </is>
      </c>
      <c r="G4403">
        <f>_xlfn.IMAGE("https://faoschwarz.com/cdn/shop/products/lucio-londero-games-petanque-28289030193239_1080x.jpg?v=1656263616")</f>
        <v/>
      </c>
      <c r="H4403">
        <f>_xlfn.IMAGE("https://m.media-amazon.com/images/I/815fcgg3NkL._AC_UL320_.jpg")</f>
        <v/>
      </c>
      <c r="K4403" t="inlineStr">
        <is>
          <t>70.0</t>
        </is>
      </c>
      <c r="L4403" t="n">
        <v>9.99</v>
      </c>
      <c r="M4403" s="1" t="inlineStr">
        <is>
          <t>-85.73%</t>
        </is>
      </c>
      <c r="N4403" t="n">
        <v>1</v>
      </c>
      <c r="O4403" t="n">
        <v>1</v>
      </c>
      <c r="Q4403" t="inlineStr">
        <is>
          <t>InStock</t>
        </is>
      </c>
      <c r="R4403" t="inlineStr">
        <is>
          <t>undefined</t>
        </is>
      </c>
      <c r="S4403" t="inlineStr">
        <is>
          <t>4496989356119</t>
        </is>
      </c>
    </row>
    <row r="4404" ht="75" customHeight="1">
      <c r="A4404" s="2">
        <f>HYPERLINK("https://faoschwarz.com/products/petanque", "https://faoschwarz.com/products/petanque")</f>
        <v/>
      </c>
      <c r="B4404" s="2">
        <f>HYPERLINK("https://faoschwarz.com/products/petanque", "https://faoschwarz.com/products/petanque")</f>
        <v/>
      </c>
      <c r="C4404" t="inlineStr">
        <is>
          <t>Petanque</t>
        </is>
      </c>
      <c r="D4404" t="inlineStr">
        <is>
          <t>Never Underestimate an Old Guy with Petanque Boules T Shirt</t>
        </is>
      </c>
      <c r="E4404" s="2">
        <f>HYPERLINK("https://www.amazon.com/Never-Underestimate-Old-Petanque-Boules/dp/B07HVP68JD/ref=sr_1_7?keywords=Petanque&amp;qid=1695565998&amp;sr=8-7", "https://www.amazon.com/Never-Underestimate-Old-Petanque-Boules/dp/B07HVP68JD/ref=sr_1_7?keywords=Petanque&amp;qid=1695565998&amp;sr=8-7")</f>
        <v/>
      </c>
      <c r="F4404" t="inlineStr">
        <is>
          <t>B07HVP68JD</t>
        </is>
      </c>
      <c r="G4404">
        <f>_xlfn.IMAGE("https://faoschwarz.com/cdn/shop/products/lucio-londero-games-petanque-28289030193239_1080x.jpg?v=1656263616")</f>
        <v/>
      </c>
      <c r="H4404">
        <f>_xlfn.IMAGE("https://m.media-amazon.com/images/I/61at1BgGBnL._AC_UL320_.jpg")</f>
        <v/>
      </c>
      <c r="K4404" t="inlineStr">
        <is>
          <t>70.0</t>
        </is>
      </c>
      <c r="L4404" t="n">
        <v>19.47</v>
      </c>
      <c r="M4404" s="1" t="inlineStr">
        <is>
          <t>-72.19%</t>
        </is>
      </c>
      <c r="N4404" t="n">
        <v>4.4</v>
      </c>
      <c r="O4404" t="n">
        <v>4</v>
      </c>
      <c r="Q4404" t="inlineStr">
        <is>
          <t>InStock</t>
        </is>
      </c>
      <c r="R4404" t="inlineStr">
        <is>
          <t>undefined</t>
        </is>
      </c>
      <c r="S4404" t="inlineStr">
        <is>
          <t>4496989356119</t>
        </is>
      </c>
    </row>
    <row r="4405" ht="75" customHeight="1">
      <c r="A4405" s="2">
        <f>HYPERLINK("https://faoschwarz.com/products/petanque", "https://faoschwarz.com/products/petanque")</f>
        <v/>
      </c>
      <c r="B4405" s="2">
        <f>HYPERLINK("https://faoschwarz.com/products/petanque", "https://faoschwarz.com/products/petanque")</f>
        <v/>
      </c>
      <c r="C4405" t="inlineStr">
        <is>
          <t>Petanque</t>
        </is>
      </c>
      <c r="D4405" t="inlineStr">
        <is>
          <t>Petanque Knowledge Vintage Style Metal Sign Iron Painting for Indoor &amp; Outdoor Home Bar Coffee Kitchen Wall Decor 8 X 12 Inch</t>
        </is>
      </c>
      <c r="E4405" s="2">
        <f>HYPERLINK("https://www.amazon.com/Petanque-Knowledge-Vintage-Painting-Outdoor/dp/B0B28X52BG/ref=sr_1_9?keywords=Petanque&amp;qid=1695565998&amp;sr=8-9", "https://www.amazon.com/Petanque-Knowledge-Vintage-Painting-Outdoor/dp/B0B28X52BG/ref=sr_1_9?keywords=Petanque&amp;qid=1695565998&amp;sr=8-9")</f>
        <v/>
      </c>
      <c r="F4405" t="inlineStr">
        <is>
          <t>B0B28X52BG</t>
        </is>
      </c>
      <c r="G4405">
        <f>_xlfn.IMAGE("https://faoschwarz.com/cdn/shop/products/lucio-londero-games-petanque-28289030193239_1080x.jpg?v=1656263616")</f>
        <v/>
      </c>
      <c r="H4405">
        <f>_xlfn.IMAGE("https://m.media-amazon.com/images/I/815fcgg3NkL._AC_UL320_.jpg")</f>
        <v/>
      </c>
      <c r="K4405" t="inlineStr">
        <is>
          <t>70.0</t>
        </is>
      </c>
      <c r="L4405" t="n">
        <v>9.99</v>
      </c>
      <c r="M4405" s="1" t="inlineStr">
        <is>
          <t>-85.73%</t>
        </is>
      </c>
      <c r="N4405" t="n">
        <v>1</v>
      </c>
      <c r="O4405" t="n">
        <v>1</v>
      </c>
      <c r="Q4405" t="inlineStr">
        <is>
          <t>InStock</t>
        </is>
      </c>
      <c r="R4405" t="inlineStr">
        <is>
          <t>undefined</t>
        </is>
      </c>
      <c r="S4405" t="inlineStr">
        <is>
          <t>4496989356119</t>
        </is>
      </c>
    </row>
    <row r="4406" ht="75" customHeight="1">
      <c r="A4406" s="2">
        <f>HYPERLINK("https://faoschwarz.com/products/pixar-friends-puzzle", "https://faoschwarz.com/products/pixar-friends-puzzle")</f>
        <v/>
      </c>
      <c r="B4406" s="2">
        <f>HYPERLINK("https://faoschwarz.com/products/pixar-friends-puzzle", "https://faoschwarz.com/products/pixar-friends-puzzle")</f>
        <v/>
      </c>
      <c r="C4406" t="inlineStr">
        <is>
          <t>Pixar Friends Puzzle</t>
        </is>
      </c>
      <c r="D4406" t="inlineStr">
        <is>
          <t>Ceaco - Disney Pixar - Nemo and Friends - 1000 Piece Jigsaw Puzzle</t>
        </is>
      </c>
      <c r="E4406" s="2">
        <f>HYPERLINK("https://www.amazon.com/Ceaco-Disney-Friends-Jigsaw-Puzzle/dp/B0BS2KR9SQ/ref=sr_1_1?keywords=Pixar+Friends+Puzzle&amp;qid=1695565996&amp;sr=8-1", "https://www.amazon.com/Ceaco-Disney-Friends-Jigsaw-Puzzle/dp/B0BS2KR9SQ/ref=sr_1_1?keywords=Pixar+Friends+Puzzle&amp;qid=1695565996&amp;sr=8-1")</f>
        <v/>
      </c>
      <c r="F4406" t="inlineStr">
        <is>
          <t>B0BS2KR9SQ</t>
        </is>
      </c>
      <c r="G4406">
        <f>_xlfn.IMAGE("https://faoschwarz.com/cdn/shop/products/ravensburger-puzzles-pixar-friends-puzzle-10706530861143_1080x.jpg?v=1656130743")</f>
        <v/>
      </c>
      <c r="H4406">
        <f>_xlfn.IMAGE("https://m.media-amazon.com/images/I/81zgn24zsdL._AC_UL320_.jpg")</f>
        <v/>
      </c>
      <c r="K4406" t="inlineStr">
        <is>
          <t>20.0</t>
        </is>
      </c>
      <c r="L4406" t="n">
        <v>14.99</v>
      </c>
      <c r="M4406" s="1" t="inlineStr">
        <is>
          <t>-25.05%</t>
        </is>
      </c>
      <c r="N4406" t="n">
        <v>4.8</v>
      </c>
      <c r="O4406" t="n">
        <v>20</v>
      </c>
      <c r="Q4406" t="inlineStr">
        <is>
          <t>InStock</t>
        </is>
      </c>
      <c r="R4406" t="inlineStr">
        <is>
          <t>undefined</t>
        </is>
      </c>
      <c r="S4406" t="inlineStr">
        <is>
          <t>1565155426391</t>
        </is>
      </c>
    </row>
    <row r="4407" ht="75" customHeight="1">
      <c r="A4407" s="2">
        <f>HYPERLINK("https://faoschwarz.com/products/pixar-friends-puzzle", "https://faoschwarz.com/products/pixar-friends-puzzle")</f>
        <v/>
      </c>
      <c r="B4407" s="2">
        <f>HYPERLINK("https://faoschwarz.com/products/pixar-friends-puzzle", "https://faoschwarz.com/products/pixar-friends-puzzle")</f>
        <v/>
      </c>
      <c r="C4407" t="inlineStr">
        <is>
          <t>Pixar Friends Puzzle</t>
        </is>
      </c>
      <c r="D4407" t="inlineStr">
        <is>
          <t>Ceaco - Disney Pixar - Nemo and Friends - 1000 Piece Jigsaw Puzzle</t>
        </is>
      </c>
      <c r="E4407" s="2">
        <f>HYPERLINK("https://www.amazon.com/Ceaco-Disney-Friends-Jigsaw-Puzzle/dp/B0BS2KR9SQ/ref=sr_1_1?keywords=Pixar+Friends+Puzzle&amp;qid=1695565996&amp;sr=8-1", "https://www.amazon.com/Ceaco-Disney-Friends-Jigsaw-Puzzle/dp/B0BS2KR9SQ/ref=sr_1_1?keywords=Pixar+Friends+Puzzle&amp;qid=1695565996&amp;sr=8-1")</f>
        <v/>
      </c>
      <c r="F4407" t="inlineStr">
        <is>
          <t>B0BS2KR9SQ</t>
        </is>
      </c>
      <c r="G4407">
        <f>_xlfn.IMAGE("https://faoschwarz.com/cdn/shop/products/ravensburger-puzzles-pixar-friends-puzzle-10706530861143_1080x.jpg?v=1656130743")</f>
        <v/>
      </c>
      <c r="H4407">
        <f>_xlfn.IMAGE("https://m.media-amazon.com/images/I/81zgn24zsdL._AC_UL320_.jpg")</f>
        <v/>
      </c>
      <c r="K4407" t="inlineStr">
        <is>
          <t>20.0</t>
        </is>
      </c>
      <c r="L4407" t="n">
        <v>14.99</v>
      </c>
      <c r="M4407" s="1" t="inlineStr">
        <is>
          <t>-25.05%</t>
        </is>
      </c>
      <c r="N4407" t="n">
        <v>4.8</v>
      </c>
      <c r="O4407" t="n">
        <v>20</v>
      </c>
      <c r="Q4407" t="inlineStr">
        <is>
          <t>InStock</t>
        </is>
      </c>
      <c r="R4407" t="inlineStr">
        <is>
          <t>undefined</t>
        </is>
      </c>
      <c r="S4407" t="inlineStr">
        <is>
          <t>1565155426391</t>
        </is>
      </c>
    </row>
    <row r="4408" ht="75" customHeight="1">
      <c r="A4408" s="2">
        <f>HYPERLINK("https://faoschwarz.com/products/pop-avatar-the-last-airbender-puzzle", "https://faoschwarz.com/products/pop-avatar-the-last-airbender-puzzle")</f>
        <v/>
      </c>
      <c r="B4408" s="2">
        <f>HYPERLINK("https://faoschwarz.com/products/pop-avatar-the-last-airbender-puzzle", "https://faoschwarz.com/products/pop-avatar-the-last-airbender-puzzle")</f>
        <v/>
      </c>
      <c r="C4408" t="inlineStr">
        <is>
          <t>Pop! Avatar: The Last Airbender Puzzle</t>
        </is>
      </c>
      <c r="D4408" t="inlineStr">
        <is>
          <t>Funko Avatar: The Last Airbender - Iroh with Tea Pop! Vinyl Figure (Includes Compatible Pop Box Protector Case)</t>
        </is>
      </c>
      <c r="E4408" s="2">
        <f>HYPERLINK("https://www.amazon.com/Funko-Avatar-Airbender-Compatible-Protector/dp/B07QMFHCTZ/ref=sr_1_4?keywords=Pop%21+Avatar%3A+The+Last+Airbender+Puzzle&amp;qid=1695566005&amp;sr=8-4", "https://www.amazon.com/Funko-Avatar-Airbender-Compatible-Protector/dp/B07QMFHCTZ/ref=sr_1_4?keywords=Pop%21+Avatar%3A+The+Last+Airbender+Puzzle&amp;qid=1695566005&amp;sr=8-4")</f>
        <v/>
      </c>
      <c r="F4408" t="inlineStr">
        <is>
          <t>B07QMFHCTZ</t>
        </is>
      </c>
      <c r="G4408">
        <f>_xlfn.IMAGE("http://faoschwarz.com/cdn/shop/files/thumbnail.png?v=1614335627")</f>
        <v/>
      </c>
      <c r="H4408">
        <f>_xlfn.IMAGE("https://m.media-amazon.com/images/I/614TiPBVhTL._AC_UL320_.jpg")</f>
        <v/>
      </c>
      <c r="K4408" t="inlineStr">
        <is>
          <t>18.0</t>
        </is>
      </c>
      <c r="L4408" t="n">
        <v>16.95</v>
      </c>
      <c r="M4408" s="1" t="inlineStr">
        <is>
          <t>-5.83%</t>
        </is>
      </c>
      <c r="N4408" t="n">
        <v>4.8</v>
      </c>
      <c r="O4408" t="n">
        <v>135</v>
      </c>
      <c r="Q4408" t="inlineStr">
        <is>
          <t>InStock</t>
        </is>
      </c>
      <c r="R4408" t="inlineStr">
        <is>
          <t>undefined</t>
        </is>
      </c>
      <c r="S4408" t="inlineStr">
        <is>
          <t>6881687666775</t>
        </is>
      </c>
    </row>
    <row r="4409" ht="75" customHeight="1">
      <c r="A4409" s="2">
        <f>HYPERLINK("https://faoschwarz.com/products/pop-avatar-the-last-airbender-puzzle", "https://faoschwarz.com/products/pop-avatar-the-last-airbender-puzzle")</f>
        <v/>
      </c>
      <c r="B4409" s="2">
        <f>HYPERLINK("https://faoschwarz.com/products/pop-avatar-the-last-airbender-puzzle", "https://faoschwarz.com/products/pop-avatar-the-last-airbender-puzzle")</f>
        <v/>
      </c>
      <c r="C4409" t="inlineStr">
        <is>
          <t>Pop! Avatar: The Last Airbender Puzzle</t>
        </is>
      </c>
      <c r="D4409" t="inlineStr">
        <is>
          <t>AQUARIUS Avatar Puzzle (500 Piece Jigsaw Puzzle) - Glare Free - Precision Fit - Officially Licensed Avatar: The Last Airbender Merchandise &amp; Collectibles - 14x19 Inches</t>
        </is>
      </c>
      <c r="E4409" s="2">
        <f>HYPERLINK("https://www.amazon.com/Avatar-Appa-Piece-Jigsaw-Puzzle/dp/B094WC2VKV/ref=sr_1_2?keywords=Pop%21+Avatar%3A+The+Last+Airbender+Puzzle&amp;qid=1695566005&amp;sr=8-2", "https://www.amazon.com/Avatar-Appa-Piece-Jigsaw-Puzzle/dp/B094WC2VKV/ref=sr_1_2?keywords=Pop%21+Avatar%3A+The+Last+Airbender+Puzzle&amp;qid=1695566005&amp;sr=8-2")</f>
        <v/>
      </c>
      <c r="F4409" t="inlineStr">
        <is>
          <t>B094WC2VKV</t>
        </is>
      </c>
      <c r="G4409">
        <f>_xlfn.IMAGE("http://faoschwarz.com/cdn/shop/files/thumbnail.png?v=1614335627")</f>
        <v/>
      </c>
      <c r="H4409">
        <f>_xlfn.IMAGE("https://m.media-amazon.com/images/I/8176GP9J1XL._AC_UL320_.jpg")</f>
        <v/>
      </c>
      <c r="K4409" t="inlineStr">
        <is>
          <t>18.0</t>
        </is>
      </c>
      <c r="L4409" t="n">
        <v>15</v>
      </c>
      <c r="M4409" s="1" t="inlineStr">
        <is>
          <t>-16.67%</t>
        </is>
      </c>
      <c r="N4409" t="n">
        <v>4.1</v>
      </c>
      <c r="O4409" t="n">
        <v>24</v>
      </c>
      <c r="Q4409" t="inlineStr">
        <is>
          <t>InStock</t>
        </is>
      </c>
      <c r="R4409" t="inlineStr">
        <is>
          <t>undefined</t>
        </is>
      </c>
      <c r="S4409" t="inlineStr">
        <is>
          <t>6881687666775</t>
        </is>
      </c>
    </row>
    <row r="4410" ht="75" customHeight="1">
      <c r="A4410" s="2">
        <f>HYPERLINK("https://faoschwarz.com/products/pop-avatar-the-last-airbender-puzzle", "https://faoschwarz.com/products/pop-avatar-the-last-airbender-puzzle")</f>
        <v/>
      </c>
      <c r="B4410" s="2">
        <f>HYPERLINK("https://faoschwarz.com/products/pop-avatar-the-last-airbender-puzzle", "https://faoschwarz.com/products/pop-avatar-the-last-airbender-puzzle")</f>
        <v/>
      </c>
      <c r="C4410" t="inlineStr">
        <is>
          <t>Pop! Avatar: The Last Airbender Puzzle</t>
        </is>
      </c>
      <c r="D4410" t="inlineStr">
        <is>
          <t>Funko Avatar: The Last Airbender - Sokka Pop! Vinyl Figure (Includes Compatible Pop Box Protector Case)</t>
        </is>
      </c>
      <c r="E4410" s="2">
        <f>HYPERLINK("https://www.amazon.com/Funko-Avatar-Airbender-Compatible-Protector/dp/B07QMFPMG1/ref=sr_1_3?keywords=Pop%21+Avatar%3A+The+Last+Airbender+Puzzle&amp;qid=1695566005&amp;sr=8-3", "https://www.amazon.com/Funko-Avatar-Airbender-Compatible-Protector/dp/B07QMFPMG1/ref=sr_1_3?keywords=Pop%21+Avatar%3A+The+Last+Airbender+Puzzle&amp;qid=1695566005&amp;sr=8-3")</f>
        <v/>
      </c>
      <c r="F4410" t="inlineStr">
        <is>
          <t>B07QMFPMG1</t>
        </is>
      </c>
      <c r="G4410">
        <f>_xlfn.IMAGE("http://faoschwarz.com/cdn/shop/files/thumbnail.png?v=1614335627")</f>
        <v/>
      </c>
      <c r="H4410">
        <f>_xlfn.IMAGE("https://m.media-amazon.com/images/I/618y8eWPZRL._AC_UL320_.jpg")</f>
        <v/>
      </c>
      <c r="K4410" t="inlineStr">
        <is>
          <t>18.0</t>
        </is>
      </c>
      <c r="L4410" t="n">
        <v>14.99</v>
      </c>
      <c r="M4410" s="1" t="inlineStr">
        <is>
          <t>-16.72%</t>
        </is>
      </c>
      <c r="N4410" t="n">
        <v>4.9</v>
      </c>
      <c r="O4410" t="n">
        <v>119</v>
      </c>
      <c r="Q4410" t="inlineStr">
        <is>
          <t>InStock</t>
        </is>
      </c>
      <c r="R4410" t="inlineStr">
        <is>
          <t>undefined</t>
        </is>
      </c>
      <c r="S4410" t="inlineStr">
        <is>
          <t>6881687666775</t>
        </is>
      </c>
    </row>
    <row r="4411" ht="75" customHeight="1">
      <c r="A4411" s="2">
        <f>HYPERLINK("https://faoschwarz.com/products/pop-avatar-the-last-airbender-puzzle", "https://faoschwarz.com/products/pop-avatar-the-last-airbender-puzzle")</f>
        <v/>
      </c>
      <c r="B4411" s="2">
        <f>HYPERLINK("https://faoschwarz.com/products/pop-avatar-the-last-airbender-puzzle", "https://faoschwarz.com/products/pop-avatar-the-last-airbender-puzzle")</f>
        <v/>
      </c>
      <c r="C4411" t="inlineStr">
        <is>
          <t>Pop! Avatar: The Last Airbender Puzzle</t>
        </is>
      </c>
      <c r="D4411" t="inlineStr">
        <is>
          <t>Funko Pop! Puzzle – Avatar: The Last Airbender</t>
        </is>
      </c>
      <c r="E4411" s="2">
        <f>HYPERLINK("https://www.amazon.com/Funko-Pop-Puzzle-Avatar-Airbender/dp/B09ZF9BH7Z/ref=sr_1_1?keywords=Pop%21+Avatar%3A+The+Last+Airbender+Puzzle&amp;qid=1695566005&amp;sr=8-1", "https://www.amazon.com/Funko-Pop-Puzzle-Avatar-Airbender/dp/B09ZF9BH7Z/ref=sr_1_1?keywords=Pop%21+Avatar%3A+The+Last+Airbender+Puzzle&amp;qid=1695566005&amp;sr=8-1")</f>
        <v/>
      </c>
      <c r="F4411" t="inlineStr">
        <is>
          <t>B09ZF9BH7Z</t>
        </is>
      </c>
      <c r="G4411">
        <f>_xlfn.IMAGE("http://faoschwarz.com/cdn/shop/files/thumbnail.png?v=1614335627")</f>
        <v/>
      </c>
      <c r="H4411">
        <f>_xlfn.IMAGE("https://m.media-amazon.com/images/I/71coWgX1YyL._AC_UL320_.jpg")</f>
        <v/>
      </c>
      <c r="K4411" t="inlineStr">
        <is>
          <t>18.0</t>
        </is>
      </c>
      <c r="L4411" t="n">
        <v>9.74</v>
      </c>
      <c r="M4411" s="1" t="inlineStr">
        <is>
          <t>-45.89%</t>
        </is>
      </c>
      <c r="N4411" t="n">
        <v>4.8</v>
      </c>
      <c r="O4411" t="n">
        <v>41</v>
      </c>
      <c r="Q4411" t="inlineStr">
        <is>
          <t>InStock</t>
        </is>
      </c>
      <c r="R4411" t="inlineStr">
        <is>
          <t>undefined</t>
        </is>
      </c>
      <c r="S4411" t="inlineStr">
        <is>
          <t>6881687666775</t>
        </is>
      </c>
    </row>
    <row r="4412" ht="75" customHeight="1">
      <c r="A4412" s="2">
        <f>HYPERLINK("https://faoschwarz.com/products/pop-avatar-the-last-airbender-puzzle", "https://faoschwarz.com/products/pop-avatar-the-last-airbender-puzzle")</f>
        <v/>
      </c>
      <c r="B4412" s="2">
        <f>HYPERLINK("https://faoschwarz.com/products/pop-avatar-the-last-airbender-puzzle", "https://faoschwarz.com/products/pop-avatar-the-last-airbender-puzzle")</f>
        <v/>
      </c>
      <c r="C4412" t="inlineStr">
        <is>
          <t>Pop! Avatar: The Last Airbender Puzzle</t>
        </is>
      </c>
      <c r="D4412" t="inlineStr">
        <is>
          <t>AQUARIUS Avatar Puzzle (500 Piece Jigsaw Puzzle) - Glare Free - Precision Fit - Officially Licensed Avatar: The Last Airbender Merchandise &amp; Collectibles - 14x19 Inches</t>
        </is>
      </c>
      <c r="E4412" s="2">
        <f>HYPERLINK("https://www.amazon.com/Avatar-Appa-Piece-Jigsaw-Puzzle/dp/B094WC2VKV/ref=sr_1_2?keywords=Pop%21+Avatar%3A+The+Last+Airbender+Puzzle&amp;qid=1695566005&amp;sr=8-2", "https://www.amazon.com/Avatar-Appa-Piece-Jigsaw-Puzzle/dp/B094WC2VKV/ref=sr_1_2?keywords=Pop%21+Avatar%3A+The+Last+Airbender+Puzzle&amp;qid=1695566005&amp;sr=8-2")</f>
        <v/>
      </c>
      <c r="F4412" t="inlineStr">
        <is>
          <t>B094WC2VKV</t>
        </is>
      </c>
      <c r="G4412">
        <f>_xlfn.IMAGE("http://faoschwarz.com/cdn/shop/files/thumbnail.png?v=1614335627")</f>
        <v/>
      </c>
      <c r="H4412">
        <f>_xlfn.IMAGE("https://m.media-amazon.com/images/I/8176GP9J1XL._AC_UL320_.jpg")</f>
        <v/>
      </c>
      <c r="K4412" t="inlineStr">
        <is>
          <t>18.0</t>
        </is>
      </c>
      <c r="L4412" t="n">
        <v>15</v>
      </c>
      <c r="M4412" s="1" t="inlineStr">
        <is>
          <t>-16.67%</t>
        </is>
      </c>
      <c r="N4412" t="n">
        <v>4.1</v>
      </c>
      <c r="O4412" t="n">
        <v>24</v>
      </c>
      <c r="Q4412" t="inlineStr">
        <is>
          <t>InStock</t>
        </is>
      </c>
      <c r="R4412" t="inlineStr">
        <is>
          <t>undefined</t>
        </is>
      </c>
      <c r="S4412" t="inlineStr">
        <is>
          <t>6881687666775</t>
        </is>
      </c>
    </row>
    <row r="4413" ht="75" customHeight="1">
      <c r="A4413" s="2">
        <f>HYPERLINK("https://faoschwarz.com/products/pop-avatar-the-last-airbender-puzzle", "https://faoschwarz.com/products/pop-avatar-the-last-airbender-puzzle")</f>
        <v/>
      </c>
      <c r="B4413" s="2">
        <f>HYPERLINK("https://faoschwarz.com/products/pop-avatar-the-last-airbender-puzzle", "https://faoschwarz.com/products/pop-avatar-the-last-airbender-puzzle")</f>
        <v/>
      </c>
      <c r="C4413" t="inlineStr">
        <is>
          <t>Pop! Avatar: The Last Airbender Puzzle</t>
        </is>
      </c>
      <c r="D4413" t="inlineStr">
        <is>
          <t>Funko Avatar: The Last Airbender - Sokka Pop! Vinyl Figure (Includes Compatible Pop Box Protector Case)</t>
        </is>
      </c>
      <c r="E4413" s="2">
        <f>HYPERLINK("https://www.amazon.com/Funko-Avatar-Airbender-Compatible-Protector/dp/B07QMFPMG1/ref=sr_1_3?keywords=Pop%21+Avatar%3A+The+Last+Airbender+Puzzle&amp;qid=1695566005&amp;sr=8-3", "https://www.amazon.com/Funko-Avatar-Airbender-Compatible-Protector/dp/B07QMFPMG1/ref=sr_1_3?keywords=Pop%21+Avatar%3A+The+Last+Airbender+Puzzle&amp;qid=1695566005&amp;sr=8-3")</f>
        <v/>
      </c>
      <c r="F4413" t="inlineStr">
        <is>
          <t>B07QMFPMG1</t>
        </is>
      </c>
      <c r="G4413">
        <f>_xlfn.IMAGE("http://faoschwarz.com/cdn/shop/files/thumbnail.png?v=1614335627")</f>
        <v/>
      </c>
      <c r="H4413">
        <f>_xlfn.IMAGE("https://m.media-amazon.com/images/I/618y8eWPZRL._AC_UL320_.jpg")</f>
        <v/>
      </c>
      <c r="K4413" t="inlineStr">
        <is>
          <t>18.0</t>
        </is>
      </c>
      <c r="L4413" t="n">
        <v>14.99</v>
      </c>
      <c r="M4413" s="1" t="inlineStr">
        <is>
          <t>-16.72%</t>
        </is>
      </c>
      <c r="N4413" t="n">
        <v>4.9</v>
      </c>
      <c r="O4413" t="n">
        <v>119</v>
      </c>
      <c r="Q4413" t="inlineStr">
        <is>
          <t>InStock</t>
        </is>
      </c>
      <c r="R4413" t="inlineStr">
        <is>
          <t>undefined</t>
        </is>
      </c>
      <c r="S4413" t="inlineStr">
        <is>
          <t>6881687666775</t>
        </is>
      </c>
    </row>
    <row r="4414" ht="75" customHeight="1">
      <c r="A4414" s="2">
        <f>HYPERLINK("https://faoschwarz.com/products/pop-avatar-the-last-airbender-puzzle", "https://faoschwarz.com/products/pop-avatar-the-last-airbender-puzzle")</f>
        <v/>
      </c>
      <c r="B4414" s="2">
        <f>HYPERLINK("https://faoschwarz.com/products/pop-avatar-the-last-airbender-puzzle", "https://faoschwarz.com/products/pop-avatar-the-last-airbender-puzzle")</f>
        <v/>
      </c>
      <c r="C4414" t="inlineStr">
        <is>
          <t>Pop! Avatar: The Last Airbender Puzzle</t>
        </is>
      </c>
      <c r="D4414" t="inlineStr">
        <is>
          <t>Funko Pop! Puzzle – Avatar: The Last Airbender</t>
        </is>
      </c>
      <c r="E4414" s="2">
        <f>HYPERLINK("https://www.amazon.com/Funko-Pop-Puzzle-Avatar-Airbender/dp/B09ZF9BH7Z/ref=sr_1_1?keywords=Pop%21+Avatar%3A+The+Last+Airbender+Puzzle&amp;qid=1695566005&amp;sr=8-1", "https://www.amazon.com/Funko-Pop-Puzzle-Avatar-Airbender/dp/B09ZF9BH7Z/ref=sr_1_1?keywords=Pop%21+Avatar%3A+The+Last+Airbender+Puzzle&amp;qid=1695566005&amp;sr=8-1")</f>
        <v/>
      </c>
      <c r="F4414" t="inlineStr">
        <is>
          <t>B09ZF9BH7Z</t>
        </is>
      </c>
      <c r="G4414">
        <f>_xlfn.IMAGE("http://faoschwarz.com/cdn/shop/files/thumbnail.png?v=1614335627")</f>
        <v/>
      </c>
      <c r="H4414">
        <f>_xlfn.IMAGE("https://m.media-amazon.com/images/I/71coWgX1YyL._AC_UL320_.jpg")</f>
        <v/>
      </c>
      <c r="K4414" t="inlineStr">
        <is>
          <t>18.0</t>
        </is>
      </c>
      <c r="L4414" t="n">
        <v>9.74</v>
      </c>
      <c r="M4414" s="1" t="inlineStr">
        <is>
          <t>-45.89%</t>
        </is>
      </c>
      <c r="N4414" t="n">
        <v>4.8</v>
      </c>
      <c r="O4414" t="n">
        <v>41</v>
      </c>
      <c r="Q4414" t="inlineStr">
        <is>
          <t>InStock</t>
        </is>
      </c>
      <c r="R4414" t="inlineStr">
        <is>
          <t>undefined</t>
        </is>
      </c>
      <c r="S4414" t="inlineStr">
        <is>
          <t>6881687666775</t>
        </is>
      </c>
    </row>
    <row r="4415" ht="75" customHeight="1">
      <c r="A4415" s="2">
        <f>HYPERLINK("https://faoschwarz.com/products/pop-funkoverse-jurassic-park-100-strategy-game", "https://faoschwarz.com/products/pop-funkoverse-jurassic-park-100-strategy-game")</f>
        <v/>
      </c>
      <c r="B4415" s="2">
        <f>HYPERLINK("https://faoschwarz.com/products/pop-funkoverse-jurassic-park-100-strategy-game", "https://faoschwarz.com/products/pop-funkoverse-jurassic-park-100-strategy-game")</f>
        <v/>
      </c>
      <c r="C4415" t="inlineStr">
        <is>
          <t>POP Funkoverse: Jurassic Park 100 - Strategy Game</t>
        </is>
      </c>
      <c r="D4415" t="inlineStr">
        <is>
          <t>Funkoverse: Jurassic Park 100 4-Pack Board Game,2 TO 4 players, Multicolour</t>
        </is>
      </c>
      <c r="E4415" s="2">
        <f>HYPERLINK("https://www.amazon.com/Funko-Pop-Funkoverse-Jurassic-Strategy/dp/B07W8PZVBD/ref=sr_1_1?keywords=POP+Funkoverse%3A+Jurassic+Park+100+-+Strategy+Game&amp;qid=1695565978&amp;sr=8-1", "https://www.amazon.com/Funko-Pop-Funkoverse-Jurassic-Strategy/dp/B07W8PZVBD/ref=sr_1_1?keywords=POP+Funkoverse%3A+Jurassic+Park+100+-+Strategy+Game&amp;qid=1695565978&amp;sr=8-1")</f>
        <v/>
      </c>
      <c r="F4415" t="inlineStr">
        <is>
          <t>B07W8PZVBD</t>
        </is>
      </c>
      <c r="G4415">
        <f>_xlfn.IMAGE("https://faoschwarz.com/cdn/shop/products/funko-collectibles-pop-funkoverse-jurassic-park-100-strategy-game-29088300630103_1080x.png?v=1655943963")</f>
        <v/>
      </c>
      <c r="H4415">
        <f>_xlfn.IMAGE("https://m.media-amazon.com/images/I/71Z9x1AgVpL._AC_UL320_.jpg")</f>
        <v/>
      </c>
      <c r="K4415" t="inlineStr">
        <is>
          <t>43.0</t>
        </is>
      </c>
      <c r="L4415" t="n">
        <v>33.9</v>
      </c>
      <c r="M4415" s="1" t="inlineStr">
        <is>
          <t>-21.16%</t>
        </is>
      </c>
      <c r="N4415" t="n">
        <v>4.7</v>
      </c>
      <c r="O4415" t="n">
        <v>887</v>
      </c>
      <c r="Q4415" t="inlineStr">
        <is>
          <t>InStock</t>
        </is>
      </c>
      <c r="R4415" t="inlineStr">
        <is>
          <t>undefined</t>
        </is>
      </c>
      <c r="S4415" t="inlineStr">
        <is>
          <t>6758456328279</t>
        </is>
      </c>
    </row>
    <row r="4416" ht="75" customHeight="1">
      <c r="A4416" s="2">
        <f>HYPERLINK("https://faoschwarz.com/products/pop-funkoverse-jurassic-park-100-strategy-game", "https://faoschwarz.com/products/pop-funkoverse-jurassic-park-100-strategy-game")</f>
        <v/>
      </c>
      <c r="B4416" s="2">
        <f>HYPERLINK("https://faoschwarz.com/products/pop-funkoverse-jurassic-park-100-strategy-game", "https://faoschwarz.com/products/pop-funkoverse-jurassic-park-100-strategy-game")</f>
        <v/>
      </c>
      <c r="C4416" t="inlineStr">
        <is>
          <t>POP Funkoverse: Jurassic Park 100 - Strategy Game</t>
        </is>
      </c>
      <c r="D4416" t="inlineStr">
        <is>
          <t>Funkoverse: Jurassic Park 100 4-Pack Board Game,2 TO 4 players, Multicolour</t>
        </is>
      </c>
      <c r="E4416" s="2">
        <f>HYPERLINK("https://www.amazon.com/Funko-Pop-Funkoverse-Jurassic-Strategy/dp/B07W8PZVBD/ref=sr_1_1?keywords=POP+Funkoverse%3A+Jurassic+Park+100+-+Strategy+Game&amp;qid=1695565978&amp;sr=8-1", "https://www.amazon.com/Funko-Pop-Funkoverse-Jurassic-Strategy/dp/B07W8PZVBD/ref=sr_1_1?keywords=POP+Funkoverse%3A+Jurassic+Park+100+-+Strategy+Game&amp;qid=1695565978&amp;sr=8-1")</f>
        <v/>
      </c>
      <c r="F4416" t="inlineStr">
        <is>
          <t>B07W8PZVBD</t>
        </is>
      </c>
      <c r="G4416">
        <f>_xlfn.IMAGE("https://faoschwarz.com/cdn/shop/products/funko-collectibles-pop-funkoverse-jurassic-park-100-strategy-game-29088300630103_1080x.png?v=1655943963")</f>
        <v/>
      </c>
      <c r="H4416">
        <f>_xlfn.IMAGE("https://m.media-amazon.com/images/I/71Z9x1AgVpL._AC_UL320_.jpg")</f>
        <v/>
      </c>
      <c r="K4416" t="inlineStr">
        <is>
          <t>43.0</t>
        </is>
      </c>
      <c r="L4416" t="n">
        <v>33.9</v>
      </c>
      <c r="M4416" s="1" t="inlineStr">
        <is>
          <t>-21.16%</t>
        </is>
      </c>
      <c r="N4416" t="n">
        <v>4.7</v>
      </c>
      <c r="O4416" t="n">
        <v>887</v>
      </c>
      <c r="Q4416" t="inlineStr">
        <is>
          <t>InStock</t>
        </is>
      </c>
      <c r="R4416" t="inlineStr">
        <is>
          <t>undefined</t>
        </is>
      </c>
      <c r="S4416" t="inlineStr">
        <is>
          <t>6758456328279</t>
        </is>
      </c>
    </row>
    <row r="4417" ht="75" customHeight="1">
      <c r="A4417" s="2">
        <f>HYPERLINK("https://faoschwarz.com/products/princess-role-play-set", "https://faoschwarz.com/products/princess-role-play-set")</f>
        <v/>
      </c>
      <c r="B4417" s="2">
        <f>HYPERLINK("https://faoschwarz.com/products/princess-role-play-set", "https://faoschwarz.com/products/princess-role-play-set")</f>
        <v/>
      </c>
      <c r="C4417" t="inlineStr">
        <is>
          <t>Princess Role Play Costume Set</t>
        </is>
      </c>
      <c r="D4417" t="inlineStr">
        <is>
          <t>Latocos 17 Pcs Girls Princess Dress Up Trunk Role Play Cosplay Set with Princess Shoes Crown Accessories Princess Costume for Kids Age 3-6 Years</t>
        </is>
      </c>
      <c r="E4417" s="2">
        <f>HYPERLINK("https://www.amazon.com/Girls-Princess-Cosplay-Accessories-Costume/dp/B089GHPNNW/ref=sr_1_10?keywords=Princess+Role+Play+Costume+Set&amp;qid=1695565933&amp;sr=8-10", "https://www.amazon.com/Girls-Princess-Cosplay-Accessories-Costume/dp/B089GHPNNW/ref=sr_1_10?keywords=Princess+Role+Play+Costume+Set&amp;qid=1695565933&amp;sr=8-10")</f>
        <v/>
      </c>
      <c r="F4417" t="inlineStr">
        <is>
          <t>B089GHPNNW</t>
        </is>
      </c>
      <c r="G4417">
        <f>_xlfn.IMAGE("https://faoschwarz.com/cdn/shop/products/melissa-doug-preschool-princess-role-play-set-14735761145943_1080x.jpg?v=1656108379")</f>
        <v/>
      </c>
      <c r="H4417">
        <f>_xlfn.IMAGE("https://m.media-amazon.com/images/I/81VeZ0yudnL._AC_UL320_.jpg")</f>
        <v/>
      </c>
      <c r="K4417" t="inlineStr">
        <is>
          <t>23.8</t>
        </is>
      </c>
      <c r="L4417" t="n">
        <v>34.99</v>
      </c>
      <c r="M4417" s="1" t="inlineStr">
        <is>
          <t>47.02%</t>
        </is>
      </c>
      <c r="N4417" t="n">
        <v>4.4</v>
      </c>
      <c r="O4417" t="n">
        <v>1000</v>
      </c>
      <c r="Q4417" t="inlineStr">
        <is>
          <t>InStock</t>
        </is>
      </c>
      <c r="R4417" t="inlineStr">
        <is>
          <t>34.0</t>
        </is>
      </c>
      <c r="S4417" t="inlineStr">
        <is>
          <t>4649320218711</t>
        </is>
      </c>
    </row>
    <row r="4418" ht="75" customHeight="1">
      <c r="A4418" s="2">
        <f>HYPERLINK("https://faoschwarz.com/products/princess-role-play-set", "https://faoschwarz.com/products/princess-role-play-set")</f>
        <v/>
      </c>
      <c r="B4418" s="2">
        <f>HYPERLINK("https://faoschwarz.com/products/princess-role-play-set", "https://faoschwarz.com/products/princess-role-play-set")</f>
        <v/>
      </c>
      <c r="C4418" t="inlineStr">
        <is>
          <t>Princess Role Play Costume Set</t>
        </is>
      </c>
      <c r="D4418" t="inlineStr">
        <is>
          <t>SOLIEHOO Girls Princess Dress Up Trunk, Pretend Play Costumes Princess Role Play Set 15pcs Girls Dress up Clothes with 4 Tops,4 Princess Dresses Crown Necklaces for Toddler Age 3-6 Years</t>
        </is>
      </c>
      <c r="E4418" s="2">
        <f>HYPERLINK("https://www.amazon.com/Princess-SOLIEHOO-Pretend-Costumes-Necklaces/dp/B09TFFJNM5/ref=sr_1_7?keywords=Princess+Role+Play+Costume+Set&amp;qid=1695565933&amp;sr=8-7", "https://www.amazon.com/Princess-SOLIEHOO-Pretend-Costumes-Necklaces/dp/B09TFFJNM5/ref=sr_1_7?keywords=Princess+Role+Play+Costume+Set&amp;qid=1695565933&amp;sr=8-7")</f>
        <v/>
      </c>
      <c r="F4418" t="inlineStr">
        <is>
          <t>B09TFFJNM5</t>
        </is>
      </c>
      <c r="G4418">
        <f>_xlfn.IMAGE("https://faoschwarz.com/cdn/shop/products/melissa-doug-preschool-princess-role-play-set-14735761145943_1080x.jpg?v=1656108379")</f>
        <v/>
      </c>
      <c r="H4418">
        <f>_xlfn.IMAGE("https://m.media-amazon.com/images/I/810IhbrDEzL._AC_UL320_.jpg")</f>
        <v/>
      </c>
      <c r="K4418" t="inlineStr">
        <is>
          <t>23.8</t>
        </is>
      </c>
      <c r="L4418" t="n">
        <v>30.99</v>
      </c>
      <c r="M4418" s="1" t="inlineStr">
        <is>
          <t>30.21%</t>
        </is>
      </c>
      <c r="N4418" t="n">
        <v>4.3</v>
      </c>
      <c r="O4418" t="n">
        <v>115</v>
      </c>
      <c r="Q4418" t="inlineStr">
        <is>
          <t>InStock</t>
        </is>
      </c>
      <c r="R4418" t="inlineStr">
        <is>
          <t>34.0</t>
        </is>
      </c>
      <c r="S4418" t="inlineStr">
        <is>
          <t>4649320218711</t>
        </is>
      </c>
    </row>
    <row r="4419" ht="75" customHeight="1">
      <c r="A4419" s="2">
        <f>HYPERLINK("https://faoschwarz.com/products/princess-role-play-set", "https://faoschwarz.com/products/princess-role-play-set")</f>
        <v/>
      </c>
      <c r="B4419" s="2">
        <f>HYPERLINK("https://faoschwarz.com/products/princess-role-play-set", "https://faoschwarz.com/products/princess-role-play-set")</f>
        <v/>
      </c>
      <c r="C4419" t="inlineStr">
        <is>
          <t>Princess Role Play Costume Set</t>
        </is>
      </c>
      <c r="D4419" t="inlineStr">
        <is>
          <t>Mastom Dress Up Shoes Set, Princess Dress Up Toys, Toddler Girls Jewelry Boutique with Skirts, Princess Shoes, Crowns, Jewelry, Princess Costumes Set Role Play Set Gifts for Girls 3 4 5 6 Year Old</t>
        </is>
      </c>
      <c r="E4419" s="2">
        <f>HYPERLINK("https://www.amazon.com/Princess-Dresses-Mastom-Earrings-Necklace/dp/B0B5KXQ29Y/ref=sr_1_9?keywords=Princess+Role+Play+Costume+Set&amp;qid=1695565933&amp;sr=8-9", "https://www.amazon.com/Princess-Dresses-Mastom-Earrings-Necklace/dp/B0B5KXQ29Y/ref=sr_1_9?keywords=Princess+Role+Play+Costume+Set&amp;qid=1695565933&amp;sr=8-9")</f>
        <v/>
      </c>
      <c r="F4419" t="inlineStr">
        <is>
          <t>B0B5KXQ29Y</t>
        </is>
      </c>
      <c r="G4419">
        <f>_xlfn.IMAGE("https://faoschwarz.com/cdn/shop/products/melissa-doug-preschool-princess-role-play-set-14735761145943_1080x.jpg?v=1656108379")</f>
        <v/>
      </c>
      <c r="H4419">
        <f>_xlfn.IMAGE("https://m.media-amazon.com/images/I/81KDQeelXeL._AC_UL320_.jpg")</f>
        <v/>
      </c>
      <c r="K4419" t="inlineStr">
        <is>
          <t>23.8</t>
        </is>
      </c>
      <c r="L4419" t="n">
        <v>29.99</v>
      </c>
      <c r="M4419" s="1" t="inlineStr">
        <is>
          <t>26.01%</t>
        </is>
      </c>
      <c r="N4419" t="n">
        <v>4.5</v>
      </c>
      <c r="O4419" t="n">
        <v>150</v>
      </c>
      <c r="Q4419" t="inlineStr">
        <is>
          <t>InStock</t>
        </is>
      </c>
      <c r="R4419" t="inlineStr">
        <is>
          <t>34.0</t>
        </is>
      </c>
      <c r="S4419" t="inlineStr">
        <is>
          <t>4649320218711</t>
        </is>
      </c>
    </row>
    <row r="4420" ht="75" customHeight="1">
      <c r="A4420" s="2">
        <f>HYPERLINK("https://faoschwarz.com/products/princess-role-play-set", "https://faoschwarz.com/products/princess-role-play-set")</f>
        <v/>
      </c>
      <c r="B4420" s="2">
        <f>HYPERLINK("https://faoschwarz.com/products/princess-role-play-set", "https://faoschwarz.com/products/princess-role-play-set")</f>
        <v/>
      </c>
      <c r="C4420" t="inlineStr">
        <is>
          <t>Princess Role Play Costume Set</t>
        </is>
      </c>
      <c r="D4420" t="inlineStr">
        <is>
          <t>Princess Dress Up Shoes Gift Set, Girls Dress Up Toys, Princess Role Play Costumes Kit Include Unicorn Peach Ice Princess Shoes, Skirts, Crowns Great Gifts for Toddler Little Girls Aged 3-6 Years Old</t>
        </is>
      </c>
      <c r="E4420" s="2">
        <f>HYPERLINK("https://www.amazon.com/Princess-Costumes-Include-Unicorn-Toddler/dp/B0CC8Y4TSV/ref=sr_1_8?keywords=Princess+Role+Play+Costume+Set&amp;qid=1695565933&amp;sr=8-8", "https://www.amazon.com/Princess-Costumes-Include-Unicorn-Toddler/dp/B0CC8Y4TSV/ref=sr_1_8?keywords=Princess+Role+Play+Costume+Set&amp;qid=1695565933&amp;sr=8-8")</f>
        <v/>
      </c>
      <c r="F4420" t="inlineStr">
        <is>
          <t>B0CC8Y4TSV</t>
        </is>
      </c>
      <c r="G4420">
        <f>_xlfn.IMAGE("https://faoschwarz.com/cdn/shop/products/melissa-doug-preschool-princess-role-play-set-14735761145943_1080x.jpg?v=1656108379")</f>
        <v/>
      </c>
      <c r="H4420">
        <f>_xlfn.IMAGE("https://m.media-amazon.com/images/I/81dd1i6EY+L._AC_UL320_.jpg")</f>
        <v/>
      </c>
      <c r="K4420" t="inlineStr">
        <is>
          <t>23.8</t>
        </is>
      </c>
      <c r="L4420" t="n">
        <v>29.99</v>
      </c>
      <c r="M4420" s="1" t="inlineStr">
        <is>
          <t>26.01%</t>
        </is>
      </c>
      <c r="N4420" t="n">
        <v>5</v>
      </c>
      <c r="O4420" t="n">
        <v>4</v>
      </c>
      <c r="Q4420" t="inlineStr">
        <is>
          <t>InStock</t>
        </is>
      </c>
      <c r="R4420" t="inlineStr">
        <is>
          <t>34.0</t>
        </is>
      </c>
      <c r="S4420" t="inlineStr">
        <is>
          <t>4649320218711</t>
        </is>
      </c>
    </row>
    <row r="4421" ht="75" customHeight="1">
      <c r="A4421" s="2">
        <f>HYPERLINK("https://faoschwarz.com/products/princess-role-play-set", "https://faoschwarz.com/products/princess-role-play-set")</f>
        <v/>
      </c>
      <c r="B4421" s="2">
        <f>HYPERLINK("https://faoschwarz.com/products/princess-role-play-set", "https://faoschwarz.com/products/princess-role-play-set")</f>
        <v/>
      </c>
      <c r="C4421" t="inlineStr">
        <is>
          <t>Princess Role Play Costume Set</t>
        </is>
      </c>
      <c r="D4421" t="inlineStr">
        <is>
          <t>BeiyoQSZ Princess Dress Up Shoes &amp; Pretend Jewelry Toys, Dress Up Clothes for Little Girls, Toddler Role Play Shoes Set with 3 Pairs of Princess Shoes, 3 Tutu Skirts, 3 Tiaras Crowns, Princess Jewelry, Princess Costumes Set Pretend Play for Girls</t>
        </is>
      </c>
      <c r="E4421" s="2">
        <f>HYPERLINK("https://www.amazon.com/BeiyoQSZ-Princess-Pretend-Accessories-Costumes/dp/B0BCQ9BC98/ref=sr_1_1?keywords=Princess+Role+Play+Costume+Set&amp;qid=1695565933&amp;sr=8-1", "https://www.amazon.com/BeiyoQSZ-Princess-Pretend-Accessories-Costumes/dp/B0BCQ9BC98/ref=sr_1_1?keywords=Princess+Role+Play+Costume+Set&amp;qid=1695565933&amp;sr=8-1")</f>
        <v/>
      </c>
      <c r="F4421" t="inlineStr">
        <is>
          <t>B0BCQ9BC98</t>
        </is>
      </c>
      <c r="G4421">
        <f>_xlfn.IMAGE("https://faoschwarz.com/cdn/shop/products/melissa-doug-preschool-princess-role-play-set-14735761145943_1080x.jpg?v=1656108379")</f>
        <v/>
      </c>
      <c r="H4421">
        <f>_xlfn.IMAGE("https://m.media-amazon.com/images/I/81AuXE9STQL._AC_UL320_.jpg")</f>
        <v/>
      </c>
      <c r="K4421" t="inlineStr">
        <is>
          <t>23.8</t>
        </is>
      </c>
      <c r="L4421" t="n">
        <v>29.98</v>
      </c>
      <c r="M4421" s="1" t="inlineStr">
        <is>
          <t>25.97%</t>
        </is>
      </c>
      <c r="N4421" t="n">
        <v>4.3</v>
      </c>
      <c r="O4421" t="n">
        <v>125</v>
      </c>
      <c r="Q4421" t="inlineStr">
        <is>
          <t>InStock</t>
        </is>
      </c>
      <c r="R4421" t="inlineStr">
        <is>
          <t>34.0</t>
        </is>
      </c>
      <c r="S4421" t="inlineStr">
        <is>
          <t>4649320218711</t>
        </is>
      </c>
    </row>
    <row r="4422" ht="75" customHeight="1">
      <c r="A4422" s="2">
        <f>HYPERLINK("https://faoschwarz.com/products/princess-role-play-set", "https://faoschwarz.com/products/princess-role-play-set")</f>
        <v/>
      </c>
      <c r="B4422" s="2">
        <f>HYPERLINK("https://faoschwarz.com/products/princess-role-play-set", "https://faoschwarz.com/products/princess-role-play-set")</f>
        <v/>
      </c>
      <c r="C4422" t="inlineStr">
        <is>
          <t>Princess Role Play Costume Set</t>
        </is>
      </c>
      <c r="D4422" t="inlineStr">
        <is>
          <t>Teuevayl Little Girl Dress up Trunk Set, 20PCS Girls Pretend Play Princess Role Play Costumes Set, Singer, Princess, Fairy Costume for Girl Ages 3-7</t>
        </is>
      </c>
      <c r="E4422" s="2">
        <f>HYPERLINK("https://www.amazon.com/Teuevayl-Pretend-Princess-Costumes-Costume/dp/B08GSM22HF/ref=sr_1_5?keywords=Princess+Role+Play+Costume+Set&amp;qid=1695565933&amp;sr=8-5", "https://www.amazon.com/Teuevayl-Pretend-Princess-Costumes-Costume/dp/B08GSM22HF/ref=sr_1_5?keywords=Princess+Role+Play+Costume+Set&amp;qid=1695565933&amp;sr=8-5")</f>
        <v/>
      </c>
      <c r="F4422" t="inlineStr">
        <is>
          <t>B08GSM22HF</t>
        </is>
      </c>
      <c r="G4422">
        <f>_xlfn.IMAGE("https://faoschwarz.com/cdn/shop/products/melissa-doug-preschool-princess-role-play-set-14735761145943_1080x.jpg?v=1656108379")</f>
        <v/>
      </c>
      <c r="H4422">
        <f>_xlfn.IMAGE("https://m.media-amazon.com/images/I/81nAONcWK+L._AC_UL320_.jpg")</f>
        <v/>
      </c>
      <c r="K4422" t="inlineStr">
        <is>
          <t>23.8</t>
        </is>
      </c>
      <c r="L4422" t="n">
        <v>28.99</v>
      </c>
      <c r="M4422" s="1" t="inlineStr">
        <is>
          <t>21.81%</t>
        </is>
      </c>
      <c r="N4422" t="n">
        <v>4.4</v>
      </c>
      <c r="O4422" t="n">
        <v>349</v>
      </c>
      <c r="Q4422" t="inlineStr">
        <is>
          <t>InStock</t>
        </is>
      </c>
      <c r="R4422" t="inlineStr">
        <is>
          <t>34.0</t>
        </is>
      </c>
      <c r="S4422" t="inlineStr">
        <is>
          <t>4649320218711</t>
        </is>
      </c>
    </row>
    <row r="4423" ht="75" customHeight="1">
      <c r="A4423" s="2">
        <f>HYPERLINK("https://faoschwarz.com/products/princess-role-play-set", "https://faoschwarz.com/products/princess-role-play-set")</f>
        <v/>
      </c>
      <c r="B4423" s="2">
        <f>HYPERLINK("https://faoschwarz.com/products/princess-role-play-set", "https://faoschwarz.com/products/princess-role-play-set")</f>
        <v/>
      </c>
      <c r="C4423" t="inlineStr">
        <is>
          <t>Princess Role Play Costume Set</t>
        </is>
      </c>
      <c r="D4423" t="inlineStr">
        <is>
          <t>G.C Princess Dress up Trunk for Girls Princess Costume Dress Jewelry Pretend Cosplay Role Play Set Gift Toy Party Favors Dress up Clothes Accessories for Little Girl Toddler Ages 3-6 Years</t>
        </is>
      </c>
      <c r="E4423" s="2">
        <f>HYPERLINK("https://www.amazon.com/G-C-Princess-Costume-Jewelry-Accessories/dp/B08HQJH2NF/ref=sr_1_6?keywords=Princess+Role+Play+Costume+Set&amp;qid=1695565933&amp;sr=8-6", "https://www.amazon.com/G-C-Princess-Costume-Jewelry-Accessories/dp/B08HQJH2NF/ref=sr_1_6?keywords=Princess+Role+Play+Costume+Set&amp;qid=1695565933&amp;sr=8-6")</f>
        <v/>
      </c>
      <c r="F4423" t="inlineStr">
        <is>
          <t>B08HQJH2NF</t>
        </is>
      </c>
      <c r="G4423">
        <f>_xlfn.IMAGE("https://faoschwarz.com/cdn/shop/products/melissa-doug-preschool-princess-role-play-set-14735761145943_1080x.jpg?v=1656108379")</f>
        <v/>
      </c>
      <c r="H4423">
        <f>_xlfn.IMAGE("https://m.media-amazon.com/images/I/813F3DKkguL._AC_UL320_.jpg")</f>
        <v/>
      </c>
      <c r="K4423" t="inlineStr">
        <is>
          <t>23.8</t>
        </is>
      </c>
      <c r="L4423" t="n">
        <v>26.99</v>
      </c>
      <c r="M4423" s="1" t="inlineStr">
        <is>
          <t>13.40%</t>
        </is>
      </c>
      <c r="N4423" t="n">
        <v>4.3</v>
      </c>
      <c r="O4423" t="n">
        <v>393</v>
      </c>
      <c r="Q4423" t="inlineStr">
        <is>
          <t>InStock</t>
        </is>
      </c>
      <c r="R4423" t="inlineStr">
        <is>
          <t>34.0</t>
        </is>
      </c>
      <c r="S4423" t="inlineStr">
        <is>
          <t>4649320218711</t>
        </is>
      </c>
    </row>
    <row r="4424" ht="75" customHeight="1">
      <c r="A4424" s="2">
        <f>HYPERLINK("https://faoschwarz.com/products/princess-role-play-set", "https://faoschwarz.com/products/princess-role-play-set")</f>
        <v/>
      </c>
      <c r="B4424" s="2">
        <f>HYPERLINK("https://faoschwarz.com/products/princess-role-play-set", "https://faoschwarz.com/products/princess-role-play-set")</f>
        <v/>
      </c>
      <c r="C4424" t="inlineStr">
        <is>
          <t>Princess Role Play Costume Set</t>
        </is>
      </c>
      <c r="D4424" t="inlineStr">
        <is>
          <t>VGOFUN Princess Costume Dresses Girls 3 Pack Dress up Dresses Role Play Set for Little Girls Ages 3-6 Years</t>
        </is>
      </c>
      <c r="E4424" s="2">
        <f>HYPERLINK("https://www.amazon.com/VGOFUN-Princess-Mermaid-Costume-Birthday/dp/B07XCWKQZR/ref=sr_1_2?keywords=Princess+Role+Play+Costume+Set&amp;qid=1695565933&amp;sr=8-2", "https://www.amazon.com/VGOFUN-Princess-Mermaid-Costume-Birthday/dp/B07XCWKQZR/ref=sr_1_2?keywords=Princess+Role+Play+Costume+Set&amp;qid=1695565933&amp;sr=8-2")</f>
        <v/>
      </c>
      <c r="F4424" t="inlineStr">
        <is>
          <t>B07XCWKQZR</t>
        </is>
      </c>
      <c r="G4424">
        <f>_xlfn.IMAGE("https://faoschwarz.com/cdn/shop/products/melissa-doug-preschool-princess-role-play-set-14735761145943_1080x.jpg?v=1656108379")</f>
        <v/>
      </c>
      <c r="H4424">
        <f>_xlfn.IMAGE("https://m.media-amazon.com/images/I/71QoF+Q7zBL._AC_UL320_.jpg")</f>
        <v/>
      </c>
      <c r="K4424" t="inlineStr">
        <is>
          <t>23.8</t>
        </is>
      </c>
      <c r="L4424" t="n">
        <v>26.99</v>
      </c>
      <c r="M4424" s="1" t="inlineStr">
        <is>
          <t>13.40%</t>
        </is>
      </c>
      <c r="N4424" t="n">
        <v>4.4</v>
      </c>
      <c r="O4424" t="n">
        <v>806</v>
      </c>
      <c r="Q4424" t="inlineStr">
        <is>
          <t>InStock</t>
        </is>
      </c>
      <c r="R4424" t="inlineStr">
        <is>
          <t>34.0</t>
        </is>
      </c>
      <c r="S4424" t="inlineStr">
        <is>
          <t>4649320218711</t>
        </is>
      </c>
    </row>
    <row r="4425" ht="75" customHeight="1">
      <c r="A4425" s="2">
        <f>HYPERLINK("https://faoschwarz.com/products/princess-role-play-set", "https://faoschwarz.com/products/princess-role-play-set")</f>
        <v/>
      </c>
      <c r="B4425" s="2">
        <f>HYPERLINK("https://faoschwarz.com/products/princess-role-play-set", "https://faoschwarz.com/products/princess-role-play-set")</f>
        <v/>
      </c>
      <c r="C4425" t="inlineStr">
        <is>
          <t>Princess Role Play Costume Set</t>
        </is>
      </c>
      <c r="D4425" t="inlineStr">
        <is>
          <t>LIMIROLER Princess Dress Up Clothes for Little Girls Princess Role Play Costume Gift Set 25 Pcs Pretend Toys Kit for Toddlers Girls Aged 3-6 Years Old</t>
        </is>
      </c>
      <c r="E4425" s="2">
        <f>HYPERLINK("https://www.amazon.com/Princess-Dress-Clothes-Little-Girls/dp/B0B31F32VH/ref=sr_1_4?keywords=Princess+Role+Play+Costume+Set&amp;qid=1695565933&amp;sr=8-4", "https://www.amazon.com/Princess-Dress-Clothes-Little-Girls/dp/B0B31F32VH/ref=sr_1_4?keywords=Princess+Role+Play+Costume+Set&amp;qid=1695565933&amp;sr=8-4")</f>
        <v/>
      </c>
      <c r="F4425" t="inlineStr">
        <is>
          <t>B0B31F32VH</t>
        </is>
      </c>
      <c r="G4425">
        <f>_xlfn.IMAGE("https://faoschwarz.com/cdn/shop/products/melissa-doug-preschool-princess-role-play-set-14735761145943_1080x.jpg?v=1656108379")</f>
        <v/>
      </c>
      <c r="H4425">
        <f>_xlfn.IMAGE("https://m.media-amazon.com/images/I/81yCjmPxqYL._AC_UL320_.jpg")</f>
        <v/>
      </c>
      <c r="K4425" t="inlineStr">
        <is>
          <t>23.8</t>
        </is>
      </c>
      <c r="L4425" t="n">
        <v>26.59</v>
      </c>
      <c r="M4425" s="1" t="inlineStr">
        <is>
          <t>11.72%</t>
        </is>
      </c>
      <c r="N4425" t="n">
        <v>4.3</v>
      </c>
      <c r="O4425" t="n">
        <v>247</v>
      </c>
      <c r="Q4425" t="inlineStr">
        <is>
          <t>InStock</t>
        </is>
      </c>
      <c r="R4425" t="inlineStr">
        <is>
          <t>34.0</t>
        </is>
      </c>
      <c r="S4425" t="inlineStr">
        <is>
          <t>4649320218711</t>
        </is>
      </c>
    </row>
    <row r="4426" ht="75" customHeight="1">
      <c r="A4426" s="2">
        <f>HYPERLINK("https://faoschwarz.com/products/puzzlo-music-35-piece-wooden-jigsaw-puzzle", "https://faoschwarz.com/products/puzzlo-music-35-piece-wooden-jigsaw-puzzle")</f>
        <v/>
      </c>
      <c r="B4426" s="2">
        <f>HYPERLINK("https://faoschwarz.com/products/puzzlo-music-35-piece-wooden-jigsaw-puzzle", "https://faoschwarz.com/products/puzzlo-music-35-piece-wooden-jigsaw-puzzle")</f>
        <v/>
      </c>
      <c r="C4426" t="inlineStr">
        <is>
          <t>Puzzlo Music 35 Piece Wooden Jigsaw Puzzle</t>
        </is>
      </c>
      <c r="D4426" t="inlineStr">
        <is>
          <t>Jigsaw Puzzle 500 Pieces for Adults- Guitars Instrument Collage Collections Music Quote - Wooden Jigsaw PuzzleFun, Hard, Challenging Puzzle</t>
        </is>
      </c>
      <c r="E4426" s="2">
        <f>HYPERLINK("https://www.amazon.com/Adults-Guitars-Instrument-Collage-Collections/dp/B08T7G8LYG/ref=sr_1_4?keywords=Puzzlo+Music+35+Piece+Wooden+Jigsaw+Puzzle&amp;qid=1695566010&amp;sr=8-4", "https://www.amazon.com/Adults-Guitars-Instrument-Collage-Collections/dp/B08T7G8LYG/ref=sr_1_4?keywords=Puzzlo+Music+35+Piece+Wooden+Jigsaw+Puzzle&amp;qid=1695566010&amp;sr=8-4")</f>
        <v/>
      </c>
      <c r="F4426" t="inlineStr">
        <is>
          <t>B08T7G8LYG</t>
        </is>
      </c>
      <c r="G4426">
        <f>_xlfn.IMAGE("https://faoschwarz.com/cdn/shop/files/djeco-preschool-puzzlo-music-35-piece-wooden-jigsaw-puzzle-30656395313239_1080x.jpg?v=1694205991")</f>
        <v/>
      </c>
      <c r="H4426">
        <f>_xlfn.IMAGE("https://m.media-amazon.com/images/I/81je9ZlchsL._AC_UL320_.jpg")</f>
        <v/>
      </c>
      <c r="K4426" t="inlineStr">
        <is>
          <t>21.0</t>
        </is>
      </c>
      <c r="L4426" t="n">
        <v>18.99</v>
      </c>
      <c r="M4426" s="1" t="inlineStr">
        <is>
          <t>-9.57%</t>
        </is>
      </c>
      <c r="N4426" t="n">
        <v>3.4</v>
      </c>
      <c r="O4426" t="n">
        <v>18</v>
      </c>
      <c r="Q4426" t="inlineStr">
        <is>
          <t>InStock</t>
        </is>
      </c>
      <c r="R4426" t="inlineStr">
        <is>
          <t>undefined</t>
        </is>
      </c>
      <c r="S4426" t="inlineStr">
        <is>
          <t>6904561860695</t>
        </is>
      </c>
    </row>
    <row r="4427" ht="75" customHeight="1">
      <c r="A4427" s="2">
        <f>HYPERLINK("https://faoschwarz.com/products/puzzlo-music-35-piece-wooden-jigsaw-puzzle", "https://faoschwarz.com/products/puzzlo-music-35-piece-wooden-jigsaw-puzzle")</f>
        <v/>
      </c>
      <c r="B4427" s="2">
        <f>HYPERLINK("https://faoschwarz.com/products/puzzlo-music-35-piece-wooden-jigsaw-puzzle", "https://faoschwarz.com/products/puzzlo-music-35-piece-wooden-jigsaw-puzzle")</f>
        <v/>
      </c>
      <c r="C4427" t="inlineStr">
        <is>
          <t>Puzzlo Music 35 Piece Wooden Jigsaw Puzzle</t>
        </is>
      </c>
      <c r="D4427" t="inlineStr">
        <is>
          <t>Guitar Puzzles for Adults - 200 Piece Puzzles for Kids Wooden Jigsaw Puzzle Unique Shaped Mini Puzzles with Wooden Box Puzzle for Adults and Kids Ages 8+ for Guitar Enthusiasts and Music Lovers</t>
        </is>
      </c>
      <c r="E4427" s="2">
        <f>HYPERLINK("https://www.amazon.com/Guitar-Puzzles-Adults-Wooden-Enthusiasts/dp/B0BXQSR4Q1/ref=sr_1_6?keywords=Puzzlo+Music+35+Piece+Wooden+Jigsaw+Puzzle&amp;qid=1695566010&amp;sr=8-6", "https://www.amazon.com/Guitar-Puzzles-Adults-Wooden-Enthusiasts/dp/B0BXQSR4Q1/ref=sr_1_6?keywords=Puzzlo+Music+35+Piece+Wooden+Jigsaw+Puzzle&amp;qid=1695566010&amp;sr=8-6")</f>
        <v/>
      </c>
      <c r="F4427" t="inlineStr">
        <is>
          <t>B0BXQSR4Q1</t>
        </is>
      </c>
      <c r="G4427">
        <f>_xlfn.IMAGE("https://faoschwarz.com/cdn/shop/files/djeco-preschool-puzzlo-music-35-piece-wooden-jigsaw-puzzle-30656395313239_1080x.jpg?v=1694205991")</f>
        <v/>
      </c>
      <c r="H4427">
        <f>_xlfn.IMAGE("https://m.media-amazon.com/images/I/91pwmuZAy+L._AC_UL320_.jpg")</f>
        <v/>
      </c>
      <c r="K4427" t="inlineStr">
        <is>
          <t>21.0</t>
        </is>
      </c>
      <c r="L4427" t="n">
        <v>17.99</v>
      </c>
      <c r="M4427" s="1" t="inlineStr">
        <is>
          <t>-14.33%</t>
        </is>
      </c>
      <c r="N4427" t="n">
        <v>4.3</v>
      </c>
      <c r="O4427" t="n">
        <v>33</v>
      </c>
      <c r="Q4427" t="inlineStr">
        <is>
          <t>InStock</t>
        </is>
      </c>
      <c r="R4427" t="inlineStr">
        <is>
          <t>undefined</t>
        </is>
      </c>
      <c r="S4427" t="inlineStr">
        <is>
          <t>6904561860695</t>
        </is>
      </c>
    </row>
    <row r="4428" ht="75" customHeight="1">
      <c r="A4428" s="2">
        <f>HYPERLINK("https://faoschwarz.com/products/puzzlo-music-35-piece-wooden-jigsaw-puzzle", "https://faoschwarz.com/products/puzzlo-music-35-piece-wooden-jigsaw-puzzle")</f>
        <v/>
      </c>
      <c r="B4428" s="2">
        <f>HYPERLINK("https://faoschwarz.com/products/puzzlo-music-35-piece-wooden-jigsaw-puzzle", "https://faoschwarz.com/products/puzzlo-music-35-piece-wooden-jigsaw-puzzle")</f>
        <v/>
      </c>
      <c r="C4428" t="inlineStr">
        <is>
          <t>Puzzlo Music 35 Piece Wooden Jigsaw Puzzle</t>
        </is>
      </c>
      <c r="D4428" t="inlineStr">
        <is>
          <t>Jigsaw Puzzle 500 Pieces for Adults- Guitars Instrument Collage Collections Music Quote - Wooden Jigsaw PuzzleFun, Hard, Challenging Puzzle</t>
        </is>
      </c>
      <c r="E4428" s="2">
        <f>HYPERLINK("https://www.amazon.com/Adults-Guitars-Instrument-Collage-Collections/dp/B08T7G8LYG/ref=sr_1_4?keywords=Puzzlo+Music+35+Piece+Wooden+Jigsaw+Puzzle&amp;qid=1695566010&amp;sr=8-4", "https://www.amazon.com/Adults-Guitars-Instrument-Collage-Collections/dp/B08T7G8LYG/ref=sr_1_4?keywords=Puzzlo+Music+35+Piece+Wooden+Jigsaw+Puzzle&amp;qid=1695566010&amp;sr=8-4")</f>
        <v/>
      </c>
      <c r="F4428" t="inlineStr">
        <is>
          <t>B08T7G8LYG</t>
        </is>
      </c>
      <c r="G4428">
        <f>_xlfn.IMAGE("https://faoschwarz.com/cdn/shop/files/djeco-preschool-puzzlo-music-35-piece-wooden-jigsaw-puzzle-30656395313239_1080x.jpg?v=1694205991")</f>
        <v/>
      </c>
      <c r="H4428">
        <f>_xlfn.IMAGE("https://m.media-amazon.com/images/I/81je9ZlchsL._AC_UL320_.jpg")</f>
        <v/>
      </c>
      <c r="K4428" t="inlineStr">
        <is>
          <t>21.0</t>
        </is>
      </c>
      <c r="L4428" t="n">
        <v>18.99</v>
      </c>
      <c r="M4428" s="1" t="inlineStr">
        <is>
          <t>-9.57%</t>
        </is>
      </c>
      <c r="N4428" t="n">
        <v>3.4</v>
      </c>
      <c r="O4428" t="n">
        <v>18</v>
      </c>
      <c r="Q4428" t="inlineStr">
        <is>
          <t>InStock</t>
        </is>
      </c>
      <c r="R4428" t="inlineStr">
        <is>
          <t>undefined</t>
        </is>
      </c>
      <c r="S4428" t="inlineStr">
        <is>
          <t>6904561860695</t>
        </is>
      </c>
    </row>
    <row r="4429" ht="75" customHeight="1">
      <c r="A4429" s="2">
        <f>HYPERLINK("https://faoschwarz.com/products/puzzlo-music-35-piece-wooden-jigsaw-puzzle", "https://faoschwarz.com/products/puzzlo-music-35-piece-wooden-jigsaw-puzzle")</f>
        <v/>
      </c>
      <c r="B4429" s="2">
        <f>HYPERLINK("https://faoschwarz.com/products/puzzlo-music-35-piece-wooden-jigsaw-puzzle", "https://faoschwarz.com/products/puzzlo-music-35-piece-wooden-jigsaw-puzzle")</f>
        <v/>
      </c>
      <c r="C4429" t="inlineStr">
        <is>
          <t>Puzzlo Music 35 Piece Wooden Jigsaw Puzzle</t>
        </is>
      </c>
      <c r="D4429" t="inlineStr">
        <is>
          <t>Guitar Puzzles for Adults - 200 Piece Puzzles for Kids Wooden Jigsaw Puzzle Unique Shaped Mini Puzzles with Wooden Box Puzzle for Adults and Kids Ages 8+ for Guitar Enthusiasts and Music Lovers</t>
        </is>
      </c>
      <c r="E4429" s="2">
        <f>HYPERLINK("https://www.amazon.com/Guitar-Puzzles-Adults-Wooden-Enthusiasts/dp/B0BXQSR4Q1/ref=sr_1_6?keywords=Puzzlo+Music+35+Piece+Wooden+Jigsaw+Puzzle&amp;qid=1695566010&amp;sr=8-6", "https://www.amazon.com/Guitar-Puzzles-Adults-Wooden-Enthusiasts/dp/B0BXQSR4Q1/ref=sr_1_6?keywords=Puzzlo+Music+35+Piece+Wooden+Jigsaw+Puzzle&amp;qid=1695566010&amp;sr=8-6")</f>
        <v/>
      </c>
      <c r="F4429" t="inlineStr">
        <is>
          <t>B0BXQSR4Q1</t>
        </is>
      </c>
      <c r="G4429">
        <f>_xlfn.IMAGE("https://faoschwarz.com/cdn/shop/files/djeco-preschool-puzzlo-music-35-piece-wooden-jigsaw-puzzle-30656395313239_1080x.jpg?v=1694205991")</f>
        <v/>
      </c>
      <c r="H4429">
        <f>_xlfn.IMAGE("https://m.media-amazon.com/images/I/91pwmuZAy+L._AC_UL320_.jpg")</f>
        <v/>
      </c>
      <c r="K4429" t="inlineStr">
        <is>
          <t>21.0</t>
        </is>
      </c>
      <c r="L4429" t="n">
        <v>17.99</v>
      </c>
      <c r="M4429" s="1" t="inlineStr">
        <is>
          <t>-14.33%</t>
        </is>
      </c>
      <c r="N4429" t="n">
        <v>4.3</v>
      </c>
      <c r="O4429" t="n">
        <v>33</v>
      </c>
      <c r="Q4429" t="inlineStr">
        <is>
          <t>InStock</t>
        </is>
      </c>
      <c r="R4429" t="inlineStr">
        <is>
          <t>undefined</t>
        </is>
      </c>
      <c r="S4429" t="inlineStr">
        <is>
          <t>6904561860695</t>
        </is>
      </c>
    </row>
    <row r="4430" ht="75" customHeight="1">
      <c r="A4430" s="2">
        <f>HYPERLINK("https://faoschwarz.com/products/rear-window-board-game", "https://faoschwarz.com/products/rear-window-board-game")</f>
        <v/>
      </c>
      <c r="B4430" s="2">
        <f>HYPERLINK("https://faoschwarz.com/products/rear-window-board-game", "https://faoschwarz.com/products/rear-window-board-game")</f>
        <v/>
      </c>
      <c r="C4430" t="inlineStr">
        <is>
          <t>Rear Window Board Game</t>
        </is>
      </c>
      <c r="D4430" t="inlineStr">
        <is>
          <t>Funko Games Rear Window Game</t>
        </is>
      </c>
      <c r="E4430" s="2">
        <f>HYPERLINK("https://www.amazon.com/Funko-60501-Rear-Window-Game/dp/B09QTVZ5GY/ref=sr_1_1?keywords=Rear+Window+Board+Game&amp;qid=1695565974&amp;sr=8-1", "https://www.amazon.com/Funko-60501-Rear-Window-Game/dp/B09QTVZ5GY/ref=sr_1_1?keywords=Rear+Window+Board+Game&amp;qid=1695565974&amp;sr=8-1")</f>
        <v/>
      </c>
      <c r="F4430" t="inlineStr">
        <is>
          <t>B09QTVZ5GY</t>
        </is>
      </c>
      <c r="G4430">
        <f>_xlfn.IMAGE("https://faoschwarz.com/cdn/shop/files/funko-world-of-funko-rear-window-board-game-30394580500567_1080x.jpg?v=1693426668")</f>
        <v/>
      </c>
      <c r="H4430">
        <f>_xlfn.IMAGE("https://m.media-amazon.com/images/I/71tyJqbKQKL._AC_UL320_.jpg")</f>
        <v/>
      </c>
      <c r="K4430" t="inlineStr">
        <is>
          <t>40.0</t>
        </is>
      </c>
      <c r="L4430" t="n">
        <v>17.29</v>
      </c>
      <c r="M4430" s="1" t="inlineStr">
        <is>
          <t>-56.77%</t>
        </is>
      </c>
      <c r="N4430" t="n">
        <v>4.7</v>
      </c>
      <c r="O4430" t="n">
        <v>349</v>
      </c>
      <c r="Q4430" t="inlineStr">
        <is>
          <t>InStock</t>
        </is>
      </c>
      <c r="R4430" t="inlineStr">
        <is>
          <t>undefined</t>
        </is>
      </c>
      <c r="S4430" t="inlineStr">
        <is>
          <t>6884920426583</t>
        </is>
      </c>
    </row>
    <row r="4431" ht="75" customHeight="1">
      <c r="A4431" s="2">
        <f>HYPERLINK("https://faoschwarz.com/products/rear-window-board-game", "https://faoschwarz.com/products/rear-window-board-game")</f>
        <v/>
      </c>
      <c r="B4431" s="2">
        <f>HYPERLINK("https://faoschwarz.com/products/rear-window-board-game", "https://faoschwarz.com/products/rear-window-board-game")</f>
        <v/>
      </c>
      <c r="C4431" t="inlineStr">
        <is>
          <t>Rear Window Board Game</t>
        </is>
      </c>
      <c r="D4431" t="inlineStr">
        <is>
          <t>Funko Games Rear Window Game</t>
        </is>
      </c>
      <c r="E4431" s="2">
        <f>HYPERLINK("https://www.amazon.com/Funko-60501-Rear-Window-Game/dp/B09QTVZ5GY/ref=sr_1_1?keywords=Rear+Window+Board+Game&amp;qid=1695565974&amp;sr=8-1", "https://www.amazon.com/Funko-60501-Rear-Window-Game/dp/B09QTVZ5GY/ref=sr_1_1?keywords=Rear+Window+Board+Game&amp;qid=1695565974&amp;sr=8-1")</f>
        <v/>
      </c>
      <c r="F4431" t="inlineStr">
        <is>
          <t>B09QTVZ5GY</t>
        </is>
      </c>
      <c r="G4431">
        <f>_xlfn.IMAGE("https://faoschwarz.com/cdn/shop/files/funko-world-of-funko-rear-window-board-game-30394580500567_1080x.jpg?v=1693426668")</f>
        <v/>
      </c>
      <c r="H4431">
        <f>_xlfn.IMAGE("https://m.media-amazon.com/images/I/71tyJqbKQKL._AC_UL320_.jpg")</f>
        <v/>
      </c>
      <c r="K4431" t="inlineStr">
        <is>
          <t>40.0</t>
        </is>
      </c>
      <c r="L4431" t="n">
        <v>17.29</v>
      </c>
      <c r="M4431" s="1" t="inlineStr">
        <is>
          <t>-56.77%</t>
        </is>
      </c>
      <c r="N4431" t="n">
        <v>4.7</v>
      </c>
      <c r="O4431" t="n">
        <v>349</v>
      </c>
      <c r="Q4431" t="inlineStr">
        <is>
          <t>InStock</t>
        </is>
      </c>
      <c r="R4431" t="inlineStr">
        <is>
          <t>undefined</t>
        </is>
      </c>
      <c r="S4431" t="inlineStr">
        <is>
          <t>6884920426583</t>
        </is>
      </c>
    </row>
    <row r="4432" ht="75" customHeight="1">
      <c r="A4432" s="2">
        <f>HYPERLINK("https://faoschwarz.com/products/ring-toss", "https://faoschwarz.com/products/ring-toss")</f>
        <v/>
      </c>
      <c r="B4432" s="2">
        <f>HYPERLINK("https://faoschwarz.com/products/ring-toss", "https://faoschwarz.com/products/ring-toss")</f>
        <v/>
      </c>
      <c r="C4432" t="inlineStr">
        <is>
          <t>Ring Toss</t>
        </is>
      </c>
      <c r="D4432" t="inlineStr">
        <is>
          <t>Hxezoc 36 Pack Carnival Games Set, 4 in 1 Soft Plastic Cones Cornhole Bean Bags Ring Can Toss Carnival Games Combo for Kids Adults Carnival Birthday Party School Field Indoor Outdoor Games Supplies</t>
        </is>
      </c>
      <c r="E4432" s="2">
        <f>HYPERLINK("https://www.amazon.com/Carnival-Plastic-Cornhole-Birthday-Supplies/dp/B09MM1Y8FP/ref=sr_1_8?keywords=Ring+Toss&amp;qid=1695565983&amp;sr=8-8", "https://www.amazon.com/Carnival-Plastic-Cornhole-Birthday-Supplies/dp/B09MM1Y8FP/ref=sr_1_8?keywords=Ring+Toss&amp;qid=1695565983&amp;sr=8-8")</f>
        <v/>
      </c>
      <c r="F4432" t="inlineStr">
        <is>
          <t>B09MM1Y8FP</t>
        </is>
      </c>
      <c r="G4432">
        <f>_xlfn.IMAGE("https://faoschwarz.com/cdn/shop/products/lucio-londero-games-ring-toss-28092382052439_1080x.jpg?v=1656273858")</f>
        <v/>
      </c>
      <c r="H4432">
        <f>_xlfn.IMAGE("https://m.media-amazon.com/images/I/71G5SrfCxeL._AC_UL320_.jpg")</f>
        <v/>
      </c>
      <c r="K4432" t="inlineStr">
        <is>
          <t>80.0</t>
        </is>
      </c>
      <c r="L4432" t="n">
        <v>29.99</v>
      </c>
      <c r="M4432" s="1" t="inlineStr">
        <is>
          <t>-62.51%</t>
        </is>
      </c>
      <c r="N4432" t="n">
        <v>4.6</v>
      </c>
      <c r="O4432" t="n">
        <v>70</v>
      </c>
      <c r="Q4432" t="inlineStr">
        <is>
          <t>InStock</t>
        </is>
      </c>
      <c r="R4432" t="inlineStr">
        <is>
          <t>undefined</t>
        </is>
      </c>
      <c r="S4432" t="inlineStr">
        <is>
          <t>6560297910359</t>
        </is>
      </c>
    </row>
    <row r="4433" ht="75" customHeight="1">
      <c r="A4433" s="2">
        <f>HYPERLINK("https://faoschwarz.com/products/ring-toss", "https://faoschwarz.com/products/ring-toss")</f>
        <v/>
      </c>
      <c r="B4433" s="2">
        <f>HYPERLINK("https://faoschwarz.com/products/ring-toss", "https://faoschwarz.com/products/ring-toss")</f>
        <v/>
      </c>
      <c r="C4433" t="inlineStr">
        <is>
          <t>Ring Toss</t>
        </is>
      </c>
      <c r="D4433" t="inlineStr">
        <is>
          <t>DreamToyz Ring Toss Games for Adults, Yard Games, Patio Decor, Outdoor Indoor Games, Wooden Hook and Ring Game for Bars, Home, Party, 15.7" X 13" Large Size</t>
        </is>
      </c>
      <c r="E4433" s="2">
        <f>HYPERLINK("https://www.amazon.com/DreamToyz-Outdoor-Handmade-Fast-paced-Interactive/dp/B09QD6LCRY/ref=sr_1_10?keywords=Ring+Toss&amp;qid=1695565983&amp;sr=8-10", "https://www.amazon.com/DreamToyz-Outdoor-Handmade-Fast-paced-Interactive/dp/B09QD6LCRY/ref=sr_1_10?keywords=Ring+Toss&amp;qid=1695565983&amp;sr=8-10")</f>
        <v/>
      </c>
      <c r="F4433" t="inlineStr">
        <is>
          <t>B09QD6LCRY</t>
        </is>
      </c>
      <c r="G4433">
        <f>_xlfn.IMAGE("https://faoschwarz.com/cdn/shop/products/lucio-londero-games-ring-toss-28092382052439_1080x.jpg?v=1656273858")</f>
        <v/>
      </c>
      <c r="H4433">
        <f>_xlfn.IMAGE("https://m.media-amazon.com/images/I/716udbbsw-L._AC_UL320_.jpg")</f>
        <v/>
      </c>
      <c r="K4433" t="inlineStr">
        <is>
          <t>80.0</t>
        </is>
      </c>
      <c r="L4433" t="n">
        <v>23.98</v>
      </c>
      <c r="M4433" s="1" t="inlineStr">
        <is>
          <t>-70.02%</t>
        </is>
      </c>
      <c r="N4433" t="n">
        <v>4.7</v>
      </c>
      <c r="O4433" t="n">
        <v>3357</v>
      </c>
      <c r="Q4433" t="inlineStr">
        <is>
          <t>InStock</t>
        </is>
      </c>
      <c r="R4433" t="inlineStr">
        <is>
          <t>undefined</t>
        </is>
      </c>
      <c r="S4433" t="inlineStr">
        <is>
          <t>6560297910359</t>
        </is>
      </c>
    </row>
    <row r="4434" ht="75" customHeight="1">
      <c r="A4434" s="2">
        <f>HYPERLINK("https://faoschwarz.com/products/ring-toss", "https://faoschwarz.com/products/ring-toss")</f>
        <v/>
      </c>
      <c r="B4434" s="2">
        <f>HYPERLINK("https://faoschwarz.com/products/ring-toss", "https://faoschwarz.com/products/ring-toss")</f>
        <v/>
      </c>
      <c r="C4434" t="inlineStr">
        <is>
          <t>Ring Toss</t>
        </is>
      </c>
      <c r="D4434" t="inlineStr">
        <is>
          <t>unanscre 31PCS 3 in 1 Carnival Outdoor Games Combo Set for Kids, Soft Plastic Cones Bean Bags Ring Toss Game, Gift for Birthday Party/Xmas</t>
        </is>
      </c>
      <c r="E4434" s="2">
        <f>HYPERLINK("https://www.amazon.com/unanscre-Carnival-Outdoor-Plastic-Birthday/dp/B08GJ6T6XL/ref=sr_1_7?keywords=Ring+Toss&amp;qid=1695565983&amp;sr=8-7", "https://www.amazon.com/unanscre-Carnival-Outdoor-Plastic-Birthday/dp/B08GJ6T6XL/ref=sr_1_7?keywords=Ring+Toss&amp;qid=1695565983&amp;sr=8-7")</f>
        <v/>
      </c>
      <c r="F4434" t="inlineStr">
        <is>
          <t>B08GJ6T6XL</t>
        </is>
      </c>
      <c r="G4434">
        <f>_xlfn.IMAGE("https://faoschwarz.com/cdn/shop/products/lucio-londero-games-ring-toss-28092382052439_1080x.jpg?v=1656273858")</f>
        <v/>
      </c>
      <c r="H4434">
        <f>_xlfn.IMAGE("https://m.media-amazon.com/images/I/71oZNgk+LaL._AC_UL320_.jpg")</f>
        <v/>
      </c>
      <c r="K4434" t="inlineStr">
        <is>
          <t>80.0</t>
        </is>
      </c>
      <c r="L4434" t="n">
        <v>21.99</v>
      </c>
      <c r="M4434" s="1" t="inlineStr">
        <is>
          <t>-72.51%</t>
        </is>
      </c>
      <c r="N4434" t="n">
        <v>4.6</v>
      </c>
      <c r="O4434" t="n">
        <v>2471</v>
      </c>
      <c r="Q4434" t="inlineStr">
        <is>
          <t>InStock</t>
        </is>
      </c>
      <c r="R4434" t="inlineStr">
        <is>
          <t>undefined</t>
        </is>
      </c>
      <c r="S4434" t="inlineStr">
        <is>
          <t>6560297910359</t>
        </is>
      </c>
    </row>
    <row r="4435" ht="75" customHeight="1">
      <c r="A4435" s="2">
        <f>HYPERLINK("https://faoschwarz.com/products/ring-toss", "https://faoschwarz.com/products/ring-toss")</f>
        <v/>
      </c>
      <c r="B4435" s="2">
        <f>HYPERLINK("https://faoschwarz.com/products/ring-toss", "https://faoschwarz.com/products/ring-toss")</f>
        <v/>
      </c>
      <c r="C4435" t="inlineStr">
        <is>
          <t>Ring Toss</t>
        </is>
      </c>
      <c r="D4435" t="inlineStr">
        <is>
          <t>OBTANIM 26 Pcs Plastic Cones Ring Toss Combo Set Outdoor Carnival Games for Kids Adults Birthday Party Throwing Backyard Games</t>
        </is>
      </c>
      <c r="E4435" s="2">
        <f>HYPERLINK("https://www.amazon.com/OBTANIM-Carnival-Birthday-Throwing-Backyard/dp/B08Z7H1XSZ/ref=sr_1_5?keywords=Ring+Toss&amp;qid=1695565983&amp;sr=8-5", "https://www.amazon.com/OBTANIM-Carnival-Birthday-Throwing-Backyard/dp/B08Z7H1XSZ/ref=sr_1_5?keywords=Ring+Toss&amp;qid=1695565983&amp;sr=8-5")</f>
        <v/>
      </c>
      <c r="F4435" t="inlineStr">
        <is>
          <t>B08Z7H1XSZ</t>
        </is>
      </c>
      <c r="G4435">
        <f>_xlfn.IMAGE("https://faoschwarz.com/cdn/shop/products/lucio-londero-games-ring-toss-28092382052439_1080x.jpg?v=1656273858")</f>
        <v/>
      </c>
      <c r="H4435">
        <f>_xlfn.IMAGE("https://m.media-amazon.com/images/I/71hqM7j4lqL._AC_UL320_.jpg")</f>
        <v/>
      </c>
      <c r="K4435" t="inlineStr">
        <is>
          <t>80.0</t>
        </is>
      </c>
      <c r="L4435" t="n">
        <v>19.49</v>
      </c>
      <c r="M4435" s="1" t="inlineStr">
        <is>
          <t>-75.64%</t>
        </is>
      </c>
      <c r="N4435" t="n">
        <v>4.5</v>
      </c>
      <c r="O4435" t="n">
        <v>410</v>
      </c>
      <c r="Q4435" t="inlineStr">
        <is>
          <t>InStock</t>
        </is>
      </c>
      <c r="R4435" t="inlineStr">
        <is>
          <t>undefined</t>
        </is>
      </c>
      <c r="S4435" t="inlineStr">
        <is>
          <t>6560297910359</t>
        </is>
      </c>
    </row>
    <row r="4436" ht="75" customHeight="1">
      <c r="A4436" s="2">
        <f>HYPERLINK("https://faoschwarz.com/products/ring-toss", "https://faoschwarz.com/products/ring-toss")</f>
        <v/>
      </c>
      <c r="B4436" s="2">
        <f>HYPERLINK("https://faoschwarz.com/products/ring-toss", "https://faoschwarz.com/products/ring-toss")</f>
        <v/>
      </c>
      <c r="C4436" t="inlineStr">
        <is>
          <t>Ring Toss</t>
        </is>
      </c>
      <c r="D4436" t="inlineStr">
        <is>
          <t>Elite Sportz Ring Toss Games for Kids - Outdoor Yard Game for Adults &amp; Family - Backyard Toys, Outdoor Games, Yard Games, Backyard Games, Lawn Games, Outdoor Toys For Kids Ages 4-8, Outdoor Toys</t>
        </is>
      </c>
      <c r="E4436" s="2">
        <f>HYPERLINK("https://www.amazon.com/ring-toss-outdoor-games-for-kids/dp/B00NIJZISE/ref=sr_1_3?keywords=Ring+Toss&amp;qid=1695565983&amp;sr=8-3", "https://www.amazon.com/ring-toss-outdoor-games-for-kids/dp/B00NIJZISE/ref=sr_1_3?keywords=Ring+Toss&amp;qid=1695565983&amp;sr=8-3")</f>
        <v/>
      </c>
      <c r="F4436" t="inlineStr">
        <is>
          <t>B00NIJZISE</t>
        </is>
      </c>
      <c r="G4436">
        <f>_xlfn.IMAGE("https://faoschwarz.com/cdn/shop/products/lucio-londero-games-ring-toss-28092382052439_1080x.jpg?v=1656273858")</f>
        <v/>
      </c>
      <c r="H4436">
        <f>_xlfn.IMAGE("https://m.media-amazon.com/images/I/81ECelelxML._AC_UL320_.jpg")</f>
        <v/>
      </c>
      <c r="K4436" t="inlineStr">
        <is>
          <t>80.0</t>
        </is>
      </c>
      <c r="L4436" t="n">
        <v>19.49</v>
      </c>
      <c r="M4436" s="1" t="inlineStr">
        <is>
          <t>-75.64%</t>
        </is>
      </c>
      <c r="N4436" t="n">
        <v>4.5</v>
      </c>
      <c r="O4436" t="n">
        <v>11894</v>
      </c>
      <c r="Q4436" t="inlineStr">
        <is>
          <t>InStock</t>
        </is>
      </c>
      <c r="R4436" t="inlineStr">
        <is>
          <t>undefined</t>
        </is>
      </c>
      <c r="S4436" t="inlineStr">
        <is>
          <t>6560297910359</t>
        </is>
      </c>
    </row>
    <row r="4437" ht="75" customHeight="1">
      <c r="A4437" s="2">
        <f>HYPERLINK("https://faoschwarz.com/products/ring-toss", "https://faoschwarz.com/products/ring-toss")</f>
        <v/>
      </c>
      <c r="B4437" s="2">
        <f>HYPERLINK("https://faoschwarz.com/products/ring-toss", "https://faoschwarz.com/products/ring-toss")</f>
        <v/>
      </c>
      <c r="C4437" t="inlineStr">
        <is>
          <t>Ring Toss</t>
        </is>
      </c>
      <c r="D4437" t="inlineStr">
        <is>
          <t>3 in 1 Carnival Games Set, Soft Plastic Cones Cornhole Bean Bags Ring Toss Games for Carnival Kids Birthday Party Indoor Outdoor Games Supplies</t>
        </is>
      </c>
      <c r="E4437" s="2">
        <f>HYPERLINK("https://www.amazon.com/Asecinc-Carnival-Cornhole-Birthday-Supplies/dp/B07SL342DZ/ref=sr_1_2?keywords=Ring+Toss&amp;qid=1695565983&amp;sr=8-2", "https://www.amazon.com/Asecinc-Carnival-Cornhole-Birthday-Supplies/dp/B07SL342DZ/ref=sr_1_2?keywords=Ring+Toss&amp;qid=1695565983&amp;sr=8-2")</f>
        <v/>
      </c>
      <c r="F4437" t="inlineStr">
        <is>
          <t>B07SL342DZ</t>
        </is>
      </c>
      <c r="G4437">
        <f>_xlfn.IMAGE("https://faoschwarz.com/cdn/shop/products/lucio-londero-games-ring-toss-28092382052439_1080x.jpg?v=1656273858")</f>
        <v/>
      </c>
      <c r="H4437">
        <f>_xlfn.IMAGE("https://m.media-amazon.com/images/I/71hkJ1+BJKL._AC_UL320_.jpg")</f>
        <v/>
      </c>
      <c r="K4437" t="inlineStr">
        <is>
          <t>80.0</t>
        </is>
      </c>
      <c r="L4437" t="n">
        <v>16.99</v>
      </c>
      <c r="M4437" s="1" t="inlineStr">
        <is>
          <t>-78.76%</t>
        </is>
      </c>
      <c r="N4437" t="n">
        <v>4.5</v>
      </c>
      <c r="O4437" t="n">
        <v>346</v>
      </c>
      <c r="Q4437" t="inlineStr">
        <is>
          <t>InStock</t>
        </is>
      </c>
      <c r="R4437" t="inlineStr">
        <is>
          <t>undefined</t>
        </is>
      </c>
      <c r="S4437" t="inlineStr">
        <is>
          <t>6560297910359</t>
        </is>
      </c>
    </row>
    <row r="4438" ht="75" customHeight="1">
      <c r="A4438" s="2">
        <f>HYPERLINK("https://faoschwarz.com/products/ring-toss", "https://faoschwarz.com/products/ring-toss")</f>
        <v/>
      </c>
      <c r="B4438" s="2">
        <f>HYPERLINK("https://faoschwarz.com/products/ring-toss", "https://faoschwarz.com/products/ring-toss")</f>
        <v/>
      </c>
      <c r="C4438" t="inlineStr">
        <is>
          <t>Ring Toss</t>
        </is>
      </c>
      <c r="D4438" t="inlineStr">
        <is>
          <t>Topbuti 24 Pcs Multicolor Plastic Toss Rings Kids Ring Toss Game Carnival Rings for Speed and Agility Practice Games, Garden Backyard Outdoor Games, Bridal Shower Game, Game Booth</t>
        </is>
      </c>
      <c r="E4438" s="2">
        <f>HYPERLINK("https://www.amazon.com/Topbuti-Multicolor-Carnival-Practice-Backyard/dp/B0812ZK53Y/ref=sr_1_1?keywords=Ring+Toss&amp;qid=1695565983&amp;sr=8-1", "https://www.amazon.com/Topbuti-Multicolor-Carnival-Practice-Backyard/dp/B0812ZK53Y/ref=sr_1_1?keywords=Ring+Toss&amp;qid=1695565983&amp;sr=8-1")</f>
        <v/>
      </c>
      <c r="F4438" t="inlineStr">
        <is>
          <t>B0812ZK53Y</t>
        </is>
      </c>
      <c r="G4438">
        <f>_xlfn.IMAGE("https://faoschwarz.com/cdn/shop/products/lucio-londero-games-ring-toss-28092382052439_1080x.jpg?v=1656273858")</f>
        <v/>
      </c>
      <c r="H4438">
        <f>_xlfn.IMAGE("https://m.media-amazon.com/images/I/61DEjmgB0YL._AC_UL320_.jpg")</f>
        <v/>
      </c>
      <c r="K4438" t="inlineStr">
        <is>
          <t>80.0</t>
        </is>
      </c>
      <c r="L4438" t="n">
        <v>12.95</v>
      </c>
      <c r="M4438" s="1" t="inlineStr">
        <is>
          <t>-83.81%</t>
        </is>
      </c>
      <c r="N4438" t="n">
        <v>4.6</v>
      </c>
      <c r="O4438" t="n">
        <v>695</v>
      </c>
      <c r="Q4438" t="inlineStr">
        <is>
          <t>InStock</t>
        </is>
      </c>
      <c r="R4438" t="inlineStr">
        <is>
          <t>undefined</t>
        </is>
      </c>
      <c r="S4438" t="inlineStr">
        <is>
          <t>6560297910359</t>
        </is>
      </c>
    </row>
    <row r="4439" ht="75" customHeight="1">
      <c r="A4439" s="2">
        <f>HYPERLINK("https://faoschwarz.com/products/ring-toss", "https://faoschwarz.com/products/ring-toss")</f>
        <v/>
      </c>
      <c r="B4439" s="2">
        <f>HYPERLINK("https://faoschwarz.com/products/ring-toss", "https://faoschwarz.com/products/ring-toss")</f>
        <v/>
      </c>
      <c r="C4439" t="inlineStr">
        <is>
          <t>Ring Toss</t>
        </is>
      </c>
      <c r="D4439" t="inlineStr">
        <is>
          <t>Ogrmar 18" Colorful Plastic Sport Ring Toss Game Set for Kids</t>
        </is>
      </c>
      <c r="E4439" s="2">
        <f>HYPERLINK("https://www.amazon.com/Ogrmar-Colorful-Plastic-Sport-Ring/dp/B01N6L7RMU/ref=sr_1_4?keywords=Ring+Toss&amp;qid=1695565983&amp;sr=8-4", "https://www.amazon.com/Ogrmar-Colorful-Plastic-Sport-Ring/dp/B01N6L7RMU/ref=sr_1_4?keywords=Ring+Toss&amp;qid=1695565983&amp;sr=8-4")</f>
        <v/>
      </c>
      <c r="F4439" t="inlineStr">
        <is>
          <t>B01N6L7RMU</t>
        </is>
      </c>
      <c r="G4439">
        <f>_xlfn.IMAGE("https://faoschwarz.com/cdn/shop/products/lucio-londero-games-ring-toss-28092382052439_1080x.jpg?v=1656273858")</f>
        <v/>
      </c>
      <c r="H4439">
        <f>_xlfn.IMAGE("https://m.media-amazon.com/images/I/61wPc6i2+nL._AC_UL320_.jpg")</f>
        <v/>
      </c>
      <c r="K4439" t="inlineStr">
        <is>
          <t>80.0</t>
        </is>
      </c>
      <c r="L4439" t="n">
        <v>9.99</v>
      </c>
      <c r="M4439" s="1" t="inlineStr">
        <is>
          <t>-87.51%</t>
        </is>
      </c>
      <c r="N4439" t="n">
        <v>4</v>
      </c>
      <c r="O4439" t="n">
        <v>3087</v>
      </c>
      <c r="Q4439" t="inlineStr">
        <is>
          <t>InStock</t>
        </is>
      </c>
      <c r="R4439" t="inlineStr">
        <is>
          <t>undefined</t>
        </is>
      </c>
      <c r="S4439" t="inlineStr">
        <is>
          <t>6560297910359</t>
        </is>
      </c>
    </row>
    <row r="4440" ht="75" customHeight="1">
      <c r="A4440" s="2">
        <f>HYPERLINK("https://faoschwarz.com/products/ring-toss", "https://faoschwarz.com/products/ring-toss")</f>
        <v/>
      </c>
      <c r="B4440" s="2">
        <f>HYPERLINK("https://faoschwarz.com/products/ring-toss", "https://faoschwarz.com/products/ring-toss")</f>
        <v/>
      </c>
      <c r="C4440" t="inlineStr">
        <is>
          <t>Ring Toss</t>
        </is>
      </c>
      <c r="D4440" t="inlineStr">
        <is>
          <t>OBTANIM 12 Pcs Plastic Ring Toss Game for Kids and Outdoor Toss Rings for Speed and Agility Practice Game, Random Colors</t>
        </is>
      </c>
      <c r="E4440" s="2">
        <f>HYPERLINK("https://www.amazon.com/OBTANIM-Plastic-Outdoor-Agility-Practice/dp/B07Q3PGC6J/ref=sr_1_6?keywords=Ring+Toss&amp;qid=1695565983&amp;sr=8-6", "https://www.amazon.com/OBTANIM-Plastic-Outdoor-Agility-Practice/dp/B07Q3PGC6J/ref=sr_1_6?keywords=Ring+Toss&amp;qid=1695565983&amp;sr=8-6")</f>
        <v/>
      </c>
      <c r="F4440" t="inlineStr">
        <is>
          <t>B07Q3PGC6J</t>
        </is>
      </c>
      <c r="G4440">
        <f>_xlfn.IMAGE("https://faoschwarz.com/cdn/shop/products/lucio-londero-games-ring-toss-28092382052439_1080x.jpg?v=1656273858")</f>
        <v/>
      </c>
      <c r="H4440">
        <f>_xlfn.IMAGE("https://m.media-amazon.com/images/I/61WwiDpPBvL._AC_UL320_.jpg")</f>
        <v/>
      </c>
      <c r="K4440" t="inlineStr">
        <is>
          <t>80.0</t>
        </is>
      </c>
      <c r="L4440" t="n">
        <v>9.49</v>
      </c>
      <c r="M4440" s="1" t="inlineStr">
        <is>
          <t>-88.14%</t>
        </is>
      </c>
      <c r="N4440" t="n">
        <v>4.6</v>
      </c>
      <c r="O4440" t="n">
        <v>2214</v>
      </c>
      <c r="Q4440" t="inlineStr">
        <is>
          <t>InStock</t>
        </is>
      </c>
      <c r="R4440" t="inlineStr">
        <is>
          <t>undefined</t>
        </is>
      </c>
      <c r="S4440" t="inlineStr">
        <is>
          <t>6560297910359</t>
        </is>
      </c>
    </row>
    <row r="4441" ht="75" customHeight="1">
      <c r="A4441" s="2">
        <f>HYPERLINK("https://faoschwarz.com/products/ring-toss", "https://faoschwarz.com/products/ring-toss")</f>
        <v/>
      </c>
      <c r="B4441" s="2">
        <f>HYPERLINK("https://faoschwarz.com/products/ring-toss", "https://faoschwarz.com/products/ring-toss")</f>
        <v/>
      </c>
      <c r="C4441" t="inlineStr">
        <is>
          <t>Ring Toss</t>
        </is>
      </c>
      <c r="D4441" t="inlineStr">
        <is>
          <t>Hxezoc 36 Pack Carnival Games Set, 4 in 1 Soft Plastic Cones Cornhole Bean Bags Ring Can Toss Carnival Games Combo for Kids Adults Carnival Birthday Party School Field Indoor Outdoor Games Supplies</t>
        </is>
      </c>
      <c r="E4441" s="2">
        <f>HYPERLINK("https://www.amazon.com/Carnival-Plastic-Cornhole-Birthday-Supplies/dp/B09MM1Y8FP/ref=sr_1_8?keywords=Ring+Toss&amp;qid=1695565983&amp;sr=8-8", "https://www.amazon.com/Carnival-Plastic-Cornhole-Birthday-Supplies/dp/B09MM1Y8FP/ref=sr_1_8?keywords=Ring+Toss&amp;qid=1695565983&amp;sr=8-8")</f>
        <v/>
      </c>
      <c r="F4441" t="inlineStr">
        <is>
          <t>B09MM1Y8FP</t>
        </is>
      </c>
      <c r="G4441">
        <f>_xlfn.IMAGE("https://faoschwarz.com/cdn/shop/products/lucio-londero-games-ring-toss-28092382052439_1080x.jpg?v=1656273858")</f>
        <v/>
      </c>
      <c r="H4441">
        <f>_xlfn.IMAGE("https://m.media-amazon.com/images/I/71G5SrfCxeL._AC_UL320_.jpg")</f>
        <v/>
      </c>
      <c r="K4441" t="inlineStr">
        <is>
          <t>80.0</t>
        </is>
      </c>
      <c r="L4441" t="n">
        <v>29.99</v>
      </c>
      <c r="M4441" s="1" t="inlineStr">
        <is>
          <t>-62.51%</t>
        </is>
      </c>
      <c r="N4441" t="n">
        <v>4.6</v>
      </c>
      <c r="O4441" t="n">
        <v>70</v>
      </c>
      <c r="Q4441" t="inlineStr">
        <is>
          <t>InStock</t>
        </is>
      </c>
      <c r="R4441" t="inlineStr">
        <is>
          <t>undefined</t>
        </is>
      </c>
      <c r="S4441" t="inlineStr">
        <is>
          <t>6560297910359</t>
        </is>
      </c>
    </row>
    <row r="4442" ht="75" customHeight="1">
      <c r="A4442" s="2">
        <f>HYPERLINK("https://faoschwarz.com/products/ring-toss", "https://faoschwarz.com/products/ring-toss")</f>
        <v/>
      </c>
      <c r="B4442" s="2">
        <f>HYPERLINK("https://faoschwarz.com/products/ring-toss", "https://faoschwarz.com/products/ring-toss")</f>
        <v/>
      </c>
      <c r="C4442" t="inlineStr">
        <is>
          <t>Ring Toss</t>
        </is>
      </c>
      <c r="D4442" t="inlineStr">
        <is>
          <t>DreamToyz Ring Toss Games for Adults, Yard Games, Patio Decor, Outdoor Indoor Games, Wooden Hook and Ring Game for Bars, Home, Party, 15.7" X 13" Large Size</t>
        </is>
      </c>
      <c r="E4442" s="2">
        <f>HYPERLINK("https://www.amazon.com/DreamToyz-Outdoor-Handmade-Fast-paced-Interactive/dp/B09QD6LCRY/ref=sr_1_10?keywords=Ring+Toss&amp;qid=1695565983&amp;sr=8-10", "https://www.amazon.com/DreamToyz-Outdoor-Handmade-Fast-paced-Interactive/dp/B09QD6LCRY/ref=sr_1_10?keywords=Ring+Toss&amp;qid=1695565983&amp;sr=8-10")</f>
        <v/>
      </c>
      <c r="F4442" t="inlineStr">
        <is>
          <t>B09QD6LCRY</t>
        </is>
      </c>
      <c r="G4442">
        <f>_xlfn.IMAGE("https://faoschwarz.com/cdn/shop/products/lucio-londero-games-ring-toss-28092382052439_1080x.jpg?v=1656273858")</f>
        <v/>
      </c>
      <c r="H4442">
        <f>_xlfn.IMAGE("https://m.media-amazon.com/images/I/716udbbsw-L._AC_UL320_.jpg")</f>
        <v/>
      </c>
      <c r="K4442" t="inlineStr">
        <is>
          <t>80.0</t>
        </is>
      </c>
      <c r="L4442" t="n">
        <v>23.98</v>
      </c>
      <c r="M4442" s="1" t="inlineStr">
        <is>
          <t>-70.02%</t>
        </is>
      </c>
      <c r="N4442" t="n">
        <v>4.7</v>
      </c>
      <c r="O4442" t="n">
        <v>3357</v>
      </c>
      <c r="Q4442" t="inlineStr">
        <is>
          <t>InStock</t>
        </is>
      </c>
      <c r="R4442" t="inlineStr">
        <is>
          <t>undefined</t>
        </is>
      </c>
      <c r="S4442" t="inlineStr">
        <is>
          <t>6560297910359</t>
        </is>
      </c>
    </row>
    <row r="4443" ht="75" customHeight="1">
      <c r="A4443" s="2">
        <f>HYPERLINK("https://faoschwarz.com/products/ring-toss", "https://faoschwarz.com/products/ring-toss")</f>
        <v/>
      </c>
      <c r="B4443" s="2">
        <f>HYPERLINK("https://faoschwarz.com/products/ring-toss", "https://faoschwarz.com/products/ring-toss")</f>
        <v/>
      </c>
      <c r="C4443" t="inlineStr">
        <is>
          <t>Ring Toss</t>
        </is>
      </c>
      <c r="D4443" t="inlineStr">
        <is>
          <t>unanscre 31PCS 3 in 1 Carnival Outdoor Games Combo Set for Kids, Soft Plastic Cones Bean Bags Ring Toss Game, Gift for Birthday Party/Xmas</t>
        </is>
      </c>
      <c r="E4443" s="2">
        <f>HYPERLINK("https://www.amazon.com/unanscre-Carnival-Outdoor-Plastic-Birthday/dp/B08GJ6T6XL/ref=sr_1_7?keywords=Ring+Toss&amp;qid=1695565983&amp;sr=8-7", "https://www.amazon.com/unanscre-Carnival-Outdoor-Plastic-Birthday/dp/B08GJ6T6XL/ref=sr_1_7?keywords=Ring+Toss&amp;qid=1695565983&amp;sr=8-7")</f>
        <v/>
      </c>
      <c r="F4443" t="inlineStr">
        <is>
          <t>B08GJ6T6XL</t>
        </is>
      </c>
      <c r="G4443">
        <f>_xlfn.IMAGE("https://faoschwarz.com/cdn/shop/products/lucio-londero-games-ring-toss-28092382052439_1080x.jpg?v=1656273858")</f>
        <v/>
      </c>
      <c r="H4443">
        <f>_xlfn.IMAGE("https://m.media-amazon.com/images/I/71oZNgk+LaL._AC_UL320_.jpg")</f>
        <v/>
      </c>
      <c r="K4443" t="inlineStr">
        <is>
          <t>80.0</t>
        </is>
      </c>
      <c r="L4443" t="n">
        <v>21.99</v>
      </c>
      <c r="M4443" s="1" t="inlineStr">
        <is>
          <t>-72.51%</t>
        </is>
      </c>
      <c r="N4443" t="n">
        <v>4.6</v>
      </c>
      <c r="O4443" t="n">
        <v>2471</v>
      </c>
      <c r="Q4443" t="inlineStr">
        <is>
          <t>InStock</t>
        </is>
      </c>
      <c r="R4443" t="inlineStr">
        <is>
          <t>undefined</t>
        </is>
      </c>
      <c r="S4443" t="inlineStr">
        <is>
          <t>6560297910359</t>
        </is>
      </c>
    </row>
    <row r="4444" ht="75" customHeight="1">
      <c r="A4444" s="2">
        <f>HYPERLINK("https://faoschwarz.com/products/ring-toss", "https://faoschwarz.com/products/ring-toss")</f>
        <v/>
      </c>
      <c r="B4444" s="2">
        <f>HYPERLINK("https://faoschwarz.com/products/ring-toss", "https://faoschwarz.com/products/ring-toss")</f>
        <v/>
      </c>
      <c r="C4444" t="inlineStr">
        <is>
          <t>Ring Toss</t>
        </is>
      </c>
      <c r="D4444" t="inlineStr">
        <is>
          <t>OBTANIM 26 Pcs Plastic Cones Ring Toss Combo Set Outdoor Carnival Games for Kids Adults Birthday Party Throwing Backyard Games</t>
        </is>
      </c>
      <c r="E4444" s="2">
        <f>HYPERLINK("https://www.amazon.com/OBTANIM-Carnival-Birthday-Throwing-Backyard/dp/B08Z7H1XSZ/ref=sr_1_5?keywords=Ring+Toss&amp;qid=1695565983&amp;sr=8-5", "https://www.amazon.com/OBTANIM-Carnival-Birthday-Throwing-Backyard/dp/B08Z7H1XSZ/ref=sr_1_5?keywords=Ring+Toss&amp;qid=1695565983&amp;sr=8-5")</f>
        <v/>
      </c>
      <c r="F4444" t="inlineStr">
        <is>
          <t>B08Z7H1XSZ</t>
        </is>
      </c>
      <c r="G4444">
        <f>_xlfn.IMAGE("https://faoschwarz.com/cdn/shop/products/lucio-londero-games-ring-toss-28092382052439_1080x.jpg?v=1656273858")</f>
        <v/>
      </c>
      <c r="H4444">
        <f>_xlfn.IMAGE("https://m.media-amazon.com/images/I/71hqM7j4lqL._AC_UL320_.jpg")</f>
        <v/>
      </c>
      <c r="K4444" t="inlineStr">
        <is>
          <t>80.0</t>
        </is>
      </c>
      <c r="L4444" t="n">
        <v>19.49</v>
      </c>
      <c r="M4444" s="1" t="inlineStr">
        <is>
          <t>-75.64%</t>
        </is>
      </c>
      <c r="N4444" t="n">
        <v>4.5</v>
      </c>
      <c r="O4444" t="n">
        <v>410</v>
      </c>
      <c r="Q4444" t="inlineStr">
        <is>
          <t>InStock</t>
        </is>
      </c>
      <c r="R4444" t="inlineStr">
        <is>
          <t>undefined</t>
        </is>
      </c>
      <c r="S4444" t="inlineStr">
        <is>
          <t>6560297910359</t>
        </is>
      </c>
    </row>
    <row r="4445" ht="75" customHeight="1">
      <c r="A4445" s="2">
        <f>HYPERLINK("https://faoschwarz.com/products/ring-toss", "https://faoschwarz.com/products/ring-toss")</f>
        <v/>
      </c>
      <c r="B4445" s="2">
        <f>HYPERLINK("https://faoschwarz.com/products/ring-toss", "https://faoschwarz.com/products/ring-toss")</f>
        <v/>
      </c>
      <c r="C4445" t="inlineStr">
        <is>
          <t>Ring Toss</t>
        </is>
      </c>
      <c r="D4445" t="inlineStr">
        <is>
          <t>Elite Sportz Ring Toss Games for Kids - Outdoor Yard Game for Adults &amp; Family - Backyard Toys, Outdoor Games, Yard Games, Backyard Games, Lawn Games, Outdoor Toys For Kids Ages 4-8, Outdoor Toys</t>
        </is>
      </c>
      <c r="E4445" s="2">
        <f>HYPERLINK("https://www.amazon.com/ring-toss-outdoor-games-for-kids/dp/B00NIJZISE/ref=sr_1_3?keywords=Ring+Toss&amp;qid=1695565983&amp;sr=8-3", "https://www.amazon.com/ring-toss-outdoor-games-for-kids/dp/B00NIJZISE/ref=sr_1_3?keywords=Ring+Toss&amp;qid=1695565983&amp;sr=8-3")</f>
        <v/>
      </c>
      <c r="F4445" t="inlineStr">
        <is>
          <t>B00NIJZISE</t>
        </is>
      </c>
      <c r="G4445">
        <f>_xlfn.IMAGE("https://faoschwarz.com/cdn/shop/products/lucio-londero-games-ring-toss-28092382052439_1080x.jpg?v=1656273858")</f>
        <v/>
      </c>
      <c r="H4445">
        <f>_xlfn.IMAGE("https://m.media-amazon.com/images/I/81ECelelxML._AC_UL320_.jpg")</f>
        <v/>
      </c>
      <c r="K4445" t="inlineStr">
        <is>
          <t>80.0</t>
        </is>
      </c>
      <c r="L4445" t="n">
        <v>19.49</v>
      </c>
      <c r="M4445" s="1" t="inlineStr">
        <is>
          <t>-75.64%</t>
        </is>
      </c>
      <c r="N4445" t="n">
        <v>4.5</v>
      </c>
      <c r="O4445" t="n">
        <v>11894</v>
      </c>
      <c r="Q4445" t="inlineStr">
        <is>
          <t>InStock</t>
        </is>
      </c>
      <c r="R4445" t="inlineStr">
        <is>
          <t>undefined</t>
        </is>
      </c>
      <c r="S4445" t="inlineStr">
        <is>
          <t>6560297910359</t>
        </is>
      </c>
    </row>
    <row r="4446" ht="75" customHeight="1">
      <c r="A4446" s="2">
        <f>HYPERLINK("https://faoschwarz.com/products/ring-toss", "https://faoschwarz.com/products/ring-toss")</f>
        <v/>
      </c>
      <c r="B4446" s="2">
        <f>HYPERLINK("https://faoschwarz.com/products/ring-toss", "https://faoschwarz.com/products/ring-toss")</f>
        <v/>
      </c>
      <c r="C4446" t="inlineStr">
        <is>
          <t>Ring Toss</t>
        </is>
      </c>
      <c r="D4446" t="inlineStr">
        <is>
          <t>3 in 1 Carnival Games Set, Soft Plastic Cones Cornhole Bean Bags Ring Toss Games for Carnival Kids Birthday Party Indoor Outdoor Games Supplies</t>
        </is>
      </c>
      <c r="E4446" s="2">
        <f>HYPERLINK("https://www.amazon.com/Asecinc-Carnival-Cornhole-Birthday-Supplies/dp/B07SL342DZ/ref=sr_1_2?keywords=Ring+Toss&amp;qid=1695565983&amp;sr=8-2", "https://www.amazon.com/Asecinc-Carnival-Cornhole-Birthday-Supplies/dp/B07SL342DZ/ref=sr_1_2?keywords=Ring+Toss&amp;qid=1695565983&amp;sr=8-2")</f>
        <v/>
      </c>
      <c r="F4446" t="inlineStr">
        <is>
          <t>B07SL342DZ</t>
        </is>
      </c>
      <c r="G4446">
        <f>_xlfn.IMAGE("https://faoschwarz.com/cdn/shop/products/lucio-londero-games-ring-toss-28092382052439_1080x.jpg?v=1656273858")</f>
        <v/>
      </c>
      <c r="H4446">
        <f>_xlfn.IMAGE("https://m.media-amazon.com/images/I/71hkJ1+BJKL._AC_UL320_.jpg")</f>
        <v/>
      </c>
      <c r="K4446" t="inlineStr">
        <is>
          <t>80.0</t>
        </is>
      </c>
      <c r="L4446" t="n">
        <v>16.99</v>
      </c>
      <c r="M4446" s="1" t="inlineStr">
        <is>
          <t>-78.76%</t>
        </is>
      </c>
      <c r="N4446" t="n">
        <v>4.5</v>
      </c>
      <c r="O4446" t="n">
        <v>346</v>
      </c>
      <c r="Q4446" t="inlineStr">
        <is>
          <t>InStock</t>
        </is>
      </c>
      <c r="R4446" t="inlineStr">
        <is>
          <t>undefined</t>
        </is>
      </c>
      <c r="S4446" t="inlineStr">
        <is>
          <t>6560297910359</t>
        </is>
      </c>
    </row>
    <row r="4447" ht="75" customHeight="1">
      <c r="A4447" s="2">
        <f>HYPERLINK("https://faoschwarz.com/products/ring-toss", "https://faoschwarz.com/products/ring-toss")</f>
        <v/>
      </c>
      <c r="B4447" s="2">
        <f>HYPERLINK("https://faoschwarz.com/products/ring-toss", "https://faoschwarz.com/products/ring-toss")</f>
        <v/>
      </c>
      <c r="C4447" t="inlineStr">
        <is>
          <t>Ring Toss</t>
        </is>
      </c>
      <c r="D4447" t="inlineStr">
        <is>
          <t>Topbuti 24 Pcs Multicolor Plastic Toss Rings Kids Ring Toss Game Carnival Rings for Speed and Agility Practice Games, Garden Backyard Outdoor Games, Bridal Shower Game, Game Booth</t>
        </is>
      </c>
      <c r="E4447" s="2">
        <f>HYPERLINK("https://www.amazon.com/Topbuti-Multicolor-Carnival-Practice-Backyard/dp/B0812ZK53Y/ref=sr_1_1?keywords=Ring+Toss&amp;qid=1695565983&amp;sr=8-1", "https://www.amazon.com/Topbuti-Multicolor-Carnival-Practice-Backyard/dp/B0812ZK53Y/ref=sr_1_1?keywords=Ring+Toss&amp;qid=1695565983&amp;sr=8-1")</f>
        <v/>
      </c>
      <c r="F4447" t="inlineStr">
        <is>
          <t>B0812ZK53Y</t>
        </is>
      </c>
      <c r="G4447">
        <f>_xlfn.IMAGE("https://faoschwarz.com/cdn/shop/products/lucio-londero-games-ring-toss-28092382052439_1080x.jpg?v=1656273858")</f>
        <v/>
      </c>
      <c r="H4447">
        <f>_xlfn.IMAGE("https://m.media-amazon.com/images/I/61DEjmgB0YL._AC_UL320_.jpg")</f>
        <v/>
      </c>
      <c r="K4447" t="inlineStr">
        <is>
          <t>80.0</t>
        </is>
      </c>
      <c r="L4447" t="n">
        <v>12.95</v>
      </c>
      <c r="M4447" s="1" t="inlineStr">
        <is>
          <t>-83.81%</t>
        </is>
      </c>
      <c r="N4447" t="n">
        <v>4.6</v>
      </c>
      <c r="O4447" t="n">
        <v>695</v>
      </c>
      <c r="Q4447" t="inlineStr">
        <is>
          <t>InStock</t>
        </is>
      </c>
      <c r="R4447" t="inlineStr">
        <is>
          <t>undefined</t>
        </is>
      </c>
      <c r="S4447" t="inlineStr">
        <is>
          <t>6560297910359</t>
        </is>
      </c>
    </row>
    <row r="4448" ht="75" customHeight="1">
      <c r="A4448" s="2">
        <f>HYPERLINK("https://faoschwarz.com/products/ring-toss", "https://faoschwarz.com/products/ring-toss")</f>
        <v/>
      </c>
      <c r="B4448" s="2">
        <f>HYPERLINK("https://faoschwarz.com/products/ring-toss", "https://faoschwarz.com/products/ring-toss")</f>
        <v/>
      </c>
      <c r="C4448" t="inlineStr">
        <is>
          <t>Ring Toss</t>
        </is>
      </c>
      <c r="D4448" t="inlineStr">
        <is>
          <t>Ogrmar 18" Colorful Plastic Sport Ring Toss Game Set for Kids</t>
        </is>
      </c>
      <c r="E4448" s="2">
        <f>HYPERLINK("https://www.amazon.com/Ogrmar-Colorful-Plastic-Sport-Ring/dp/B01N6L7RMU/ref=sr_1_4?keywords=Ring+Toss&amp;qid=1695565983&amp;sr=8-4", "https://www.amazon.com/Ogrmar-Colorful-Plastic-Sport-Ring/dp/B01N6L7RMU/ref=sr_1_4?keywords=Ring+Toss&amp;qid=1695565983&amp;sr=8-4")</f>
        <v/>
      </c>
      <c r="F4448" t="inlineStr">
        <is>
          <t>B01N6L7RMU</t>
        </is>
      </c>
      <c r="G4448">
        <f>_xlfn.IMAGE("https://faoschwarz.com/cdn/shop/products/lucio-londero-games-ring-toss-28092382052439_1080x.jpg?v=1656273858")</f>
        <v/>
      </c>
      <c r="H4448">
        <f>_xlfn.IMAGE("https://m.media-amazon.com/images/I/61wPc6i2+nL._AC_UL320_.jpg")</f>
        <v/>
      </c>
      <c r="K4448" t="inlineStr">
        <is>
          <t>80.0</t>
        </is>
      </c>
      <c r="L4448" t="n">
        <v>9.99</v>
      </c>
      <c r="M4448" s="1" t="inlineStr">
        <is>
          <t>-87.51%</t>
        </is>
      </c>
      <c r="N4448" t="n">
        <v>4</v>
      </c>
      <c r="O4448" t="n">
        <v>3087</v>
      </c>
      <c r="Q4448" t="inlineStr">
        <is>
          <t>InStock</t>
        </is>
      </c>
      <c r="R4448" t="inlineStr">
        <is>
          <t>undefined</t>
        </is>
      </c>
      <c r="S4448" t="inlineStr">
        <is>
          <t>6560297910359</t>
        </is>
      </c>
    </row>
    <row r="4449" ht="75" customHeight="1">
      <c r="A4449" s="2">
        <f>HYPERLINK("https://faoschwarz.com/products/ring-toss", "https://faoschwarz.com/products/ring-toss")</f>
        <v/>
      </c>
      <c r="B4449" s="2">
        <f>HYPERLINK("https://faoschwarz.com/products/ring-toss", "https://faoschwarz.com/products/ring-toss")</f>
        <v/>
      </c>
      <c r="C4449" t="inlineStr">
        <is>
          <t>Ring Toss</t>
        </is>
      </c>
      <c r="D4449" t="inlineStr">
        <is>
          <t>OBTANIM 12 Pcs Plastic Ring Toss Game for Kids and Outdoor Toss Rings for Speed and Agility Practice Game, Random Colors</t>
        </is>
      </c>
      <c r="E4449" s="2">
        <f>HYPERLINK("https://www.amazon.com/OBTANIM-Plastic-Outdoor-Agility-Practice/dp/B07Q3PGC6J/ref=sr_1_6?keywords=Ring+Toss&amp;qid=1695565983&amp;sr=8-6", "https://www.amazon.com/OBTANIM-Plastic-Outdoor-Agility-Practice/dp/B07Q3PGC6J/ref=sr_1_6?keywords=Ring+Toss&amp;qid=1695565983&amp;sr=8-6")</f>
        <v/>
      </c>
      <c r="F4449" t="inlineStr">
        <is>
          <t>B07Q3PGC6J</t>
        </is>
      </c>
      <c r="G4449">
        <f>_xlfn.IMAGE("https://faoschwarz.com/cdn/shop/products/lucio-londero-games-ring-toss-28092382052439_1080x.jpg?v=1656273858")</f>
        <v/>
      </c>
      <c r="H4449">
        <f>_xlfn.IMAGE("https://m.media-amazon.com/images/I/61WwiDpPBvL._AC_UL320_.jpg")</f>
        <v/>
      </c>
      <c r="K4449" t="inlineStr">
        <is>
          <t>80.0</t>
        </is>
      </c>
      <c r="L4449" t="n">
        <v>9.49</v>
      </c>
      <c r="M4449" s="1" t="inlineStr">
        <is>
          <t>-88.14%</t>
        </is>
      </c>
      <c r="N4449" t="n">
        <v>4.6</v>
      </c>
      <c r="O4449" t="n">
        <v>2214</v>
      </c>
      <c r="Q4449" t="inlineStr">
        <is>
          <t>InStock</t>
        </is>
      </c>
      <c r="R4449" t="inlineStr">
        <is>
          <t>undefined</t>
        </is>
      </c>
      <c r="S4449" t="inlineStr">
        <is>
          <t>6560297910359</t>
        </is>
      </c>
    </row>
    <row r="4450" ht="75" customHeight="1">
      <c r="A4450" s="2">
        <f>HYPERLINK("https://faoschwarz.com/products/risk-1959", "https://faoschwarz.com/products/risk-1959")</f>
        <v/>
      </c>
      <c r="B4450" s="2">
        <f>HYPERLINK("https://faoschwarz.com/products/risk-1959", "https://faoschwarz.com/products/risk-1959")</f>
        <v/>
      </c>
      <c r="C4450" t="inlineStr">
        <is>
          <t>Risk 1959</t>
        </is>
      </c>
      <c r="D4450" t="inlineStr">
        <is>
          <t>Winning Moves Games Risk 1959</t>
        </is>
      </c>
      <c r="E4450" s="2">
        <f>HYPERLINK("https://www.amazon.com/Winning-Moves-Games-Risk-1959/dp/B001Q1PE44/ref=sr_1_1?keywords=Risk+1959&amp;qid=1695565989&amp;sr=8-1", "https://www.amazon.com/Winning-Moves-Games-Risk-1959/dp/B001Q1PE44/ref=sr_1_1?keywords=Risk+1959&amp;qid=1695565989&amp;sr=8-1")</f>
        <v/>
      </c>
      <c r="F4450" t="inlineStr">
        <is>
          <t>B001Q1PE44</t>
        </is>
      </c>
      <c r="G4450">
        <f>_xlfn.IMAGE("https://faoschwarz.com/cdn/shop/products/winning-moves-games-risk-1959-28290165080151_1080x.jpg?v=1656246500")</f>
        <v/>
      </c>
      <c r="H4450">
        <f>_xlfn.IMAGE("https://m.media-amazon.com/images/I/71-c6YEK5PL._AC_UL320_.jpg")</f>
        <v/>
      </c>
      <c r="K4450" t="inlineStr">
        <is>
          <t>40.0</t>
        </is>
      </c>
      <c r="L4450" t="n">
        <v>39.99</v>
      </c>
      <c r="M4450" s="1" t="inlineStr">
        <is>
          <t>-0.02%</t>
        </is>
      </c>
      <c r="N4450" t="n">
        <v>4.6</v>
      </c>
      <c r="O4450" t="n">
        <v>740</v>
      </c>
      <c r="Q4450" t="inlineStr">
        <is>
          <t>InStock</t>
        </is>
      </c>
      <c r="R4450" t="inlineStr">
        <is>
          <t>undefined</t>
        </is>
      </c>
      <c r="S4450" t="inlineStr">
        <is>
          <t>4627634356311</t>
        </is>
      </c>
    </row>
    <row r="4451" ht="75" customHeight="1">
      <c r="A4451" s="2">
        <f>HYPERLINK("https://faoschwarz.com/products/roadster-ride-on-ivory-white", "https://faoschwarz.com/products/roadster-ride-on-ivory-white")</f>
        <v/>
      </c>
      <c r="B4451" s="2">
        <f>HYPERLINK("https://faoschwarz.com/products/roadster-ride-on-ivory-white", "https://faoschwarz.com/products/roadster-ride-on-ivory-white")</f>
        <v/>
      </c>
      <c r="C4451" t="inlineStr">
        <is>
          <t>Roadster Ride-On Ivory White</t>
        </is>
      </c>
      <c r="D4451" t="inlineStr">
        <is>
          <t>Moderno Kids Kiddie Roadster 12V Power Children Ride-On Car with R/C Parental Remote + Leather Seat 5 Point Seat Belt + LED Wheels + MP3 USB Music Player + Baby Tray Table + Rubber Floor Mats (White)</t>
        </is>
      </c>
      <c r="E4451" s="2">
        <f>HYPERLINK("https://www.amazon.com/Moderno-Kids-Roadster-Children-Parental/dp/B00ZQ1G0J8/ref=sr_1_2?keywords=Roadster+Ride-On+Ivory+White&amp;qid=1695565940&amp;sr=8-2", "https://www.amazon.com/Moderno-Kids-Roadster-Children-Parental/dp/B00ZQ1G0J8/ref=sr_1_2?keywords=Roadster+Ride-On+Ivory+White&amp;qid=1695565940&amp;sr=8-2")</f>
        <v/>
      </c>
      <c r="F4451" t="inlineStr">
        <is>
          <t>B00ZQ1G0J8</t>
        </is>
      </c>
      <c r="G4451">
        <f>_xlfn.IMAGE("https://faoschwarz.com/cdn/shop/files/baghera-preschool-roadster-ride-on-ivory-white-30235670904919_1080x.jpg?v=1685190462")</f>
        <v/>
      </c>
      <c r="H4451">
        <f>_xlfn.IMAGE("https://m.media-amazon.com/images/I/61L9wP6+stL._AC_UL320_.jpg")</f>
        <v/>
      </c>
      <c r="K4451" t="inlineStr">
        <is>
          <t>180.0</t>
        </is>
      </c>
      <c r="L4451" t="n">
        <v>259.99</v>
      </c>
      <c r="M4451" s="1" t="inlineStr">
        <is>
          <t>44.44%</t>
        </is>
      </c>
      <c r="N4451" t="n">
        <v>4.4</v>
      </c>
      <c r="O4451" t="n">
        <v>485</v>
      </c>
      <c r="Q4451" t="inlineStr">
        <is>
          <t>InStock</t>
        </is>
      </c>
      <c r="R4451" t="inlineStr">
        <is>
          <t>undefined</t>
        </is>
      </c>
      <c r="S4451" t="inlineStr">
        <is>
          <t>6778194493527</t>
        </is>
      </c>
    </row>
    <row r="4452" ht="75" customHeight="1">
      <c r="A4452" s="2">
        <f>HYPERLINK("https://faoschwarz.com/products/roadster-ride-on-light-pink", "https://faoschwarz.com/products/roadster-ride-on-light-pink")</f>
        <v/>
      </c>
      <c r="B4452" s="2">
        <f>HYPERLINK("https://faoschwarz.com/products/roadster-ride-on-light-pink", "https://faoschwarz.com/products/roadster-ride-on-light-pink")</f>
        <v/>
      </c>
      <c r="C4452" t="inlineStr">
        <is>
          <t>Roadster Ride-On Light Pink</t>
        </is>
      </c>
      <c r="D4452" t="inlineStr">
        <is>
          <t>Kid Trax Dodge Viper SRT Convertible Toddler Ride On Toy, Ages 3-7 Years Old, 12 Volt Battery, Max Weight of 130 lbs, Two Seater, Working Lights, Pink</t>
        </is>
      </c>
      <c r="E4452" s="2">
        <f>HYPERLINK("https://www.amazon.com/Kid-Trax-Dodge-Convertible-Toddler/dp/B087Z9BBVQ/ref=sr_1_1?keywords=Roadster+Ride-On+Light+Pink&amp;qid=1695565925&amp;sr=8-1", "https://www.amazon.com/Kid-Trax-Dodge-Convertible-Toddler/dp/B087Z9BBVQ/ref=sr_1_1?keywords=Roadster+Ride-On+Light+Pink&amp;qid=1695565925&amp;sr=8-1")</f>
        <v/>
      </c>
      <c r="F4452" t="inlineStr">
        <is>
          <t>B087Z9BBVQ</t>
        </is>
      </c>
      <c r="G4452">
        <f>_xlfn.IMAGE("https://faoschwarz.com/cdn/shop/files/baghera-preschool-roadster-ride-on-light-pink-30235697053783_1080x.jpg?v=1684454236")</f>
        <v/>
      </c>
      <c r="H4452">
        <f>_xlfn.IMAGE("https://m.media-amazon.com/images/I/81+HM8SSvSL._AC_UL320_.jpg")</f>
        <v/>
      </c>
      <c r="K4452" t="inlineStr">
        <is>
          <t>180.0</t>
        </is>
      </c>
      <c r="L4452" t="n">
        <v>579.99</v>
      </c>
      <c r="M4452" s="1" t="inlineStr">
        <is>
          <t>222.22%</t>
        </is>
      </c>
      <c r="N4452" t="n">
        <v>4.2</v>
      </c>
      <c r="O4452" t="n">
        <v>444</v>
      </c>
      <c r="Q4452" t="inlineStr">
        <is>
          <t>InStock</t>
        </is>
      </c>
      <c r="R4452" t="inlineStr">
        <is>
          <t>undefined</t>
        </is>
      </c>
      <c r="S4452" t="inlineStr">
        <is>
          <t>6778194690135</t>
        </is>
      </c>
    </row>
    <row r="4453" ht="75" customHeight="1">
      <c r="A4453" s="2">
        <f>HYPERLINK("https://faoschwarz.com/products/roadster-ride-on-light-pink", "https://faoschwarz.com/products/roadster-ride-on-light-pink")</f>
        <v/>
      </c>
      <c r="B4453" s="2">
        <f>HYPERLINK("https://faoschwarz.com/products/roadster-ride-on-light-pink", "https://faoschwarz.com/products/roadster-ride-on-light-pink")</f>
        <v/>
      </c>
      <c r="C4453" t="inlineStr">
        <is>
          <t>Roadster Ride-On Light Pink</t>
        </is>
      </c>
      <c r="D4453" t="inlineStr">
        <is>
          <t>Kidzone Kids Electric Ride On 12V Licensed Lamborghini Sian Roadster Battery Powered Sports Car Toy with 2 Speeds, Parent Control, Sound System, LED Headlights &amp; Hydraulic Doors - Pink</t>
        </is>
      </c>
      <c r="E4453" s="2">
        <f>HYPERLINK("https://www.amazon.com/Kidzone-Lamborghini-Motorized-Suspension-Bluetooth/dp/B08NJZBV9V/ref=sr_1_6?keywords=Roadster+Ride-On+Light+Pink&amp;qid=1695565925&amp;sr=8-6", "https://www.amazon.com/Kidzone-Lamborghini-Motorized-Suspension-Bluetooth/dp/B08NJZBV9V/ref=sr_1_6?keywords=Roadster+Ride-On+Light+Pink&amp;qid=1695565925&amp;sr=8-6")</f>
        <v/>
      </c>
      <c r="F4453" t="inlineStr">
        <is>
          <t>B08NJZBV9V</t>
        </is>
      </c>
      <c r="G4453">
        <f>_xlfn.IMAGE("https://faoschwarz.com/cdn/shop/files/baghera-preschool-roadster-ride-on-light-pink-30235697053783_1080x.jpg?v=1684454236")</f>
        <v/>
      </c>
      <c r="H4453">
        <f>_xlfn.IMAGE("https://m.media-amazon.com/images/I/71KI7Y-yWYL._AC_UL320_.jpg")</f>
        <v/>
      </c>
      <c r="K4453" t="inlineStr">
        <is>
          <t>180.0</t>
        </is>
      </c>
      <c r="L4453" t="n">
        <v>199.96</v>
      </c>
      <c r="M4453" s="1" t="inlineStr">
        <is>
          <t>11.09%</t>
        </is>
      </c>
      <c r="N4453" t="n">
        <v>4.5</v>
      </c>
      <c r="O4453" t="n">
        <v>1951</v>
      </c>
      <c r="Q4453" t="inlineStr">
        <is>
          <t>InStock</t>
        </is>
      </c>
      <c r="R4453" t="inlineStr">
        <is>
          <t>undefined</t>
        </is>
      </c>
      <c r="S4453" t="inlineStr">
        <is>
          <t>6778194690135</t>
        </is>
      </c>
    </row>
    <row r="4454" ht="75" customHeight="1">
      <c r="A4454" s="2">
        <f>HYPERLINK("https://faoschwarz.com/products/roadster-ride-on-light-pink", "https://faoschwarz.com/products/roadster-ride-on-light-pink")</f>
        <v/>
      </c>
      <c r="B4454" s="2">
        <f>HYPERLINK("https://faoschwarz.com/products/roadster-ride-on-light-pink", "https://faoschwarz.com/products/roadster-ride-on-light-pink")</f>
        <v/>
      </c>
      <c r="C4454" t="inlineStr">
        <is>
          <t>Roadster Ride-On Light Pink</t>
        </is>
      </c>
      <c r="D4454" t="inlineStr">
        <is>
          <t>ENYOPRO Ride On Car for Kids, Licensed Chevrolet Tahoe SUV 12V7AH Battery Powered Ride On Toy Car, Kids Boys Girls Electric Car with Remote Control, LED Lights, Bluetooth Music, Horn, 3 Speeds (Pink)</t>
        </is>
      </c>
      <c r="E4454" s="2">
        <f>HYPERLINK("https://www.amazon.com/ENYOPRO-Licensed-Chevrolet-Electric-Bluetooth/dp/B0CBWYC28N/ref=sr_1_3?keywords=Roadster+Ride-On+Light+Pink&amp;qid=1695565925&amp;sr=8-3", "https://www.amazon.com/ENYOPRO-Licensed-Chevrolet-Electric-Bluetooth/dp/B0CBWYC28N/ref=sr_1_3?keywords=Roadster+Ride-On+Light+Pink&amp;qid=1695565925&amp;sr=8-3")</f>
        <v/>
      </c>
      <c r="F4454" t="inlineStr">
        <is>
          <t>B0CBWYC28N</t>
        </is>
      </c>
      <c r="G4454">
        <f>_xlfn.IMAGE("https://faoschwarz.com/cdn/shop/files/baghera-preschool-roadster-ride-on-light-pink-30235697053783_1080x.jpg?v=1684454236")</f>
        <v/>
      </c>
      <c r="H4454">
        <f>_xlfn.IMAGE("https://m.media-amazon.com/images/I/71cBvCPa4mL._AC_UL320_.jpg")</f>
        <v/>
      </c>
      <c r="K4454" t="inlineStr">
        <is>
          <t>180.0</t>
        </is>
      </c>
      <c r="L4454" t="n">
        <v>189.9</v>
      </c>
      <c r="M4454" s="1" t="inlineStr">
        <is>
          <t>5.50%</t>
        </is>
      </c>
      <c r="N4454" t="n">
        <v>2.7</v>
      </c>
      <c r="O4454" t="n">
        <v>4</v>
      </c>
      <c r="Q4454" t="inlineStr">
        <is>
          <t>InStock</t>
        </is>
      </c>
      <c r="R4454" t="inlineStr">
        <is>
          <t>undefined</t>
        </is>
      </c>
      <c r="S4454" t="inlineStr">
        <is>
          <t>6778194690135</t>
        </is>
      </c>
    </row>
    <row r="4455" ht="75" customHeight="1">
      <c r="A4455" s="2">
        <f>HYPERLINK("https://faoschwarz.com/products/roadster-ride-on-light-pink", "https://faoschwarz.com/products/roadster-ride-on-light-pink")</f>
        <v/>
      </c>
      <c r="B4455" s="2">
        <f>HYPERLINK("https://faoschwarz.com/products/roadster-ride-on-light-pink", "https://faoschwarz.com/products/roadster-ride-on-light-pink")</f>
        <v/>
      </c>
      <c r="C4455" t="inlineStr">
        <is>
          <t>Roadster Ride-On Light Pink</t>
        </is>
      </c>
      <c r="D4455" t="inlineStr">
        <is>
          <t>Aosom 12V Kids Electric Ride On Car with Parent Remote Control, Battery Powered Toy Car with Two Motors, 2 Speeds, Music, LED Lights, USB, and Suspension Wheels for 3-6 Years Old, Pink</t>
        </is>
      </c>
      <c r="E4455" s="2">
        <f>HYPERLINK("https://www.amazon.com/Aosom-Electric-Control-Battery-Suspension/dp/B0B5KW4G8K/ref=sr_1_9?keywords=Roadster+Ride-On+Light+Pink&amp;qid=1695565925&amp;sr=8-9", "https://www.amazon.com/Aosom-Electric-Control-Battery-Suspension/dp/B0B5KW4G8K/ref=sr_1_9?keywords=Roadster+Ride-On+Light+Pink&amp;qid=1695565925&amp;sr=8-9")</f>
        <v/>
      </c>
      <c r="F4455" t="inlineStr">
        <is>
          <t>B0B5KW4G8K</t>
        </is>
      </c>
      <c r="G4455">
        <f>_xlfn.IMAGE("https://faoschwarz.com/cdn/shop/files/baghera-preschool-roadster-ride-on-light-pink-30235697053783_1080x.jpg?v=1684454236")</f>
        <v/>
      </c>
      <c r="H4455">
        <f>_xlfn.IMAGE("https://m.media-amazon.com/images/I/71Sq1rr9mBL._AC_UL320_.jpg")</f>
        <v/>
      </c>
      <c r="K4455" t="inlineStr">
        <is>
          <t>180.0</t>
        </is>
      </c>
      <c r="L4455" t="n">
        <v>179.99</v>
      </c>
      <c r="M4455" s="1" t="inlineStr">
        <is>
          <t>-0.01%</t>
        </is>
      </c>
      <c r="N4455" t="n">
        <v>4.1</v>
      </c>
      <c r="O4455" t="n">
        <v>46</v>
      </c>
      <c r="Q4455" t="inlineStr">
        <is>
          <t>InStock</t>
        </is>
      </c>
      <c r="R4455" t="inlineStr">
        <is>
          <t>undefined</t>
        </is>
      </c>
      <c r="S4455" t="inlineStr">
        <is>
          <t>6778194690135</t>
        </is>
      </c>
    </row>
    <row r="4456" ht="75" customHeight="1">
      <c r="A4456" s="2">
        <f>HYPERLINK("https://faoschwarz.com/products/roadster-ride-on-light-pink", "https://faoschwarz.com/products/roadster-ride-on-light-pink")</f>
        <v/>
      </c>
      <c r="B4456" s="2">
        <f>HYPERLINK("https://faoschwarz.com/products/roadster-ride-on-light-pink", "https://faoschwarz.com/products/roadster-ride-on-light-pink")</f>
        <v/>
      </c>
      <c r="C4456" t="inlineStr">
        <is>
          <t>Roadster Ride-On Light Pink</t>
        </is>
      </c>
      <c r="D4456" t="inlineStr">
        <is>
          <t>HONEY JOY Pink Ride On Car, Licensed Maserati 12V Battery Powered Electric Car for Kids with Parent Remote Control, Lights, Horn, Music, 4-Wheel Ride on Toys for Toddlers, Gift for Boys Girls (Pink)</t>
        </is>
      </c>
      <c r="E4456" s="2">
        <f>HYPERLINK("https://www.amazon.com/HONEY-JOY-Licensed-Motorized-Suspension/dp/B0BDRM2CMN/ref=sr_1_8?keywords=Roadster+Ride-On+Light+Pink&amp;qid=1695565925&amp;sr=8-8", "https://www.amazon.com/HONEY-JOY-Licensed-Motorized-Suspension/dp/B0BDRM2CMN/ref=sr_1_8?keywords=Roadster+Ride-On+Light+Pink&amp;qid=1695565925&amp;sr=8-8")</f>
        <v/>
      </c>
      <c r="F4456" t="inlineStr">
        <is>
          <t>B0BDRM2CMN</t>
        </is>
      </c>
      <c r="G4456">
        <f>_xlfn.IMAGE("https://faoschwarz.com/cdn/shop/files/baghera-preschool-roadster-ride-on-light-pink-30235697053783_1080x.jpg?v=1684454236")</f>
        <v/>
      </c>
      <c r="H4456">
        <f>_xlfn.IMAGE("https://m.media-amazon.com/images/I/61nTJtwUlVL._AC_UL320_.jpg")</f>
        <v/>
      </c>
      <c r="K4456" t="inlineStr">
        <is>
          <t>180.0</t>
        </is>
      </c>
      <c r="L4456" t="n">
        <v>159.98</v>
      </c>
      <c r="M4456" s="1" t="inlineStr">
        <is>
          <t>-11.12%</t>
        </is>
      </c>
      <c r="N4456" t="n">
        <v>4.3</v>
      </c>
      <c r="O4456" t="n">
        <v>217</v>
      </c>
      <c r="Q4456" t="inlineStr">
        <is>
          <t>InStock</t>
        </is>
      </c>
      <c r="R4456" t="inlineStr">
        <is>
          <t>undefined</t>
        </is>
      </c>
      <c r="S4456" t="inlineStr">
        <is>
          <t>6778194690135</t>
        </is>
      </c>
    </row>
    <row r="4457" ht="75" customHeight="1">
      <c r="A4457" s="2">
        <f>HYPERLINK("https://faoschwarz.com/products/roadster-ride-on-light-pink", "https://faoschwarz.com/products/roadster-ride-on-light-pink")</f>
        <v/>
      </c>
      <c r="B4457" s="2">
        <f>HYPERLINK("https://faoschwarz.com/products/roadster-ride-on-light-pink", "https://faoschwarz.com/products/roadster-ride-on-light-pink")</f>
        <v/>
      </c>
      <c r="C4457" t="inlineStr">
        <is>
          <t>Roadster Ride-On Light Pink</t>
        </is>
      </c>
      <c r="D4457" t="inlineStr">
        <is>
          <t>Best Choice Products 6V Kids Ride On Toy, Mini Truck, Electric Play Car w/Parent Remote Control, 4-Wheel Suspension, LED Lights, 2 Speeds, Functional Horn, 3.1MPH Max Speed - Hot Pink</t>
        </is>
      </c>
      <c r="E4457" s="2">
        <f>HYPERLINK("https://www.amazon.com/Best-Choice-Products-Suspension-Functional/dp/B0C87YCQNQ/ref=sr_1_4?keywords=Roadster+Ride-On+Light+Pink&amp;qid=1695565925&amp;sr=8-4", "https://www.amazon.com/Best-Choice-Products-Suspension-Functional/dp/B0C87YCQNQ/ref=sr_1_4?keywords=Roadster+Ride-On+Light+Pink&amp;qid=1695565925&amp;sr=8-4")</f>
        <v/>
      </c>
      <c r="F4457" t="inlineStr">
        <is>
          <t>B0C87YCQNQ</t>
        </is>
      </c>
      <c r="G4457">
        <f>_xlfn.IMAGE("https://faoschwarz.com/cdn/shop/files/baghera-preschool-roadster-ride-on-light-pink-30235697053783_1080x.jpg?v=1684454236")</f>
        <v/>
      </c>
      <c r="H4457">
        <f>_xlfn.IMAGE("https://m.media-amazon.com/images/I/81tDT5wWPGL._AC_UL320_.jpg")</f>
        <v/>
      </c>
      <c r="K4457" t="inlineStr">
        <is>
          <t>180.0</t>
        </is>
      </c>
      <c r="L4457" t="n">
        <v>139.99</v>
      </c>
      <c r="M4457" s="1" t="inlineStr">
        <is>
          <t>-22.23%</t>
        </is>
      </c>
      <c r="N4457" t="n">
        <v>3.9</v>
      </c>
      <c r="O4457" t="n">
        <v>35</v>
      </c>
      <c r="Q4457" t="inlineStr">
        <is>
          <t>InStock</t>
        </is>
      </c>
      <c r="R4457" t="inlineStr">
        <is>
          <t>undefined</t>
        </is>
      </c>
      <c r="S4457" t="inlineStr">
        <is>
          <t>6778194690135</t>
        </is>
      </c>
    </row>
    <row r="4458" ht="75" customHeight="1">
      <c r="A4458" s="2">
        <f>HYPERLINK("https://faoschwarz.com/products/roadster-ride-on-light-pink", "https://faoschwarz.com/products/roadster-ride-on-light-pink")</f>
        <v/>
      </c>
      <c r="B4458" s="2">
        <f>HYPERLINK("https://faoschwarz.com/products/roadster-ride-on-light-pink", "https://faoschwarz.com/products/roadster-ride-on-light-pink")</f>
        <v/>
      </c>
      <c r="C4458" t="inlineStr">
        <is>
          <t>Roadster Ride-On Light Pink</t>
        </is>
      </c>
      <c r="D4458" t="inlineStr">
        <is>
          <t>Aosom NO Power Kids Ride On Push Car, Ride Racer, Foot-to-Floor Sliding Car, Walking ATV Toy with Music, Lights, for 1.5-3 Years Old, Pink</t>
        </is>
      </c>
      <c r="E4458" s="2">
        <f>HYPERLINK("https://www.amazon.com/Aosom-No-Powered-Sliding-Motorcycle-Lightening/dp/B08DK8NFF1/ref=sr_1_10?keywords=Roadster+Ride-On+Light+Pink&amp;qid=1695565925&amp;sr=8-10", "https://www.amazon.com/Aosom-No-Powered-Sliding-Motorcycle-Lightening/dp/B08DK8NFF1/ref=sr_1_10?keywords=Roadster+Ride-On+Light+Pink&amp;qid=1695565925&amp;sr=8-10")</f>
        <v/>
      </c>
      <c r="F4458" t="inlineStr">
        <is>
          <t>B08DK8NFF1</t>
        </is>
      </c>
      <c r="G4458">
        <f>_xlfn.IMAGE("https://faoschwarz.com/cdn/shop/files/baghera-preschool-roadster-ride-on-light-pink-30235697053783_1080x.jpg?v=1684454236")</f>
        <v/>
      </c>
      <c r="H4458">
        <f>_xlfn.IMAGE("https://m.media-amazon.com/images/I/71ZKP47XlsL._AC_UL320_.jpg")</f>
        <v/>
      </c>
      <c r="K4458" t="inlineStr">
        <is>
          <t>180.0</t>
        </is>
      </c>
      <c r="L4458" t="n">
        <v>54.99</v>
      </c>
      <c r="M4458" s="1" t="inlineStr">
        <is>
          <t>-69.45%</t>
        </is>
      </c>
      <c r="N4458" t="n">
        <v>3.9</v>
      </c>
      <c r="O4458" t="n">
        <v>236</v>
      </c>
      <c r="Q4458" t="inlineStr">
        <is>
          <t>InStock</t>
        </is>
      </c>
      <c r="R4458" t="inlineStr">
        <is>
          <t>undefined</t>
        </is>
      </c>
      <c r="S4458" t="inlineStr">
        <is>
          <t>6778194690135</t>
        </is>
      </c>
    </row>
    <row r="4459" ht="75" customHeight="1">
      <c r="A4459" s="2">
        <f>HYPERLINK("https://faoschwarz.com/products/road-track-toy-expressway", "https://faoschwarz.com/products/road-track-toy-expressway")</f>
        <v/>
      </c>
      <c r="B4459" s="2">
        <f>HYPERLINK("https://faoschwarz.com/products/road-track-toy-expressway", "https://faoschwarz.com/products/road-track-toy-expressway")</f>
        <v/>
      </c>
      <c r="C4459" t="inlineStr">
        <is>
          <t>Road Track Toy - Expressway</t>
        </is>
      </c>
      <c r="D4459" t="inlineStr">
        <is>
          <t>Expressway, 16 Piece Circuit for Toy Cars - Flexible, Indestructible, and Waterproof - Modular Car Tracks - Made in The Netherlands</t>
        </is>
      </c>
      <c r="E4459" s="2">
        <f>HYPERLINK("https://www.amazon.com/waytoplay-Expressway-Striping-16-Pieces/dp/B075KRXLL7/ref=sr_1_1?keywords=Road+Track+Toy+-+Expressway&amp;qid=1695565961&amp;sr=8-1", "https://www.amazon.com/waytoplay-Expressway-Striping-16-Pieces/dp/B075KRXLL7/ref=sr_1_1?keywords=Road+Track+Toy+-+Expressway&amp;qid=1695565961&amp;sr=8-1")</f>
        <v/>
      </c>
      <c r="F4459" t="inlineStr">
        <is>
          <t>B075KRXLL7</t>
        </is>
      </c>
      <c r="G4459">
        <f>_xlfn.IMAGE("https://faoschwarz.com/cdn/shop/products/waytoplay-vehicles-road-track-toy-expressway-29758084055127_1080x.jpg?v=1668914310")</f>
        <v/>
      </c>
      <c r="H4459">
        <f>_xlfn.IMAGE("https://m.media-amazon.com/images/I/715mbqp0JxL._AC_UL320_.jpg")</f>
        <v/>
      </c>
      <c r="K4459" t="inlineStr">
        <is>
          <t>59.0</t>
        </is>
      </c>
      <c r="L4459" t="n">
        <v>59</v>
      </c>
      <c r="M4459" s="1" t="inlineStr">
        <is>
          <t>0.00%</t>
        </is>
      </c>
      <c r="N4459" t="n">
        <v>4.5</v>
      </c>
      <c r="O4459" t="n">
        <v>654</v>
      </c>
      <c r="Q4459" t="inlineStr">
        <is>
          <t>InStock</t>
        </is>
      </c>
      <c r="R4459" t="inlineStr">
        <is>
          <t>undefined</t>
        </is>
      </c>
      <c r="S4459" t="inlineStr">
        <is>
          <t>6832627646551</t>
        </is>
      </c>
    </row>
    <row r="4460" ht="75" customHeight="1">
      <c r="A4460" s="2">
        <f>HYPERLINK("https://faoschwarz.com/products/road-track-toy-expressway", "https://faoschwarz.com/products/road-track-toy-expressway")</f>
        <v/>
      </c>
      <c r="B4460" s="2">
        <f>HYPERLINK("https://faoschwarz.com/products/road-track-toy-expressway", "https://faoschwarz.com/products/road-track-toy-expressway")</f>
        <v/>
      </c>
      <c r="C4460" t="inlineStr">
        <is>
          <t>Road Track Toy - Expressway</t>
        </is>
      </c>
      <c r="D4460" t="inlineStr">
        <is>
          <t>Ringroad, 12 Piece Circuit for Toy Cars - Flexible, Indestructible, and Waterproof - Modular Car Tracks - Made in The Netherlands</t>
        </is>
      </c>
      <c r="E4460" s="2">
        <f>HYPERLINK("https://www.amazon.com/Ringroad-Flexible-12-Original-Europe/dp/B019OYY83W/ref=sr_1_10?keywords=Road+Track+Toy+-+Expressway&amp;qid=1695565961&amp;sr=8-10", "https://www.amazon.com/Ringroad-Flexible-12-Original-Europe/dp/B019OYY83W/ref=sr_1_10?keywords=Road+Track+Toy+-+Expressway&amp;qid=1695565961&amp;sr=8-10")</f>
        <v/>
      </c>
      <c r="F4460" t="inlineStr">
        <is>
          <t>B019OYY83W</t>
        </is>
      </c>
      <c r="G4460">
        <f>_xlfn.IMAGE("https://faoschwarz.com/cdn/shop/products/waytoplay-vehicles-road-track-toy-expressway-29758084055127_1080x.jpg?v=1668914310")</f>
        <v/>
      </c>
      <c r="H4460">
        <f>_xlfn.IMAGE("https://m.media-amazon.com/images/I/715fKCmTuTL._AC_UL320_.jpg")</f>
        <v/>
      </c>
      <c r="K4460" t="inlineStr">
        <is>
          <t>59.0</t>
        </is>
      </c>
      <c r="L4460" t="n">
        <v>44</v>
      </c>
      <c r="M4460" s="1" t="inlineStr">
        <is>
          <t>-25.42%</t>
        </is>
      </c>
      <c r="N4460" t="n">
        <v>4.4</v>
      </c>
      <c r="O4460" t="n">
        <v>356</v>
      </c>
      <c r="Q4460" t="inlineStr">
        <is>
          <t>InStock</t>
        </is>
      </c>
      <c r="R4460" t="inlineStr">
        <is>
          <t>undefined</t>
        </is>
      </c>
      <c r="S4460" t="inlineStr">
        <is>
          <t>6832627646551</t>
        </is>
      </c>
    </row>
    <row r="4461" ht="75" customHeight="1">
      <c r="A4461" s="2">
        <f>HYPERLINK("https://faoschwarz.com/products/road-track-toy-expressway", "https://faoschwarz.com/products/road-track-toy-expressway")</f>
        <v/>
      </c>
      <c r="B4461" s="2">
        <f>HYPERLINK("https://faoschwarz.com/products/road-track-toy-expressway", "https://faoschwarz.com/products/road-track-toy-expressway")</f>
        <v/>
      </c>
      <c r="C4461" t="inlineStr">
        <is>
          <t>Road Track Toy - Expressway</t>
        </is>
      </c>
      <c r="D4461" t="inlineStr">
        <is>
          <t>142 Pieces Police Patrol Chase Create a Road Super Snap Speedway - Magic Journey Flexible Track Set with LED Light Up Toy Cars</t>
        </is>
      </c>
      <c r="E4461" s="2">
        <f>HYPERLINK("https://www.amazon.com/Liberty-Imports-Speedway-Flexible-Toddlers/dp/B0753RW93L/ref=sr_1_2?keywords=Road+Track+Toy+-+Expressway&amp;qid=1695565961&amp;sr=8-2", "https://www.amazon.com/Liberty-Imports-Speedway-Flexible-Toddlers/dp/B0753RW93L/ref=sr_1_2?keywords=Road+Track+Toy+-+Expressway&amp;qid=1695565961&amp;sr=8-2")</f>
        <v/>
      </c>
      <c r="F4461" t="inlineStr">
        <is>
          <t>B0753RW93L</t>
        </is>
      </c>
      <c r="G4461">
        <f>_xlfn.IMAGE("https://faoschwarz.com/cdn/shop/products/waytoplay-vehicles-road-track-toy-expressway-29758084055127_1080x.jpg?v=1668914310")</f>
        <v/>
      </c>
      <c r="H4461">
        <f>_xlfn.IMAGE("https://m.media-amazon.com/images/I/81lUVSDkiwL._AC_UL320_.jpg")</f>
        <v/>
      </c>
      <c r="K4461" t="inlineStr">
        <is>
          <t>59.0</t>
        </is>
      </c>
      <c r="L4461" t="n">
        <v>26.93</v>
      </c>
      <c r="M4461" s="1" t="inlineStr">
        <is>
          <t>-54.36%</t>
        </is>
      </c>
      <c r="N4461" t="n">
        <v>4.5</v>
      </c>
      <c r="O4461" t="n">
        <v>573</v>
      </c>
      <c r="Q4461" t="inlineStr">
        <is>
          <t>InStock</t>
        </is>
      </c>
      <c r="R4461" t="inlineStr">
        <is>
          <t>undefined</t>
        </is>
      </c>
      <c r="S4461" t="inlineStr">
        <is>
          <t>6832627646551</t>
        </is>
      </c>
    </row>
    <row r="4462" ht="75" customHeight="1">
      <c r="A4462" s="2">
        <f>HYPERLINK("https://faoschwarz.com/products/road-track-toy-expressway", "https://faoschwarz.com/products/road-track-toy-expressway")</f>
        <v/>
      </c>
      <c r="B4462" s="2">
        <f>HYPERLINK("https://faoschwarz.com/products/road-track-toy-expressway", "https://faoschwarz.com/products/road-track-toy-expressway")</f>
        <v/>
      </c>
      <c r="C4462" t="inlineStr">
        <is>
          <t>Road Track Toy - Expressway</t>
        </is>
      </c>
      <c r="D4462" t="inlineStr">
        <is>
          <t>346PCS Construction Race Tracks for Kids Boys Toys,Track Series,Construction Car and Flexible Track Playset Create A Engineering Road Toys for 3 4 5 6 7 8 Years Old Boys Girls DIY Gift</t>
        </is>
      </c>
      <c r="E4462" s="2">
        <f>HYPERLINK("https://www.amazon.com/likid-Construction-%EF%BC%8CConstruction-Flexible-Engineering/dp/B09752FJDY/ref=sr_1_4?keywords=Road+Track+Toy+-+Expressway&amp;qid=1695565961&amp;sr=8-4", "https://www.amazon.com/likid-Construction-%EF%BC%8CConstruction-Flexible-Engineering/dp/B09752FJDY/ref=sr_1_4?keywords=Road+Track+Toy+-+Expressway&amp;qid=1695565961&amp;sr=8-4")</f>
        <v/>
      </c>
      <c r="F4462" t="inlineStr">
        <is>
          <t>B09752FJDY</t>
        </is>
      </c>
      <c r="G4462">
        <f>_xlfn.IMAGE("https://faoschwarz.com/cdn/shop/products/waytoplay-vehicles-road-track-toy-expressway-29758084055127_1080x.jpg?v=1668914310")</f>
        <v/>
      </c>
      <c r="H4462">
        <f>_xlfn.IMAGE("https://m.media-amazon.com/images/I/81nKVSq7aES._AC_UL320_.jpg")</f>
        <v/>
      </c>
      <c r="K4462" t="inlineStr">
        <is>
          <t>59.0</t>
        </is>
      </c>
      <c r="L4462" t="n">
        <v>17.8</v>
      </c>
      <c r="M4462" s="1" t="inlineStr">
        <is>
          <t>-69.83%</t>
        </is>
      </c>
      <c r="N4462" t="n">
        <v>4.1</v>
      </c>
      <c r="O4462" t="n">
        <v>109</v>
      </c>
      <c r="Q4462" t="inlineStr">
        <is>
          <t>InStock</t>
        </is>
      </c>
      <c r="R4462" t="inlineStr">
        <is>
          <t>undefined</t>
        </is>
      </c>
      <c r="S4462" t="inlineStr">
        <is>
          <t>6832627646551</t>
        </is>
      </c>
    </row>
    <row r="4463" ht="75" customHeight="1">
      <c r="A4463" s="2">
        <f>HYPERLINK("https://faoschwarz.com/products/road-track-toy-expressway", "https://faoschwarz.com/products/road-track-toy-expressway")</f>
        <v/>
      </c>
      <c r="B4463" s="2">
        <f>HYPERLINK("https://faoschwarz.com/products/road-track-toy-expressway", "https://faoschwarz.com/products/road-track-toy-expressway")</f>
        <v/>
      </c>
      <c r="C4463" t="inlineStr">
        <is>
          <t>Road Track Toy - Expressway</t>
        </is>
      </c>
      <c r="D4463" t="inlineStr">
        <is>
          <t>236 PCS Construction Race Tracks Toys for Kids Boys, 6 PCS Construction Car and Flexible Race Tracks Playset Create A Engineering Road Toys Gifts for 3 4 5 6 Year Old Boys Kids Girls</t>
        </is>
      </c>
      <c r="E4463" s="2">
        <f>HYPERLINK("https://www.amazon.com/Garbo-Star-Construction-Flexible-Engineering/dp/B09ZK5JTL2/ref=sr_1_5?keywords=Road+Track+Toy+-+Expressway&amp;qid=1695565961&amp;sr=8-5", "https://www.amazon.com/Garbo-Star-Construction-Flexible-Engineering/dp/B09ZK5JTL2/ref=sr_1_5?keywords=Road+Track+Toy+-+Expressway&amp;qid=1695565961&amp;sr=8-5")</f>
        <v/>
      </c>
      <c r="F4463" t="inlineStr">
        <is>
          <t>B09ZK5JTL2</t>
        </is>
      </c>
      <c r="G4463">
        <f>_xlfn.IMAGE("https://faoschwarz.com/cdn/shop/products/waytoplay-vehicles-road-track-toy-expressway-29758084055127_1080x.jpg?v=1668914310")</f>
        <v/>
      </c>
      <c r="H4463">
        <f>_xlfn.IMAGE("https://m.media-amazon.com/images/I/81nxZ3rSEeL._AC_UL320_.jpg")</f>
        <v/>
      </c>
      <c r="K4463" t="inlineStr">
        <is>
          <t>59.0</t>
        </is>
      </c>
      <c r="L4463" t="n">
        <v>12.99</v>
      </c>
      <c r="M4463" s="1" t="inlineStr">
        <is>
          <t>-77.98%</t>
        </is>
      </c>
      <c r="N4463" t="n">
        <v>3.7</v>
      </c>
      <c r="O4463" t="n">
        <v>14</v>
      </c>
      <c r="Q4463" t="inlineStr">
        <is>
          <t>InStock</t>
        </is>
      </c>
      <c r="R4463" t="inlineStr">
        <is>
          <t>undefined</t>
        </is>
      </c>
      <c r="S4463" t="inlineStr">
        <is>
          <t>6832627646551</t>
        </is>
      </c>
    </row>
    <row r="4464" ht="75" customHeight="1">
      <c r="A4464" s="2">
        <f>HYPERLINK("https://faoschwarz.com/products/road-track-toy-ringroad", "https://faoschwarz.com/products/road-track-toy-ringroad")</f>
        <v/>
      </c>
      <c r="B4464" s="2">
        <f>HYPERLINK("https://faoschwarz.com/products/road-track-toy-ringroad", "https://faoschwarz.com/products/road-track-toy-ringroad")</f>
        <v/>
      </c>
      <c r="C4464" t="inlineStr">
        <is>
          <t>Road Track Toy - Ringroad</t>
        </is>
      </c>
      <c r="D4464" t="inlineStr">
        <is>
          <t>Ringroad, 12 Piece Circuit for Toy Cars - Flexible, Indestructible, and Waterproof - Modular Car Tracks - Made in The Netherlands</t>
        </is>
      </c>
      <c r="E4464" s="2">
        <f>HYPERLINK("https://www.amazon.com/Ringroad-Flexible-12-Original-Europe/dp/B019OYY83W/ref=sr_1_1?keywords=Road+Track+Toy+-+Ringroad&amp;qid=1695565942&amp;sr=8-1", "https://www.amazon.com/Ringroad-Flexible-12-Original-Europe/dp/B019OYY83W/ref=sr_1_1?keywords=Road+Track+Toy+-+Ringroad&amp;qid=1695565942&amp;sr=8-1")</f>
        <v/>
      </c>
      <c r="F4464" t="inlineStr">
        <is>
          <t>B019OYY83W</t>
        </is>
      </c>
      <c r="G4464">
        <f>_xlfn.IMAGE("https://faoschwarz.com/cdn/shop/products/waytoplay-vehicles-road-track-toy-ringroad-29758087135319_1080x.jpg?v=1668914313")</f>
        <v/>
      </c>
      <c r="H4464">
        <f>_xlfn.IMAGE("https://m.media-amazon.com/images/I/715fKCmTuTL._AC_UL320_.jpg")</f>
        <v/>
      </c>
      <c r="K4464" t="inlineStr">
        <is>
          <t>44.0</t>
        </is>
      </c>
      <c r="L4464" t="n">
        <v>44</v>
      </c>
      <c r="M4464" s="1" t="inlineStr">
        <is>
          <t>0.00%</t>
        </is>
      </c>
      <c r="N4464" t="n">
        <v>4.4</v>
      </c>
      <c r="O4464" t="n">
        <v>356</v>
      </c>
      <c r="Q4464" t="inlineStr">
        <is>
          <t>InStock</t>
        </is>
      </c>
      <c r="R4464" t="inlineStr">
        <is>
          <t>undefined</t>
        </is>
      </c>
      <c r="S4464" t="inlineStr">
        <is>
          <t>6832627679319</t>
        </is>
      </c>
    </row>
    <row r="4465" ht="75" customHeight="1">
      <c r="A4465" s="2">
        <f>HYPERLINK("https://faoschwarz.com/products/road-track-toy-ringroad", "https://faoschwarz.com/products/road-track-toy-ringroad")</f>
        <v/>
      </c>
      <c r="B4465" s="2">
        <f>HYPERLINK("https://faoschwarz.com/products/road-track-toy-ringroad", "https://faoschwarz.com/products/road-track-toy-ringroad")</f>
        <v/>
      </c>
      <c r="C4465" t="inlineStr">
        <is>
          <t>Road Track Toy - Ringroad</t>
        </is>
      </c>
      <c r="D4465" t="inlineStr">
        <is>
          <t>142 Pieces Police Patrol Chase Create a Road Super Snap Speedway - Magic Journey Flexible Track Set with LED Light Up Toy Cars</t>
        </is>
      </c>
      <c r="E4465" s="2">
        <f>HYPERLINK("https://www.amazon.com/Liberty-Imports-Speedway-Flexible-Toddlers/dp/B0753RW93L/ref=sr_1_4?keywords=Road+Track+Toy+-+Ringroad&amp;qid=1695565942&amp;sr=8-4", "https://www.amazon.com/Liberty-Imports-Speedway-Flexible-Toddlers/dp/B0753RW93L/ref=sr_1_4?keywords=Road+Track+Toy+-+Ringroad&amp;qid=1695565942&amp;sr=8-4")</f>
        <v/>
      </c>
      <c r="F4465" t="inlineStr">
        <is>
          <t>B0753RW93L</t>
        </is>
      </c>
      <c r="G4465">
        <f>_xlfn.IMAGE("https://faoschwarz.com/cdn/shop/products/waytoplay-vehicles-road-track-toy-ringroad-29758087135319_1080x.jpg?v=1668914313")</f>
        <v/>
      </c>
      <c r="H4465">
        <f>_xlfn.IMAGE("https://m.media-amazon.com/images/I/81lUVSDkiwL._AC_UL320_.jpg")</f>
        <v/>
      </c>
      <c r="K4465" t="inlineStr">
        <is>
          <t>44.0</t>
        </is>
      </c>
      <c r="L4465" t="n">
        <v>26.93</v>
      </c>
      <c r="M4465" s="1" t="inlineStr">
        <is>
          <t>-38.80%</t>
        </is>
      </c>
      <c r="N4465" t="n">
        <v>4.5</v>
      </c>
      <c r="O4465" t="n">
        <v>573</v>
      </c>
      <c r="Q4465" t="inlineStr">
        <is>
          <t>InStock</t>
        </is>
      </c>
      <c r="R4465" t="inlineStr">
        <is>
          <t>undefined</t>
        </is>
      </c>
      <c r="S4465" t="inlineStr">
        <is>
          <t>6832627679319</t>
        </is>
      </c>
    </row>
    <row r="4466" ht="75" customHeight="1">
      <c r="A4466" s="2">
        <f>HYPERLINK("https://faoschwarz.com/products/road-track-toy-ringroad", "https://faoschwarz.com/products/road-track-toy-ringroad")</f>
        <v/>
      </c>
      <c r="B4466" s="2">
        <f>HYPERLINK("https://faoschwarz.com/products/road-track-toy-ringroad", "https://faoschwarz.com/products/road-track-toy-ringroad")</f>
        <v/>
      </c>
      <c r="C4466" t="inlineStr">
        <is>
          <t>Road Track Toy - Ringroad</t>
        </is>
      </c>
      <c r="D4466" t="inlineStr">
        <is>
          <t>Joonly Race Track Car Toy for Kids Dinosaur Adventure Vehicle Playset with 5 Mini Cars &amp; Road Map Race Car Track Toys Educational Toy for 3 4 5 6 7 Year Old Boys Girls</t>
        </is>
      </c>
      <c r="E4466" s="2">
        <f>HYPERLINK("https://www.amazon.com/Joonly-Dinosaur-Adventure-Vehicle-Educational/dp/B0BZYRKHD5/ref=sr_1_9?keywords=Road+Track+Toy+-+Ringroad&amp;qid=1695565942&amp;sr=8-9", "https://www.amazon.com/Joonly-Dinosaur-Adventure-Vehicle-Educational/dp/B0BZYRKHD5/ref=sr_1_9?keywords=Road+Track+Toy+-+Ringroad&amp;qid=1695565942&amp;sr=8-9")</f>
        <v/>
      </c>
      <c r="F4466" t="inlineStr">
        <is>
          <t>B0BZYRKHD5</t>
        </is>
      </c>
      <c r="G4466">
        <f>_xlfn.IMAGE("https://faoschwarz.com/cdn/shop/products/waytoplay-vehicles-road-track-toy-ringroad-29758087135319_1080x.jpg?v=1668914313")</f>
        <v/>
      </c>
      <c r="H4466">
        <f>_xlfn.IMAGE("https://m.media-amazon.com/images/I/71pXkY889QL._AC_UL320_.jpg")</f>
        <v/>
      </c>
      <c r="K4466" t="inlineStr">
        <is>
          <t>44.0</t>
        </is>
      </c>
      <c r="L4466" t="n">
        <v>23.99</v>
      </c>
      <c r="M4466" s="1" t="inlineStr">
        <is>
          <t>-45.48%</t>
        </is>
      </c>
      <c r="N4466" t="n">
        <v>4</v>
      </c>
      <c r="O4466" t="n">
        <v>4</v>
      </c>
      <c r="Q4466" t="inlineStr">
        <is>
          <t>InStock</t>
        </is>
      </c>
      <c r="R4466" t="inlineStr">
        <is>
          <t>undefined</t>
        </is>
      </c>
      <c r="S4466" t="inlineStr">
        <is>
          <t>6832627679319</t>
        </is>
      </c>
    </row>
    <row r="4467" ht="75" customHeight="1">
      <c r="A4467" s="2">
        <f>HYPERLINK("https://faoschwarz.com/products/road-track-toy-ringroad", "https://faoschwarz.com/products/road-track-toy-ringroad")</f>
        <v/>
      </c>
      <c r="B4467" s="2">
        <f>HYPERLINK("https://faoschwarz.com/products/road-track-toy-ringroad", "https://faoschwarz.com/products/road-track-toy-ringroad")</f>
        <v/>
      </c>
      <c r="C4467" t="inlineStr">
        <is>
          <t>Road Track Toy - Ringroad</t>
        </is>
      </c>
      <c r="D4467" t="inlineStr">
        <is>
          <t>346PCS Construction Race Tracks for Kids Boys Toys,Track Series,Construction Car and Flexible Track Playset Create A Engineering Road Toys for 3 4 5 6 7 8 Years Old Boys Girls DIY Gift</t>
        </is>
      </c>
      <c r="E4467" s="2">
        <f>HYPERLINK("https://www.amazon.com/likid-Construction-%EF%BC%8CConstruction-Flexible-Engineering/dp/B09752FJDY/ref=sr_1_3?keywords=Road+Track+Toy+-+Ringroad&amp;qid=1695565942&amp;sr=8-3", "https://www.amazon.com/likid-Construction-%EF%BC%8CConstruction-Flexible-Engineering/dp/B09752FJDY/ref=sr_1_3?keywords=Road+Track+Toy+-+Ringroad&amp;qid=1695565942&amp;sr=8-3")</f>
        <v/>
      </c>
      <c r="F4467" t="inlineStr">
        <is>
          <t>B09752FJDY</t>
        </is>
      </c>
      <c r="G4467">
        <f>_xlfn.IMAGE("https://faoschwarz.com/cdn/shop/products/waytoplay-vehicles-road-track-toy-ringroad-29758087135319_1080x.jpg?v=1668914313")</f>
        <v/>
      </c>
      <c r="H4467">
        <f>_xlfn.IMAGE("https://m.media-amazon.com/images/I/81nKVSq7aES._AC_UL320_.jpg")</f>
        <v/>
      </c>
      <c r="K4467" t="inlineStr">
        <is>
          <t>44.0</t>
        </is>
      </c>
      <c r="L4467" t="n">
        <v>17.8</v>
      </c>
      <c r="M4467" s="1" t="inlineStr">
        <is>
          <t>-59.55%</t>
        </is>
      </c>
      <c r="N4467" t="n">
        <v>4.1</v>
      </c>
      <c r="O4467" t="n">
        <v>109</v>
      </c>
      <c r="Q4467" t="inlineStr">
        <is>
          <t>InStock</t>
        </is>
      </c>
      <c r="R4467" t="inlineStr">
        <is>
          <t>undefined</t>
        </is>
      </c>
      <c r="S4467" t="inlineStr">
        <is>
          <t>6832627679319</t>
        </is>
      </c>
    </row>
    <row r="4468" ht="75" customHeight="1">
      <c r="A4468" s="2">
        <f>HYPERLINK("https://faoschwarz.com/products/road-track-toy-ringroad", "https://faoschwarz.com/products/road-track-toy-ringroad")</f>
        <v/>
      </c>
      <c r="B4468" s="2">
        <f>HYPERLINK("https://faoschwarz.com/products/road-track-toy-ringroad", "https://faoschwarz.com/products/road-track-toy-ringroad")</f>
        <v/>
      </c>
      <c r="C4468" t="inlineStr">
        <is>
          <t>Road Track Toy - Ringroad</t>
        </is>
      </c>
      <c r="D4468" t="inlineStr">
        <is>
          <t>236 PCS Construction Race Tracks Toys for Kids Boys, 6 PCS Construction Car and Flexible Race Tracks Playset Create A Engineering Road Toys Gifts for 3 4 5 6 Year Old Boys Kids Girls</t>
        </is>
      </c>
      <c r="E4468" s="2">
        <f>HYPERLINK("https://www.amazon.com/Garbo-Star-Construction-Flexible-Engineering/dp/B09ZK5JTL2/ref=sr_1_7?keywords=Road+Track+Toy+-+Ringroad&amp;qid=1695565942&amp;sr=8-7", "https://www.amazon.com/Garbo-Star-Construction-Flexible-Engineering/dp/B09ZK5JTL2/ref=sr_1_7?keywords=Road+Track+Toy+-+Ringroad&amp;qid=1695565942&amp;sr=8-7")</f>
        <v/>
      </c>
      <c r="F4468" t="inlineStr">
        <is>
          <t>B09ZK5JTL2</t>
        </is>
      </c>
      <c r="G4468">
        <f>_xlfn.IMAGE("https://faoschwarz.com/cdn/shop/products/waytoplay-vehicles-road-track-toy-ringroad-29758087135319_1080x.jpg?v=1668914313")</f>
        <v/>
      </c>
      <c r="H4468">
        <f>_xlfn.IMAGE("https://m.media-amazon.com/images/I/81nxZ3rSEeL._AC_UL320_.jpg")</f>
        <v/>
      </c>
      <c r="K4468" t="inlineStr">
        <is>
          <t>44.0</t>
        </is>
      </c>
      <c r="L4468" t="n">
        <v>12.99</v>
      </c>
      <c r="M4468" s="1" t="inlineStr">
        <is>
          <t>-70.48%</t>
        </is>
      </c>
      <c r="N4468" t="n">
        <v>3.7</v>
      </c>
      <c r="O4468" t="n">
        <v>14</v>
      </c>
      <c r="Q4468" t="inlineStr">
        <is>
          <t>InStock</t>
        </is>
      </c>
      <c r="R4468" t="inlineStr">
        <is>
          <t>undefined</t>
        </is>
      </c>
      <c r="S4468" t="inlineStr">
        <is>
          <t>6832627679319</t>
        </is>
      </c>
    </row>
    <row r="4469" ht="75" customHeight="1">
      <c r="A4469" s="2">
        <f>HYPERLINK("https://faoschwarz.com/products/rockefeller-center-joy-puzzle", "https://faoschwarz.com/products/rockefeller-center-joy-puzzle")</f>
        <v/>
      </c>
      <c r="B4469" s="2">
        <f>HYPERLINK("https://faoschwarz.com/products/rockefeller-center-joy-puzzle", "https://faoschwarz.com/products/rockefeller-center-joy-puzzle")</f>
        <v/>
      </c>
      <c r="C4469" t="inlineStr">
        <is>
          <t>Rockefeller Center Joy Puzzle</t>
        </is>
      </c>
      <c r="D4469" t="inlineStr">
        <is>
          <t>Ravensburger Rockefeller Center Joy 1000 Piece Jigsaw Puzzle for Adults - 17132 - Every Piece is Unique, Softclick Technology Means Pieces Fit Together Perfectly</t>
        </is>
      </c>
      <c r="E4469" s="2">
        <f>HYPERLINK("https://www.amazon.com/Ravensburger-Rockefeller-Center-Jigsaw-Puzzle/dp/B0B3F6HJ3R/ref=sr_1_1?keywords=Rockefeller+Center+Joy+Puzzle&amp;qid=1695566012&amp;sr=8-1", "https://www.amazon.com/Ravensburger-Rockefeller-Center-Jigsaw-Puzzle/dp/B0B3F6HJ3R/ref=sr_1_1?keywords=Rockefeller+Center+Joy+Puzzle&amp;qid=1695566012&amp;sr=8-1")</f>
        <v/>
      </c>
      <c r="F4469" t="inlineStr">
        <is>
          <t>B0B3F6HJ3R</t>
        </is>
      </c>
      <c r="G4469">
        <f>_xlfn.IMAGE("https://faoschwarz.com/cdn/shop/files/ravensburger-puzzles-rockefeller-center-joy-puzzle-30297392611415_1080x.jpg?v=1685190482")</f>
        <v/>
      </c>
      <c r="H4469">
        <f>_xlfn.IMAGE("https://m.media-amazon.com/images/I/81uryIzKbcL._AC_UL320_.jpg")</f>
        <v/>
      </c>
      <c r="K4469" t="inlineStr">
        <is>
          <t>25.0</t>
        </is>
      </c>
      <c r="L4469" t="n">
        <v>24.99</v>
      </c>
      <c r="M4469" s="1" t="inlineStr">
        <is>
          <t>-0.04%</t>
        </is>
      </c>
      <c r="N4469" t="n">
        <v>4.5</v>
      </c>
      <c r="O4469" t="n">
        <v>20</v>
      </c>
      <c r="Q4469" t="inlineStr">
        <is>
          <t>InStock</t>
        </is>
      </c>
      <c r="R4469" t="inlineStr">
        <is>
          <t>undefined</t>
        </is>
      </c>
      <c r="S4469" t="inlineStr">
        <is>
          <t>6877973643351</t>
        </is>
      </c>
    </row>
    <row r="4470" ht="75" customHeight="1">
      <c r="A4470" s="2">
        <f>HYPERLINK("https://faoschwarz.com/products/rockefeller-center-joy-puzzle", "https://faoschwarz.com/products/rockefeller-center-joy-puzzle")</f>
        <v/>
      </c>
      <c r="B4470" s="2">
        <f>HYPERLINK("https://faoschwarz.com/products/rockefeller-center-joy-puzzle", "https://faoschwarz.com/products/rockefeller-center-joy-puzzle")</f>
        <v/>
      </c>
      <c r="C4470" t="inlineStr">
        <is>
          <t>Rockefeller Center Joy Puzzle</t>
        </is>
      </c>
      <c r="D4470" t="inlineStr">
        <is>
          <t>Briarpatch Rockefeller Center Puzzle</t>
        </is>
      </c>
      <c r="E4470" s="2">
        <f>HYPERLINK("https://www.amazon.com/Briarpatch-BP28201-Rockefeller-Center-Puzzle/dp/B0009YDS7O/ref=sr_1_4?keywords=Rockefeller+Center+Joy+Puzzle&amp;qid=1695566012&amp;sr=8-4", "https://www.amazon.com/Briarpatch-BP28201-Rockefeller-Center-Puzzle/dp/B0009YDS7O/ref=sr_1_4?keywords=Rockefeller+Center+Joy+Puzzle&amp;qid=1695566012&amp;sr=8-4")</f>
        <v/>
      </c>
      <c r="F4470" t="inlineStr">
        <is>
          <t>B0009YDS7O</t>
        </is>
      </c>
      <c r="G4470">
        <f>_xlfn.IMAGE("https://faoschwarz.com/cdn/shop/files/ravensburger-puzzles-rockefeller-center-joy-puzzle-30297392611415_1080x.jpg?v=1685190482")</f>
        <v/>
      </c>
      <c r="H4470">
        <f>_xlfn.IMAGE("https://m.media-amazon.com/images/I/918yKWSkyxL._AC_UL320_.jpg")</f>
        <v/>
      </c>
      <c r="K4470" t="inlineStr">
        <is>
          <t>25.0</t>
        </is>
      </c>
      <c r="L4470" t="n">
        <v>22.99</v>
      </c>
      <c r="M4470" s="1" t="inlineStr">
        <is>
          <t>-8.04%</t>
        </is>
      </c>
      <c r="N4470" t="n">
        <v>3.8</v>
      </c>
      <c r="O4470" t="n">
        <v>35</v>
      </c>
      <c r="Q4470" t="inlineStr">
        <is>
          <t>InStock</t>
        </is>
      </c>
      <c r="R4470" t="inlineStr">
        <is>
          <t>undefined</t>
        </is>
      </c>
      <c r="S4470" t="inlineStr">
        <is>
          <t>6877973643351</t>
        </is>
      </c>
    </row>
    <row r="4471" ht="75" customHeight="1">
      <c r="A4471" s="2">
        <f>HYPERLINK("https://faoschwarz.com/products/rockefeller-center-joy-puzzle", "https://faoschwarz.com/products/rockefeller-center-joy-puzzle")</f>
        <v/>
      </c>
      <c r="B4471" s="2">
        <f>HYPERLINK("https://faoschwarz.com/products/rockefeller-center-joy-puzzle", "https://faoschwarz.com/products/rockefeller-center-joy-puzzle")</f>
        <v/>
      </c>
      <c r="C4471" t="inlineStr">
        <is>
          <t>Rockefeller Center Joy Puzzle</t>
        </is>
      </c>
      <c r="D4471" t="inlineStr">
        <is>
          <t>Vermont Christmas Company Rockefeller Center Jigsaw Puzzle 1000 Piece 24"x30" - Large, Interlocking Pieces - Unique, Randomly Shaped Pieces - Puzzle for Adults</t>
        </is>
      </c>
      <c r="E4471" s="2">
        <f>HYPERLINK("https://www.amazon.com/Vermont-Christmas-Company-Rockefeller-Center/dp/B06X9WX2BJ/ref=sr_1_3?keywords=Rockefeller+Center+Joy+Puzzle&amp;qid=1695566012&amp;sr=8-3", "https://www.amazon.com/Vermont-Christmas-Company-Rockefeller-Center/dp/B06X9WX2BJ/ref=sr_1_3?keywords=Rockefeller+Center+Joy+Puzzle&amp;qid=1695566012&amp;sr=8-3")</f>
        <v/>
      </c>
      <c r="F4471" t="inlineStr">
        <is>
          <t>B06X9WX2BJ</t>
        </is>
      </c>
      <c r="G4471">
        <f>_xlfn.IMAGE("https://faoschwarz.com/cdn/shop/files/ravensburger-puzzles-rockefeller-center-joy-puzzle-30297392611415_1080x.jpg?v=1685190482")</f>
        <v/>
      </c>
      <c r="H4471">
        <f>_xlfn.IMAGE("https://m.media-amazon.com/images/I/810K-zxOHZL._AC_UL320_.jpg")</f>
        <v/>
      </c>
      <c r="K4471" t="inlineStr">
        <is>
          <t>25.0</t>
        </is>
      </c>
      <c r="L4471" t="n">
        <v>17.95</v>
      </c>
      <c r="M4471" s="1" t="inlineStr">
        <is>
          <t>-28.20%</t>
        </is>
      </c>
      <c r="N4471" t="n">
        <v>4.7</v>
      </c>
      <c r="O4471" t="n">
        <v>342</v>
      </c>
      <c r="Q4471" t="inlineStr">
        <is>
          <t>InStock</t>
        </is>
      </c>
      <c r="R4471" t="inlineStr">
        <is>
          <t>undefined</t>
        </is>
      </c>
      <c r="S4471" t="inlineStr">
        <is>
          <t>6877973643351</t>
        </is>
      </c>
    </row>
    <row r="4472" ht="75" customHeight="1">
      <c r="A4472" s="2">
        <f>HYPERLINK("https://faoschwarz.com/products/rockefeller-center-joy-puzzle", "https://faoschwarz.com/products/rockefeller-center-joy-puzzle")</f>
        <v/>
      </c>
      <c r="B4472" s="2">
        <f>HYPERLINK("https://faoschwarz.com/products/rockefeller-center-joy-puzzle", "https://faoschwarz.com/products/rockefeller-center-joy-puzzle")</f>
        <v/>
      </c>
      <c r="C4472" t="inlineStr">
        <is>
          <t>Rockefeller Center Joy Puzzle</t>
        </is>
      </c>
      <c r="D4472" t="inlineStr">
        <is>
          <t>SUNSOUT INC - Rockefeller Center - 500 pc Jigsaw Puzzle by Artist: Kathy Jakobsen - Finished Size 18" x 24" Christmas - MPN# 60977</t>
        </is>
      </c>
      <c r="E4472" s="2">
        <f>HYPERLINK("https://www.amazon.com/SUNSOUT-INC-Rockefeller-Christmas-Holiday/dp/B07WRN2T5K/ref=sr_1_6?keywords=Rockefeller+Center+Joy+Puzzle&amp;qid=1695566012&amp;sr=8-6", "https://www.amazon.com/SUNSOUT-INC-Rockefeller-Christmas-Holiday/dp/B07WRN2T5K/ref=sr_1_6?keywords=Rockefeller+Center+Joy+Puzzle&amp;qid=1695566012&amp;sr=8-6")</f>
        <v/>
      </c>
      <c r="F4472" t="inlineStr">
        <is>
          <t>B07WRN2T5K</t>
        </is>
      </c>
      <c r="G4472">
        <f>_xlfn.IMAGE("https://faoschwarz.com/cdn/shop/files/ravensburger-puzzles-rockefeller-center-joy-puzzle-30297392611415_1080x.jpg?v=1685190482")</f>
        <v/>
      </c>
      <c r="H4472">
        <f>_xlfn.IMAGE("https://m.media-amazon.com/images/I/81cCOjpz-tL._AC_UL320_.jpg")</f>
        <v/>
      </c>
      <c r="K4472" t="inlineStr">
        <is>
          <t>25.0</t>
        </is>
      </c>
      <c r="L4472" t="n">
        <v>12.09</v>
      </c>
      <c r="M4472" s="1" t="inlineStr">
        <is>
          <t>-51.64%</t>
        </is>
      </c>
      <c r="N4472" t="n">
        <v>4.6</v>
      </c>
      <c r="O4472" t="n">
        <v>47</v>
      </c>
      <c r="Q4472" t="inlineStr">
        <is>
          <t>InStock</t>
        </is>
      </c>
      <c r="R4472" t="inlineStr">
        <is>
          <t>undefined</t>
        </is>
      </c>
      <c r="S4472" t="inlineStr">
        <is>
          <t>6877973643351</t>
        </is>
      </c>
    </row>
    <row r="4473" ht="75" customHeight="1">
      <c r="A4473" s="2">
        <f>HYPERLINK("https://faoschwarz.com/products/rockefeller-center-joy-puzzle", "https://faoschwarz.com/products/rockefeller-center-joy-puzzle")</f>
        <v/>
      </c>
      <c r="B4473" s="2">
        <f>HYPERLINK("https://faoschwarz.com/products/rockefeller-center-joy-puzzle", "https://faoschwarz.com/products/rockefeller-center-joy-puzzle")</f>
        <v/>
      </c>
      <c r="C4473" t="inlineStr">
        <is>
          <t>Rockefeller Center Joy Puzzle</t>
        </is>
      </c>
      <c r="D4473" t="inlineStr">
        <is>
          <t>Vermont Christmas Company Rockefeller Center Jigsaw Puzzle 1000 Piece 24"x30" - Large, Interlocking Pieces - Unique, Randomly Shaped Pieces - Puzzle for Adults</t>
        </is>
      </c>
      <c r="E4473" s="2">
        <f>HYPERLINK("https://www.amazon.com/Vermont-Christmas-Company-Rockefeller-Center/dp/B06X9WX2BJ/ref=sr_1_3?keywords=Rockefeller+Center+Joy+Puzzle&amp;qid=1695566012&amp;sr=8-3", "https://www.amazon.com/Vermont-Christmas-Company-Rockefeller-Center/dp/B06X9WX2BJ/ref=sr_1_3?keywords=Rockefeller+Center+Joy+Puzzle&amp;qid=1695566012&amp;sr=8-3")</f>
        <v/>
      </c>
      <c r="F4473" t="inlineStr">
        <is>
          <t>B06X9WX2BJ</t>
        </is>
      </c>
      <c r="G4473">
        <f>_xlfn.IMAGE("https://faoschwarz.com/cdn/shop/files/ravensburger-puzzles-rockefeller-center-joy-puzzle-30297392611415_1080x.jpg?v=1685190482")</f>
        <v/>
      </c>
      <c r="H4473">
        <f>_xlfn.IMAGE("https://m.media-amazon.com/images/I/810K-zxOHZL._AC_UL320_.jpg")</f>
        <v/>
      </c>
      <c r="K4473" t="inlineStr">
        <is>
          <t>25.0</t>
        </is>
      </c>
      <c r="L4473" t="n">
        <v>17.95</v>
      </c>
      <c r="M4473" s="1" t="inlineStr">
        <is>
          <t>-28.20%</t>
        </is>
      </c>
      <c r="N4473" t="n">
        <v>4.7</v>
      </c>
      <c r="O4473" t="n">
        <v>342</v>
      </c>
      <c r="Q4473" t="inlineStr">
        <is>
          <t>InStock</t>
        </is>
      </c>
      <c r="R4473" t="inlineStr">
        <is>
          <t>undefined</t>
        </is>
      </c>
      <c r="S4473" t="inlineStr">
        <is>
          <t>6877973643351</t>
        </is>
      </c>
    </row>
    <row r="4474" ht="75" customHeight="1">
      <c r="A4474" s="2">
        <f>HYPERLINK("https://faoschwarz.com/products/rockefeller-center-joy-puzzle", "https://faoschwarz.com/products/rockefeller-center-joy-puzzle")</f>
        <v/>
      </c>
      <c r="B4474" s="2">
        <f>HYPERLINK("https://faoschwarz.com/products/rockefeller-center-joy-puzzle", "https://faoschwarz.com/products/rockefeller-center-joy-puzzle")</f>
        <v/>
      </c>
      <c r="C4474" t="inlineStr">
        <is>
          <t>Rockefeller Center Joy Puzzle</t>
        </is>
      </c>
      <c r="D4474" t="inlineStr">
        <is>
          <t>SUNSOUT INC - Rockefeller Center - 500 pc Jigsaw Puzzle by Artist: Kathy Jakobsen - Finished Size 18" x 24" Christmas - MPN# 60977</t>
        </is>
      </c>
      <c r="E4474" s="2">
        <f>HYPERLINK("https://www.amazon.com/SUNSOUT-INC-Rockefeller-Christmas-Holiday/dp/B07WRN2T5K/ref=sr_1_6?keywords=Rockefeller+Center+Joy+Puzzle&amp;qid=1695566012&amp;sr=8-6", "https://www.amazon.com/SUNSOUT-INC-Rockefeller-Christmas-Holiday/dp/B07WRN2T5K/ref=sr_1_6?keywords=Rockefeller+Center+Joy+Puzzle&amp;qid=1695566012&amp;sr=8-6")</f>
        <v/>
      </c>
      <c r="F4474" t="inlineStr">
        <is>
          <t>B07WRN2T5K</t>
        </is>
      </c>
      <c r="G4474">
        <f>_xlfn.IMAGE("https://faoschwarz.com/cdn/shop/files/ravensburger-puzzles-rockefeller-center-joy-puzzle-30297392611415_1080x.jpg?v=1685190482")</f>
        <v/>
      </c>
      <c r="H4474">
        <f>_xlfn.IMAGE("https://m.media-amazon.com/images/I/81cCOjpz-tL._AC_UL320_.jpg")</f>
        <v/>
      </c>
      <c r="K4474" t="inlineStr">
        <is>
          <t>25.0</t>
        </is>
      </c>
      <c r="L4474" t="n">
        <v>12.09</v>
      </c>
      <c r="M4474" s="1" t="inlineStr">
        <is>
          <t>-51.64%</t>
        </is>
      </c>
      <c r="N4474" t="n">
        <v>4.6</v>
      </c>
      <c r="O4474" t="n">
        <v>47</v>
      </c>
      <c r="Q4474" t="inlineStr">
        <is>
          <t>InStock</t>
        </is>
      </c>
      <c r="R4474" t="inlineStr">
        <is>
          <t>undefined</t>
        </is>
      </c>
      <c r="S4474" t="inlineStr">
        <is>
          <t>6877973643351</t>
        </is>
      </c>
    </row>
    <row r="4475" ht="75" customHeight="1">
      <c r="A4475" s="2">
        <f>HYPERLINK("https://faoschwarz.com/products/scattergories-categories", "https://faoschwarz.com/products/scattergories-categories")</f>
        <v/>
      </c>
      <c r="B4475" s="2">
        <f>HYPERLINK("https://faoschwarz.com/products/scattergories-categories", "https://faoschwarz.com/products/scattergories-categories")</f>
        <v/>
      </c>
      <c r="C4475" t="inlineStr">
        <is>
          <t>Scattergories Categories</t>
        </is>
      </c>
      <c r="D4475" t="inlineStr">
        <is>
          <t>Scattergories Categories - A Fun Twist on the Fast-Thinking Original - 2 or More Players - Ages 12 and Up</t>
        </is>
      </c>
      <c r="E4475" s="2">
        <f>HYPERLINK("https://www.amazon.com/Scattergories-Categories-Fast-Thinking-Original-Players/dp/B003WQRIR2/ref=sr_1_1?keywords=Scattergories+Categories&amp;qid=1695565987&amp;sr=8-1", "https://www.amazon.com/Scattergories-Categories-Fast-Thinking-Original-Players/dp/B003WQRIR2/ref=sr_1_1?keywords=Scattergories+Categories&amp;qid=1695565987&amp;sr=8-1")</f>
        <v/>
      </c>
      <c r="F4475" t="inlineStr">
        <is>
          <t>B003WQRIR2</t>
        </is>
      </c>
      <c r="G4475">
        <f>_xlfn.IMAGE("https://faoschwarz.com/cdn/shop/products/winning-moves-games-scattergories-categories-14736353165399_1080x.jpg?v=1656108139")</f>
        <v/>
      </c>
      <c r="H4475">
        <f>_xlfn.IMAGE("https://m.media-amazon.com/images/I/710IhDvWfoL._AC_UL320_.jpg")</f>
        <v/>
      </c>
      <c r="K4475" t="inlineStr">
        <is>
          <t>21.0</t>
        </is>
      </c>
      <c r="L4475" t="n">
        <v>20.99</v>
      </c>
      <c r="M4475" s="1" t="inlineStr">
        <is>
          <t>-0.05%</t>
        </is>
      </c>
      <c r="N4475" t="n">
        <v>4.7</v>
      </c>
      <c r="O4475" t="n">
        <v>1419</v>
      </c>
      <c r="Q4475" t="inlineStr">
        <is>
          <t>InStock</t>
        </is>
      </c>
      <c r="R4475" t="inlineStr">
        <is>
          <t>undefined</t>
        </is>
      </c>
      <c r="S4475" t="inlineStr">
        <is>
          <t>4627634683991</t>
        </is>
      </c>
    </row>
    <row r="4476" ht="75" customHeight="1">
      <c r="A4476" s="2">
        <f>HYPERLINK("https://faoschwarz.com/products/scattergories-categories", "https://faoschwarz.com/products/scattergories-categories")</f>
        <v/>
      </c>
      <c r="B4476" s="2">
        <f>HYPERLINK("https://faoschwarz.com/products/scattergories-categories", "https://faoschwarz.com/products/scattergories-categories")</f>
        <v/>
      </c>
      <c r="C4476" t="inlineStr">
        <is>
          <t>Scattergories Categories</t>
        </is>
      </c>
      <c r="D4476" t="inlineStr">
        <is>
          <t>Scattergories The Card Game Your Favorite Categories Game Meets Slap Jack For At Home, On a Road Trip, or Vacation 2 or More Players Ages 8 and Up</t>
        </is>
      </c>
      <c r="E4476" s="2">
        <f>HYPERLINK("https://www.amazon.com/Scattergories-Favorite-Categories-Vacation-Players/dp/B001G52E2K/ref=sr_1_4?keywords=Scattergories+Categories&amp;qid=1695565987&amp;sr=8-4", "https://www.amazon.com/Scattergories-Favorite-Categories-Vacation-Players/dp/B001G52E2K/ref=sr_1_4?keywords=Scattergories+Categories&amp;qid=1695565987&amp;sr=8-4")</f>
        <v/>
      </c>
      <c r="F4476" t="inlineStr">
        <is>
          <t>B001G52E2K</t>
        </is>
      </c>
      <c r="G4476">
        <f>_xlfn.IMAGE("https://faoschwarz.com/cdn/shop/products/winning-moves-games-scattergories-categories-14736353165399_1080x.jpg?v=1656108139")</f>
        <v/>
      </c>
      <c r="H4476">
        <f>_xlfn.IMAGE("https://m.media-amazon.com/images/I/715U1aiNXPL._AC_UL320_.jpg")</f>
        <v/>
      </c>
      <c r="K4476" t="inlineStr">
        <is>
          <t>21.0</t>
        </is>
      </c>
      <c r="L4476" t="n">
        <v>10.99</v>
      </c>
      <c r="M4476" s="1" t="inlineStr">
        <is>
          <t>-47.67%</t>
        </is>
      </c>
      <c r="N4476" t="n">
        <v>4.7</v>
      </c>
      <c r="O4476" t="n">
        <v>1270</v>
      </c>
      <c r="Q4476" t="inlineStr">
        <is>
          <t>InStock</t>
        </is>
      </c>
      <c r="R4476" t="inlineStr">
        <is>
          <t>undefined</t>
        </is>
      </c>
      <c r="S4476" t="inlineStr">
        <is>
          <t>4627634683991</t>
        </is>
      </c>
    </row>
    <row r="4477" ht="75" customHeight="1">
      <c r="A4477" s="2">
        <f>HYPERLINK("https://faoschwarz.com/products/scattergories-categories", "https://faoschwarz.com/products/scattergories-categories")</f>
        <v/>
      </c>
      <c r="B4477" s="2">
        <f>HYPERLINK("https://faoschwarz.com/products/scattergories-categories", "https://faoschwarz.com/products/scattergories-categories")</f>
        <v/>
      </c>
      <c r="C4477" t="inlineStr">
        <is>
          <t>Scattergories Categories</t>
        </is>
      </c>
      <c r="D4477" t="inlineStr">
        <is>
          <t>Scattergories Categories Refill Sheets: 120 Refill Sheets for Scattergories Categories Game, Handy Size 5 X 8 inches ( for Family )</t>
        </is>
      </c>
      <c r="E4477" s="2">
        <f>HYPERLINK("https://www.amazon.com/Scattergories-Categories-Refill-Sheets-inches/dp/B08M7JBMC5/ref=sr_1_3?keywords=Scattergories+Categories&amp;qid=1695565987&amp;sr=8-3", "https://www.amazon.com/Scattergories-Categories-Refill-Sheets-inches/dp/B08M7JBMC5/ref=sr_1_3?keywords=Scattergories+Categories&amp;qid=1695565987&amp;sr=8-3")</f>
        <v/>
      </c>
      <c r="F4477" t="inlineStr">
        <is>
          <t>B08M7JBMC5</t>
        </is>
      </c>
      <c r="G4477">
        <f>_xlfn.IMAGE("https://faoschwarz.com/cdn/shop/products/winning-moves-games-scattergories-categories-14736353165399_1080x.jpg?v=1656108139")</f>
        <v/>
      </c>
      <c r="H4477">
        <f>_xlfn.IMAGE("https://m.media-amazon.com/images/I/714eq8p6ZxL._AC_UL320_.jpg")</f>
        <v/>
      </c>
      <c r="K4477" t="inlineStr">
        <is>
          <t>21.0</t>
        </is>
      </c>
      <c r="L4477" t="n">
        <v>6.9</v>
      </c>
      <c r="M4477" s="1" t="inlineStr">
        <is>
          <t>-67.14%</t>
        </is>
      </c>
      <c r="N4477" t="n">
        <v>4</v>
      </c>
      <c r="O4477" t="n">
        <v>32</v>
      </c>
      <c r="Q4477" t="inlineStr">
        <is>
          <t>InStock</t>
        </is>
      </c>
      <c r="R4477" t="inlineStr">
        <is>
          <t>undefined</t>
        </is>
      </c>
      <c r="S4477" t="inlineStr">
        <is>
          <t>4627634683991</t>
        </is>
      </c>
    </row>
    <row r="4478" ht="75" customHeight="1">
      <c r="A4478" s="2">
        <f>HYPERLINK("https://faoschwarz.com/products/scattergories-categories", "https://faoschwarz.com/products/scattergories-categories")</f>
        <v/>
      </c>
      <c r="B4478" s="2">
        <f>HYPERLINK("https://faoschwarz.com/products/scattergories-categories", "https://faoschwarz.com/products/scattergories-categories")</f>
        <v/>
      </c>
      <c r="C4478" t="inlineStr">
        <is>
          <t>Scattergories Categories</t>
        </is>
      </c>
      <c r="D4478" t="inlineStr">
        <is>
          <t>Scattergories Categories Game Sheets: 120 Refill Sheets for Scattergories Categories Game , Handy Size 6 X 9 inches</t>
        </is>
      </c>
      <c r="E4478" s="2">
        <f>HYPERLINK("https://www.amazon.com/Scattergories-Categories-Game-Sheets-Refill/dp/B09MGYFBPD/ref=sr_1_10?keywords=Scattergories+Categories&amp;qid=1695565987&amp;sr=8-10", "https://www.amazon.com/Scattergories-Categories-Game-Sheets-Refill/dp/B09MGYFBPD/ref=sr_1_10?keywords=Scattergories+Categories&amp;qid=1695565987&amp;sr=8-10")</f>
        <v/>
      </c>
      <c r="F4478" t="inlineStr">
        <is>
          <t>B09MGYFBPD</t>
        </is>
      </c>
      <c r="G4478">
        <f>_xlfn.IMAGE("https://faoschwarz.com/cdn/shop/products/winning-moves-games-scattergories-categories-14736353165399_1080x.jpg?v=1656108139")</f>
        <v/>
      </c>
      <c r="H4478">
        <f>_xlfn.IMAGE("https://m.media-amazon.com/images/I/61CDbQKzM1L._AC_UL320_.jpg")</f>
        <v/>
      </c>
      <c r="K4478" t="inlineStr">
        <is>
          <t>21.0</t>
        </is>
      </c>
      <c r="L4478" t="n">
        <v>5.96</v>
      </c>
      <c r="M4478" s="1" t="inlineStr">
        <is>
          <t>-71.62%</t>
        </is>
      </c>
      <c r="N4478" t="n">
        <v>3.5</v>
      </c>
      <c r="O4478" t="n">
        <v>3</v>
      </c>
      <c r="Q4478" t="inlineStr">
        <is>
          <t>InStock</t>
        </is>
      </c>
      <c r="R4478" t="inlineStr">
        <is>
          <t>undefined</t>
        </is>
      </c>
      <c r="S4478" t="inlineStr">
        <is>
          <t>4627634683991</t>
        </is>
      </c>
    </row>
    <row r="4479" ht="75" customHeight="1">
      <c r="A4479" s="2">
        <f>HYPERLINK("https://faoschwarz.com/products/scattergories-categories", "https://faoschwarz.com/products/scattergories-categories")</f>
        <v/>
      </c>
      <c r="B4479" s="2">
        <f>HYPERLINK("https://faoschwarz.com/products/scattergories-categories", "https://faoschwarz.com/products/scattergories-categories")</f>
        <v/>
      </c>
      <c r="C4479" t="inlineStr">
        <is>
          <t>Scattergories Categories</t>
        </is>
      </c>
      <c r="D4479" t="inlineStr">
        <is>
          <t>Scattergories The Card Game Your Favorite Categories Game Meets Slap Jack For At Home, On a Road Trip, or Vacation 2 or More Players Ages 8 and Up</t>
        </is>
      </c>
      <c r="E4479" s="2">
        <f>HYPERLINK("https://www.amazon.com/Scattergories-Favorite-Categories-Vacation-Players/dp/B001G52E2K/ref=sr_1_4?keywords=Scattergories+Categories&amp;qid=1695565987&amp;sr=8-4", "https://www.amazon.com/Scattergories-Favorite-Categories-Vacation-Players/dp/B001G52E2K/ref=sr_1_4?keywords=Scattergories+Categories&amp;qid=1695565987&amp;sr=8-4")</f>
        <v/>
      </c>
      <c r="F4479" t="inlineStr">
        <is>
          <t>B001G52E2K</t>
        </is>
      </c>
      <c r="G4479">
        <f>_xlfn.IMAGE("https://faoschwarz.com/cdn/shop/products/winning-moves-games-scattergories-categories-14736353165399_1080x.jpg?v=1656108139")</f>
        <v/>
      </c>
      <c r="H4479">
        <f>_xlfn.IMAGE("https://m.media-amazon.com/images/I/715U1aiNXPL._AC_UL320_.jpg")</f>
        <v/>
      </c>
      <c r="K4479" t="inlineStr">
        <is>
          <t>21.0</t>
        </is>
      </c>
      <c r="L4479" t="n">
        <v>10.99</v>
      </c>
      <c r="M4479" s="1" t="inlineStr">
        <is>
          <t>-47.67%</t>
        </is>
      </c>
      <c r="N4479" t="n">
        <v>4.7</v>
      </c>
      <c r="O4479" t="n">
        <v>1270</v>
      </c>
      <c r="Q4479" t="inlineStr">
        <is>
          <t>InStock</t>
        </is>
      </c>
      <c r="R4479" t="inlineStr">
        <is>
          <t>undefined</t>
        </is>
      </c>
      <c r="S4479" t="inlineStr">
        <is>
          <t>4627634683991</t>
        </is>
      </c>
    </row>
    <row r="4480" ht="75" customHeight="1">
      <c r="A4480" s="2">
        <f>HYPERLINK("https://faoschwarz.com/products/scattergories-categories", "https://faoschwarz.com/products/scattergories-categories")</f>
        <v/>
      </c>
      <c r="B4480" s="2">
        <f>HYPERLINK("https://faoschwarz.com/products/scattergories-categories", "https://faoschwarz.com/products/scattergories-categories")</f>
        <v/>
      </c>
      <c r="C4480" t="inlineStr">
        <is>
          <t>Scattergories Categories</t>
        </is>
      </c>
      <c r="D4480" t="inlineStr">
        <is>
          <t>Scattergories Categories Refill Sheets: 120 Refill Sheets for Scattergories Categories Game, Handy Size 5 X 8 inches ( for Family )</t>
        </is>
      </c>
      <c r="E4480" s="2">
        <f>HYPERLINK("https://www.amazon.com/Scattergories-Categories-Refill-Sheets-inches/dp/B08M7JBMC5/ref=sr_1_3?keywords=Scattergories+Categories&amp;qid=1695565987&amp;sr=8-3", "https://www.amazon.com/Scattergories-Categories-Refill-Sheets-inches/dp/B08M7JBMC5/ref=sr_1_3?keywords=Scattergories+Categories&amp;qid=1695565987&amp;sr=8-3")</f>
        <v/>
      </c>
      <c r="F4480" t="inlineStr">
        <is>
          <t>B08M7JBMC5</t>
        </is>
      </c>
      <c r="G4480">
        <f>_xlfn.IMAGE("https://faoschwarz.com/cdn/shop/products/winning-moves-games-scattergories-categories-14736353165399_1080x.jpg?v=1656108139")</f>
        <v/>
      </c>
      <c r="H4480">
        <f>_xlfn.IMAGE("https://m.media-amazon.com/images/I/714eq8p6ZxL._AC_UL320_.jpg")</f>
        <v/>
      </c>
      <c r="K4480" t="inlineStr">
        <is>
          <t>21.0</t>
        </is>
      </c>
      <c r="L4480" t="n">
        <v>6.9</v>
      </c>
      <c r="M4480" s="1" t="inlineStr">
        <is>
          <t>-67.14%</t>
        </is>
      </c>
      <c r="N4480" t="n">
        <v>4</v>
      </c>
      <c r="O4480" t="n">
        <v>32</v>
      </c>
      <c r="Q4480" t="inlineStr">
        <is>
          <t>InStock</t>
        </is>
      </c>
      <c r="R4480" t="inlineStr">
        <is>
          <t>undefined</t>
        </is>
      </c>
      <c r="S4480" t="inlineStr">
        <is>
          <t>4627634683991</t>
        </is>
      </c>
    </row>
    <row r="4481" ht="75" customHeight="1">
      <c r="A4481" s="2">
        <f>HYPERLINK("https://faoschwarz.com/products/scattergories-categories", "https://faoschwarz.com/products/scattergories-categories")</f>
        <v/>
      </c>
      <c r="B4481" s="2">
        <f>HYPERLINK("https://faoschwarz.com/products/scattergories-categories", "https://faoschwarz.com/products/scattergories-categories")</f>
        <v/>
      </c>
      <c r="C4481" t="inlineStr">
        <is>
          <t>Scattergories Categories</t>
        </is>
      </c>
      <c r="D4481" t="inlineStr">
        <is>
          <t>Scattergories Categories Game Sheets: 120 Refill Sheets for Scattergories Categories Game , Handy Size 6 X 9 inches</t>
        </is>
      </c>
      <c r="E4481" s="2">
        <f>HYPERLINK("https://www.amazon.com/Scattergories-Categories-Game-Sheets-Refill/dp/B09MGYFBPD/ref=sr_1_10?keywords=Scattergories+Categories&amp;qid=1695565987&amp;sr=8-10", "https://www.amazon.com/Scattergories-Categories-Game-Sheets-Refill/dp/B09MGYFBPD/ref=sr_1_10?keywords=Scattergories+Categories&amp;qid=1695565987&amp;sr=8-10")</f>
        <v/>
      </c>
      <c r="F4481" t="inlineStr">
        <is>
          <t>B09MGYFBPD</t>
        </is>
      </c>
      <c r="G4481">
        <f>_xlfn.IMAGE("https://faoschwarz.com/cdn/shop/products/winning-moves-games-scattergories-categories-14736353165399_1080x.jpg?v=1656108139")</f>
        <v/>
      </c>
      <c r="H4481">
        <f>_xlfn.IMAGE("https://m.media-amazon.com/images/I/61CDbQKzM1L._AC_UL320_.jpg")</f>
        <v/>
      </c>
      <c r="K4481" t="inlineStr">
        <is>
          <t>21.0</t>
        </is>
      </c>
      <c r="L4481" t="n">
        <v>5.96</v>
      </c>
      <c r="M4481" s="1" t="inlineStr">
        <is>
          <t>-71.62%</t>
        </is>
      </c>
      <c r="N4481" t="n">
        <v>3.5</v>
      </c>
      <c r="O4481" t="n">
        <v>3</v>
      </c>
      <c r="Q4481" t="inlineStr">
        <is>
          <t>InStock</t>
        </is>
      </c>
      <c r="R4481" t="inlineStr">
        <is>
          <t>undefined</t>
        </is>
      </c>
      <c r="S4481" t="inlineStr">
        <is>
          <t>4627634683991</t>
        </is>
      </c>
    </row>
    <row r="4482" ht="75" customHeight="1">
      <c r="A4482" s="2">
        <f>HYPERLINK("https://faoschwarz.com/products/scattergories-vintage-bookshelf-edition", "https://faoschwarz.com/products/scattergories-vintage-bookshelf-edition")</f>
        <v/>
      </c>
      <c r="B4482" s="2">
        <f>HYPERLINK("https://faoschwarz.com/products/scattergories-vintage-bookshelf-edition", "https://faoschwarz.com/products/scattergories-vintage-bookshelf-edition")</f>
        <v/>
      </c>
      <c r="C4482" t="inlineStr">
        <is>
          <t>Scattergories Vintage Bookshelf Edition</t>
        </is>
      </c>
      <c r="D4482" t="inlineStr">
        <is>
          <t>WS Game Company The Game of Life Vintage Bookshelf Edition</t>
        </is>
      </c>
      <c r="E4482" s="2">
        <f>HYPERLINK("https://www.amazon.com/Winning-Solutions-Linen-Vintage-Board/dp/B075SDMMMT/ref=sr_1_4?keywords=Scattergories+Vintage+Bookshelf+Edition&amp;qid=1695566004&amp;sr=8-4", "https://www.amazon.com/Winning-Solutions-Linen-Vintage-Board/dp/B075SDMMMT/ref=sr_1_4?keywords=Scattergories+Vintage+Bookshelf+Edition&amp;qid=1695566004&amp;sr=8-4")</f>
        <v/>
      </c>
      <c r="F4482" t="inlineStr">
        <is>
          <t>B075SDMMMT</t>
        </is>
      </c>
      <c r="G4482">
        <f>_xlfn.IMAGE("https://faoschwarz.com/cdn/shop/products/ws-game-company-games-scattergories-vintage-bookshelf-edition-28944250830935_1080x.jpg?v=1655976859")</f>
        <v/>
      </c>
      <c r="H4482">
        <f>_xlfn.IMAGE("https://m.media-amazon.com/images/I/91GMf7H9POL._AC_UL320_.jpg")</f>
        <v/>
      </c>
      <c r="K4482" t="inlineStr">
        <is>
          <t>40.0</t>
        </is>
      </c>
      <c r="L4482" t="n">
        <v>44.99</v>
      </c>
      <c r="M4482" s="1" t="inlineStr">
        <is>
          <t>12.48%</t>
        </is>
      </c>
      <c r="N4482" t="n">
        <v>4.7</v>
      </c>
      <c r="O4482" t="n">
        <v>49</v>
      </c>
      <c r="Q4482" t="inlineStr">
        <is>
          <t>InStock</t>
        </is>
      </c>
      <c r="R4482" t="inlineStr">
        <is>
          <t>undefined</t>
        </is>
      </c>
      <c r="S4482" t="inlineStr">
        <is>
          <t>6715353268311</t>
        </is>
      </c>
    </row>
    <row r="4483" ht="75" customHeight="1">
      <c r="A4483" s="2">
        <f>HYPERLINK("https://faoschwarz.com/products/scattergories-vintage-bookshelf-edition", "https://faoschwarz.com/products/scattergories-vintage-bookshelf-edition")</f>
        <v/>
      </c>
      <c r="B4483" s="2">
        <f>HYPERLINK("https://faoschwarz.com/products/scattergories-vintage-bookshelf-edition", "https://faoschwarz.com/products/scattergories-vintage-bookshelf-edition")</f>
        <v/>
      </c>
      <c r="C4483" t="inlineStr">
        <is>
          <t>Scattergories Vintage Bookshelf Edition</t>
        </is>
      </c>
      <c r="D4483" t="inlineStr">
        <is>
          <t>WS Game Company Taboo Vintage Bookshelf Edition</t>
        </is>
      </c>
      <c r="E4483" s="2">
        <f>HYPERLINK("https://www.amazon.com/WS-Game-Company-Vintage-Bookshelf/dp/B0C4D26SDW/ref=sr_1_5?keywords=Scattergories+Vintage+Bookshelf+Edition&amp;qid=1695566004&amp;sr=8-5", "https://www.amazon.com/WS-Game-Company-Vintage-Bookshelf/dp/B0C4D26SDW/ref=sr_1_5?keywords=Scattergories+Vintage+Bookshelf+Edition&amp;qid=1695566004&amp;sr=8-5")</f>
        <v/>
      </c>
      <c r="F4483" t="inlineStr">
        <is>
          <t>B0C4D26SDW</t>
        </is>
      </c>
      <c r="G4483">
        <f>_xlfn.IMAGE("https://faoschwarz.com/cdn/shop/products/ws-game-company-games-scattergories-vintage-bookshelf-edition-28944250830935_1080x.jpg?v=1655976859")</f>
        <v/>
      </c>
      <c r="H4483">
        <f>_xlfn.IMAGE("https://m.media-amazon.com/images/I/71w+AQ-OvDL._AC_UL320_.jpg")</f>
        <v/>
      </c>
      <c r="K4483" t="inlineStr">
        <is>
          <t>40.0</t>
        </is>
      </c>
      <c r="L4483" t="n">
        <v>39.99</v>
      </c>
      <c r="M4483" s="1" t="inlineStr">
        <is>
          <t>-0.02%</t>
        </is>
      </c>
      <c r="N4483" t="n">
        <v>5</v>
      </c>
      <c r="O4483" t="n">
        <v>7</v>
      </c>
      <c r="Q4483" t="inlineStr">
        <is>
          <t>InStock</t>
        </is>
      </c>
      <c r="R4483" t="inlineStr">
        <is>
          <t>undefined</t>
        </is>
      </c>
      <c r="S4483" t="inlineStr">
        <is>
          <t>6715353268311</t>
        </is>
      </c>
    </row>
    <row r="4484" ht="75" customHeight="1">
      <c r="A4484" s="2">
        <f>HYPERLINK("https://faoschwarz.com/products/scattergories-vintage-bookshelf-edition", "https://faoschwarz.com/products/scattergories-vintage-bookshelf-edition")</f>
        <v/>
      </c>
      <c r="B4484" s="2">
        <f>HYPERLINK("https://faoschwarz.com/products/scattergories-vintage-bookshelf-edition", "https://faoschwarz.com/products/scattergories-vintage-bookshelf-edition")</f>
        <v/>
      </c>
      <c r="C4484" t="inlineStr">
        <is>
          <t>Scattergories Vintage Bookshelf Edition</t>
        </is>
      </c>
      <c r="D4484" t="inlineStr">
        <is>
          <t>WS Game Company Clue Vintage Bookshelf Edition</t>
        </is>
      </c>
      <c r="E4484" s="2">
        <f>HYPERLINK("https://www.amazon.com/Clue-Linen-Book-Vintage-Board/dp/B01CPTT716/ref=sr_1_10?keywords=Scattergories+Vintage+Bookshelf+Edition&amp;qid=1695566004&amp;sr=8-10", "https://www.amazon.com/Clue-Linen-Book-Vintage-Board/dp/B01CPTT716/ref=sr_1_10?keywords=Scattergories+Vintage+Bookshelf+Edition&amp;qid=1695566004&amp;sr=8-10")</f>
        <v/>
      </c>
      <c r="F4484" t="inlineStr">
        <is>
          <t>B01CPTT716</t>
        </is>
      </c>
      <c r="G4484">
        <f>_xlfn.IMAGE("https://faoschwarz.com/cdn/shop/products/ws-game-company-games-scattergories-vintage-bookshelf-edition-28944250830935_1080x.jpg?v=1655976859")</f>
        <v/>
      </c>
      <c r="H4484">
        <f>_xlfn.IMAGE("https://m.media-amazon.com/images/I/81MHz0qbqQL._AC_UL320_.jpg")</f>
        <v/>
      </c>
      <c r="K4484" t="inlineStr">
        <is>
          <t>40.0</t>
        </is>
      </c>
      <c r="L4484" t="n">
        <v>39.99</v>
      </c>
      <c r="M4484" s="1" t="inlineStr">
        <is>
          <t>-0.02%</t>
        </is>
      </c>
      <c r="N4484" t="n">
        <v>4.8</v>
      </c>
      <c r="O4484" t="n">
        <v>711</v>
      </c>
      <c r="Q4484" t="inlineStr">
        <is>
          <t>InStock</t>
        </is>
      </c>
      <c r="R4484" t="inlineStr">
        <is>
          <t>undefined</t>
        </is>
      </c>
      <c r="S4484" t="inlineStr">
        <is>
          <t>6715353268311</t>
        </is>
      </c>
    </row>
    <row r="4485" ht="75" customHeight="1">
      <c r="A4485" s="2">
        <f>HYPERLINK("https://faoschwarz.com/products/scattergories-vintage-bookshelf-edition", "https://faoschwarz.com/products/scattergories-vintage-bookshelf-edition")</f>
        <v/>
      </c>
      <c r="B4485" s="2">
        <f>HYPERLINK("https://faoschwarz.com/products/scattergories-vintage-bookshelf-edition", "https://faoschwarz.com/products/scattergories-vintage-bookshelf-edition")</f>
        <v/>
      </c>
      <c r="C4485" t="inlineStr">
        <is>
          <t>Scattergories Vintage Bookshelf Edition</t>
        </is>
      </c>
      <c r="D4485" t="inlineStr">
        <is>
          <t>Scrabble Vintage Bookshelf Edition</t>
        </is>
      </c>
      <c r="E4485" s="2">
        <f>HYPERLINK("https://www.amazon.com/WS-Game-Company-21420-Bookshelf/dp/B01CPUSHSO/ref=sr_1_7?keywords=Scattergories+Vintage+Bookshelf+Edition&amp;qid=1695566004&amp;sr=8-7", "https://www.amazon.com/WS-Game-Company-21420-Bookshelf/dp/B01CPUSHSO/ref=sr_1_7?keywords=Scattergories+Vintage+Bookshelf+Edition&amp;qid=1695566004&amp;sr=8-7")</f>
        <v/>
      </c>
      <c r="F4485" t="inlineStr">
        <is>
          <t>B01CPUSHSO</t>
        </is>
      </c>
      <c r="G4485">
        <f>_xlfn.IMAGE("https://faoschwarz.com/cdn/shop/products/ws-game-company-games-scattergories-vintage-bookshelf-edition-28944250830935_1080x.jpg?v=1655976859")</f>
        <v/>
      </c>
      <c r="H4485">
        <f>_xlfn.IMAGE("https://m.media-amazon.com/images/I/81UMj2xiq3L._AC_UL320_.jpg")</f>
        <v/>
      </c>
      <c r="K4485" t="inlineStr">
        <is>
          <t>40.0</t>
        </is>
      </c>
      <c r="L4485" t="n">
        <v>35</v>
      </c>
      <c r="M4485" s="1" t="inlineStr">
        <is>
          <t>-12.50%</t>
        </is>
      </c>
      <c r="N4485" t="n">
        <v>4.8</v>
      </c>
      <c r="O4485" t="n">
        <v>840</v>
      </c>
      <c r="Q4485" t="inlineStr">
        <is>
          <t>InStock</t>
        </is>
      </c>
      <c r="R4485" t="inlineStr">
        <is>
          <t>undefined</t>
        </is>
      </c>
      <c r="S4485" t="inlineStr">
        <is>
          <t>6715353268311</t>
        </is>
      </c>
    </row>
    <row r="4486" ht="75" customHeight="1">
      <c r="A4486" s="2">
        <f>HYPERLINK("https://faoschwarz.com/products/scattergories-vintage-bookshelf-edition", "https://faoschwarz.com/products/scattergories-vintage-bookshelf-edition")</f>
        <v/>
      </c>
      <c r="B4486" s="2">
        <f>HYPERLINK("https://faoschwarz.com/products/scattergories-vintage-bookshelf-edition", "https://faoschwarz.com/products/scattergories-vintage-bookshelf-edition")</f>
        <v/>
      </c>
      <c r="C4486" t="inlineStr">
        <is>
          <t>Scattergories Vintage Bookshelf Edition</t>
        </is>
      </c>
      <c r="D4486" t="inlineStr">
        <is>
          <t>WS Game Company Chutes and Ladders Vintage Bookshelf Edition</t>
        </is>
      </c>
      <c r="E4486" s="2">
        <f>HYPERLINK("https://www.amazon.com/WS-Game-Company-Ladders-Bookshelf/dp/B0844Q7YMY/ref=sr_1_9?keywords=Scattergories+Vintage+Bookshelf+Edition&amp;qid=1695566004&amp;sr=8-9", "https://www.amazon.com/WS-Game-Company-Ladders-Bookshelf/dp/B0844Q7YMY/ref=sr_1_9?keywords=Scattergories+Vintage+Bookshelf+Edition&amp;qid=1695566004&amp;sr=8-9")</f>
        <v/>
      </c>
      <c r="F4486" t="inlineStr">
        <is>
          <t>B0844Q7YMY</t>
        </is>
      </c>
      <c r="G4486">
        <f>_xlfn.IMAGE("https://faoschwarz.com/cdn/shop/products/ws-game-company-games-scattergories-vintage-bookshelf-edition-28944250830935_1080x.jpg?v=1655976859")</f>
        <v/>
      </c>
      <c r="H4486">
        <f>_xlfn.IMAGE("https://m.media-amazon.com/images/I/91NxzqaaD5L._AC_UL320_.jpg")</f>
        <v/>
      </c>
      <c r="K4486" t="inlineStr">
        <is>
          <t>40.0</t>
        </is>
      </c>
      <c r="L4486" t="n">
        <v>35</v>
      </c>
      <c r="M4486" s="1" t="inlineStr">
        <is>
          <t>-12.50%</t>
        </is>
      </c>
      <c r="N4486" t="n">
        <v>4.8</v>
      </c>
      <c r="O4486" t="n">
        <v>167</v>
      </c>
      <c r="Q4486" t="inlineStr">
        <is>
          <t>InStock</t>
        </is>
      </c>
      <c r="R4486" t="inlineStr">
        <is>
          <t>undefined</t>
        </is>
      </c>
      <c r="S4486" t="inlineStr">
        <is>
          <t>6715353268311</t>
        </is>
      </c>
    </row>
    <row r="4487" ht="75" customHeight="1">
      <c r="A4487" s="2">
        <f>HYPERLINK("https://faoschwarz.com/products/scattergories-vintage-bookshelf-edition", "https://faoschwarz.com/products/scattergories-vintage-bookshelf-edition")</f>
        <v/>
      </c>
      <c r="B4487" s="2">
        <f>HYPERLINK("https://faoschwarz.com/products/scattergories-vintage-bookshelf-edition", "https://faoschwarz.com/products/scattergories-vintage-bookshelf-edition")</f>
        <v/>
      </c>
      <c r="C4487" t="inlineStr">
        <is>
          <t>Scattergories Vintage Bookshelf Edition</t>
        </is>
      </c>
      <c r="D4487" t="inlineStr">
        <is>
          <t>Scattergories Vintage Bookshelf Edition</t>
        </is>
      </c>
      <c r="E4487" s="2">
        <f>HYPERLINK("https://www.amazon.com/Winning-Solutions-Scattergories-Linen-Vintage/dp/B075SD7T4S/ref=sr_1_1?keywords=Scattergories+Vintage+Bookshelf+Edition&amp;qid=1695566004&amp;sr=8-1", "https://www.amazon.com/Winning-Solutions-Scattergories-Linen-Vintage/dp/B075SD7T4S/ref=sr_1_1?keywords=Scattergories+Vintage+Bookshelf+Edition&amp;qid=1695566004&amp;sr=8-1")</f>
        <v/>
      </c>
      <c r="F4487" t="inlineStr">
        <is>
          <t>B075SD7T4S</t>
        </is>
      </c>
      <c r="G4487">
        <f>_xlfn.IMAGE("https://faoschwarz.com/cdn/shop/products/ws-game-company-games-scattergories-vintage-bookshelf-edition-28944250830935_1080x.jpg?v=1655976859")</f>
        <v/>
      </c>
      <c r="H4487">
        <f>_xlfn.IMAGE("https://m.media-amazon.com/images/I/91EVC5kAH1L._AC_UL320_.jpg")</f>
        <v/>
      </c>
      <c r="K4487" t="inlineStr">
        <is>
          <t>40.0</t>
        </is>
      </c>
      <c r="L4487" t="n">
        <v>34.27</v>
      </c>
      <c r="M4487" s="1" t="inlineStr">
        <is>
          <t>-14.32%</t>
        </is>
      </c>
      <c r="N4487" t="n">
        <v>4.8</v>
      </c>
      <c r="O4487" t="n">
        <v>391</v>
      </c>
      <c r="Q4487" t="inlineStr">
        <is>
          <t>InStock</t>
        </is>
      </c>
      <c r="R4487" t="inlineStr">
        <is>
          <t>undefined</t>
        </is>
      </c>
      <c r="S4487" t="inlineStr">
        <is>
          <t>6715353268311</t>
        </is>
      </c>
    </row>
    <row r="4488" ht="75" customHeight="1">
      <c r="A4488" s="2">
        <f>HYPERLINK("https://faoschwarz.com/products/scattergories-vintage-bookshelf-edition", "https://faoschwarz.com/products/scattergories-vintage-bookshelf-edition")</f>
        <v/>
      </c>
      <c r="B4488" s="2">
        <f>HYPERLINK("https://faoschwarz.com/products/scattergories-vintage-bookshelf-edition", "https://faoschwarz.com/products/scattergories-vintage-bookshelf-edition")</f>
        <v/>
      </c>
      <c r="C4488" t="inlineStr">
        <is>
          <t>Scattergories Vintage Bookshelf Edition</t>
        </is>
      </c>
      <c r="D4488" t="inlineStr">
        <is>
          <t>Candy Land Vintage Bookshelf Edition</t>
        </is>
      </c>
      <c r="E4488" s="2">
        <f>HYPERLINK("https://www.amazon.com/WS-Game-Company-Vintage-Bookshelf/dp/B0844NRKT3/ref=sr_1_8?keywords=Scattergories+Vintage+Bookshelf+Edition&amp;qid=1695566004&amp;sr=8-8", "https://www.amazon.com/WS-Game-Company-Vintage-Bookshelf/dp/B0844NRKT3/ref=sr_1_8?keywords=Scattergories+Vintage+Bookshelf+Edition&amp;qid=1695566004&amp;sr=8-8")</f>
        <v/>
      </c>
      <c r="F4488" t="inlineStr">
        <is>
          <t>B0844NRKT3</t>
        </is>
      </c>
      <c r="G4488">
        <f>_xlfn.IMAGE("https://faoschwarz.com/cdn/shop/products/ws-game-company-games-scattergories-vintage-bookshelf-edition-28944250830935_1080x.jpg?v=1655976859")</f>
        <v/>
      </c>
      <c r="H4488">
        <f>_xlfn.IMAGE("https://m.media-amazon.com/images/I/915Jx+kTAuL._AC_UL320_.jpg")</f>
        <v/>
      </c>
      <c r="K4488" t="inlineStr">
        <is>
          <t>40.0</t>
        </is>
      </c>
      <c r="L4488" t="n">
        <v>27.56</v>
      </c>
      <c r="M4488" s="1" t="inlineStr">
        <is>
          <t>-31.10%</t>
        </is>
      </c>
      <c r="N4488" t="n">
        <v>4.9</v>
      </c>
      <c r="O4488" t="n">
        <v>298</v>
      </c>
      <c r="Q4488" t="inlineStr">
        <is>
          <t>InStock</t>
        </is>
      </c>
      <c r="R4488" t="inlineStr">
        <is>
          <t>undefined</t>
        </is>
      </c>
      <c r="S4488" t="inlineStr">
        <is>
          <t>6715353268311</t>
        </is>
      </c>
    </row>
    <row r="4489" ht="75" customHeight="1">
      <c r="A4489" s="2">
        <f>HYPERLINK("https://faoschwarz.com/products/scattergories-vintage-bookshelf-edition", "https://faoschwarz.com/products/scattergories-vintage-bookshelf-edition")</f>
        <v/>
      </c>
      <c r="B4489" s="2">
        <f>HYPERLINK("https://faoschwarz.com/products/scattergories-vintage-bookshelf-edition", "https://faoschwarz.com/products/scattergories-vintage-bookshelf-edition")</f>
        <v/>
      </c>
      <c r="C4489" t="inlineStr">
        <is>
          <t>Scattergories Vintage Bookshelf Edition</t>
        </is>
      </c>
      <c r="D4489" t="inlineStr">
        <is>
          <t>Scrabble Vintage Bookshelf Edition</t>
        </is>
      </c>
      <c r="E4489" s="2">
        <f>HYPERLINK("https://www.amazon.com/WS-Game-Company-21420-Bookshelf/dp/B01CPUSHSO/ref=sr_1_7?keywords=Scattergories+Vintage+Bookshelf+Edition&amp;qid=1695566004&amp;sr=8-7", "https://www.amazon.com/WS-Game-Company-21420-Bookshelf/dp/B01CPUSHSO/ref=sr_1_7?keywords=Scattergories+Vintage+Bookshelf+Edition&amp;qid=1695566004&amp;sr=8-7")</f>
        <v/>
      </c>
      <c r="F4489" t="inlineStr">
        <is>
          <t>B01CPUSHSO</t>
        </is>
      </c>
      <c r="G4489">
        <f>_xlfn.IMAGE("https://faoschwarz.com/cdn/shop/products/ws-game-company-games-scattergories-vintage-bookshelf-edition-28944250830935_1080x.jpg?v=1655976859")</f>
        <v/>
      </c>
      <c r="H4489">
        <f>_xlfn.IMAGE("https://m.media-amazon.com/images/I/81UMj2xiq3L._AC_UL320_.jpg")</f>
        <v/>
      </c>
      <c r="K4489" t="inlineStr">
        <is>
          <t>40.0</t>
        </is>
      </c>
      <c r="L4489" t="n">
        <v>35</v>
      </c>
      <c r="M4489" s="1" t="inlineStr">
        <is>
          <t>-12.50%</t>
        </is>
      </c>
      <c r="N4489" t="n">
        <v>4.8</v>
      </c>
      <c r="O4489" t="n">
        <v>840</v>
      </c>
      <c r="Q4489" t="inlineStr">
        <is>
          <t>InStock</t>
        </is>
      </c>
      <c r="R4489" t="inlineStr">
        <is>
          <t>undefined</t>
        </is>
      </c>
      <c r="S4489" t="inlineStr">
        <is>
          <t>6715353268311</t>
        </is>
      </c>
    </row>
    <row r="4490" ht="75" customHeight="1">
      <c r="A4490" s="2">
        <f>HYPERLINK("https://faoschwarz.com/products/scattergories-vintage-bookshelf-edition", "https://faoschwarz.com/products/scattergories-vintage-bookshelf-edition")</f>
        <v/>
      </c>
      <c r="B4490" s="2">
        <f>HYPERLINK("https://faoschwarz.com/products/scattergories-vintage-bookshelf-edition", "https://faoschwarz.com/products/scattergories-vintage-bookshelf-edition")</f>
        <v/>
      </c>
      <c r="C4490" t="inlineStr">
        <is>
          <t>Scattergories Vintage Bookshelf Edition</t>
        </is>
      </c>
      <c r="D4490" t="inlineStr">
        <is>
          <t>WS Game Company Chutes and Ladders Vintage Bookshelf Edition</t>
        </is>
      </c>
      <c r="E4490" s="2">
        <f>HYPERLINK("https://www.amazon.com/WS-Game-Company-Ladders-Bookshelf/dp/B0844Q7YMY/ref=sr_1_9?keywords=Scattergories+Vintage+Bookshelf+Edition&amp;qid=1695566004&amp;sr=8-9", "https://www.amazon.com/WS-Game-Company-Ladders-Bookshelf/dp/B0844Q7YMY/ref=sr_1_9?keywords=Scattergories+Vintage+Bookshelf+Edition&amp;qid=1695566004&amp;sr=8-9")</f>
        <v/>
      </c>
      <c r="F4490" t="inlineStr">
        <is>
          <t>B0844Q7YMY</t>
        </is>
      </c>
      <c r="G4490">
        <f>_xlfn.IMAGE("https://faoschwarz.com/cdn/shop/products/ws-game-company-games-scattergories-vintage-bookshelf-edition-28944250830935_1080x.jpg?v=1655976859")</f>
        <v/>
      </c>
      <c r="H4490">
        <f>_xlfn.IMAGE("https://m.media-amazon.com/images/I/91NxzqaaD5L._AC_UL320_.jpg")</f>
        <v/>
      </c>
      <c r="K4490" t="inlineStr">
        <is>
          <t>40.0</t>
        </is>
      </c>
      <c r="L4490" t="n">
        <v>35</v>
      </c>
      <c r="M4490" s="1" t="inlineStr">
        <is>
          <t>-12.50%</t>
        </is>
      </c>
      <c r="N4490" t="n">
        <v>4.8</v>
      </c>
      <c r="O4490" t="n">
        <v>167</v>
      </c>
      <c r="Q4490" t="inlineStr">
        <is>
          <t>InStock</t>
        </is>
      </c>
      <c r="R4490" t="inlineStr">
        <is>
          <t>undefined</t>
        </is>
      </c>
      <c r="S4490" t="inlineStr">
        <is>
          <t>6715353268311</t>
        </is>
      </c>
    </row>
    <row r="4491" ht="75" customHeight="1">
      <c r="A4491" s="2">
        <f>HYPERLINK("https://faoschwarz.com/products/scattergories-vintage-bookshelf-edition", "https://faoschwarz.com/products/scattergories-vintage-bookshelf-edition")</f>
        <v/>
      </c>
      <c r="B4491" s="2">
        <f>HYPERLINK("https://faoschwarz.com/products/scattergories-vintage-bookshelf-edition", "https://faoschwarz.com/products/scattergories-vintage-bookshelf-edition")</f>
        <v/>
      </c>
      <c r="C4491" t="inlineStr">
        <is>
          <t>Scattergories Vintage Bookshelf Edition</t>
        </is>
      </c>
      <c r="D4491" t="inlineStr">
        <is>
          <t>Scattergories Vintage Bookshelf Edition</t>
        </is>
      </c>
      <c r="E4491" s="2">
        <f>HYPERLINK("https://www.amazon.com/Winning-Solutions-Scattergories-Linen-Vintage/dp/B075SD7T4S/ref=sr_1_1?keywords=Scattergories+Vintage+Bookshelf+Edition&amp;qid=1695566004&amp;sr=8-1", "https://www.amazon.com/Winning-Solutions-Scattergories-Linen-Vintage/dp/B075SD7T4S/ref=sr_1_1?keywords=Scattergories+Vintage+Bookshelf+Edition&amp;qid=1695566004&amp;sr=8-1")</f>
        <v/>
      </c>
      <c r="F4491" t="inlineStr">
        <is>
          <t>B075SD7T4S</t>
        </is>
      </c>
      <c r="G4491">
        <f>_xlfn.IMAGE("https://faoschwarz.com/cdn/shop/products/ws-game-company-games-scattergories-vintage-bookshelf-edition-28944250830935_1080x.jpg?v=1655976859")</f>
        <v/>
      </c>
      <c r="H4491">
        <f>_xlfn.IMAGE("https://m.media-amazon.com/images/I/91EVC5kAH1L._AC_UL320_.jpg")</f>
        <v/>
      </c>
      <c r="K4491" t="inlineStr">
        <is>
          <t>40.0</t>
        </is>
      </c>
      <c r="L4491" t="n">
        <v>34.27</v>
      </c>
      <c r="M4491" s="1" t="inlineStr">
        <is>
          <t>-14.32%</t>
        </is>
      </c>
      <c r="N4491" t="n">
        <v>4.8</v>
      </c>
      <c r="O4491" t="n">
        <v>391</v>
      </c>
      <c r="Q4491" t="inlineStr">
        <is>
          <t>InStock</t>
        </is>
      </c>
      <c r="R4491" t="inlineStr">
        <is>
          <t>undefined</t>
        </is>
      </c>
      <c r="S4491" t="inlineStr">
        <is>
          <t>6715353268311</t>
        </is>
      </c>
    </row>
    <row r="4492" ht="75" customHeight="1">
      <c r="A4492" s="2">
        <f>HYPERLINK("https://faoschwarz.com/products/scattergories-vintage-bookshelf-edition", "https://faoschwarz.com/products/scattergories-vintage-bookshelf-edition")</f>
        <v/>
      </c>
      <c r="B4492" s="2">
        <f>HYPERLINK("https://faoschwarz.com/products/scattergories-vintage-bookshelf-edition", "https://faoschwarz.com/products/scattergories-vintage-bookshelf-edition")</f>
        <v/>
      </c>
      <c r="C4492" t="inlineStr">
        <is>
          <t>Scattergories Vintage Bookshelf Edition</t>
        </is>
      </c>
      <c r="D4492" t="inlineStr">
        <is>
          <t>Candy Land Vintage Bookshelf Edition</t>
        </is>
      </c>
      <c r="E4492" s="2">
        <f>HYPERLINK("https://www.amazon.com/WS-Game-Company-Vintage-Bookshelf/dp/B0844NRKT3/ref=sr_1_8?keywords=Scattergories+Vintage+Bookshelf+Edition&amp;qid=1695566004&amp;sr=8-8", "https://www.amazon.com/WS-Game-Company-Vintage-Bookshelf/dp/B0844NRKT3/ref=sr_1_8?keywords=Scattergories+Vintage+Bookshelf+Edition&amp;qid=1695566004&amp;sr=8-8")</f>
        <v/>
      </c>
      <c r="F4492" t="inlineStr">
        <is>
          <t>B0844NRKT3</t>
        </is>
      </c>
      <c r="G4492">
        <f>_xlfn.IMAGE("https://faoschwarz.com/cdn/shop/products/ws-game-company-games-scattergories-vintage-bookshelf-edition-28944250830935_1080x.jpg?v=1655976859")</f>
        <v/>
      </c>
      <c r="H4492">
        <f>_xlfn.IMAGE("https://m.media-amazon.com/images/I/915Jx+kTAuL._AC_UL320_.jpg")</f>
        <v/>
      </c>
      <c r="K4492" t="inlineStr">
        <is>
          <t>40.0</t>
        </is>
      </c>
      <c r="L4492" t="n">
        <v>27.56</v>
      </c>
      <c r="M4492" s="1" t="inlineStr">
        <is>
          <t>-31.10%</t>
        </is>
      </c>
      <c r="N4492" t="n">
        <v>4.9</v>
      </c>
      <c r="O4492" t="n">
        <v>298</v>
      </c>
      <c r="Q4492" t="inlineStr">
        <is>
          <t>InStock</t>
        </is>
      </c>
      <c r="R4492" t="inlineStr">
        <is>
          <t>undefined</t>
        </is>
      </c>
      <c r="S4492" t="inlineStr">
        <is>
          <t>6715353268311</t>
        </is>
      </c>
    </row>
    <row r="4493" ht="75" customHeight="1">
      <c r="A4493" s="2">
        <f>HYPERLINK("https://faoschwarz.com/products/scrabble-deluxe-edition", "https://faoschwarz.com/products/scrabble-deluxe-edition")</f>
        <v/>
      </c>
      <c r="B4493" s="2">
        <f>HYPERLINK("https://faoschwarz.com/products/scrabble-deluxe-edition", "https://faoschwarz.com/products/scrabble-deluxe-edition")</f>
        <v/>
      </c>
      <c r="C4493" t="inlineStr">
        <is>
          <t>Scrabble Deluxe Edition</t>
        </is>
      </c>
      <c r="D4493" t="inlineStr">
        <is>
          <t>Winning Moves Games Super Scrabble Deluxe Edition</t>
        </is>
      </c>
      <c r="E4493" s="2">
        <f>HYPERLINK("https://www.amazon.com/Winning-Moves-Games-Scrabble-Deluxe/dp/B000P0R9J0/ref=sr_1_10?keywords=Scrabble+Deluxe+Edition&amp;qid=1695566010&amp;sr=8-10", "https://www.amazon.com/Winning-Moves-Games-Scrabble-Deluxe/dp/B000P0R9J0/ref=sr_1_10?keywords=Scrabble+Deluxe+Edition&amp;qid=1695566010&amp;sr=8-10")</f>
        <v/>
      </c>
      <c r="F4493" t="inlineStr">
        <is>
          <t>B000P0R9J0</t>
        </is>
      </c>
      <c r="G4493">
        <f>_xlfn.IMAGE("https://faoschwarz.com/cdn/shop/files/ws-game-company-games-scrabble-deluxe-edition-30418325241943_1080x.jpg?v=1693426673")</f>
        <v/>
      </c>
      <c r="H4493">
        <f>_xlfn.IMAGE("https://m.media-amazon.com/images/I/7133Q7z0tnL._AC_UL320_.jpg")</f>
        <v/>
      </c>
      <c r="K4493" t="inlineStr">
        <is>
          <t>130.0</t>
        </is>
      </c>
      <c r="L4493" t="n">
        <v>299.99</v>
      </c>
      <c r="M4493" s="1" t="inlineStr">
        <is>
          <t>130.76%</t>
        </is>
      </c>
      <c r="N4493" t="n">
        <v>4.2</v>
      </c>
      <c r="O4493" t="n">
        <v>217</v>
      </c>
      <c r="Q4493" t="inlineStr">
        <is>
          <t>InStock</t>
        </is>
      </c>
      <c r="R4493" t="inlineStr">
        <is>
          <t>undefined</t>
        </is>
      </c>
      <c r="S4493" t="inlineStr">
        <is>
          <t>6715353890903</t>
        </is>
      </c>
    </row>
    <row r="4494" ht="75" customHeight="1">
      <c r="A4494" s="2">
        <f>HYPERLINK("https://faoschwarz.com/products/scrabble-deluxe-edition", "https://faoschwarz.com/products/scrabble-deluxe-edition")</f>
        <v/>
      </c>
      <c r="B4494" s="2">
        <f>HYPERLINK("https://faoschwarz.com/products/scrabble-deluxe-edition", "https://faoschwarz.com/products/scrabble-deluxe-edition")</f>
        <v/>
      </c>
      <c r="C4494" t="inlineStr">
        <is>
          <t>Scrabble Deluxe Edition</t>
        </is>
      </c>
      <c r="D4494" t="inlineStr">
        <is>
          <t>Scrabble Deluxe 1977 Edition Plastic rotating Turntable game Board With Grid</t>
        </is>
      </c>
      <c r="E4494" s="2">
        <f>HYPERLINK("https://www.amazon.com/Scrabble-Deluxe-Plastic-rotating-Turntable/dp/B002ARJ2MS/ref=sr_1_9?keywords=Scrabble+Deluxe+Edition&amp;qid=1695566010&amp;sr=8-9", "https://www.amazon.com/Scrabble-Deluxe-Plastic-rotating-Turntable/dp/B002ARJ2MS/ref=sr_1_9?keywords=Scrabble+Deluxe+Edition&amp;qid=1695566010&amp;sr=8-9")</f>
        <v/>
      </c>
      <c r="F4494" t="inlineStr">
        <is>
          <t>B002ARJ2MS</t>
        </is>
      </c>
      <c r="G4494">
        <f>_xlfn.IMAGE("https://faoschwarz.com/cdn/shop/files/ws-game-company-games-scrabble-deluxe-edition-30418325241943_1080x.jpg?v=1693426673")</f>
        <v/>
      </c>
      <c r="H4494">
        <f>_xlfn.IMAGE("https://m.media-amazon.com/images/I/91CKe78zVoL._AC_UL320_.jpg")</f>
        <v/>
      </c>
      <c r="K4494" t="inlineStr">
        <is>
          <t>130.0</t>
        </is>
      </c>
      <c r="L4494" t="n">
        <v>275</v>
      </c>
      <c r="M4494" s="1" t="inlineStr">
        <is>
          <t>111.54%</t>
        </is>
      </c>
      <c r="N4494" t="n">
        <v>4.1</v>
      </c>
      <c r="O4494" t="n">
        <v>34</v>
      </c>
      <c r="Q4494" t="inlineStr">
        <is>
          <t>InStock</t>
        </is>
      </c>
      <c r="R4494" t="inlineStr">
        <is>
          <t>undefined</t>
        </is>
      </c>
      <c r="S4494" t="inlineStr">
        <is>
          <t>6715353890903</t>
        </is>
      </c>
    </row>
    <row r="4495" ht="75" customHeight="1">
      <c r="A4495" s="2">
        <f>HYPERLINK("https://faoschwarz.com/products/scrabble-deluxe-edition", "https://faoschwarz.com/products/scrabble-deluxe-edition")</f>
        <v/>
      </c>
      <c r="B4495" s="2">
        <f>HYPERLINK("https://faoschwarz.com/products/scrabble-deluxe-edition", "https://faoschwarz.com/products/scrabble-deluxe-edition")</f>
        <v/>
      </c>
      <c r="C4495" t="inlineStr">
        <is>
          <t>Scrabble Deluxe Edition</t>
        </is>
      </c>
      <c r="D4495" t="inlineStr">
        <is>
          <t>WS Game Company Scrabble Giant Deluxe Edition with Rotating Wooden Board</t>
        </is>
      </c>
      <c r="E4495" s="2">
        <f>HYPERLINK("https://www.amazon.com/Scrabble-Giant-Deluxe-Rotating-Wooden/dp/B004SRWXOW/ref=sr_1_5?keywords=Scrabble+Deluxe+Edition&amp;qid=1695566010&amp;sr=8-5", "https://www.amazon.com/Scrabble-Giant-Deluxe-Rotating-Wooden/dp/B004SRWXOW/ref=sr_1_5?keywords=Scrabble+Deluxe+Edition&amp;qid=1695566010&amp;sr=8-5")</f>
        <v/>
      </c>
      <c r="F4495" t="inlineStr">
        <is>
          <t>B004SRWXOW</t>
        </is>
      </c>
      <c r="G4495">
        <f>_xlfn.IMAGE("https://faoschwarz.com/cdn/shop/files/ws-game-company-games-scrabble-deluxe-edition-30418325241943_1080x.jpg?v=1693426673")</f>
        <v/>
      </c>
      <c r="H4495">
        <f>_xlfn.IMAGE("https://m.media-amazon.com/images/I/81UbuD5mriL._AC_UL320_.jpg")</f>
        <v/>
      </c>
      <c r="K4495" t="inlineStr">
        <is>
          <t>130.0</t>
        </is>
      </c>
      <c r="L4495" t="n">
        <v>159.99</v>
      </c>
      <c r="M4495" s="1" t="inlineStr">
        <is>
          <t>23.07%</t>
        </is>
      </c>
      <c r="N4495" t="n">
        <v>4.6</v>
      </c>
      <c r="O4495" t="n">
        <v>562</v>
      </c>
      <c r="Q4495" t="inlineStr">
        <is>
          <t>InStock</t>
        </is>
      </c>
      <c r="R4495" t="inlineStr">
        <is>
          <t>undefined</t>
        </is>
      </c>
      <c r="S4495" t="inlineStr">
        <is>
          <t>6715353890903</t>
        </is>
      </c>
    </row>
    <row r="4496" ht="75" customHeight="1">
      <c r="A4496" s="2">
        <f>HYPERLINK("https://faoschwarz.com/products/scrabble-deluxe-edition", "https://faoschwarz.com/products/scrabble-deluxe-edition")</f>
        <v/>
      </c>
      <c r="B4496" s="2">
        <f>HYPERLINK("https://faoschwarz.com/products/scrabble-deluxe-edition", "https://faoschwarz.com/products/scrabble-deluxe-edition")</f>
        <v/>
      </c>
      <c r="C4496" t="inlineStr">
        <is>
          <t>Scrabble Deluxe Edition</t>
        </is>
      </c>
      <c r="D4496" t="inlineStr">
        <is>
          <t>Deluxe Turntable Scrabble "1989 Edition"</t>
        </is>
      </c>
      <c r="E4496" s="2">
        <f>HYPERLINK("https://www.amazon.com/Deluxe-Turntable-Scrabble-1989-Edition/dp/B00ANJWTOS/ref=sr_1_7?keywords=Scrabble+Deluxe+Edition&amp;qid=1695566010&amp;sr=8-7", "https://www.amazon.com/Deluxe-Turntable-Scrabble-1989-Edition/dp/B00ANJWTOS/ref=sr_1_7?keywords=Scrabble+Deluxe+Edition&amp;qid=1695566010&amp;sr=8-7")</f>
        <v/>
      </c>
      <c r="F4496" t="inlineStr">
        <is>
          <t>B00ANJWTOS</t>
        </is>
      </c>
      <c r="G4496">
        <f>_xlfn.IMAGE("https://faoschwarz.com/cdn/shop/files/ws-game-company-games-scrabble-deluxe-edition-30418325241943_1080x.jpg?v=1693426673")</f>
        <v/>
      </c>
      <c r="H4496">
        <f>_xlfn.IMAGE("https://m.media-amazon.com/images/I/81ZovWJjtUL._AC_UL320_.jpg")</f>
        <v/>
      </c>
      <c r="K4496" t="inlineStr">
        <is>
          <t>130.0</t>
        </is>
      </c>
      <c r="L4496" t="n">
        <v>159.99</v>
      </c>
      <c r="M4496" s="1" t="inlineStr">
        <is>
          <t>23.07%</t>
        </is>
      </c>
      <c r="N4496" t="n">
        <v>4.2</v>
      </c>
      <c r="O4496" t="n">
        <v>73</v>
      </c>
      <c r="Q4496" t="inlineStr">
        <is>
          <t>InStock</t>
        </is>
      </c>
      <c r="R4496" t="inlineStr">
        <is>
          <t>undefined</t>
        </is>
      </c>
      <c r="S4496" t="inlineStr">
        <is>
          <t>6715353890903</t>
        </is>
      </c>
    </row>
    <row r="4497" ht="75" customHeight="1">
      <c r="A4497" s="2">
        <f>HYPERLINK("https://faoschwarz.com/products/scrabble-deluxe-edition", "https://faoschwarz.com/products/scrabble-deluxe-edition")</f>
        <v/>
      </c>
      <c r="B4497" s="2">
        <f>HYPERLINK("https://faoschwarz.com/products/scrabble-deluxe-edition", "https://faoschwarz.com/products/scrabble-deluxe-edition")</f>
        <v/>
      </c>
      <c r="C4497" t="inlineStr">
        <is>
          <t>Scrabble Deluxe Edition</t>
        </is>
      </c>
      <c r="D4497" t="inlineStr">
        <is>
          <t>WS Game Company Scrabble Deluxe Vintage 2-in-1 Wall Edition with Dry Erase Message Board</t>
        </is>
      </c>
      <c r="E4497" s="2">
        <f>HYPERLINK("https://www.amazon.com/Scrabble-Deluxe-Vintage-Erase-Message/dp/B07Z2FT5PR/ref=sr_1_8?keywords=Scrabble+Deluxe+Edition&amp;qid=1695566010&amp;sr=8-8", "https://www.amazon.com/Scrabble-Deluxe-Vintage-Erase-Message/dp/B07Z2FT5PR/ref=sr_1_8?keywords=Scrabble+Deluxe+Edition&amp;qid=1695566010&amp;sr=8-8")</f>
        <v/>
      </c>
      <c r="F4497" t="inlineStr">
        <is>
          <t>B07Z2FT5PR</t>
        </is>
      </c>
      <c r="G4497">
        <f>_xlfn.IMAGE("https://faoschwarz.com/cdn/shop/files/ws-game-company-games-scrabble-deluxe-edition-30418325241943_1080x.jpg?v=1693426673")</f>
        <v/>
      </c>
      <c r="H4497">
        <f>_xlfn.IMAGE("https://m.media-amazon.com/images/I/81NWJyUJxGL._AC_UL320_.jpg")</f>
        <v/>
      </c>
      <c r="K4497" t="inlineStr">
        <is>
          <t>130.0</t>
        </is>
      </c>
      <c r="L4497" t="n">
        <v>129.99</v>
      </c>
      <c r="M4497" s="1" t="inlineStr">
        <is>
          <t>-0.01%</t>
        </is>
      </c>
      <c r="N4497" t="n">
        <v>4.7</v>
      </c>
      <c r="O4497" t="n">
        <v>112</v>
      </c>
      <c r="Q4497" t="inlineStr">
        <is>
          <t>InStock</t>
        </is>
      </c>
      <c r="R4497" t="inlineStr">
        <is>
          <t>undefined</t>
        </is>
      </c>
      <c r="S4497" t="inlineStr">
        <is>
          <t>6715353890903</t>
        </is>
      </c>
    </row>
    <row r="4498" ht="75" customHeight="1">
      <c r="A4498" s="2">
        <f>HYPERLINK("https://faoschwarz.com/products/scrabble-deluxe-edition", "https://faoschwarz.com/products/scrabble-deluxe-edition")</f>
        <v/>
      </c>
      <c r="B4498" s="2">
        <f>HYPERLINK("https://faoschwarz.com/products/scrabble-deluxe-edition", "https://faoschwarz.com/products/scrabble-deluxe-edition")</f>
        <v/>
      </c>
      <c r="C4498" t="inlineStr">
        <is>
          <t>Scrabble Deluxe Edition</t>
        </is>
      </c>
      <c r="D4498" t="inlineStr">
        <is>
          <t>Scrabble Deluxe Black Edition Board Game with Rotating Wooden Deluxe Turntable High End Scrabble Board Game - Scrabble Game Rotating Board Adults - Deluxe Edition Large Tiles Luxury</t>
        </is>
      </c>
      <c r="E4498" s="2">
        <f>HYPERLINK("https://www.amazon.com/Scrabble-Deluxe-Rotating-Wooden-Turntable/dp/B0BKR4VCWB/ref=sr_1_6?keywords=Scrabble+Deluxe+Edition&amp;qid=1695566010&amp;sr=8-6", "https://www.amazon.com/Scrabble-Deluxe-Rotating-Wooden-Turntable/dp/B0BKR4VCWB/ref=sr_1_6?keywords=Scrabble+Deluxe+Edition&amp;qid=1695566010&amp;sr=8-6")</f>
        <v/>
      </c>
      <c r="F4498" t="inlineStr">
        <is>
          <t>B0BKR4VCWB</t>
        </is>
      </c>
      <c r="G4498">
        <f>_xlfn.IMAGE("https://faoschwarz.com/cdn/shop/files/ws-game-company-games-scrabble-deluxe-edition-30418325241943_1080x.jpg?v=1693426673")</f>
        <v/>
      </c>
      <c r="H4498">
        <f>_xlfn.IMAGE("https://m.media-amazon.com/images/I/81t9awKptnL._AC_UL320_.jpg")</f>
        <v/>
      </c>
      <c r="K4498" t="inlineStr">
        <is>
          <t>130.0</t>
        </is>
      </c>
      <c r="L4498" t="n">
        <v>129.95</v>
      </c>
      <c r="M4498" s="1" t="inlineStr">
        <is>
          <t>-0.04%</t>
        </is>
      </c>
      <c r="N4498" t="n">
        <v>3.9</v>
      </c>
      <c r="O4498" t="n">
        <v>17</v>
      </c>
      <c r="Q4498" t="inlineStr">
        <is>
          <t>InStock</t>
        </is>
      </c>
      <c r="R4498" t="inlineStr">
        <is>
          <t>undefined</t>
        </is>
      </c>
      <c r="S4498" t="inlineStr">
        <is>
          <t>6715353890903</t>
        </is>
      </c>
    </row>
    <row r="4499" ht="75" customHeight="1">
      <c r="A4499" s="2">
        <f>HYPERLINK("https://faoschwarz.com/products/scrabble-deluxe-edition", "https://faoschwarz.com/products/scrabble-deluxe-edition")</f>
        <v/>
      </c>
      <c r="B4499" s="2">
        <f>HYPERLINK("https://faoschwarz.com/products/scrabble-deluxe-edition", "https://faoschwarz.com/products/scrabble-deluxe-edition")</f>
        <v/>
      </c>
      <c r="C4499" t="inlineStr">
        <is>
          <t>Scrabble Deluxe Edition</t>
        </is>
      </c>
      <c r="D4499" t="inlineStr">
        <is>
          <t>Scrabble Deluxe Edition with Rotating Wooden Game Board</t>
        </is>
      </c>
      <c r="E4499" s="2">
        <f>HYPERLINK("https://www.amazon.com/Scrabble-Deluxe-Rotating-Wooden-Game/dp/B004CTH7ME/ref=sr_1_2?keywords=Scrabble+Deluxe+Edition&amp;qid=1695566010&amp;sr=8-2", "https://www.amazon.com/Scrabble-Deluxe-Rotating-Wooden-Game/dp/B004CTH7ME/ref=sr_1_2?keywords=Scrabble+Deluxe+Edition&amp;qid=1695566010&amp;sr=8-2")</f>
        <v/>
      </c>
      <c r="F4499" t="inlineStr">
        <is>
          <t>B004CTH7ME</t>
        </is>
      </c>
      <c r="G4499">
        <f>_xlfn.IMAGE("https://faoschwarz.com/cdn/shop/files/ws-game-company-games-scrabble-deluxe-edition-30418325241943_1080x.jpg?v=1693426673")</f>
        <v/>
      </c>
      <c r="H4499">
        <f>_xlfn.IMAGE("https://m.media-amazon.com/images/I/71MnIcDzTHL._AC_UL320_.jpg")</f>
        <v/>
      </c>
      <c r="K4499" t="inlineStr">
        <is>
          <t>130.0</t>
        </is>
      </c>
      <c r="L4499" t="n">
        <v>119.99</v>
      </c>
      <c r="M4499" s="1" t="inlineStr">
        <is>
          <t>-7.70%</t>
        </is>
      </c>
      <c r="N4499" t="n">
        <v>4.8</v>
      </c>
      <c r="O4499" t="n">
        <v>3127</v>
      </c>
      <c r="Q4499" t="inlineStr">
        <is>
          <t>InStock</t>
        </is>
      </c>
      <c r="R4499" t="inlineStr">
        <is>
          <t>undefined</t>
        </is>
      </c>
      <c r="S4499" t="inlineStr">
        <is>
          <t>6715353890903</t>
        </is>
      </c>
    </row>
    <row r="4500" ht="75" customHeight="1">
      <c r="A4500" s="2">
        <f>HYPERLINK("https://faoschwarz.com/products/scrabble-deluxe-edition", "https://faoschwarz.com/products/scrabble-deluxe-edition")</f>
        <v/>
      </c>
      <c r="B4500" s="2">
        <f>HYPERLINK("https://faoschwarz.com/products/scrabble-deluxe-edition", "https://faoschwarz.com/products/scrabble-deluxe-edition")</f>
        <v/>
      </c>
      <c r="C4500" t="inlineStr">
        <is>
          <t>Scrabble Deluxe Edition</t>
        </is>
      </c>
      <c r="D4500" t="inlineStr">
        <is>
          <t>Hasbro Gaming Hasbro Scrabble Deluxe Edition (Amazon Exclusive)</t>
        </is>
      </c>
      <c r="E4500" s="2">
        <f>HYPERLINK("https://www.amazon.com/Hasbro-Scrabble-Deluxe-Amazon-Exclusive/dp/B00JMCJGZC/ref=sr_1_1?keywords=Scrabble+Deluxe+Edition&amp;qid=1695566010&amp;sr=8-1", "https://www.amazon.com/Hasbro-Scrabble-Deluxe-Amazon-Exclusive/dp/B00JMCJGZC/ref=sr_1_1?keywords=Scrabble+Deluxe+Edition&amp;qid=1695566010&amp;sr=8-1")</f>
        <v/>
      </c>
      <c r="F4500" t="inlineStr">
        <is>
          <t>B00JMCJGZC</t>
        </is>
      </c>
      <c r="G4500">
        <f>_xlfn.IMAGE("https://faoschwarz.com/cdn/shop/files/ws-game-company-games-scrabble-deluxe-edition-30418325241943_1080x.jpg?v=1693426673")</f>
        <v/>
      </c>
      <c r="H4500">
        <f>_xlfn.IMAGE("https://m.media-amazon.com/images/I/71HKzy+el5L._AC_UL320_.jpg")</f>
        <v/>
      </c>
      <c r="K4500" t="inlineStr">
        <is>
          <t>130.0</t>
        </is>
      </c>
      <c r="L4500" t="n">
        <v>46.99</v>
      </c>
      <c r="M4500" s="1" t="inlineStr">
        <is>
          <t>-63.85%</t>
        </is>
      </c>
      <c r="N4500" t="n">
        <v>4.8</v>
      </c>
      <c r="O4500" t="n">
        <v>10349</v>
      </c>
      <c r="Q4500" t="inlineStr">
        <is>
          <t>InStock</t>
        </is>
      </c>
      <c r="R4500" t="inlineStr">
        <is>
          <t>undefined</t>
        </is>
      </c>
      <c r="S4500" t="inlineStr">
        <is>
          <t>6715353890903</t>
        </is>
      </c>
    </row>
    <row r="4501" ht="75" customHeight="1">
      <c r="A4501" s="2">
        <f>HYPERLINK("https://faoschwarz.com/products/scrabble-deluxe-edition", "https://faoschwarz.com/products/scrabble-deluxe-edition")</f>
        <v/>
      </c>
      <c r="B4501" s="2">
        <f>HYPERLINK("https://faoschwarz.com/products/scrabble-deluxe-edition", "https://faoschwarz.com/products/scrabble-deluxe-edition")</f>
        <v/>
      </c>
      <c r="C4501" t="inlineStr">
        <is>
          <t>Scrabble Deluxe Edition</t>
        </is>
      </c>
      <c r="D4501" t="inlineStr">
        <is>
          <t>Scrabble Game Deluxe Edition Letter Tiles Board Game, Family Board Games for Adults and Kids, Word Games for 2-4 Players, Ages 8+</t>
        </is>
      </c>
      <c r="E4501" s="2">
        <f>HYPERLINK("https://www.amazon.com/Hasbro-Gaming-A8769-Scrabble-Edition/dp/B00IFWSO94/ref=sr_1_3?keywords=Scrabble+Deluxe+Edition&amp;qid=1695566010&amp;sr=8-3", "https://www.amazon.com/Hasbro-Gaming-A8769-Scrabble-Edition/dp/B00IFWSO94/ref=sr_1_3?keywords=Scrabble+Deluxe+Edition&amp;qid=1695566010&amp;sr=8-3")</f>
        <v/>
      </c>
      <c r="F4501" t="inlineStr">
        <is>
          <t>B00IFWSO94</t>
        </is>
      </c>
      <c r="G4501">
        <f>_xlfn.IMAGE("https://faoschwarz.com/cdn/shop/files/ws-game-company-games-scrabble-deluxe-edition-30418325241943_1080x.jpg?v=1693426673")</f>
        <v/>
      </c>
      <c r="H4501">
        <f>_xlfn.IMAGE("https://m.media-amazon.com/images/I/71phhjyxM+L._AC_UL320_.jpg")</f>
        <v/>
      </c>
      <c r="K4501" t="inlineStr">
        <is>
          <t>130.0</t>
        </is>
      </c>
      <c r="L4501" t="n">
        <v>39.99</v>
      </c>
      <c r="M4501" s="1" t="inlineStr">
        <is>
          <t>-69.24%</t>
        </is>
      </c>
      <c r="N4501" t="n">
        <v>4.6</v>
      </c>
      <c r="O4501" t="n">
        <v>4797</v>
      </c>
      <c r="Q4501" t="inlineStr">
        <is>
          <t>InStock</t>
        </is>
      </c>
      <c r="R4501" t="inlineStr">
        <is>
          <t>undefined</t>
        </is>
      </c>
      <c r="S4501" t="inlineStr">
        <is>
          <t>6715353890903</t>
        </is>
      </c>
    </row>
    <row r="4502" ht="75" customHeight="1">
      <c r="A4502" s="2">
        <f>HYPERLINK("https://faoschwarz.com/products/scrabble-deluxe-edition", "https://faoschwarz.com/products/scrabble-deluxe-edition")</f>
        <v/>
      </c>
      <c r="B4502" s="2">
        <f>HYPERLINK("https://faoschwarz.com/products/scrabble-deluxe-edition", "https://faoschwarz.com/products/scrabble-deluxe-edition")</f>
        <v/>
      </c>
      <c r="C4502" t="inlineStr">
        <is>
          <t>Scrabble Deluxe Edition</t>
        </is>
      </c>
      <c r="D4502" t="inlineStr">
        <is>
          <t>Men's Scrabble Deluxe Travel Edition</t>
        </is>
      </c>
      <c r="E4502" s="2">
        <f>HYPERLINK("https://www.amazon.com/WS-Game-Company-Scrabble-Edition/dp/B07CJDRHMT/ref=sr_1_4?keywords=Scrabble+Deluxe+Edition&amp;qid=1695566010&amp;sr=8-4", "https://www.amazon.com/WS-Game-Company-Scrabble-Edition/dp/B07CJDRHMT/ref=sr_1_4?keywords=Scrabble+Deluxe+Edition&amp;qid=1695566010&amp;sr=8-4")</f>
        <v/>
      </c>
      <c r="F4502" t="inlineStr">
        <is>
          <t>B07CJDRHMT</t>
        </is>
      </c>
      <c r="G4502">
        <f>_xlfn.IMAGE("https://faoschwarz.com/cdn/shop/files/ws-game-company-games-scrabble-deluxe-edition-30418325241943_1080x.jpg?v=1693426673")</f>
        <v/>
      </c>
      <c r="H4502">
        <f>_xlfn.IMAGE("https://m.media-amazon.com/images/I/81aJG0SQ0hL._AC_UL320_.jpg")</f>
        <v/>
      </c>
      <c r="K4502" t="inlineStr">
        <is>
          <t>130.0</t>
        </is>
      </c>
      <c r="L4502" t="n">
        <v>39.95</v>
      </c>
      <c r="M4502" s="1" t="inlineStr">
        <is>
          <t>-69.27%</t>
        </is>
      </c>
      <c r="N4502" t="n">
        <v>4.5</v>
      </c>
      <c r="O4502" t="n">
        <v>1576</v>
      </c>
      <c r="Q4502" t="inlineStr">
        <is>
          <t>InStock</t>
        </is>
      </c>
      <c r="R4502" t="inlineStr">
        <is>
          <t>undefined</t>
        </is>
      </c>
      <c r="S4502" t="inlineStr">
        <is>
          <t>6715353890903</t>
        </is>
      </c>
    </row>
    <row r="4503" ht="75" customHeight="1">
      <c r="A4503" s="2">
        <f>HYPERLINK("https://faoschwarz.com/products/scrabble-deluxe-edition", "https://faoschwarz.com/products/scrabble-deluxe-edition")</f>
        <v/>
      </c>
      <c r="B4503" s="2">
        <f>HYPERLINK("https://faoschwarz.com/products/scrabble-deluxe-edition", "https://faoschwarz.com/products/scrabble-deluxe-edition")</f>
        <v/>
      </c>
      <c r="C4503" t="inlineStr">
        <is>
          <t>Scrabble Deluxe Edition</t>
        </is>
      </c>
      <c r="D4503" t="inlineStr">
        <is>
          <t>Hasbro Gaming Hasbro Scrabble Deluxe Edition (Amazon Exclusive)</t>
        </is>
      </c>
      <c r="E4503" s="2">
        <f>HYPERLINK("https://www.amazon.com/Hasbro-Scrabble-Deluxe-Amazon-Exclusive/dp/B00JMCJGZC/ref=sr_1_1?keywords=Scrabble+Deluxe+Edition&amp;qid=1695566010&amp;sr=8-1", "https://www.amazon.com/Hasbro-Scrabble-Deluxe-Amazon-Exclusive/dp/B00JMCJGZC/ref=sr_1_1?keywords=Scrabble+Deluxe+Edition&amp;qid=1695566010&amp;sr=8-1")</f>
        <v/>
      </c>
      <c r="F4503" t="inlineStr">
        <is>
          <t>B00JMCJGZC</t>
        </is>
      </c>
      <c r="G4503">
        <f>_xlfn.IMAGE("https://faoschwarz.com/cdn/shop/files/ws-game-company-games-scrabble-deluxe-edition-30418325241943_1080x.jpg?v=1693426673")</f>
        <v/>
      </c>
      <c r="H4503">
        <f>_xlfn.IMAGE("https://m.media-amazon.com/images/I/71HKzy+el5L._AC_UL320_.jpg")</f>
        <v/>
      </c>
      <c r="K4503" t="inlineStr">
        <is>
          <t>130.0</t>
        </is>
      </c>
      <c r="L4503" t="n">
        <v>46.99</v>
      </c>
      <c r="M4503" s="1" t="inlineStr">
        <is>
          <t>-63.85%</t>
        </is>
      </c>
      <c r="N4503" t="n">
        <v>4.8</v>
      </c>
      <c r="O4503" t="n">
        <v>10349</v>
      </c>
      <c r="Q4503" t="inlineStr">
        <is>
          <t>InStock</t>
        </is>
      </c>
      <c r="R4503" t="inlineStr">
        <is>
          <t>undefined</t>
        </is>
      </c>
      <c r="S4503" t="inlineStr">
        <is>
          <t>6715353890903</t>
        </is>
      </c>
    </row>
    <row r="4504" ht="75" customHeight="1">
      <c r="A4504" s="2">
        <f>HYPERLINK("https://faoschwarz.com/products/scrabble-deluxe-edition", "https://faoschwarz.com/products/scrabble-deluxe-edition")</f>
        <v/>
      </c>
      <c r="B4504" s="2">
        <f>HYPERLINK("https://faoschwarz.com/products/scrabble-deluxe-edition", "https://faoschwarz.com/products/scrabble-deluxe-edition")</f>
        <v/>
      </c>
      <c r="C4504" t="inlineStr">
        <is>
          <t>Scrabble Deluxe Edition</t>
        </is>
      </c>
      <c r="D4504" t="inlineStr">
        <is>
          <t>Scrabble Game Deluxe Edition Letter Tiles Board Game, Family Board Games for Adults and Kids, Word Games for 2-4 Players, Ages 8+</t>
        </is>
      </c>
      <c r="E4504" s="2">
        <f>HYPERLINK("https://www.amazon.com/Hasbro-Gaming-A8769-Scrabble-Edition/dp/B00IFWSO94/ref=sr_1_3?keywords=Scrabble+Deluxe+Edition&amp;qid=1695566010&amp;sr=8-3", "https://www.amazon.com/Hasbro-Gaming-A8769-Scrabble-Edition/dp/B00IFWSO94/ref=sr_1_3?keywords=Scrabble+Deluxe+Edition&amp;qid=1695566010&amp;sr=8-3")</f>
        <v/>
      </c>
      <c r="F4504" t="inlineStr">
        <is>
          <t>B00IFWSO94</t>
        </is>
      </c>
      <c r="G4504">
        <f>_xlfn.IMAGE("https://faoschwarz.com/cdn/shop/files/ws-game-company-games-scrabble-deluxe-edition-30418325241943_1080x.jpg?v=1693426673")</f>
        <v/>
      </c>
      <c r="H4504">
        <f>_xlfn.IMAGE("https://m.media-amazon.com/images/I/71phhjyxM+L._AC_UL320_.jpg")</f>
        <v/>
      </c>
      <c r="K4504" t="inlineStr">
        <is>
          <t>130.0</t>
        </is>
      </c>
      <c r="L4504" t="n">
        <v>39.99</v>
      </c>
      <c r="M4504" s="1" t="inlineStr">
        <is>
          <t>-69.24%</t>
        </is>
      </c>
      <c r="N4504" t="n">
        <v>4.6</v>
      </c>
      <c r="O4504" t="n">
        <v>4797</v>
      </c>
      <c r="Q4504" t="inlineStr">
        <is>
          <t>InStock</t>
        </is>
      </c>
      <c r="R4504" t="inlineStr">
        <is>
          <t>undefined</t>
        </is>
      </c>
      <c r="S4504" t="inlineStr">
        <is>
          <t>6715353890903</t>
        </is>
      </c>
    </row>
    <row r="4505" ht="75" customHeight="1">
      <c r="A4505" s="2">
        <f>HYPERLINK("https://faoschwarz.com/products/scrabble-deluxe-edition", "https://faoschwarz.com/products/scrabble-deluxe-edition")</f>
        <v/>
      </c>
      <c r="B4505" s="2">
        <f>HYPERLINK("https://faoschwarz.com/products/scrabble-deluxe-edition", "https://faoschwarz.com/products/scrabble-deluxe-edition")</f>
        <v/>
      </c>
      <c r="C4505" t="inlineStr">
        <is>
          <t>Scrabble Deluxe Edition</t>
        </is>
      </c>
      <c r="D4505" t="inlineStr">
        <is>
          <t>Men's Scrabble Deluxe Travel Edition</t>
        </is>
      </c>
      <c r="E4505" s="2">
        <f>HYPERLINK("https://www.amazon.com/WS-Game-Company-Scrabble-Edition/dp/B07CJDRHMT/ref=sr_1_4?keywords=Scrabble+Deluxe+Edition&amp;qid=1695566010&amp;sr=8-4", "https://www.amazon.com/WS-Game-Company-Scrabble-Edition/dp/B07CJDRHMT/ref=sr_1_4?keywords=Scrabble+Deluxe+Edition&amp;qid=1695566010&amp;sr=8-4")</f>
        <v/>
      </c>
      <c r="F4505" t="inlineStr">
        <is>
          <t>B07CJDRHMT</t>
        </is>
      </c>
      <c r="G4505">
        <f>_xlfn.IMAGE("https://faoschwarz.com/cdn/shop/files/ws-game-company-games-scrabble-deluxe-edition-30418325241943_1080x.jpg?v=1693426673")</f>
        <v/>
      </c>
      <c r="H4505">
        <f>_xlfn.IMAGE("https://m.media-amazon.com/images/I/81aJG0SQ0hL._AC_UL320_.jpg")</f>
        <v/>
      </c>
      <c r="K4505" t="inlineStr">
        <is>
          <t>130.0</t>
        </is>
      </c>
      <c r="L4505" t="n">
        <v>39.95</v>
      </c>
      <c r="M4505" s="1" t="inlineStr">
        <is>
          <t>-69.27%</t>
        </is>
      </c>
      <c r="N4505" t="n">
        <v>4.5</v>
      </c>
      <c r="O4505" t="n">
        <v>1576</v>
      </c>
      <c r="Q4505" t="inlineStr">
        <is>
          <t>InStock</t>
        </is>
      </c>
      <c r="R4505" t="inlineStr">
        <is>
          <t>undefined</t>
        </is>
      </c>
      <c r="S4505" t="inlineStr">
        <is>
          <t>6715353890903</t>
        </is>
      </c>
    </row>
    <row r="4506" ht="75" customHeight="1">
      <c r="A4506" s="2">
        <f>HYPERLINK("https://faoschwarz.com/products/scrabble-deluxe-vintage-2-in-1-wall-edition", "https://faoschwarz.com/products/scrabble-deluxe-vintage-2-in-1-wall-edition")</f>
        <v/>
      </c>
      <c r="B4506" s="2">
        <f>HYPERLINK("https://faoschwarz.com/products/scrabble-deluxe-vintage-2-in-1-wall-edition", "https://faoschwarz.com/products/scrabble-deluxe-vintage-2-in-1-wall-edition")</f>
        <v/>
      </c>
      <c r="C4506" t="inlineStr">
        <is>
          <t>Scrabble Deluxe Vintage 2-in-1 Wall Edition</t>
        </is>
      </c>
      <c r="D4506" t="inlineStr">
        <is>
          <t>WS Game Company Scrabble Deluxe Vintage 2-in-1 Wall Edition with Dry Erase Message Board</t>
        </is>
      </c>
      <c r="E4506" s="2">
        <f>HYPERLINK("https://www.amazon.com/Scrabble-Deluxe-Vintage-Erase-Message/dp/B07Z2FT5PR/ref=sr_1_1?keywords=Scrabble+Deluxe+Vintage+2-in-1+Wall+Edition&amp;qid=1695566008&amp;sr=8-1", "https://www.amazon.com/Scrabble-Deluxe-Vintage-Erase-Message/dp/B07Z2FT5PR/ref=sr_1_1?keywords=Scrabble+Deluxe+Vintage+2-in-1+Wall+Edition&amp;qid=1695566008&amp;sr=8-1")</f>
        <v/>
      </c>
      <c r="F4506" t="inlineStr">
        <is>
          <t>B07Z2FT5PR</t>
        </is>
      </c>
      <c r="G4506">
        <f>_xlfn.IMAGE("https://faoschwarz.com/cdn/shop/products/ws-game-company-games-scrabble-deluxe-vintage-2-in-1-wall-edition-29751719592023_1080x.jpg?v=1668923927")</f>
        <v/>
      </c>
      <c r="H4506">
        <f>_xlfn.IMAGE("https://m.media-amazon.com/images/I/81NWJyUJxGL._AC_UL320_.jpg")</f>
        <v/>
      </c>
      <c r="K4506" t="inlineStr">
        <is>
          <t>130.0</t>
        </is>
      </c>
      <c r="L4506" t="n">
        <v>129.99</v>
      </c>
      <c r="M4506" s="1" t="inlineStr">
        <is>
          <t>-0.01%</t>
        </is>
      </c>
      <c r="N4506" t="n">
        <v>4.7</v>
      </c>
      <c r="O4506" t="n">
        <v>112</v>
      </c>
      <c r="Q4506" t="inlineStr">
        <is>
          <t>InStock</t>
        </is>
      </c>
      <c r="R4506" t="inlineStr">
        <is>
          <t>undefined</t>
        </is>
      </c>
      <c r="S4506" t="inlineStr">
        <is>
          <t>6715353104471</t>
        </is>
      </c>
    </row>
    <row r="4507" ht="75" customHeight="1">
      <c r="A4507" s="2">
        <f>HYPERLINK("https://faoschwarz.com/products/scrabble-deluxe-vintage-2-in-1-wall-edition", "https://faoschwarz.com/products/scrabble-deluxe-vintage-2-in-1-wall-edition")</f>
        <v/>
      </c>
      <c r="B4507" s="2">
        <f>HYPERLINK("https://faoschwarz.com/products/scrabble-deluxe-vintage-2-in-1-wall-edition", "https://faoschwarz.com/products/scrabble-deluxe-vintage-2-in-1-wall-edition")</f>
        <v/>
      </c>
      <c r="C4507" t="inlineStr">
        <is>
          <t>Scrabble Deluxe Vintage 2-in-1 Wall Edition</t>
        </is>
      </c>
      <c r="D4507" t="inlineStr">
        <is>
          <t>WS Game Company Scrabble Deluxe 2-in-1 Wall Edition with Dry Erase Message Board</t>
        </is>
      </c>
      <c r="E4507" s="2">
        <f>HYPERLINK("https://www.amazon.com/Deluxe-Magnetic-Scrabble-Crossword-Message/dp/B07H3C88FP/ref=sr_1_2?keywords=Scrabble+Deluxe+Vintage+2-in-1+Wall+Edition&amp;qid=1695566008&amp;sr=8-2", "https://www.amazon.com/Deluxe-Magnetic-Scrabble-Crossword-Message/dp/B07H3C88FP/ref=sr_1_2?keywords=Scrabble+Deluxe+Vintage+2-in-1+Wall+Edition&amp;qid=1695566008&amp;sr=8-2")</f>
        <v/>
      </c>
      <c r="F4507" t="inlineStr">
        <is>
          <t>B07H3C88FP</t>
        </is>
      </c>
      <c r="G4507">
        <f>_xlfn.IMAGE("https://faoschwarz.com/cdn/shop/products/ws-game-company-games-scrabble-deluxe-vintage-2-in-1-wall-edition-29751719592023_1080x.jpg?v=1668923927")</f>
        <v/>
      </c>
      <c r="H4507">
        <f>_xlfn.IMAGE("https://m.media-amazon.com/images/I/71b+kPoewLL._AC_UL320_.jpg")</f>
        <v/>
      </c>
      <c r="K4507" t="inlineStr">
        <is>
          <t>130.0</t>
        </is>
      </c>
      <c r="L4507" t="n">
        <v>129.99</v>
      </c>
      <c r="M4507" s="1" t="inlineStr">
        <is>
          <t>-0.01%</t>
        </is>
      </c>
      <c r="N4507" t="n">
        <v>4.7</v>
      </c>
      <c r="O4507" t="n">
        <v>213</v>
      </c>
      <c r="Q4507" t="inlineStr">
        <is>
          <t>InStock</t>
        </is>
      </c>
      <c r="R4507" t="inlineStr">
        <is>
          <t>undefined</t>
        </is>
      </c>
      <c r="S4507" t="inlineStr">
        <is>
          <t>6715353104471</t>
        </is>
      </c>
    </row>
    <row r="4508" ht="75" customHeight="1">
      <c r="A4508" s="2">
        <f>HYPERLINK("https://faoschwarz.com/products/scrabble-giant-deluxe-edition", "https://faoschwarz.com/products/scrabble-giant-deluxe-edition")</f>
        <v/>
      </c>
      <c r="B4508" s="2">
        <f>HYPERLINK("https://faoschwarz.com/products/scrabble-giant-deluxe-edition", "https://faoschwarz.com/products/scrabble-giant-deluxe-edition")</f>
        <v/>
      </c>
      <c r="C4508" t="inlineStr">
        <is>
          <t>Scrabble Giant Deluxe Edition</t>
        </is>
      </c>
      <c r="D4508" t="inlineStr">
        <is>
          <t>WS Game Company Scrabble Giant Deluxe Edition with Rotating Wooden Board</t>
        </is>
      </c>
      <c r="E4508" s="2">
        <f>HYPERLINK("https://www.amazon.com/Scrabble-Giant-Deluxe-Rotating-Wooden/dp/B004SRWXOW/ref=sr_1_2?keywords=Scrabble+Giant+Deluxe+Edition&amp;qid=1695565982&amp;sr=8-2", "https://www.amazon.com/Scrabble-Giant-Deluxe-Rotating-Wooden/dp/B004SRWXOW/ref=sr_1_2?keywords=Scrabble+Giant+Deluxe+Edition&amp;qid=1695565982&amp;sr=8-2")</f>
        <v/>
      </c>
      <c r="F4508" t="inlineStr">
        <is>
          <t>B004SRWXOW</t>
        </is>
      </c>
      <c r="G4508">
        <f>_xlfn.IMAGE("https://faoschwarz.com/cdn/shop/files/ws-game-company-games-scrabble-giant-deluxe-edition-30418339364951_1080x.jpg?v=1693361404")</f>
        <v/>
      </c>
      <c r="H4508">
        <f>_xlfn.IMAGE("https://m.media-amazon.com/images/I/81UbuD5mriL._AC_UL320_.jpg")</f>
        <v/>
      </c>
      <c r="K4508" t="inlineStr">
        <is>
          <t>180.0</t>
        </is>
      </c>
      <c r="L4508" t="n">
        <v>159.99</v>
      </c>
      <c r="M4508" s="1" t="inlineStr">
        <is>
          <t>-11.12%</t>
        </is>
      </c>
      <c r="N4508" t="n">
        <v>4.6</v>
      </c>
      <c r="O4508" t="n">
        <v>562</v>
      </c>
      <c r="Q4508" t="inlineStr">
        <is>
          <t>InStock</t>
        </is>
      </c>
      <c r="R4508" t="inlineStr">
        <is>
          <t>undefined</t>
        </is>
      </c>
      <c r="S4508" t="inlineStr">
        <is>
          <t>6715353759831</t>
        </is>
      </c>
    </row>
    <row r="4509" ht="75" customHeight="1">
      <c r="A4509" s="2">
        <f>HYPERLINK("https://faoschwarz.com/products/scrabble-giant-deluxe-edition", "https://faoschwarz.com/products/scrabble-giant-deluxe-edition")</f>
        <v/>
      </c>
      <c r="B4509" s="2">
        <f>HYPERLINK("https://faoschwarz.com/products/scrabble-giant-deluxe-edition", "https://faoschwarz.com/products/scrabble-giant-deluxe-edition")</f>
        <v/>
      </c>
      <c r="C4509" t="inlineStr">
        <is>
          <t>Scrabble Giant Deluxe Edition</t>
        </is>
      </c>
      <c r="D4509" t="inlineStr">
        <is>
          <t>WS Game Company Scrabble Deluxe 2-in-1 Wall Edition with Dry Erase Message Board</t>
        </is>
      </c>
      <c r="E4509" s="2">
        <f>HYPERLINK("https://www.amazon.com/Deluxe-Magnetic-Scrabble-Crossword-Message/dp/B07H3C88FP/ref=sr_1_9?keywords=Scrabble+Giant+Deluxe+Edition&amp;qid=1695565982&amp;sr=8-9", "https://www.amazon.com/Deluxe-Magnetic-Scrabble-Crossword-Message/dp/B07H3C88FP/ref=sr_1_9?keywords=Scrabble+Giant+Deluxe+Edition&amp;qid=1695565982&amp;sr=8-9")</f>
        <v/>
      </c>
      <c r="F4509" t="inlineStr">
        <is>
          <t>B07H3C88FP</t>
        </is>
      </c>
      <c r="G4509">
        <f>_xlfn.IMAGE("https://faoschwarz.com/cdn/shop/files/ws-game-company-games-scrabble-giant-deluxe-edition-30418339364951_1080x.jpg?v=1693361404")</f>
        <v/>
      </c>
      <c r="H4509">
        <f>_xlfn.IMAGE("https://m.media-amazon.com/images/I/71b+kPoewLL._AC_UL320_.jpg")</f>
        <v/>
      </c>
      <c r="K4509" t="inlineStr">
        <is>
          <t>180.0</t>
        </is>
      </c>
      <c r="L4509" t="n">
        <v>129.99</v>
      </c>
      <c r="M4509" s="1" t="inlineStr">
        <is>
          <t>-27.78%</t>
        </is>
      </c>
      <c r="N4509" t="n">
        <v>4.7</v>
      </c>
      <c r="O4509" t="n">
        <v>213</v>
      </c>
      <c r="Q4509" t="inlineStr">
        <is>
          <t>InStock</t>
        </is>
      </c>
      <c r="R4509" t="inlineStr">
        <is>
          <t>undefined</t>
        </is>
      </c>
      <c r="S4509" t="inlineStr">
        <is>
          <t>6715353759831</t>
        </is>
      </c>
    </row>
    <row r="4510" ht="75" customHeight="1">
      <c r="A4510" s="2">
        <f>HYPERLINK("https://faoschwarz.com/products/scrabble-giant-deluxe-edition", "https://faoschwarz.com/products/scrabble-giant-deluxe-edition")</f>
        <v/>
      </c>
      <c r="B4510" s="2">
        <f>HYPERLINK("https://faoschwarz.com/products/scrabble-giant-deluxe-edition", "https://faoschwarz.com/products/scrabble-giant-deluxe-edition")</f>
        <v/>
      </c>
      <c r="C4510" t="inlineStr">
        <is>
          <t>Scrabble Giant Deluxe Edition</t>
        </is>
      </c>
      <c r="D4510" t="inlineStr">
        <is>
          <t>Scrabble Deluxe Black Edition Board Game with Rotating Wooden Deluxe Turntable High End Scrabble Board Game - Scrabble Game Rotating Board Adults - Deluxe Edition Large Tiles Luxury</t>
        </is>
      </c>
      <c r="E4510" s="2">
        <f>HYPERLINK("https://www.amazon.com/Scrabble-Deluxe-Rotating-Wooden-Turntable/dp/B0BKR4VCWB/ref=sr_1_6?keywords=Scrabble+Giant+Deluxe+Edition&amp;qid=1695565982&amp;sr=8-6", "https://www.amazon.com/Scrabble-Deluxe-Rotating-Wooden-Turntable/dp/B0BKR4VCWB/ref=sr_1_6?keywords=Scrabble+Giant+Deluxe+Edition&amp;qid=1695565982&amp;sr=8-6")</f>
        <v/>
      </c>
      <c r="F4510" t="inlineStr">
        <is>
          <t>B0BKR4VCWB</t>
        </is>
      </c>
      <c r="G4510">
        <f>_xlfn.IMAGE("https://faoschwarz.com/cdn/shop/files/ws-game-company-games-scrabble-giant-deluxe-edition-30418339364951_1080x.jpg?v=1693361404")</f>
        <v/>
      </c>
      <c r="H4510">
        <f>_xlfn.IMAGE("https://m.media-amazon.com/images/I/81t9awKptnL._AC_UL320_.jpg")</f>
        <v/>
      </c>
      <c r="K4510" t="inlineStr">
        <is>
          <t>180.0</t>
        </is>
      </c>
      <c r="L4510" t="n">
        <v>129.95</v>
      </c>
      <c r="M4510" s="1" t="inlineStr">
        <is>
          <t>-27.81%</t>
        </is>
      </c>
      <c r="N4510" t="n">
        <v>3.9</v>
      </c>
      <c r="O4510" t="n">
        <v>17</v>
      </c>
      <c r="Q4510" t="inlineStr">
        <is>
          <t>InStock</t>
        </is>
      </c>
      <c r="R4510" t="inlineStr">
        <is>
          <t>undefined</t>
        </is>
      </c>
      <c r="S4510" t="inlineStr">
        <is>
          <t>6715353759831</t>
        </is>
      </c>
    </row>
    <row r="4511" ht="75" customHeight="1">
      <c r="A4511" s="2">
        <f>HYPERLINK("https://faoschwarz.com/products/scrabble-giant-deluxe-edition", "https://faoschwarz.com/products/scrabble-giant-deluxe-edition")</f>
        <v/>
      </c>
      <c r="B4511" s="2">
        <f>HYPERLINK("https://faoschwarz.com/products/scrabble-giant-deluxe-edition", "https://faoschwarz.com/products/scrabble-giant-deluxe-edition")</f>
        <v/>
      </c>
      <c r="C4511" t="inlineStr">
        <is>
          <t>Scrabble Giant Deluxe Edition</t>
        </is>
      </c>
      <c r="D4511" t="inlineStr">
        <is>
          <t>Scrabble Deluxe Edition with Rotating Wooden Game Board</t>
        </is>
      </c>
      <c r="E4511" s="2">
        <f>HYPERLINK("https://www.amazon.com/Scrabble-Deluxe-Rotating-Wooden-Game/dp/B004CTH7ME/ref=sr_1_1?keywords=Scrabble+Giant+Deluxe+Edition&amp;qid=1695565982&amp;sr=8-1", "https://www.amazon.com/Scrabble-Deluxe-Rotating-Wooden-Game/dp/B004CTH7ME/ref=sr_1_1?keywords=Scrabble+Giant+Deluxe+Edition&amp;qid=1695565982&amp;sr=8-1")</f>
        <v/>
      </c>
      <c r="F4511" t="inlineStr">
        <is>
          <t>B004CTH7ME</t>
        </is>
      </c>
      <c r="G4511">
        <f>_xlfn.IMAGE("https://faoschwarz.com/cdn/shop/files/ws-game-company-games-scrabble-giant-deluxe-edition-30418339364951_1080x.jpg?v=1693361404")</f>
        <v/>
      </c>
      <c r="H4511">
        <f>_xlfn.IMAGE("https://m.media-amazon.com/images/I/71MnIcDzTHL._AC_UL320_.jpg")</f>
        <v/>
      </c>
      <c r="K4511" t="inlineStr">
        <is>
          <t>180.0</t>
        </is>
      </c>
      <c r="L4511" t="n">
        <v>119.99</v>
      </c>
      <c r="M4511" s="1" t="inlineStr">
        <is>
          <t>-33.34%</t>
        </is>
      </c>
      <c r="N4511" t="n">
        <v>4.8</v>
      </c>
      <c r="O4511" t="n">
        <v>3127</v>
      </c>
      <c r="Q4511" t="inlineStr">
        <is>
          <t>InStock</t>
        </is>
      </c>
      <c r="R4511" t="inlineStr">
        <is>
          <t>undefined</t>
        </is>
      </c>
      <c r="S4511" t="inlineStr">
        <is>
          <t>6715353759831</t>
        </is>
      </c>
    </row>
    <row r="4512" ht="75" customHeight="1">
      <c r="A4512" s="2">
        <f>HYPERLINK("https://faoschwarz.com/products/scrabble-giant-deluxe-edition", "https://faoschwarz.com/products/scrabble-giant-deluxe-edition")</f>
        <v/>
      </c>
      <c r="B4512" s="2">
        <f>HYPERLINK("https://faoschwarz.com/products/scrabble-giant-deluxe-edition", "https://faoschwarz.com/products/scrabble-giant-deluxe-edition")</f>
        <v/>
      </c>
      <c r="C4512" t="inlineStr">
        <is>
          <t>Scrabble Giant Deluxe Edition</t>
        </is>
      </c>
      <c r="D4512" t="inlineStr">
        <is>
          <t>Hasbro Gaming Hasbro Scrabble Deluxe Edition (Amazon Exclusive)</t>
        </is>
      </c>
      <c r="E4512" s="2">
        <f>HYPERLINK("https://www.amazon.com/Hasbro-Scrabble-Deluxe-Amazon-Exclusive/dp/B00JMCJGZC/ref=sr_1_3?keywords=Scrabble+Giant+Deluxe+Edition&amp;qid=1695565982&amp;sr=8-3", "https://www.amazon.com/Hasbro-Scrabble-Deluxe-Amazon-Exclusive/dp/B00JMCJGZC/ref=sr_1_3?keywords=Scrabble+Giant+Deluxe+Edition&amp;qid=1695565982&amp;sr=8-3")</f>
        <v/>
      </c>
      <c r="F4512" t="inlineStr">
        <is>
          <t>B00JMCJGZC</t>
        </is>
      </c>
      <c r="G4512">
        <f>_xlfn.IMAGE("https://faoschwarz.com/cdn/shop/files/ws-game-company-games-scrabble-giant-deluxe-edition-30418339364951_1080x.jpg?v=1693361404")</f>
        <v/>
      </c>
      <c r="H4512">
        <f>_xlfn.IMAGE("https://m.media-amazon.com/images/I/71HKzy+el5L._AC_UL320_.jpg")</f>
        <v/>
      </c>
      <c r="K4512" t="inlineStr">
        <is>
          <t>180.0</t>
        </is>
      </c>
      <c r="L4512" t="n">
        <v>46.99</v>
      </c>
      <c r="M4512" s="1" t="inlineStr">
        <is>
          <t>-73.89%</t>
        </is>
      </c>
      <c r="N4512" t="n">
        <v>4.8</v>
      </c>
      <c r="O4512" t="n">
        <v>10349</v>
      </c>
      <c r="Q4512" t="inlineStr">
        <is>
          <t>InStock</t>
        </is>
      </c>
      <c r="R4512" t="inlineStr">
        <is>
          <t>undefined</t>
        </is>
      </c>
      <c r="S4512" t="inlineStr">
        <is>
          <t>6715353759831</t>
        </is>
      </c>
    </row>
    <row r="4513" ht="75" customHeight="1">
      <c r="A4513" s="2">
        <f>HYPERLINK("https://faoschwarz.com/products/scrabble-giant-deluxe-edition", "https://faoschwarz.com/products/scrabble-giant-deluxe-edition")</f>
        <v/>
      </c>
      <c r="B4513" s="2">
        <f>HYPERLINK("https://faoschwarz.com/products/scrabble-giant-deluxe-edition", "https://faoschwarz.com/products/scrabble-giant-deluxe-edition")</f>
        <v/>
      </c>
      <c r="C4513" t="inlineStr">
        <is>
          <t>Scrabble Giant Deluxe Edition</t>
        </is>
      </c>
      <c r="D4513" t="inlineStr">
        <is>
          <t>Scrabble Game Deluxe Edition Letter Tiles Board Game, Family Board Games for Adults and Kids, Word Games for 2-4 Players, Ages 8+</t>
        </is>
      </c>
      <c r="E4513" s="2">
        <f>HYPERLINK("https://www.amazon.com/Hasbro-Gaming-A8769-Scrabble-Edition/dp/B00IFWSO94/ref=sr_1_4?keywords=Scrabble+Giant+Deluxe+Edition&amp;qid=1695565982&amp;sr=8-4", "https://www.amazon.com/Hasbro-Gaming-A8769-Scrabble-Edition/dp/B00IFWSO94/ref=sr_1_4?keywords=Scrabble+Giant+Deluxe+Edition&amp;qid=1695565982&amp;sr=8-4")</f>
        <v/>
      </c>
      <c r="F4513" t="inlineStr">
        <is>
          <t>B00IFWSO94</t>
        </is>
      </c>
      <c r="G4513">
        <f>_xlfn.IMAGE("https://faoschwarz.com/cdn/shop/files/ws-game-company-games-scrabble-giant-deluxe-edition-30418339364951_1080x.jpg?v=1693361404")</f>
        <v/>
      </c>
      <c r="H4513">
        <f>_xlfn.IMAGE("https://m.media-amazon.com/images/I/71phhjyxM+L._AC_UL320_.jpg")</f>
        <v/>
      </c>
      <c r="K4513" t="inlineStr">
        <is>
          <t>180.0</t>
        </is>
      </c>
      <c r="L4513" t="n">
        <v>39.99</v>
      </c>
      <c r="M4513" s="1" t="inlineStr">
        <is>
          <t>-77.78%</t>
        </is>
      </c>
      <c r="N4513" t="n">
        <v>4.6</v>
      </c>
      <c r="O4513" t="n">
        <v>4797</v>
      </c>
      <c r="Q4513" t="inlineStr">
        <is>
          <t>InStock</t>
        </is>
      </c>
      <c r="R4513" t="inlineStr">
        <is>
          <t>undefined</t>
        </is>
      </c>
      <c r="S4513" t="inlineStr">
        <is>
          <t>6715353759831</t>
        </is>
      </c>
    </row>
    <row r="4514" ht="75" customHeight="1">
      <c r="A4514" s="2">
        <f>HYPERLINK("https://faoschwarz.com/products/scrabble-giant-deluxe-edition", "https://faoschwarz.com/products/scrabble-giant-deluxe-edition")</f>
        <v/>
      </c>
      <c r="B4514" s="2">
        <f>HYPERLINK("https://faoschwarz.com/products/scrabble-giant-deluxe-edition", "https://faoschwarz.com/products/scrabble-giant-deluxe-edition")</f>
        <v/>
      </c>
      <c r="C4514" t="inlineStr">
        <is>
          <t>Scrabble Giant Deluxe Edition</t>
        </is>
      </c>
      <c r="D4514" t="inlineStr">
        <is>
          <t>WS Game Company Men's Scrabble Deluxe Travel Edition</t>
        </is>
      </c>
      <c r="E4514" s="2">
        <f>HYPERLINK("https://www.amazon.com/WS-Game-Company-Scrabble-Edition/dp/B07CJDRHMT/ref=sr_1_8?keywords=Scrabble+Giant+Deluxe+Edition&amp;qid=1695565982&amp;sr=8-8", "https://www.amazon.com/WS-Game-Company-Scrabble-Edition/dp/B07CJDRHMT/ref=sr_1_8?keywords=Scrabble+Giant+Deluxe+Edition&amp;qid=1695565982&amp;sr=8-8")</f>
        <v/>
      </c>
      <c r="F4514" t="inlineStr">
        <is>
          <t>B07CJDRHMT</t>
        </is>
      </c>
      <c r="G4514">
        <f>_xlfn.IMAGE("https://faoschwarz.com/cdn/shop/files/ws-game-company-games-scrabble-giant-deluxe-edition-30418339364951_1080x.jpg?v=1693361404")</f>
        <v/>
      </c>
      <c r="H4514">
        <f>_xlfn.IMAGE("https://m.media-amazon.com/images/I/81aJG0SQ0hL._AC_UL320_.jpg")</f>
        <v/>
      </c>
      <c r="K4514" t="inlineStr">
        <is>
          <t>180.0</t>
        </is>
      </c>
      <c r="L4514" t="n">
        <v>39.95</v>
      </c>
      <c r="M4514" s="1" t="inlineStr">
        <is>
          <t>-77.81%</t>
        </is>
      </c>
      <c r="N4514" t="n">
        <v>4.5</v>
      </c>
      <c r="O4514" t="n">
        <v>1576</v>
      </c>
      <c r="Q4514" t="inlineStr">
        <is>
          <t>InStock</t>
        </is>
      </c>
      <c r="R4514" t="inlineStr">
        <is>
          <t>undefined</t>
        </is>
      </c>
      <c r="S4514" t="inlineStr">
        <is>
          <t>6715353759831</t>
        </is>
      </c>
    </row>
    <row r="4515" ht="75" customHeight="1">
      <c r="A4515" s="2">
        <f>HYPERLINK("https://faoschwarz.com/products/scrabble-giant-deluxe-edition", "https://faoschwarz.com/products/scrabble-giant-deluxe-edition")</f>
        <v/>
      </c>
      <c r="B4515" s="2">
        <f>HYPERLINK("https://faoschwarz.com/products/scrabble-giant-deluxe-edition", "https://faoschwarz.com/products/scrabble-giant-deluxe-edition")</f>
        <v/>
      </c>
      <c r="C4515" t="inlineStr">
        <is>
          <t>Scrabble Giant Deluxe Edition</t>
        </is>
      </c>
      <c r="D4515" t="inlineStr">
        <is>
          <t>WS Game Company Scrabble Giant Deluxe Edition with Rotating Wooden Board</t>
        </is>
      </c>
      <c r="E4515" s="2">
        <f>HYPERLINK("https://www.amazon.com/Scrabble-Giant-Deluxe-Rotating-Wooden/dp/B004SRWXOW/ref=sr_1_2?keywords=Scrabble+Giant+Deluxe+Edition&amp;qid=1695565982&amp;sr=8-2", "https://www.amazon.com/Scrabble-Giant-Deluxe-Rotating-Wooden/dp/B004SRWXOW/ref=sr_1_2?keywords=Scrabble+Giant+Deluxe+Edition&amp;qid=1695565982&amp;sr=8-2")</f>
        <v/>
      </c>
      <c r="F4515" t="inlineStr">
        <is>
          <t>B004SRWXOW</t>
        </is>
      </c>
      <c r="G4515">
        <f>_xlfn.IMAGE("https://faoschwarz.com/cdn/shop/files/ws-game-company-games-scrabble-giant-deluxe-edition-30418339364951_1080x.jpg?v=1693361404")</f>
        <v/>
      </c>
      <c r="H4515">
        <f>_xlfn.IMAGE("https://m.media-amazon.com/images/I/81UbuD5mriL._AC_UL320_.jpg")</f>
        <v/>
      </c>
      <c r="K4515" t="inlineStr">
        <is>
          <t>180.0</t>
        </is>
      </c>
      <c r="L4515" t="n">
        <v>159.99</v>
      </c>
      <c r="M4515" s="1" t="inlineStr">
        <is>
          <t>-11.12%</t>
        </is>
      </c>
      <c r="N4515" t="n">
        <v>4.6</v>
      </c>
      <c r="O4515" t="n">
        <v>562</v>
      </c>
      <c r="Q4515" t="inlineStr">
        <is>
          <t>InStock</t>
        </is>
      </c>
      <c r="R4515" t="inlineStr">
        <is>
          <t>undefined</t>
        </is>
      </c>
      <c r="S4515" t="inlineStr">
        <is>
          <t>6715353759831</t>
        </is>
      </c>
    </row>
    <row r="4516" ht="75" customHeight="1">
      <c r="A4516" s="2">
        <f>HYPERLINK("https://faoschwarz.com/products/scrabble-giant-deluxe-edition", "https://faoschwarz.com/products/scrabble-giant-deluxe-edition")</f>
        <v/>
      </c>
      <c r="B4516" s="2">
        <f>HYPERLINK("https://faoschwarz.com/products/scrabble-giant-deluxe-edition", "https://faoschwarz.com/products/scrabble-giant-deluxe-edition")</f>
        <v/>
      </c>
      <c r="C4516" t="inlineStr">
        <is>
          <t>Scrabble Giant Deluxe Edition</t>
        </is>
      </c>
      <c r="D4516" t="inlineStr">
        <is>
          <t>WS Game Company Scrabble Deluxe 2-in-1 Wall Edition with Dry Erase Message Board</t>
        </is>
      </c>
      <c r="E4516" s="2">
        <f>HYPERLINK("https://www.amazon.com/Deluxe-Magnetic-Scrabble-Crossword-Message/dp/B07H3C88FP/ref=sr_1_9?keywords=Scrabble+Giant+Deluxe+Edition&amp;qid=1695565982&amp;sr=8-9", "https://www.amazon.com/Deluxe-Magnetic-Scrabble-Crossword-Message/dp/B07H3C88FP/ref=sr_1_9?keywords=Scrabble+Giant+Deluxe+Edition&amp;qid=1695565982&amp;sr=8-9")</f>
        <v/>
      </c>
      <c r="F4516" t="inlineStr">
        <is>
          <t>B07H3C88FP</t>
        </is>
      </c>
      <c r="G4516">
        <f>_xlfn.IMAGE("https://faoschwarz.com/cdn/shop/files/ws-game-company-games-scrabble-giant-deluxe-edition-30418339364951_1080x.jpg?v=1693361404")</f>
        <v/>
      </c>
      <c r="H4516">
        <f>_xlfn.IMAGE("https://m.media-amazon.com/images/I/71b+kPoewLL._AC_UL320_.jpg")</f>
        <v/>
      </c>
      <c r="K4516" t="inlineStr">
        <is>
          <t>180.0</t>
        </is>
      </c>
      <c r="L4516" t="n">
        <v>129.99</v>
      </c>
      <c r="M4516" s="1" t="inlineStr">
        <is>
          <t>-27.78%</t>
        </is>
      </c>
      <c r="N4516" t="n">
        <v>4.7</v>
      </c>
      <c r="O4516" t="n">
        <v>213</v>
      </c>
      <c r="Q4516" t="inlineStr">
        <is>
          <t>InStock</t>
        </is>
      </c>
      <c r="R4516" t="inlineStr">
        <is>
          <t>undefined</t>
        </is>
      </c>
      <c r="S4516" t="inlineStr">
        <is>
          <t>6715353759831</t>
        </is>
      </c>
    </row>
    <row r="4517" ht="75" customHeight="1">
      <c r="A4517" s="2">
        <f>HYPERLINK("https://faoschwarz.com/products/scrabble-giant-deluxe-edition", "https://faoschwarz.com/products/scrabble-giant-deluxe-edition")</f>
        <v/>
      </c>
      <c r="B4517" s="2">
        <f>HYPERLINK("https://faoschwarz.com/products/scrabble-giant-deluxe-edition", "https://faoschwarz.com/products/scrabble-giant-deluxe-edition")</f>
        <v/>
      </c>
      <c r="C4517" t="inlineStr">
        <is>
          <t>Scrabble Giant Deluxe Edition</t>
        </is>
      </c>
      <c r="D4517" t="inlineStr">
        <is>
          <t>Scrabble Deluxe Black Edition Board Game with Rotating Wooden Deluxe Turntable High End Scrabble Board Game - Scrabble Game Rotating Board Adults - Deluxe Edition Large Tiles Luxury</t>
        </is>
      </c>
      <c r="E4517" s="2">
        <f>HYPERLINK("https://www.amazon.com/Scrabble-Deluxe-Rotating-Wooden-Turntable/dp/B0BKR4VCWB/ref=sr_1_6?keywords=Scrabble+Giant+Deluxe+Edition&amp;qid=1695565982&amp;sr=8-6", "https://www.amazon.com/Scrabble-Deluxe-Rotating-Wooden-Turntable/dp/B0BKR4VCWB/ref=sr_1_6?keywords=Scrabble+Giant+Deluxe+Edition&amp;qid=1695565982&amp;sr=8-6")</f>
        <v/>
      </c>
      <c r="F4517" t="inlineStr">
        <is>
          <t>B0BKR4VCWB</t>
        </is>
      </c>
      <c r="G4517">
        <f>_xlfn.IMAGE("https://faoschwarz.com/cdn/shop/files/ws-game-company-games-scrabble-giant-deluxe-edition-30418339364951_1080x.jpg?v=1693361404")</f>
        <v/>
      </c>
      <c r="H4517">
        <f>_xlfn.IMAGE("https://m.media-amazon.com/images/I/81t9awKptnL._AC_UL320_.jpg")</f>
        <v/>
      </c>
      <c r="K4517" t="inlineStr">
        <is>
          <t>180.0</t>
        </is>
      </c>
      <c r="L4517" t="n">
        <v>129.95</v>
      </c>
      <c r="M4517" s="1" t="inlineStr">
        <is>
          <t>-27.81%</t>
        </is>
      </c>
      <c r="N4517" t="n">
        <v>3.9</v>
      </c>
      <c r="O4517" t="n">
        <v>17</v>
      </c>
      <c r="Q4517" t="inlineStr">
        <is>
          <t>InStock</t>
        </is>
      </c>
      <c r="R4517" t="inlineStr">
        <is>
          <t>undefined</t>
        </is>
      </c>
      <c r="S4517" t="inlineStr">
        <is>
          <t>6715353759831</t>
        </is>
      </c>
    </row>
    <row r="4518" ht="75" customHeight="1">
      <c r="A4518" s="2">
        <f>HYPERLINK("https://faoschwarz.com/products/scrabble-giant-deluxe-edition", "https://faoschwarz.com/products/scrabble-giant-deluxe-edition")</f>
        <v/>
      </c>
      <c r="B4518" s="2">
        <f>HYPERLINK("https://faoschwarz.com/products/scrabble-giant-deluxe-edition", "https://faoschwarz.com/products/scrabble-giant-deluxe-edition")</f>
        <v/>
      </c>
      <c r="C4518" t="inlineStr">
        <is>
          <t>Scrabble Giant Deluxe Edition</t>
        </is>
      </c>
      <c r="D4518" t="inlineStr">
        <is>
          <t>Scrabble Deluxe Edition with Rotating Wooden Game Board</t>
        </is>
      </c>
      <c r="E4518" s="2">
        <f>HYPERLINK("https://www.amazon.com/Scrabble-Deluxe-Rotating-Wooden-Game/dp/B004CTH7ME/ref=sr_1_1?keywords=Scrabble+Giant+Deluxe+Edition&amp;qid=1695565982&amp;sr=8-1", "https://www.amazon.com/Scrabble-Deluxe-Rotating-Wooden-Game/dp/B004CTH7ME/ref=sr_1_1?keywords=Scrabble+Giant+Deluxe+Edition&amp;qid=1695565982&amp;sr=8-1")</f>
        <v/>
      </c>
      <c r="F4518" t="inlineStr">
        <is>
          <t>B004CTH7ME</t>
        </is>
      </c>
      <c r="G4518">
        <f>_xlfn.IMAGE("https://faoschwarz.com/cdn/shop/files/ws-game-company-games-scrabble-giant-deluxe-edition-30418339364951_1080x.jpg?v=1693361404")</f>
        <v/>
      </c>
      <c r="H4518">
        <f>_xlfn.IMAGE("https://m.media-amazon.com/images/I/71MnIcDzTHL._AC_UL320_.jpg")</f>
        <v/>
      </c>
      <c r="K4518" t="inlineStr">
        <is>
          <t>180.0</t>
        </is>
      </c>
      <c r="L4518" t="n">
        <v>119.99</v>
      </c>
      <c r="M4518" s="1" t="inlineStr">
        <is>
          <t>-33.34%</t>
        </is>
      </c>
      <c r="N4518" t="n">
        <v>4.8</v>
      </c>
      <c r="O4518" t="n">
        <v>3127</v>
      </c>
      <c r="Q4518" t="inlineStr">
        <is>
          <t>InStock</t>
        </is>
      </c>
      <c r="R4518" t="inlineStr">
        <is>
          <t>undefined</t>
        </is>
      </c>
      <c r="S4518" t="inlineStr">
        <is>
          <t>6715353759831</t>
        </is>
      </c>
    </row>
    <row r="4519" ht="75" customHeight="1">
      <c r="A4519" s="2">
        <f>HYPERLINK("https://faoschwarz.com/products/scrabble-giant-deluxe-edition", "https://faoschwarz.com/products/scrabble-giant-deluxe-edition")</f>
        <v/>
      </c>
      <c r="B4519" s="2">
        <f>HYPERLINK("https://faoschwarz.com/products/scrabble-giant-deluxe-edition", "https://faoschwarz.com/products/scrabble-giant-deluxe-edition")</f>
        <v/>
      </c>
      <c r="C4519" t="inlineStr">
        <is>
          <t>Scrabble Giant Deluxe Edition</t>
        </is>
      </c>
      <c r="D4519" t="inlineStr">
        <is>
          <t>Hasbro Gaming Hasbro Scrabble Deluxe Edition (Amazon Exclusive)</t>
        </is>
      </c>
      <c r="E4519" s="2">
        <f>HYPERLINK("https://www.amazon.com/Hasbro-Scrabble-Deluxe-Amazon-Exclusive/dp/B00JMCJGZC/ref=sr_1_3?keywords=Scrabble+Giant+Deluxe+Edition&amp;qid=1695565982&amp;sr=8-3", "https://www.amazon.com/Hasbro-Scrabble-Deluxe-Amazon-Exclusive/dp/B00JMCJGZC/ref=sr_1_3?keywords=Scrabble+Giant+Deluxe+Edition&amp;qid=1695565982&amp;sr=8-3")</f>
        <v/>
      </c>
      <c r="F4519" t="inlineStr">
        <is>
          <t>B00JMCJGZC</t>
        </is>
      </c>
      <c r="G4519">
        <f>_xlfn.IMAGE("https://faoschwarz.com/cdn/shop/files/ws-game-company-games-scrabble-giant-deluxe-edition-30418339364951_1080x.jpg?v=1693361404")</f>
        <v/>
      </c>
      <c r="H4519">
        <f>_xlfn.IMAGE("https://m.media-amazon.com/images/I/71HKzy+el5L._AC_UL320_.jpg")</f>
        <v/>
      </c>
      <c r="K4519" t="inlineStr">
        <is>
          <t>180.0</t>
        </is>
      </c>
      <c r="L4519" t="n">
        <v>46.99</v>
      </c>
      <c r="M4519" s="1" t="inlineStr">
        <is>
          <t>-73.89%</t>
        </is>
      </c>
      <c r="N4519" t="n">
        <v>4.8</v>
      </c>
      <c r="O4519" t="n">
        <v>10349</v>
      </c>
      <c r="Q4519" t="inlineStr">
        <is>
          <t>InStock</t>
        </is>
      </c>
      <c r="R4519" t="inlineStr">
        <is>
          <t>undefined</t>
        </is>
      </c>
      <c r="S4519" t="inlineStr">
        <is>
          <t>6715353759831</t>
        </is>
      </c>
    </row>
    <row r="4520" ht="75" customHeight="1">
      <c r="A4520" s="2">
        <f>HYPERLINK("https://faoschwarz.com/products/scrabble-giant-deluxe-edition", "https://faoschwarz.com/products/scrabble-giant-deluxe-edition")</f>
        <v/>
      </c>
      <c r="B4520" s="2">
        <f>HYPERLINK("https://faoschwarz.com/products/scrabble-giant-deluxe-edition", "https://faoschwarz.com/products/scrabble-giant-deluxe-edition")</f>
        <v/>
      </c>
      <c r="C4520" t="inlineStr">
        <is>
          <t>Scrabble Giant Deluxe Edition</t>
        </is>
      </c>
      <c r="D4520" t="inlineStr">
        <is>
          <t>Scrabble Game Deluxe Edition Letter Tiles Board Game, Family Board Games for Adults and Kids, Word Games for 2-4 Players, Ages 8+</t>
        </is>
      </c>
      <c r="E4520" s="2">
        <f>HYPERLINK("https://www.amazon.com/Hasbro-Gaming-A8769-Scrabble-Edition/dp/B00IFWSO94/ref=sr_1_4?keywords=Scrabble+Giant+Deluxe+Edition&amp;qid=1695565982&amp;sr=8-4", "https://www.amazon.com/Hasbro-Gaming-A8769-Scrabble-Edition/dp/B00IFWSO94/ref=sr_1_4?keywords=Scrabble+Giant+Deluxe+Edition&amp;qid=1695565982&amp;sr=8-4")</f>
        <v/>
      </c>
      <c r="F4520" t="inlineStr">
        <is>
          <t>B00IFWSO94</t>
        </is>
      </c>
      <c r="G4520">
        <f>_xlfn.IMAGE("https://faoschwarz.com/cdn/shop/files/ws-game-company-games-scrabble-giant-deluxe-edition-30418339364951_1080x.jpg?v=1693361404")</f>
        <v/>
      </c>
      <c r="H4520">
        <f>_xlfn.IMAGE("https://m.media-amazon.com/images/I/71phhjyxM+L._AC_UL320_.jpg")</f>
        <v/>
      </c>
      <c r="K4520" t="inlineStr">
        <is>
          <t>180.0</t>
        </is>
      </c>
      <c r="L4520" t="n">
        <v>39.99</v>
      </c>
      <c r="M4520" s="1" t="inlineStr">
        <is>
          <t>-77.78%</t>
        </is>
      </c>
      <c r="N4520" t="n">
        <v>4.6</v>
      </c>
      <c r="O4520" t="n">
        <v>4797</v>
      </c>
      <c r="Q4520" t="inlineStr">
        <is>
          <t>InStock</t>
        </is>
      </c>
      <c r="R4520" t="inlineStr">
        <is>
          <t>undefined</t>
        </is>
      </c>
      <c r="S4520" t="inlineStr">
        <is>
          <t>6715353759831</t>
        </is>
      </c>
    </row>
    <row r="4521" ht="75" customHeight="1">
      <c r="A4521" s="2">
        <f>HYPERLINK("https://faoschwarz.com/products/scrabble-giant-deluxe-edition", "https://faoschwarz.com/products/scrabble-giant-deluxe-edition")</f>
        <v/>
      </c>
      <c r="B4521" s="2">
        <f>HYPERLINK("https://faoschwarz.com/products/scrabble-giant-deluxe-edition", "https://faoschwarz.com/products/scrabble-giant-deluxe-edition")</f>
        <v/>
      </c>
      <c r="C4521" t="inlineStr">
        <is>
          <t>Scrabble Giant Deluxe Edition</t>
        </is>
      </c>
      <c r="D4521" t="inlineStr">
        <is>
          <t>WS Game Company Men's Scrabble Deluxe Travel Edition</t>
        </is>
      </c>
      <c r="E4521" s="2">
        <f>HYPERLINK("https://www.amazon.com/WS-Game-Company-Scrabble-Edition/dp/B07CJDRHMT/ref=sr_1_8?keywords=Scrabble+Giant+Deluxe+Edition&amp;qid=1695565982&amp;sr=8-8", "https://www.amazon.com/WS-Game-Company-Scrabble-Edition/dp/B07CJDRHMT/ref=sr_1_8?keywords=Scrabble+Giant+Deluxe+Edition&amp;qid=1695565982&amp;sr=8-8")</f>
        <v/>
      </c>
      <c r="F4521" t="inlineStr">
        <is>
          <t>B07CJDRHMT</t>
        </is>
      </c>
      <c r="G4521">
        <f>_xlfn.IMAGE("https://faoschwarz.com/cdn/shop/files/ws-game-company-games-scrabble-giant-deluxe-edition-30418339364951_1080x.jpg?v=1693361404")</f>
        <v/>
      </c>
      <c r="H4521">
        <f>_xlfn.IMAGE("https://m.media-amazon.com/images/I/81aJG0SQ0hL._AC_UL320_.jpg")</f>
        <v/>
      </c>
      <c r="K4521" t="inlineStr">
        <is>
          <t>180.0</t>
        </is>
      </c>
      <c r="L4521" t="n">
        <v>39.95</v>
      </c>
      <c r="M4521" s="1" t="inlineStr">
        <is>
          <t>-77.81%</t>
        </is>
      </c>
      <c r="N4521" t="n">
        <v>4.5</v>
      </c>
      <c r="O4521" t="n">
        <v>1576</v>
      </c>
      <c r="Q4521" t="inlineStr">
        <is>
          <t>InStock</t>
        </is>
      </c>
      <c r="R4521" t="inlineStr">
        <is>
          <t>undefined</t>
        </is>
      </c>
      <c r="S4521" t="inlineStr">
        <is>
          <t>6715353759831</t>
        </is>
      </c>
    </row>
    <row r="4522" ht="75" customHeight="1">
      <c r="A4522" s="2">
        <f>HYPERLINK("https://faoschwarz.com/products/scrabble-glass-edition", "https://faoschwarz.com/products/scrabble-glass-edition")</f>
        <v/>
      </c>
      <c r="B4522" s="2">
        <f>HYPERLINK("https://faoschwarz.com/products/scrabble-glass-edition", "https://faoschwarz.com/products/scrabble-glass-edition")</f>
        <v/>
      </c>
      <c r="C4522" t="inlineStr">
        <is>
          <t>Scrabble Glass Edition</t>
        </is>
      </c>
      <c r="D4522" t="inlineStr">
        <is>
          <t>WS Game Company Scrabble Prisma Glass Edition</t>
        </is>
      </c>
      <c r="E4522" s="2">
        <f>HYPERLINK("https://www.amazon.com/WS-Game-Company-Scrabble-Prisma/dp/B0BBKGRT3V/ref=sr_1_2?keywords=Scrabble+Glass+Edition&amp;qid=1695565982&amp;sr=8-2", "https://www.amazon.com/WS-Game-Company-Scrabble-Prisma/dp/B0BBKGRT3V/ref=sr_1_2?keywords=Scrabble+Glass+Edition&amp;qid=1695565982&amp;sr=8-2")</f>
        <v/>
      </c>
      <c r="F4522" t="inlineStr">
        <is>
          <t>B0BBKGRT3V</t>
        </is>
      </c>
      <c r="G4522">
        <f>_xlfn.IMAGE("https://faoschwarz.com/cdn/shop/products/ws-game-company-games-scrabble-glass-edition-28278424698967_1080x.jpg?v=1656220117")</f>
        <v/>
      </c>
      <c r="H4522">
        <f>_xlfn.IMAGE("https://m.media-amazon.com/images/I/71Lpjg1UrqL._AC_UL320_.jpg")</f>
        <v/>
      </c>
      <c r="K4522" t="inlineStr">
        <is>
          <t>100.0</t>
        </is>
      </c>
      <c r="L4522" t="n">
        <v>199.99</v>
      </c>
      <c r="M4522" s="1" t="inlineStr">
        <is>
          <t>99.99%</t>
        </is>
      </c>
      <c r="N4522" t="n">
        <v>5</v>
      </c>
      <c r="O4522" t="n">
        <v>1</v>
      </c>
      <c r="Q4522" t="inlineStr">
        <is>
          <t>InStock</t>
        </is>
      </c>
      <c r="R4522" t="inlineStr">
        <is>
          <t>undefined</t>
        </is>
      </c>
      <c r="S4522" t="inlineStr">
        <is>
          <t>6557771169879</t>
        </is>
      </c>
    </row>
    <row r="4523" ht="75" customHeight="1">
      <c r="A4523" s="2">
        <f>HYPERLINK("https://faoschwarz.com/products/scrabble-heirloom-edition", "https://faoschwarz.com/products/scrabble-heirloom-edition")</f>
        <v/>
      </c>
      <c r="B4523" s="2">
        <f>HYPERLINK("https://faoschwarz.com/products/scrabble-heirloom-edition", "https://faoschwarz.com/products/scrabble-heirloom-edition")</f>
        <v/>
      </c>
      <c r="C4523" t="inlineStr">
        <is>
          <t>Scrabble Heirloom Edition</t>
        </is>
      </c>
      <c r="D4523" t="inlineStr">
        <is>
          <t>WS Game Company Scrabble Heirloom Edition with Rotating Solid Walnut Cabinet</t>
        </is>
      </c>
      <c r="E4523" s="2">
        <f>HYPERLINK("https://www.amazon.com/WS-Game-Company-Scrabble-Heirloom/dp/B09MPVWS6L/ref=sr_1_1?keywords=Scrabble+Heirloom+Edition&amp;qid=1695565974&amp;sr=8-1", "https://www.amazon.com/WS-Game-Company-Scrabble-Heirloom/dp/B09MPVWS6L/ref=sr_1_1?keywords=Scrabble+Heirloom+Edition&amp;qid=1695565974&amp;sr=8-1")</f>
        <v/>
      </c>
      <c r="F4523" t="inlineStr">
        <is>
          <t>B09MPVWS6L</t>
        </is>
      </c>
      <c r="G4523">
        <f>_xlfn.IMAGE("https://faoschwarz.com/cdn/shop/files/ws-game-company-games-scrabble-heirloom-edition-30432177455191_1080x.jpg?v=1693351137")</f>
        <v/>
      </c>
      <c r="H4523">
        <f>_xlfn.IMAGE("https://m.media-amazon.com/images/I/812fQmFcDQL._AC_UL320_.jpg")</f>
        <v/>
      </c>
      <c r="K4523" t="inlineStr">
        <is>
          <t>400.0</t>
        </is>
      </c>
      <c r="L4523" t="n">
        <v>349.99</v>
      </c>
      <c r="M4523" s="1" t="inlineStr">
        <is>
          <t>-12.50%</t>
        </is>
      </c>
      <c r="N4523" t="n">
        <v>3.9</v>
      </c>
      <c r="O4523" t="n">
        <v>10</v>
      </c>
      <c r="Q4523" t="inlineStr">
        <is>
          <t>InStock</t>
        </is>
      </c>
      <c r="R4523" t="inlineStr">
        <is>
          <t>undefined</t>
        </is>
      </c>
      <c r="S4523" t="inlineStr">
        <is>
          <t>6887071121495</t>
        </is>
      </c>
    </row>
    <row r="4524" ht="75" customHeight="1">
      <c r="A4524" s="2">
        <f>HYPERLINK("https://faoschwarz.com/products/scrabble-heirloom-edition", "https://faoschwarz.com/products/scrabble-heirloom-edition")</f>
        <v/>
      </c>
      <c r="B4524" s="2">
        <f>HYPERLINK("https://faoschwarz.com/products/scrabble-heirloom-edition", "https://faoschwarz.com/products/scrabble-heirloom-edition")</f>
        <v/>
      </c>
      <c r="C4524" t="inlineStr">
        <is>
          <t>Scrabble Heirloom Edition</t>
        </is>
      </c>
      <c r="D4524" t="inlineStr">
        <is>
          <t>WS Game Company Scrabble Heirloom Edition with Rotating Solid Walnut Cabinet</t>
        </is>
      </c>
      <c r="E4524" s="2">
        <f>HYPERLINK("https://www.amazon.com/WS-Game-Company-Scrabble-Heirloom/dp/B09MPVWS6L/ref=sr_1_1?keywords=Scrabble+Heirloom+Edition&amp;qid=1695565974&amp;sr=8-1", "https://www.amazon.com/WS-Game-Company-Scrabble-Heirloom/dp/B09MPVWS6L/ref=sr_1_1?keywords=Scrabble+Heirloom+Edition&amp;qid=1695565974&amp;sr=8-1")</f>
        <v/>
      </c>
      <c r="F4524" t="inlineStr">
        <is>
          <t>B09MPVWS6L</t>
        </is>
      </c>
      <c r="G4524">
        <f>_xlfn.IMAGE("https://faoschwarz.com/cdn/shop/files/ws-game-company-games-scrabble-heirloom-edition-30432177455191_1080x.jpg?v=1693351137")</f>
        <v/>
      </c>
      <c r="H4524">
        <f>_xlfn.IMAGE("https://m.media-amazon.com/images/I/812fQmFcDQL._AC_UL320_.jpg")</f>
        <v/>
      </c>
      <c r="K4524" t="inlineStr">
        <is>
          <t>400.0</t>
        </is>
      </c>
      <c r="L4524" t="n">
        <v>349.99</v>
      </c>
      <c r="M4524" s="1" t="inlineStr">
        <is>
          <t>-12.50%</t>
        </is>
      </c>
      <c r="N4524" t="n">
        <v>3.9</v>
      </c>
      <c r="O4524" t="n">
        <v>10</v>
      </c>
      <c r="Q4524" t="inlineStr">
        <is>
          <t>InStock</t>
        </is>
      </c>
      <c r="R4524" t="inlineStr">
        <is>
          <t>undefined</t>
        </is>
      </c>
      <c r="S4524" t="inlineStr">
        <is>
          <t>6887071121495</t>
        </is>
      </c>
    </row>
    <row r="4525" ht="75" customHeight="1">
      <c r="A4525" s="2">
        <f>HYPERLINK("https://faoschwarz.com/products/scrabble-luxe-maple-edition", "https://faoschwarz.com/products/scrabble-luxe-maple-edition")</f>
        <v/>
      </c>
      <c r="B4525" s="2">
        <f>HYPERLINK("https://faoschwarz.com/products/scrabble-luxe-maple-edition", "https://faoschwarz.com/products/scrabble-luxe-maple-edition")</f>
        <v/>
      </c>
      <c r="C4525" t="inlineStr">
        <is>
          <t>Scrabble Luxe Maple Edition</t>
        </is>
      </c>
      <c r="D4525" t="inlineStr">
        <is>
          <t>WS Game Company Scrabble Luxe Maple Edition with Rotating Solid Wood Cabinet</t>
        </is>
      </c>
      <c r="E4525" s="2">
        <f>HYPERLINK("https://www.amazon.com/WS-Game-Company-Scrabble-Rotating/dp/B089CTQFC4/ref=sr_1_1?keywords=Scrabble+Luxe+Maple+Edition&amp;qid=1695565974&amp;sr=8-1", "https://www.amazon.com/WS-Game-Company-Scrabble-Rotating/dp/B089CTQFC4/ref=sr_1_1?keywords=Scrabble+Luxe+Maple+Edition&amp;qid=1695565974&amp;sr=8-1")</f>
        <v/>
      </c>
      <c r="F4525" t="inlineStr">
        <is>
          <t>B089CTQFC4</t>
        </is>
      </c>
      <c r="G4525">
        <f>_xlfn.IMAGE("https://faoschwarz.com/cdn/shop/files/ws-game-company-games-scrabble-luxe-maple-edition-30418347163735_1080x.jpg?v=1693361220")</f>
        <v/>
      </c>
      <c r="H4525">
        <f>_xlfn.IMAGE("https://m.media-amazon.com/images/I/71E9rtkdk1L._AC_UL320_.jpg")</f>
        <v/>
      </c>
      <c r="K4525" t="inlineStr">
        <is>
          <t>200.0</t>
        </is>
      </c>
      <c r="L4525" t="n">
        <v>189.79</v>
      </c>
      <c r="M4525" s="1" t="inlineStr">
        <is>
          <t>-5.11%</t>
        </is>
      </c>
      <c r="N4525" t="n">
        <v>4.6</v>
      </c>
      <c r="O4525" t="n">
        <v>68</v>
      </c>
      <c r="Q4525" t="inlineStr">
        <is>
          <t>InStock</t>
        </is>
      </c>
      <c r="R4525" t="inlineStr">
        <is>
          <t>undefined</t>
        </is>
      </c>
      <c r="S4525" t="inlineStr">
        <is>
          <t>6609457152087</t>
        </is>
      </c>
    </row>
    <row r="4526" ht="75" customHeight="1">
      <c r="A4526" s="2">
        <f>HYPERLINK("https://faoschwarz.com/products/scrabble-luxe-maple-edition", "https://faoschwarz.com/products/scrabble-luxe-maple-edition")</f>
        <v/>
      </c>
      <c r="B4526" s="2">
        <f>HYPERLINK("https://faoschwarz.com/products/scrabble-luxe-maple-edition", "https://faoschwarz.com/products/scrabble-luxe-maple-edition")</f>
        <v/>
      </c>
      <c r="C4526" t="inlineStr">
        <is>
          <t>Scrabble Luxe Maple Edition</t>
        </is>
      </c>
      <c r="D4526" t="inlineStr">
        <is>
          <t>WS Game Company Scrabble Giant Deluxe Edition with Rotating Wooden Board</t>
        </is>
      </c>
      <c r="E4526" s="2">
        <f>HYPERLINK("https://www.amazon.com/Scrabble-Giant-Deluxe-Rotating-Wooden/dp/B004SRWXOW/ref=sr_1_4?keywords=Scrabble+Luxe+Maple+Edition&amp;qid=1695565974&amp;sr=8-4", "https://www.amazon.com/Scrabble-Giant-Deluxe-Rotating-Wooden/dp/B004SRWXOW/ref=sr_1_4?keywords=Scrabble+Luxe+Maple+Edition&amp;qid=1695565974&amp;sr=8-4")</f>
        <v/>
      </c>
      <c r="F4526" t="inlineStr">
        <is>
          <t>B004SRWXOW</t>
        </is>
      </c>
      <c r="G4526">
        <f>_xlfn.IMAGE("https://faoschwarz.com/cdn/shop/files/ws-game-company-games-scrabble-luxe-maple-edition-30418347163735_1080x.jpg?v=1693361220")</f>
        <v/>
      </c>
      <c r="H4526">
        <f>_xlfn.IMAGE("https://m.media-amazon.com/images/I/81UbuD5mriL._AC_UL320_.jpg")</f>
        <v/>
      </c>
      <c r="K4526" t="inlineStr">
        <is>
          <t>200.0</t>
        </is>
      </c>
      <c r="L4526" t="n">
        <v>159.99</v>
      </c>
      <c r="M4526" s="1" t="inlineStr">
        <is>
          <t>-20.00%</t>
        </is>
      </c>
      <c r="N4526" t="n">
        <v>4.6</v>
      </c>
      <c r="O4526" t="n">
        <v>562</v>
      </c>
      <c r="Q4526" t="inlineStr">
        <is>
          <t>InStock</t>
        </is>
      </c>
      <c r="R4526" t="inlineStr">
        <is>
          <t>undefined</t>
        </is>
      </c>
      <c r="S4526" t="inlineStr">
        <is>
          <t>6609457152087</t>
        </is>
      </c>
    </row>
    <row r="4527" ht="75" customHeight="1">
      <c r="A4527" s="2">
        <f>HYPERLINK("https://faoschwarz.com/products/scrabble-luxe-maple-edition", "https://faoschwarz.com/products/scrabble-luxe-maple-edition")</f>
        <v/>
      </c>
      <c r="B4527" s="2">
        <f>HYPERLINK("https://faoschwarz.com/products/scrabble-luxe-maple-edition", "https://faoschwarz.com/products/scrabble-luxe-maple-edition")</f>
        <v/>
      </c>
      <c r="C4527" t="inlineStr">
        <is>
          <t>Scrabble Luxe Maple Edition</t>
        </is>
      </c>
      <c r="D4527" t="inlineStr">
        <is>
          <t>Scrabble Deluxe Edition with Rotating Wooden Game Board</t>
        </is>
      </c>
      <c r="E4527" s="2">
        <f>HYPERLINK("https://www.amazon.com/Scrabble-Deluxe-Rotating-Wooden-Game/dp/B004CTH7ME/ref=sr_1_2?keywords=Scrabble+Luxe+Maple+Edition&amp;qid=1695565974&amp;sr=8-2", "https://www.amazon.com/Scrabble-Deluxe-Rotating-Wooden-Game/dp/B004CTH7ME/ref=sr_1_2?keywords=Scrabble+Luxe+Maple+Edition&amp;qid=1695565974&amp;sr=8-2")</f>
        <v/>
      </c>
      <c r="F4527" t="inlineStr">
        <is>
          <t>B004CTH7ME</t>
        </is>
      </c>
      <c r="G4527">
        <f>_xlfn.IMAGE("https://faoschwarz.com/cdn/shop/files/ws-game-company-games-scrabble-luxe-maple-edition-30418347163735_1080x.jpg?v=1693361220")</f>
        <v/>
      </c>
      <c r="H4527">
        <f>_xlfn.IMAGE("https://m.media-amazon.com/images/I/71MnIcDzTHL._AC_UL320_.jpg")</f>
        <v/>
      </c>
      <c r="K4527" t="inlineStr">
        <is>
          <t>200.0</t>
        </is>
      </c>
      <c r="L4527" t="n">
        <v>119.99</v>
      </c>
      <c r="M4527" s="1" t="inlineStr">
        <is>
          <t>-40.01%</t>
        </is>
      </c>
      <c r="N4527" t="n">
        <v>4.8</v>
      </c>
      <c r="O4527" t="n">
        <v>3127</v>
      </c>
      <c r="Q4527" t="inlineStr">
        <is>
          <t>InStock</t>
        </is>
      </c>
      <c r="R4527" t="inlineStr">
        <is>
          <t>undefined</t>
        </is>
      </c>
      <c r="S4527" t="inlineStr">
        <is>
          <t>6609457152087</t>
        </is>
      </c>
    </row>
    <row r="4528" ht="75" customHeight="1">
      <c r="A4528" s="2">
        <f>HYPERLINK("https://faoschwarz.com/products/scrabble-luxe-maple-edition", "https://faoschwarz.com/products/scrabble-luxe-maple-edition")</f>
        <v/>
      </c>
      <c r="B4528" s="2">
        <f>HYPERLINK("https://faoschwarz.com/products/scrabble-luxe-maple-edition", "https://faoschwarz.com/products/scrabble-luxe-maple-edition")</f>
        <v/>
      </c>
      <c r="C4528" t="inlineStr">
        <is>
          <t>Scrabble Luxe Maple Edition</t>
        </is>
      </c>
      <c r="D4528" t="inlineStr">
        <is>
          <t>Hasbro Gaming Hasbro Scrabble Deluxe Edition (Amazon Exclusive)</t>
        </is>
      </c>
      <c r="E4528" s="2">
        <f>HYPERLINK("https://www.amazon.com/Hasbro-Scrabble-Deluxe-Amazon-Exclusive/dp/B00JMCJGZC/ref=sr_1_6?keywords=Scrabble+Luxe+Maple+Edition&amp;qid=1695565974&amp;sr=8-6", "https://www.amazon.com/Hasbro-Scrabble-Deluxe-Amazon-Exclusive/dp/B00JMCJGZC/ref=sr_1_6?keywords=Scrabble+Luxe+Maple+Edition&amp;qid=1695565974&amp;sr=8-6")</f>
        <v/>
      </c>
      <c r="F4528" t="inlineStr">
        <is>
          <t>B00JMCJGZC</t>
        </is>
      </c>
      <c r="G4528">
        <f>_xlfn.IMAGE("https://faoschwarz.com/cdn/shop/files/ws-game-company-games-scrabble-luxe-maple-edition-30418347163735_1080x.jpg?v=1693361220")</f>
        <v/>
      </c>
      <c r="H4528">
        <f>_xlfn.IMAGE("https://m.media-amazon.com/images/I/71HKzy+el5L._AC_UL320_.jpg")</f>
        <v/>
      </c>
      <c r="K4528" t="inlineStr">
        <is>
          <t>200.0</t>
        </is>
      </c>
      <c r="L4528" t="n">
        <v>46.99</v>
      </c>
      <c r="M4528" s="1" t="inlineStr">
        <is>
          <t>-76.50%</t>
        </is>
      </c>
      <c r="N4528" t="n">
        <v>4.8</v>
      </c>
      <c r="O4528" t="n">
        <v>10349</v>
      </c>
      <c r="Q4528" t="inlineStr">
        <is>
          <t>InStock</t>
        </is>
      </c>
      <c r="R4528" t="inlineStr">
        <is>
          <t>undefined</t>
        </is>
      </c>
      <c r="S4528" t="inlineStr">
        <is>
          <t>6609457152087</t>
        </is>
      </c>
    </row>
    <row r="4529" ht="75" customHeight="1">
      <c r="A4529" s="2">
        <f>HYPERLINK("https://faoschwarz.com/products/scrabble-luxe-maple-edition", "https://faoschwarz.com/products/scrabble-luxe-maple-edition")</f>
        <v/>
      </c>
      <c r="B4529" s="2">
        <f>HYPERLINK("https://faoschwarz.com/products/scrabble-luxe-maple-edition", "https://faoschwarz.com/products/scrabble-luxe-maple-edition")</f>
        <v/>
      </c>
      <c r="C4529" t="inlineStr">
        <is>
          <t>Scrabble Luxe Maple Edition</t>
        </is>
      </c>
      <c r="D4529" t="inlineStr">
        <is>
          <t>Scrabble Game Deluxe Edition Letter Tiles Board Game, Family Board Games for Adults and Kids, Word Games for 2-4 Players, Ages 8+</t>
        </is>
      </c>
      <c r="E4529" s="2">
        <f>HYPERLINK("https://www.amazon.com/Hasbro-Gaming-A8769-Scrabble-Edition/dp/B00IFWSO94/ref=sr_1_10?keywords=Scrabble+Luxe+Maple+Edition&amp;qid=1695565974&amp;sr=8-10", "https://www.amazon.com/Hasbro-Gaming-A8769-Scrabble-Edition/dp/B00IFWSO94/ref=sr_1_10?keywords=Scrabble+Luxe+Maple+Edition&amp;qid=1695565974&amp;sr=8-10")</f>
        <v/>
      </c>
      <c r="F4529" t="inlineStr">
        <is>
          <t>B00IFWSO94</t>
        </is>
      </c>
      <c r="G4529">
        <f>_xlfn.IMAGE("https://faoschwarz.com/cdn/shop/files/ws-game-company-games-scrabble-luxe-maple-edition-30418347163735_1080x.jpg?v=1693361220")</f>
        <v/>
      </c>
      <c r="H4529">
        <f>_xlfn.IMAGE("https://m.media-amazon.com/images/I/71phhjyxM+L._AC_UL320_.jpg")</f>
        <v/>
      </c>
      <c r="K4529" t="inlineStr">
        <is>
          <t>200.0</t>
        </is>
      </c>
      <c r="L4529" t="n">
        <v>39.99</v>
      </c>
      <c r="M4529" s="1" t="inlineStr">
        <is>
          <t>-80.00%</t>
        </is>
      </c>
      <c r="N4529" t="n">
        <v>4.6</v>
      </c>
      <c r="O4529" t="n">
        <v>4797</v>
      </c>
      <c r="Q4529" t="inlineStr">
        <is>
          <t>InStock</t>
        </is>
      </c>
      <c r="R4529" t="inlineStr">
        <is>
          <t>undefined</t>
        </is>
      </c>
      <c r="S4529" t="inlineStr">
        <is>
          <t>6609457152087</t>
        </is>
      </c>
    </row>
    <row r="4530" ht="75" customHeight="1">
      <c r="A4530" s="2">
        <f>HYPERLINK("https://faoschwarz.com/products/scrabble-luxe-maple-edition", "https://faoschwarz.com/products/scrabble-luxe-maple-edition")</f>
        <v/>
      </c>
      <c r="B4530" s="2">
        <f>HYPERLINK("https://faoschwarz.com/products/scrabble-luxe-maple-edition", "https://faoschwarz.com/products/scrabble-luxe-maple-edition")</f>
        <v/>
      </c>
      <c r="C4530" t="inlineStr">
        <is>
          <t>Scrabble Luxe Maple Edition</t>
        </is>
      </c>
      <c r="D4530" t="inlineStr">
        <is>
          <t>WS Game Company Men's Scrabble Deluxe Travel Edition</t>
        </is>
      </c>
      <c r="E4530" s="2">
        <f>HYPERLINK("https://www.amazon.com/WS-Game-Company-Scrabble-Edition/dp/B07CJDRHMT/ref=sr_1_8?keywords=Scrabble+Luxe+Maple+Edition&amp;qid=1695565974&amp;sr=8-8", "https://www.amazon.com/WS-Game-Company-Scrabble-Edition/dp/B07CJDRHMT/ref=sr_1_8?keywords=Scrabble+Luxe+Maple+Edition&amp;qid=1695565974&amp;sr=8-8")</f>
        <v/>
      </c>
      <c r="F4530" t="inlineStr">
        <is>
          <t>B07CJDRHMT</t>
        </is>
      </c>
      <c r="G4530">
        <f>_xlfn.IMAGE("https://faoschwarz.com/cdn/shop/files/ws-game-company-games-scrabble-luxe-maple-edition-30418347163735_1080x.jpg?v=1693361220")</f>
        <v/>
      </c>
      <c r="H4530">
        <f>_xlfn.IMAGE("https://m.media-amazon.com/images/I/81aJG0SQ0hL._AC_UL320_.jpg")</f>
        <v/>
      </c>
      <c r="K4530" t="inlineStr">
        <is>
          <t>200.0</t>
        </is>
      </c>
      <c r="L4530" t="n">
        <v>39.95</v>
      </c>
      <c r="M4530" s="1" t="inlineStr">
        <is>
          <t>-80.03%</t>
        </is>
      </c>
      <c r="N4530" t="n">
        <v>4.5</v>
      </c>
      <c r="O4530" t="n">
        <v>1576</v>
      </c>
      <c r="Q4530" t="inlineStr">
        <is>
          <t>InStock</t>
        </is>
      </c>
      <c r="R4530" t="inlineStr">
        <is>
          <t>undefined</t>
        </is>
      </c>
      <c r="S4530" t="inlineStr">
        <is>
          <t>6609457152087</t>
        </is>
      </c>
    </row>
    <row r="4531" ht="75" customHeight="1">
      <c r="A4531" s="2">
        <f>HYPERLINK("https://faoschwarz.com/products/scrabble-luxe-maple-edition", "https://faoschwarz.com/products/scrabble-luxe-maple-edition")</f>
        <v/>
      </c>
      <c r="B4531" s="2">
        <f>HYPERLINK("https://faoschwarz.com/products/scrabble-luxe-maple-edition", "https://faoschwarz.com/products/scrabble-luxe-maple-edition")</f>
        <v/>
      </c>
      <c r="C4531" t="inlineStr">
        <is>
          <t>Scrabble Luxe Maple Edition</t>
        </is>
      </c>
      <c r="D4531" t="inlineStr">
        <is>
          <t>WS Game Company Scrabble Giant Deluxe Edition with Rotating Wooden Board</t>
        </is>
      </c>
      <c r="E4531" s="2">
        <f>HYPERLINK("https://www.amazon.com/Scrabble-Giant-Deluxe-Rotating-Wooden/dp/B004SRWXOW/ref=sr_1_4?keywords=Scrabble+Luxe+Maple+Edition&amp;qid=1695565974&amp;sr=8-4", "https://www.amazon.com/Scrabble-Giant-Deluxe-Rotating-Wooden/dp/B004SRWXOW/ref=sr_1_4?keywords=Scrabble+Luxe+Maple+Edition&amp;qid=1695565974&amp;sr=8-4")</f>
        <v/>
      </c>
      <c r="F4531" t="inlineStr">
        <is>
          <t>B004SRWXOW</t>
        </is>
      </c>
      <c r="G4531">
        <f>_xlfn.IMAGE("https://faoschwarz.com/cdn/shop/files/ws-game-company-games-scrabble-luxe-maple-edition-30418347163735_1080x.jpg?v=1693361220")</f>
        <v/>
      </c>
      <c r="H4531">
        <f>_xlfn.IMAGE("https://m.media-amazon.com/images/I/81UbuD5mriL._AC_UL320_.jpg")</f>
        <v/>
      </c>
      <c r="K4531" t="inlineStr">
        <is>
          <t>200.0</t>
        </is>
      </c>
      <c r="L4531" t="n">
        <v>159.99</v>
      </c>
      <c r="M4531" s="1" t="inlineStr">
        <is>
          <t>-20.00%</t>
        </is>
      </c>
      <c r="N4531" t="n">
        <v>4.6</v>
      </c>
      <c r="O4531" t="n">
        <v>562</v>
      </c>
      <c r="Q4531" t="inlineStr">
        <is>
          <t>InStock</t>
        </is>
      </c>
      <c r="R4531" t="inlineStr">
        <is>
          <t>undefined</t>
        </is>
      </c>
      <c r="S4531" t="inlineStr">
        <is>
          <t>6609457152087</t>
        </is>
      </c>
    </row>
    <row r="4532" ht="75" customHeight="1">
      <c r="A4532" s="2">
        <f>HYPERLINK("https://faoschwarz.com/products/scrabble-luxe-maple-edition", "https://faoschwarz.com/products/scrabble-luxe-maple-edition")</f>
        <v/>
      </c>
      <c r="B4532" s="2">
        <f>HYPERLINK("https://faoschwarz.com/products/scrabble-luxe-maple-edition", "https://faoschwarz.com/products/scrabble-luxe-maple-edition")</f>
        <v/>
      </c>
      <c r="C4532" t="inlineStr">
        <is>
          <t>Scrabble Luxe Maple Edition</t>
        </is>
      </c>
      <c r="D4532" t="inlineStr">
        <is>
          <t>Scrabble Deluxe Edition with Rotating Wooden Game Board</t>
        </is>
      </c>
      <c r="E4532" s="2">
        <f>HYPERLINK("https://www.amazon.com/Scrabble-Deluxe-Rotating-Wooden-Game/dp/B004CTH7ME/ref=sr_1_2?keywords=Scrabble+Luxe+Maple+Edition&amp;qid=1695565974&amp;sr=8-2", "https://www.amazon.com/Scrabble-Deluxe-Rotating-Wooden-Game/dp/B004CTH7ME/ref=sr_1_2?keywords=Scrabble+Luxe+Maple+Edition&amp;qid=1695565974&amp;sr=8-2")</f>
        <v/>
      </c>
      <c r="F4532" t="inlineStr">
        <is>
          <t>B004CTH7ME</t>
        </is>
      </c>
      <c r="G4532">
        <f>_xlfn.IMAGE("https://faoschwarz.com/cdn/shop/files/ws-game-company-games-scrabble-luxe-maple-edition-30418347163735_1080x.jpg?v=1693361220")</f>
        <v/>
      </c>
      <c r="H4532">
        <f>_xlfn.IMAGE("https://m.media-amazon.com/images/I/71MnIcDzTHL._AC_UL320_.jpg")</f>
        <v/>
      </c>
      <c r="K4532" t="inlineStr">
        <is>
          <t>200.0</t>
        </is>
      </c>
      <c r="L4532" t="n">
        <v>119.99</v>
      </c>
      <c r="M4532" s="1" t="inlineStr">
        <is>
          <t>-40.01%</t>
        </is>
      </c>
      <c r="N4532" t="n">
        <v>4.8</v>
      </c>
      <c r="O4532" t="n">
        <v>3127</v>
      </c>
      <c r="Q4532" t="inlineStr">
        <is>
          <t>InStock</t>
        </is>
      </c>
      <c r="R4532" t="inlineStr">
        <is>
          <t>undefined</t>
        </is>
      </c>
      <c r="S4532" t="inlineStr">
        <is>
          <t>6609457152087</t>
        </is>
      </c>
    </row>
    <row r="4533" ht="75" customHeight="1">
      <c r="A4533" s="2">
        <f>HYPERLINK("https://faoschwarz.com/products/scrabble-luxe-maple-edition", "https://faoschwarz.com/products/scrabble-luxe-maple-edition")</f>
        <v/>
      </c>
      <c r="B4533" s="2">
        <f>HYPERLINK("https://faoschwarz.com/products/scrabble-luxe-maple-edition", "https://faoschwarz.com/products/scrabble-luxe-maple-edition")</f>
        <v/>
      </c>
      <c r="C4533" t="inlineStr">
        <is>
          <t>Scrabble Luxe Maple Edition</t>
        </is>
      </c>
      <c r="D4533" t="inlineStr">
        <is>
          <t>Hasbro Gaming Hasbro Scrabble Deluxe Edition (Amazon Exclusive)</t>
        </is>
      </c>
      <c r="E4533" s="2">
        <f>HYPERLINK("https://www.amazon.com/Hasbro-Scrabble-Deluxe-Amazon-Exclusive/dp/B00JMCJGZC/ref=sr_1_6?keywords=Scrabble+Luxe+Maple+Edition&amp;qid=1695565974&amp;sr=8-6", "https://www.amazon.com/Hasbro-Scrabble-Deluxe-Amazon-Exclusive/dp/B00JMCJGZC/ref=sr_1_6?keywords=Scrabble+Luxe+Maple+Edition&amp;qid=1695565974&amp;sr=8-6")</f>
        <v/>
      </c>
      <c r="F4533" t="inlineStr">
        <is>
          <t>B00JMCJGZC</t>
        </is>
      </c>
      <c r="G4533">
        <f>_xlfn.IMAGE("https://faoschwarz.com/cdn/shop/files/ws-game-company-games-scrabble-luxe-maple-edition-30418347163735_1080x.jpg?v=1693361220")</f>
        <v/>
      </c>
      <c r="H4533">
        <f>_xlfn.IMAGE("https://m.media-amazon.com/images/I/71HKzy+el5L._AC_UL320_.jpg")</f>
        <v/>
      </c>
      <c r="K4533" t="inlineStr">
        <is>
          <t>200.0</t>
        </is>
      </c>
      <c r="L4533" t="n">
        <v>46.99</v>
      </c>
      <c r="M4533" s="1" t="inlineStr">
        <is>
          <t>-76.50%</t>
        </is>
      </c>
      <c r="N4533" t="n">
        <v>4.8</v>
      </c>
      <c r="O4533" t="n">
        <v>10349</v>
      </c>
      <c r="Q4533" t="inlineStr">
        <is>
          <t>InStock</t>
        </is>
      </c>
      <c r="R4533" t="inlineStr">
        <is>
          <t>undefined</t>
        </is>
      </c>
      <c r="S4533" t="inlineStr">
        <is>
          <t>6609457152087</t>
        </is>
      </c>
    </row>
    <row r="4534" ht="75" customHeight="1">
      <c r="A4534" s="2">
        <f>HYPERLINK("https://faoschwarz.com/products/scrabble-luxe-maple-edition", "https://faoschwarz.com/products/scrabble-luxe-maple-edition")</f>
        <v/>
      </c>
      <c r="B4534" s="2">
        <f>HYPERLINK("https://faoschwarz.com/products/scrabble-luxe-maple-edition", "https://faoschwarz.com/products/scrabble-luxe-maple-edition")</f>
        <v/>
      </c>
      <c r="C4534" t="inlineStr">
        <is>
          <t>Scrabble Luxe Maple Edition</t>
        </is>
      </c>
      <c r="D4534" t="inlineStr">
        <is>
          <t>Scrabble Game Deluxe Edition Letter Tiles Board Game, Family Board Games for Adults and Kids, Word Games for 2-4 Players, Ages 8+</t>
        </is>
      </c>
      <c r="E4534" s="2">
        <f>HYPERLINK("https://www.amazon.com/Hasbro-Gaming-A8769-Scrabble-Edition/dp/B00IFWSO94/ref=sr_1_10?keywords=Scrabble+Luxe+Maple+Edition&amp;qid=1695565974&amp;sr=8-10", "https://www.amazon.com/Hasbro-Gaming-A8769-Scrabble-Edition/dp/B00IFWSO94/ref=sr_1_10?keywords=Scrabble+Luxe+Maple+Edition&amp;qid=1695565974&amp;sr=8-10")</f>
        <v/>
      </c>
      <c r="F4534" t="inlineStr">
        <is>
          <t>B00IFWSO94</t>
        </is>
      </c>
      <c r="G4534">
        <f>_xlfn.IMAGE("https://faoschwarz.com/cdn/shop/files/ws-game-company-games-scrabble-luxe-maple-edition-30418347163735_1080x.jpg?v=1693361220")</f>
        <v/>
      </c>
      <c r="H4534">
        <f>_xlfn.IMAGE("https://m.media-amazon.com/images/I/71phhjyxM+L._AC_UL320_.jpg")</f>
        <v/>
      </c>
      <c r="K4534" t="inlineStr">
        <is>
          <t>200.0</t>
        </is>
      </c>
      <c r="L4534" t="n">
        <v>39.99</v>
      </c>
      <c r="M4534" s="1" t="inlineStr">
        <is>
          <t>-80.00%</t>
        </is>
      </c>
      <c r="N4534" t="n">
        <v>4.6</v>
      </c>
      <c r="O4534" t="n">
        <v>4797</v>
      </c>
      <c r="Q4534" t="inlineStr">
        <is>
          <t>InStock</t>
        </is>
      </c>
      <c r="R4534" t="inlineStr">
        <is>
          <t>undefined</t>
        </is>
      </c>
      <c r="S4534" t="inlineStr">
        <is>
          <t>6609457152087</t>
        </is>
      </c>
    </row>
    <row r="4535" ht="75" customHeight="1">
      <c r="A4535" s="2">
        <f>HYPERLINK("https://faoschwarz.com/products/scrabble-luxe-maple-edition", "https://faoschwarz.com/products/scrabble-luxe-maple-edition")</f>
        <v/>
      </c>
      <c r="B4535" s="2">
        <f>HYPERLINK("https://faoschwarz.com/products/scrabble-luxe-maple-edition", "https://faoschwarz.com/products/scrabble-luxe-maple-edition")</f>
        <v/>
      </c>
      <c r="C4535" t="inlineStr">
        <is>
          <t>Scrabble Luxe Maple Edition</t>
        </is>
      </c>
      <c r="D4535" t="inlineStr">
        <is>
          <t>WS Game Company Men's Scrabble Deluxe Travel Edition</t>
        </is>
      </c>
      <c r="E4535" s="2">
        <f>HYPERLINK("https://www.amazon.com/WS-Game-Company-Scrabble-Edition/dp/B07CJDRHMT/ref=sr_1_8?keywords=Scrabble+Luxe+Maple+Edition&amp;qid=1695565974&amp;sr=8-8", "https://www.amazon.com/WS-Game-Company-Scrabble-Edition/dp/B07CJDRHMT/ref=sr_1_8?keywords=Scrabble+Luxe+Maple+Edition&amp;qid=1695565974&amp;sr=8-8")</f>
        <v/>
      </c>
      <c r="F4535" t="inlineStr">
        <is>
          <t>B07CJDRHMT</t>
        </is>
      </c>
      <c r="G4535">
        <f>_xlfn.IMAGE("https://faoschwarz.com/cdn/shop/files/ws-game-company-games-scrabble-luxe-maple-edition-30418347163735_1080x.jpg?v=1693361220")</f>
        <v/>
      </c>
      <c r="H4535">
        <f>_xlfn.IMAGE("https://m.media-amazon.com/images/I/81aJG0SQ0hL._AC_UL320_.jpg")</f>
        <v/>
      </c>
      <c r="K4535" t="inlineStr">
        <is>
          <t>200.0</t>
        </is>
      </c>
      <c r="L4535" t="n">
        <v>39.95</v>
      </c>
      <c r="M4535" s="1" t="inlineStr">
        <is>
          <t>-80.03%</t>
        </is>
      </c>
      <c r="N4535" t="n">
        <v>4.5</v>
      </c>
      <c r="O4535" t="n">
        <v>1576</v>
      </c>
      <c r="Q4535" t="inlineStr">
        <is>
          <t>InStock</t>
        </is>
      </c>
      <c r="R4535" t="inlineStr">
        <is>
          <t>undefined</t>
        </is>
      </c>
      <c r="S4535" t="inlineStr">
        <is>
          <t>6609457152087</t>
        </is>
      </c>
    </row>
    <row r="4536" ht="75" customHeight="1">
      <c r="A4536" s="2">
        <f>HYPERLINK("https://faoschwarz.com/products/scrabble-luxury-edition", "https://faoschwarz.com/products/scrabble-luxury-edition")</f>
        <v/>
      </c>
      <c r="B4536" s="2">
        <f>HYPERLINK("https://faoschwarz.com/products/scrabble-luxury-edition", "https://faoschwarz.com/products/scrabble-luxury-edition")</f>
        <v/>
      </c>
      <c r="C4536" t="inlineStr">
        <is>
          <t>Scrabble Luxury Edition</t>
        </is>
      </c>
      <c r="D4536" t="inlineStr">
        <is>
          <t>WS Game Company Scrabble Luxury Edition with Rotating Wooden Game Board</t>
        </is>
      </c>
      <c r="E4536" s="2">
        <f>HYPERLINK("https://www.amazon.com/Scrabble-Luxury-Edition-Board-Game/dp/B004SRXJZ4/ref=sr_1_1?keywords=Scrabble+Luxury+Edition&amp;qid=1695565982&amp;sr=8-1", "https://www.amazon.com/Scrabble-Luxury-Edition-Board-Game/dp/B004SRXJZ4/ref=sr_1_1?keywords=Scrabble+Luxury+Edition&amp;qid=1695565982&amp;sr=8-1")</f>
        <v/>
      </c>
      <c r="F4536" t="inlineStr">
        <is>
          <t>B004SRXJZ4</t>
        </is>
      </c>
      <c r="G4536">
        <f>_xlfn.IMAGE("https://faoschwarz.com/cdn/shop/products/ws-game-company-games-scrabble-luxury-edition-28724691140695_1080x.jpg?v=1656020480")</f>
        <v/>
      </c>
      <c r="H4536">
        <f>_xlfn.IMAGE("https://m.media-amazon.com/images/I/71HuyrmdM2L._AC_UL320_.jpg")</f>
        <v/>
      </c>
      <c r="K4536" t="inlineStr">
        <is>
          <t>300.0</t>
        </is>
      </c>
      <c r="L4536" t="n">
        <v>269.99</v>
      </c>
      <c r="M4536" s="1" t="inlineStr">
        <is>
          <t>-10.00%</t>
        </is>
      </c>
      <c r="N4536" t="n">
        <v>4.7</v>
      </c>
      <c r="O4536" t="n">
        <v>413</v>
      </c>
      <c r="Q4536" t="inlineStr">
        <is>
          <t>InStock</t>
        </is>
      </c>
      <c r="R4536" t="inlineStr">
        <is>
          <t>undefined</t>
        </is>
      </c>
      <c r="S4536" t="inlineStr">
        <is>
          <t>6609457086551</t>
        </is>
      </c>
    </row>
    <row r="4537" ht="75" customHeight="1">
      <c r="A4537" s="2">
        <f>HYPERLINK("https://faoschwarz.com/products/scrabble-luxury-edition", "https://faoschwarz.com/products/scrabble-luxury-edition")</f>
        <v/>
      </c>
      <c r="B4537" s="2">
        <f>HYPERLINK("https://faoschwarz.com/products/scrabble-luxury-edition", "https://faoschwarz.com/products/scrabble-luxury-edition")</f>
        <v/>
      </c>
      <c r="C4537" t="inlineStr">
        <is>
          <t>Scrabble Luxury Edition</t>
        </is>
      </c>
      <c r="D4537" t="inlineStr">
        <is>
          <t>WS Game Company Scrabble Trophy Luxury Edition with Rotating Wooden Game Board</t>
        </is>
      </c>
      <c r="E4537" s="2">
        <f>HYPERLINK("https://www.amazon.com/Scrabble-Luxury-Edition-Board-Game/dp/B000J58Z12/ref=sr_1_3?keywords=Scrabble+Luxury+Edition&amp;qid=1695565982&amp;sr=8-3", "https://www.amazon.com/Scrabble-Luxury-Edition-Board-Game/dp/B000J58Z12/ref=sr_1_3?keywords=Scrabble+Luxury+Edition&amp;qid=1695565982&amp;sr=8-3")</f>
        <v/>
      </c>
      <c r="F4537" t="inlineStr">
        <is>
          <t>B000J58Z12</t>
        </is>
      </c>
      <c r="G4537">
        <f>_xlfn.IMAGE("https://faoschwarz.com/cdn/shop/products/ws-game-company-games-scrabble-luxury-edition-28724691140695_1080x.jpg?v=1656020480")</f>
        <v/>
      </c>
      <c r="H4537">
        <f>_xlfn.IMAGE("https://m.media-amazon.com/images/I/81MGBeg7uHL._AC_UL320_.jpg")</f>
        <v/>
      </c>
      <c r="K4537" t="inlineStr">
        <is>
          <t>300.0</t>
        </is>
      </c>
      <c r="L4537" t="n">
        <v>179.99</v>
      </c>
      <c r="M4537" s="1" t="inlineStr">
        <is>
          <t>-40.00%</t>
        </is>
      </c>
      <c r="N4537" t="n">
        <v>4.7</v>
      </c>
      <c r="O4537" t="n">
        <v>246</v>
      </c>
      <c r="Q4537" t="inlineStr">
        <is>
          <t>InStock</t>
        </is>
      </c>
      <c r="R4537" t="inlineStr">
        <is>
          <t>undefined</t>
        </is>
      </c>
      <c r="S4537" t="inlineStr">
        <is>
          <t>6609457086551</t>
        </is>
      </c>
    </row>
    <row r="4538" ht="75" customHeight="1">
      <c r="A4538" s="2">
        <f>HYPERLINK("https://faoschwarz.com/products/scrabble-luxury-edition", "https://faoschwarz.com/products/scrabble-luxury-edition")</f>
        <v/>
      </c>
      <c r="B4538" s="2">
        <f>HYPERLINK("https://faoschwarz.com/products/scrabble-luxury-edition", "https://faoschwarz.com/products/scrabble-luxury-edition")</f>
        <v/>
      </c>
      <c r="C4538" t="inlineStr">
        <is>
          <t>Scrabble Luxury Edition</t>
        </is>
      </c>
      <c r="D4538" t="inlineStr">
        <is>
          <t>WS Game Company Scrabble Luxury Edition with Rotating Wooden Game Board</t>
        </is>
      </c>
      <c r="E4538" s="2">
        <f>HYPERLINK("https://www.amazon.com/Scrabble-Luxury-Edition-Board-Game/dp/B004SRXJZ4/ref=sr_1_1?keywords=Scrabble+Luxury+Edition&amp;qid=1695565982&amp;sr=8-1", "https://www.amazon.com/Scrabble-Luxury-Edition-Board-Game/dp/B004SRXJZ4/ref=sr_1_1?keywords=Scrabble+Luxury+Edition&amp;qid=1695565982&amp;sr=8-1")</f>
        <v/>
      </c>
      <c r="F4538" t="inlineStr">
        <is>
          <t>B004SRXJZ4</t>
        </is>
      </c>
      <c r="G4538">
        <f>_xlfn.IMAGE("https://faoschwarz.com/cdn/shop/products/ws-game-company-games-scrabble-luxury-edition-28724691140695_1080x.jpg?v=1656020480")</f>
        <v/>
      </c>
      <c r="H4538">
        <f>_xlfn.IMAGE("https://m.media-amazon.com/images/I/71HuyrmdM2L._AC_UL320_.jpg")</f>
        <v/>
      </c>
      <c r="K4538" t="inlineStr">
        <is>
          <t>300.0</t>
        </is>
      </c>
      <c r="L4538" t="n">
        <v>269.99</v>
      </c>
      <c r="M4538" s="1" t="inlineStr">
        <is>
          <t>-10.00%</t>
        </is>
      </c>
      <c r="N4538" t="n">
        <v>4.7</v>
      </c>
      <c r="O4538" t="n">
        <v>413</v>
      </c>
      <c r="Q4538" t="inlineStr">
        <is>
          <t>InStock</t>
        </is>
      </c>
      <c r="R4538" t="inlineStr">
        <is>
          <t>undefined</t>
        </is>
      </c>
      <c r="S4538" t="inlineStr">
        <is>
          <t>6609457086551</t>
        </is>
      </c>
    </row>
    <row r="4539" ht="75" customHeight="1">
      <c r="A4539" s="2">
        <f>HYPERLINK("https://faoschwarz.com/products/scrabble-luxury-edition", "https://faoschwarz.com/products/scrabble-luxury-edition")</f>
        <v/>
      </c>
      <c r="B4539" s="2">
        <f>HYPERLINK("https://faoschwarz.com/products/scrabble-luxury-edition", "https://faoschwarz.com/products/scrabble-luxury-edition")</f>
        <v/>
      </c>
      <c r="C4539" t="inlineStr">
        <is>
          <t>Scrabble Luxury Edition</t>
        </is>
      </c>
      <c r="D4539" t="inlineStr">
        <is>
          <t>WS Game Company Scrabble Trophy Luxury Edition with Rotating Wooden Game Board</t>
        </is>
      </c>
      <c r="E4539" s="2">
        <f>HYPERLINK("https://www.amazon.com/Scrabble-Luxury-Edition-Board-Game/dp/B000J58Z12/ref=sr_1_3?keywords=Scrabble+Luxury+Edition&amp;qid=1695565982&amp;sr=8-3", "https://www.amazon.com/Scrabble-Luxury-Edition-Board-Game/dp/B000J58Z12/ref=sr_1_3?keywords=Scrabble+Luxury+Edition&amp;qid=1695565982&amp;sr=8-3")</f>
        <v/>
      </c>
      <c r="F4539" t="inlineStr">
        <is>
          <t>B000J58Z12</t>
        </is>
      </c>
      <c r="G4539">
        <f>_xlfn.IMAGE("https://faoschwarz.com/cdn/shop/products/ws-game-company-games-scrabble-luxury-edition-28724691140695_1080x.jpg?v=1656020480")</f>
        <v/>
      </c>
      <c r="H4539">
        <f>_xlfn.IMAGE("https://m.media-amazon.com/images/I/81MGBeg7uHL._AC_UL320_.jpg")</f>
        <v/>
      </c>
      <c r="K4539" t="inlineStr">
        <is>
          <t>300.0</t>
        </is>
      </c>
      <c r="L4539" t="n">
        <v>179.99</v>
      </c>
      <c r="M4539" s="1" t="inlineStr">
        <is>
          <t>-40.00%</t>
        </is>
      </c>
      <c r="N4539" t="n">
        <v>4.7</v>
      </c>
      <c r="O4539" t="n">
        <v>246</v>
      </c>
      <c r="Q4539" t="inlineStr">
        <is>
          <t>InStock</t>
        </is>
      </c>
      <c r="R4539" t="inlineStr">
        <is>
          <t>undefined</t>
        </is>
      </c>
      <c r="S4539" t="inlineStr">
        <is>
          <t>6609457086551</t>
        </is>
      </c>
    </row>
    <row r="4540" ht="75" customHeight="1">
      <c r="A4540" s="2">
        <f>HYPERLINK("https://faoschwarz.com/products/scrabble-message-center", "https://faoschwarz.com/products/scrabble-message-center")</f>
        <v/>
      </c>
      <c r="B4540" s="2">
        <f>HYPERLINK("https://faoschwarz.com/products/scrabble-message-center", "https://faoschwarz.com/products/scrabble-message-center")</f>
        <v/>
      </c>
      <c r="C4540" t="inlineStr">
        <is>
          <t>Scrabble Message Center</t>
        </is>
      </c>
      <c r="D4540" t="inlineStr">
        <is>
          <t>WS Game Company Scrabble Message Center</t>
        </is>
      </c>
      <c r="E4540" s="2">
        <f>HYPERLINK("https://www.amazon.com/WS-Game-Company-Scrabble-Message/dp/B0B3LP9VFZ/ref=sr_1_1?keywords=Scrabble+Message+Center&amp;qid=1695566011&amp;sr=8-1", "https://www.amazon.com/WS-Game-Company-Scrabble-Message/dp/B0B3LP9VFZ/ref=sr_1_1?keywords=Scrabble+Message+Center&amp;qid=1695566011&amp;sr=8-1")</f>
        <v/>
      </c>
      <c r="F4540" t="inlineStr">
        <is>
          <t>B0B3LP9VFZ</t>
        </is>
      </c>
      <c r="G4540">
        <f>_xlfn.IMAGE("https://faoschwarz.com/cdn/shop/products/ws-game-company-games-scrabble-message-center-29751719297111_1080x.jpg?v=1668928105")</f>
        <v/>
      </c>
      <c r="H4540">
        <f>_xlfn.IMAGE("https://m.media-amazon.com/images/I/817kaSP4xjL._AC_UL320_.jpg")</f>
        <v/>
      </c>
      <c r="K4540" t="inlineStr">
        <is>
          <t>90.0</t>
        </is>
      </c>
      <c r="L4540" t="n">
        <v>99.98999999999999</v>
      </c>
      <c r="M4540" s="1" t="inlineStr">
        <is>
          <t>11.10%</t>
        </is>
      </c>
      <c r="N4540" t="n">
        <v>4.5</v>
      </c>
      <c r="O4540" t="n">
        <v>15</v>
      </c>
      <c r="Q4540" t="inlineStr">
        <is>
          <t>InStock</t>
        </is>
      </c>
      <c r="R4540" t="inlineStr">
        <is>
          <t>undefined</t>
        </is>
      </c>
      <c r="S4540" t="inlineStr">
        <is>
          <t>6715354087511</t>
        </is>
      </c>
    </row>
    <row r="4541" ht="75" customHeight="1">
      <c r="A4541" s="2">
        <f>HYPERLINK("https://faoschwarz.com/products/scrabble-nostalgia-tin", "https://faoschwarz.com/products/scrabble-nostalgia-tin")</f>
        <v/>
      </c>
      <c r="B4541" s="2">
        <f>HYPERLINK("https://faoschwarz.com/products/scrabble-nostalgia-tin", "https://faoschwarz.com/products/scrabble-nostalgia-tin")</f>
        <v/>
      </c>
      <c r="C4541" t="inlineStr">
        <is>
          <t>Scrabble Nostalgia Tin</t>
        </is>
      </c>
      <c r="D4541" t="inlineStr">
        <is>
          <t>WS Game Company Scrabble Nostalgia Edition in Collectible Tin</t>
        </is>
      </c>
      <c r="E4541" s="2">
        <f>HYPERLINK("https://www.amazon.com/Winning-Solutions-Nostalgia-Scrabble-Game/dp/B00999FHRY/ref=sr_1_1?keywords=Scrabble+Nostalgia+Tin&amp;qid=1695565975&amp;sr=8-1", "https://www.amazon.com/Winning-Solutions-Nostalgia-Scrabble-Game/dp/B00999FHRY/ref=sr_1_1?keywords=Scrabble+Nostalgia+Tin&amp;qid=1695565975&amp;sr=8-1")</f>
        <v/>
      </c>
      <c r="F4541" t="inlineStr">
        <is>
          <t>B00999FHRY</t>
        </is>
      </c>
      <c r="G4541">
        <f>_xlfn.IMAGE("https://faoschwarz.com/cdn/shop/products/ws-game-company-games-scrabble-nostalgia-tin-29076968144983_1080x.jpg?v=1655945557")</f>
        <v/>
      </c>
      <c r="H4541">
        <f>_xlfn.IMAGE("https://m.media-amazon.com/images/I/610uBhZjCNL._AC_UL320_.jpg")</f>
        <v/>
      </c>
      <c r="K4541" t="inlineStr">
        <is>
          <t>35.0</t>
        </is>
      </c>
      <c r="L4541" t="n">
        <v>29.99</v>
      </c>
      <c r="M4541" s="1" t="inlineStr">
        <is>
          <t>-14.31%</t>
        </is>
      </c>
      <c r="N4541" t="n">
        <v>4.7</v>
      </c>
      <c r="O4541" t="n">
        <v>743</v>
      </c>
      <c r="Q4541" t="inlineStr">
        <is>
          <t>InStock</t>
        </is>
      </c>
      <c r="R4541" t="inlineStr">
        <is>
          <t>undefined</t>
        </is>
      </c>
      <c r="S4541" t="inlineStr">
        <is>
          <t>6715353989207</t>
        </is>
      </c>
    </row>
    <row r="4542" ht="75" customHeight="1">
      <c r="A4542" s="2">
        <f>HYPERLINK("https://faoschwarz.com/products/scrabble-nostalgia-tin", "https://faoschwarz.com/products/scrabble-nostalgia-tin")</f>
        <v/>
      </c>
      <c r="B4542" s="2">
        <f>HYPERLINK("https://faoschwarz.com/products/scrabble-nostalgia-tin", "https://faoschwarz.com/products/scrabble-nostalgia-tin")</f>
        <v/>
      </c>
      <c r="C4542" t="inlineStr">
        <is>
          <t>Scrabble Nostalgia Tin</t>
        </is>
      </c>
      <c r="D4542" t="inlineStr">
        <is>
          <t>WS Game Company Scrabble Nostalgia Edition in Collectible Tin</t>
        </is>
      </c>
      <c r="E4542" s="2">
        <f>HYPERLINK("https://www.amazon.com/Winning-Solutions-Nostalgia-Scrabble-Game/dp/B00999FHRY/ref=sr_1_1?keywords=Scrabble+Nostalgia+Tin&amp;qid=1695565975&amp;sr=8-1", "https://www.amazon.com/Winning-Solutions-Nostalgia-Scrabble-Game/dp/B00999FHRY/ref=sr_1_1?keywords=Scrabble+Nostalgia+Tin&amp;qid=1695565975&amp;sr=8-1")</f>
        <v/>
      </c>
      <c r="F4542" t="inlineStr">
        <is>
          <t>B00999FHRY</t>
        </is>
      </c>
      <c r="G4542">
        <f>_xlfn.IMAGE("https://faoschwarz.com/cdn/shop/products/ws-game-company-games-scrabble-nostalgia-tin-29076968144983_1080x.jpg?v=1655945557")</f>
        <v/>
      </c>
      <c r="H4542">
        <f>_xlfn.IMAGE("https://m.media-amazon.com/images/I/610uBhZjCNL._AC_UL320_.jpg")</f>
        <v/>
      </c>
      <c r="K4542" t="inlineStr">
        <is>
          <t>35.0</t>
        </is>
      </c>
      <c r="L4542" t="n">
        <v>29.99</v>
      </c>
      <c r="M4542" s="1" t="inlineStr">
        <is>
          <t>-14.31%</t>
        </is>
      </c>
      <c r="N4542" t="n">
        <v>4.7</v>
      </c>
      <c r="O4542" t="n">
        <v>743</v>
      </c>
      <c r="Q4542" t="inlineStr">
        <is>
          <t>InStock</t>
        </is>
      </c>
      <c r="R4542" t="inlineStr">
        <is>
          <t>undefined</t>
        </is>
      </c>
      <c r="S4542" t="inlineStr">
        <is>
          <t>6715353989207</t>
        </is>
      </c>
    </row>
    <row r="4543" ht="75" customHeight="1">
      <c r="A4543" s="2">
        <f>HYPERLINK("https://faoschwarz.com/products/scrabble-prisma-glass-edition", "https://faoschwarz.com/products/scrabble-prisma-glass-edition")</f>
        <v/>
      </c>
      <c r="B4543" s="2">
        <f>HYPERLINK("https://faoschwarz.com/products/scrabble-prisma-glass-edition", "https://faoschwarz.com/products/scrabble-prisma-glass-edition")</f>
        <v/>
      </c>
      <c r="C4543" t="inlineStr">
        <is>
          <t>Scrabble Prisma Glass Edition</t>
        </is>
      </c>
      <c r="D4543" t="inlineStr">
        <is>
          <t>WS Game Company Monopoly Prisma Glass Edition</t>
        </is>
      </c>
      <c r="E4543" s="2">
        <f>HYPERLINK("https://www.amazon.com/WS-Game-Company-Monopoly-Prisma/dp/B0BC96266S/ref=sr_1_2?keywords=Scrabble+Prisma+Glass+Edition&amp;qid=1695566003&amp;sr=8-2", "https://www.amazon.com/WS-Game-Company-Monopoly-Prisma/dp/B0BC96266S/ref=sr_1_2?keywords=Scrabble+Prisma+Glass+Edition&amp;qid=1695566003&amp;sr=8-2")</f>
        <v/>
      </c>
      <c r="F4543" t="inlineStr">
        <is>
          <t>B0BC96266S</t>
        </is>
      </c>
      <c r="G4543">
        <f>_xlfn.IMAGE("https://faoschwarz.com/cdn/shop/products/ws-game-company-games-scrabble-prisma-glass-edition-29740881248343_1080x.jpg?v=1668923928")</f>
        <v/>
      </c>
      <c r="H4543">
        <f>_xlfn.IMAGE("https://m.media-amazon.com/images/I/71lzdN31AEL._AC_UL320_.jpg")</f>
        <v/>
      </c>
      <c r="K4543" t="inlineStr">
        <is>
          <t>250.0</t>
        </is>
      </c>
      <c r="L4543" t="n">
        <v>199.99</v>
      </c>
      <c r="M4543" s="1" t="inlineStr">
        <is>
          <t>-20.00%</t>
        </is>
      </c>
      <c r="N4543" t="n">
        <v>5</v>
      </c>
      <c r="O4543" t="n">
        <v>5</v>
      </c>
      <c r="Q4543" t="inlineStr">
        <is>
          <t>InStock</t>
        </is>
      </c>
      <c r="R4543" t="inlineStr">
        <is>
          <t>undefined</t>
        </is>
      </c>
      <c r="S4543" t="inlineStr">
        <is>
          <t>6831477981271</t>
        </is>
      </c>
    </row>
    <row r="4544" ht="75" customHeight="1">
      <c r="A4544" s="2">
        <f>HYPERLINK("https://faoschwarz.com/products/scrabble-prisma-glass-edition", "https://faoschwarz.com/products/scrabble-prisma-glass-edition")</f>
        <v/>
      </c>
      <c r="B4544" s="2">
        <f>HYPERLINK("https://faoschwarz.com/products/scrabble-prisma-glass-edition", "https://faoschwarz.com/products/scrabble-prisma-glass-edition")</f>
        <v/>
      </c>
      <c r="C4544" t="inlineStr">
        <is>
          <t>Scrabble Prisma Glass Edition</t>
        </is>
      </c>
      <c r="D4544" t="inlineStr">
        <is>
          <t>WS Game Company Scrabble Prisma Glass Edition</t>
        </is>
      </c>
      <c r="E4544" s="2">
        <f>HYPERLINK("https://www.amazon.com/WS-Game-Company-Scrabble-Prisma/dp/B0BBKGRT3V/ref=sr_1_1?keywords=Scrabble+Prisma+Glass+Edition&amp;qid=1695566003&amp;sr=8-1", "https://www.amazon.com/WS-Game-Company-Scrabble-Prisma/dp/B0BBKGRT3V/ref=sr_1_1?keywords=Scrabble+Prisma+Glass+Edition&amp;qid=1695566003&amp;sr=8-1")</f>
        <v/>
      </c>
      <c r="F4544" t="inlineStr">
        <is>
          <t>B0BBKGRT3V</t>
        </is>
      </c>
      <c r="G4544">
        <f>_xlfn.IMAGE("https://faoschwarz.com/cdn/shop/products/ws-game-company-games-scrabble-prisma-glass-edition-29740881248343_1080x.jpg?v=1668923928")</f>
        <v/>
      </c>
      <c r="H4544">
        <f>_xlfn.IMAGE("https://m.media-amazon.com/images/I/71Lpjg1UrqL._AC_UL320_.jpg")</f>
        <v/>
      </c>
      <c r="K4544" t="inlineStr">
        <is>
          <t>250.0</t>
        </is>
      </c>
      <c r="L4544" t="n">
        <v>199.99</v>
      </c>
      <c r="M4544" s="1" t="inlineStr">
        <is>
          <t>-20.00%</t>
        </is>
      </c>
      <c r="N4544" t="n">
        <v>5</v>
      </c>
      <c r="O4544" t="n">
        <v>1</v>
      </c>
      <c r="Q4544" t="inlineStr">
        <is>
          <t>InStock</t>
        </is>
      </c>
      <c r="R4544" t="inlineStr">
        <is>
          <t>undefined</t>
        </is>
      </c>
      <c r="S4544" t="inlineStr">
        <is>
          <t>6831477981271</t>
        </is>
      </c>
    </row>
    <row r="4545" ht="75" customHeight="1">
      <c r="A4545" s="2">
        <f>HYPERLINK("https://faoschwarz.com/products/scrabble-prisma-glass-edition", "https://faoschwarz.com/products/scrabble-prisma-glass-edition")</f>
        <v/>
      </c>
      <c r="B4545" s="2">
        <f>HYPERLINK("https://faoschwarz.com/products/scrabble-prisma-glass-edition", "https://faoschwarz.com/products/scrabble-prisma-glass-edition")</f>
        <v/>
      </c>
      <c r="C4545" t="inlineStr">
        <is>
          <t>Scrabble Prisma Glass Edition</t>
        </is>
      </c>
      <c r="D4545" t="inlineStr">
        <is>
          <t>WS Game Company Monopoly Prisma Glass Edition</t>
        </is>
      </c>
      <c r="E4545" s="2">
        <f>HYPERLINK("https://www.amazon.com/WS-Game-Company-Monopoly-Prisma/dp/B0BC96266S/ref=sr_1_2?keywords=Scrabble+Prisma+Glass+Edition&amp;qid=1695566003&amp;sr=8-2", "https://www.amazon.com/WS-Game-Company-Monopoly-Prisma/dp/B0BC96266S/ref=sr_1_2?keywords=Scrabble+Prisma+Glass+Edition&amp;qid=1695566003&amp;sr=8-2")</f>
        <v/>
      </c>
      <c r="F4545" t="inlineStr">
        <is>
          <t>B0BC96266S</t>
        </is>
      </c>
      <c r="G4545">
        <f>_xlfn.IMAGE("https://faoschwarz.com/cdn/shop/products/ws-game-company-games-scrabble-prisma-glass-edition-29740881248343_1080x.jpg?v=1668923928")</f>
        <v/>
      </c>
      <c r="H4545">
        <f>_xlfn.IMAGE("https://m.media-amazon.com/images/I/71lzdN31AEL._AC_UL320_.jpg")</f>
        <v/>
      </c>
      <c r="K4545" t="inlineStr">
        <is>
          <t>250.0</t>
        </is>
      </c>
      <c r="L4545" t="n">
        <v>199.99</v>
      </c>
      <c r="M4545" s="1" t="inlineStr">
        <is>
          <t>-20.00%</t>
        </is>
      </c>
      <c r="N4545" t="n">
        <v>5</v>
      </c>
      <c r="O4545" t="n">
        <v>5</v>
      </c>
      <c r="Q4545" t="inlineStr">
        <is>
          <t>InStock</t>
        </is>
      </c>
      <c r="R4545" t="inlineStr">
        <is>
          <t>undefined</t>
        </is>
      </c>
      <c r="S4545" t="inlineStr">
        <is>
          <t>6831477981271</t>
        </is>
      </c>
    </row>
    <row r="4546" ht="75" customHeight="1">
      <c r="A4546" s="2">
        <f>HYPERLINK("https://faoschwarz.com/products/scrabble-prisma-glass-edition", "https://faoschwarz.com/products/scrabble-prisma-glass-edition")</f>
        <v/>
      </c>
      <c r="B4546" s="2">
        <f>HYPERLINK("https://faoschwarz.com/products/scrabble-prisma-glass-edition", "https://faoschwarz.com/products/scrabble-prisma-glass-edition")</f>
        <v/>
      </c>
      <c r="C4546" t="inlineStr">
        <is>
          <t>Scrabble Prisma Glass Edition</t>
        </is>
      </c>
      <c r="D4546" t="inlineStr">
        <is>
          <t>WS Game Company Scrabble Prisma Glass Edition</t>
        </is>
      </c>
      <c r="E4546" s="2">
        <f>HYPERLINK("https://www.amazon.com/WS-Game-Company-Scrabble-Prisma/dp/B0BBKGRT3V/ref=sr_1_1?keywords=Scrabble+Prisma+Glass+Edition&amp;qid=1695566003&amp;sr=8-1", "https://www.amazon.com/WS-Game-Company-Scrabble-Prisma/dp/B0BBKGRT3V/ref=sr_1_1?keywords=Scrabble+Prisma+Glass+Edition&amp;qid=1695566003&amp;sr=8-1")</f>
        <v/>
      </c>
      <c r="F4546" t="inlineStr">
        <is>
          <t>B0BBKGRT3V</t>
        </is>
      </c>
      <c r="G4546">
        <f>_xlfn.IMAGE("https://faoschwarz.com/cdn/shop/products/ws-game-company-games-scrabble-prisma-glass-edition-29740881248343_1080x.jpg?v=1668923928")</f>
        <v/>
      </c>
      <c r="H4546">
        <f>_xlfn.IMAGE("https://m.media-amazon.com/images/I/71Lpjg1UrqL._AC_UL320_.jpg")</f>
        <v/>
      </c>
      <c r="K4546" t="inlineStr">
        <is>
          <t>250.0</t>
        </is>
      </c>
      <c r="L4546" t="n">
        <v>199.99</v>
      </c>
      <c r="M4546" s="1" t="inlineStr">
        <is>
          <t>-20.00%</t>
        </is>
      </c>
      <c r="N4546" t="n">
        <v>5</v>
      </c>
      <c r="O4546" t="n">
        <v>1</v>
      </c>
      <c r="Q4546" t="inlineStr">
        <is>
          <t>InStock</t>
        </is>
      </c>
      <c r="R4546" t="inlineStr">
        <is>
          <t>undefined</t>
        </is>
      </c>
      <c r="S4546" t="inlineStr">
        <is>
          <t>6831477981271</t>
        </is>
      </c>
    </row>
    <row r="4547" ht="75" customHeight="1">
      <c r="A4547" s="2">
        <f>HYPERLINK("https://faoschwarz.com/products/scrabble-vintage-bookshelf-edition", "https://faoschwarz.com/products/scrabble-vintage-bookshelf-edition")</f>
        <v/>
      </c>
      <c r="B4547" s="2">
        <f>HYPERLINK("https://faoschwarz.com/products/scrabble-vintage-bookshelf-edition", "https://faoschwarz.com/products/scrabble-vintage-bookshelf-edition")</f>
        <v/>
      </c>
      <c r="C4547" t="inlineStr">
        <is>
          <t>Scrabble Vintage Bookshelf Edition</t>
        </is>
      </c>
      <c r="D4547" t="inlineStr">
        <is>
          <t>Scrabble, Monopoly, and Clue Vintage Board Game Bookshelf Collection</t>
        </is>
      </c>
      <c r="E4547" s="2">
        <f>HYPERLINK("https://www.amazon.com/Scrabble-Monopoly-Game-Bookshelf-Collection/dp/B07WTNZ1XF/ref=sr_1_2?keywords=Scrabble+Vintage+Bookshelf+Edition&amp;qid=1695565999&amp;sr=8-2", "https://www.amazon.com/Scrabble-Monopoly-Game-Bookshelf-Collection/dp/B07WTNZ1XF/ref=sr_1_2?keywords=Scrabble+Vintage+Bookshelf+Edition&amp;qid=1695565999&amp;sr=8-2")</f>
        <v/>
      </c>
      <c r="F4547" t="inlineStr">
        <is>
          <t>B07WTNZ1XF</t>
        </is>
      </c>
      <c r="G4547">
        <f>_xlfn.IMAGE("https://faoschwarz.com/cdn/shop/products/ws-game-company-games-scrabble-vintage-bookshelf-edition-28896789200983_1080x.jpg?v=1655985123")</f>
        <v/>
      </c>
      <c r="H4547">
        <f>_xlfn.IMAGE("https://m.media-amazon.com/images/I/819IbI0hyFL._AC_UL320_.jpg")</f>
        <v/>
      </c>
      <c r="K4547" t="inlineStr">
        <is>
          <t>40.0</t>
        </is>
      </c>
      <c r="L4547" t="n">
        <v>112.99</v>
      </c>
      <c r="M4547" s="1" t="inlineStr">
        <is>
          <t>182.47%</t>
        </is>
      </c>
      <c r="N4547" t="n">
        <v>4.8</v>
      </c>
      <c r="O4547" t="n">
        <v>434</v>
      </c>
      <c r="Q4547" t="inlineStr">
        <is>
          <t>InStock</t>
        </is>
      </c>
      <c r="R4547" t="inlineStr">
        <is>
          <t>undefined</t>
        </is>
      </c>
      <c r="S4547" t="inlineStr">
        <is>
          <t>6715353170007</t>
        </is>
      </c>
    </row>
    <row r="4548" ht="75" customHeight="1">
      <c r="A4548" s="2">
        <f>HYPERLINK("https://faoschwarz.com/products/scrabble-vintage-bookshelf-edition", "https://faoschwarz.com/products/scrabble-vintage-bookshelf-edition")</f>
        <v/>
      </c>
      <c r="B4548" s="2">
        <f>HYPERLINK("https://faoschwarz.com/products/scrabble-vintage-bookshelf-edition", "https://faoschwarz.com/products/scrabble-vintage-bookshelf-edition")</f>
        <v/>
      </c>
      <c r="C4548" t="inlineStr">
        <is>
          <t>Scrabble Vintage Bookshelf Edition</t>
        </is>
      </c>
      <c r="D4548" t="inlineStr">
        <is>
          <t>WS Game Company Taboo Vintage Bookshelf Edition</t>
        </is>
      </c>
      <c r="E4548" s="2">
        <f>HYPERLINK("https://www.amazon.com/WS-Game-Company-Vintage-Bookshelf/dp/B0C4D26SDW/ref=sr_1_10?keywords=Scrabble+Vintage+Bookshelf+Edition&amp;qid=1695565999&amp;sr=8-10", "https://www.amazon.com/WS-Game-Company-Vintage-Bookshelf/dp/B0C4D26SDW/ref=sr_1_10?keywords=Scrabble+Vintage+Bookshelf+Edition&amp;qid=1695565999&amp;sr=8-10")</f>
        <v/>
      </c>
      <c r="F4548" t="inlineStr">
        <is>
          <t>B0C4D26SDW</t>
        </is>
      </c>
      <c r="G4548">
        <f>_xlfn.IMAGE("https://faoschwarz.com/cdn/shop/products/ws-game-company-games-scrabble-vintage-bookshelf-edition-28896789200983_1080x.jpg?v=1655985123")</f>
        <v/>
      </c>
      <c r="H4548">
        <f>_xlfn.IMAGE("https://m.media-amazon.com/images/I/71w+AQ-OvDL._AC_UL320_.jpg")</f>
        <v/>
      </c>
      <c r="K4548" t="inlineStr">
        <is>
          <t>40.0</t>
        </is>
      </c>
      <c r="L4548" t="n">
        <v>39.99</v>
      </c>
      <c r="M4548" s="1" t="inlineStr">
        <is>
          <t>-0.02%</t>
        </is>
      </c>
      <c r="N4548" t="n">
        <v>5</v>
      </c>
      <c r="O4548" t="n">
        <v>7</v>
      </c>
      <c r="Q4548" t="inlineStr">
        <is>
          <t>InStock</t>
        </is>
      </c>
      <c r="R4548" t="inlineStr">
        <is>
          <t>undefined</t>
        </is>
      </c>
      <c r="S4548" t="inlineStr">
        <is>
          <t>6715353170007</t>
        </is>
      </c>
    </row>
    <row r="4549" ht="75" customHeight="1">
      <c r="A4549" s="2">
        <f>HYPERLINK("https://faoschwarz.com/products/scrabble-vintage-bookshelf-edition", "https://faoschwarz.com/products/scrabble-vintage-bookshelf-edition")</f>
        <v/>
      </c>
      <c r="B4549" s="2">
        <f>HYPERLINK("https://faoschwarz.com/products/scrabble-vintage-bookshelf-edition", "https://faoschwarz.com/products/scrabble-vintage-bookshelf-edition")</f>
        <v/>
      </c>
      <c r="C4549" t="inlineStr">
        <is>
          <t>Scrabble Vintage Bookshelf Edition</t>
        </is>
      </c>
      <c r="D4549" t="inlineStr">
        <is>
          <t>'Winning Solutions Scrabble Vintage Bookshelf Edition</t>
        </is>
      </c>
      <c r="E4549" s="2">
        <f>HYPERLINK("https://www.amazon.com/WS-Game-Company-21420-Bookshelf/dp/B01CPUSHSO/ref=sr_1_1?keywords=Scrabble+Vintage+Bookshelf+Edition&amp;qid=1695565999&amp;sr=8-1", "https://www.amazon.com/WS-Game-Company-21420-Bookshelf/dp/B01CPUSHSO/ref=sr_1_1?keywords=Scrabble+Vintage+Bookshelf+Edition&amp;qid=1695565999&amp;sr=8-1")</f>
        <v/>
      </c>
      <c r="F4549" t="inlineStr">
        <is>
          <t>B01CPUSHSO</t>
        </is>
      </c>
      <c r="G4549">
        <f>_xlfn.IMAGE("https://faoschwarz.com/cdn/shop/products/ws-game-company-games-scrabble-vintage-bookshelf-edition-28896789200983_1080x.jpg?v=1655985123")</f>
        <v/>
      </c>
      <c r="H4549">
        <f>_xlfn.IMAGE("https://m.media-amazon.com/images/I/81UMj2xiq3L._AC_UL320_.jpg")</f>
        <v/>
      </c>
      <c r="K4549" t="inlineStr">
        <is>
          <t>40.0</t>
        </is>
      </c>
      <c r="L4549" t="n">
        <v>35</v>
      </c>
      <c r="M4549" s="1" t="inlineStr">
        <is>
          <t>-12.50%</t>
        </is>
      </c>
      <c r="N4549" t="n">
        <v>4.8</v>
      </c>
      <c r="O4549" t="n">
        <v>840</v>
      </c>
      <c r="Q4549" t="inlineStr">
        <is>
          <t>InStock</t>
        </is>
      </c>
      <c r="R4549" t="inlineStr">
        <is>
          <t>undefined</t>
        </is>
      </c>
      <c r="S4549" t="inlineStr">
        <is>
          <t>6715353170007</t>
        </is>
      </c>
    </row>
    <row r="4550" ht="75" customHeight="1">
      <c r="A4550" s="2">
        <f>HYPERLINK("https://faoschwarz.com/products/scrabble-vintage-bookshelf-edition", "https://faoschwarz.com/products/scrabble-vintage-bookshelf-edition")</f>
        <v/>
      </c>
      <c r="B4550" s="2">
        <f>HYPERLINK("https://faoschwarz.com/products/scrabble-vintage-bookshelf-edition", "https://faoschwarz.com/products/scrabble-vintage-bookshelf-edition")</f>
        <v/>
      </c>
      <c r="C4550" t="inlineStr">
        <is>
          <t>Scrabble Vintage Bookshelf Edition</t>
        </is>
      </c>
      <c r="D4550" t="inlineStr">
        <is>
          <t>WS Game Company Chess Vintage Bookshelf Edition</t>
        </is>
      </c>
      <c r="E4550" s="2">
        <f>HYPERLINK("https://www.amazon.com/WS-Game-Company-Vintage-Bookshelf/dp/B09N451M4X/ref=sr_1_6?keywords=Scrabble+Vintage+Bookshelf+Edition&amp;qid=1695565999&amp;sr=8-6", "https://www.amazon.com/WS-Game-Company-Vintage-Bookshelf/dp/B09N451M4X/ref=sr_1_6?keywords=Scrabble+Vintage+Bookshelf+Edition&amp;qid=1695565999&amp;sr=8-6")</f>
        <v/>
      </c>
      <c r="F4550" t="inlineStr">
        <is>
          <t>B09N451M4X</t>
        </is>
      </c>
      <c r="G4550">
        <f>_xlfn.IMAGE("https://faoschwarz.com/cdn/shop/products/ws-game-company-games-scrabble-vintage-bookshelf-edition-28896789200983_1080x.jpg?v=1655985123")</f>
        <v/>
      </c>
      <c r="H4550">
        <f>_xlfn.IMAGE("https://m.media-amazon.com/images/I/81yVQWnPdbL._AC_UL320_.jpg")</f>
        <v/>
      </c>
      <c r="K4550" t="inlineStr">
        <is>
          <t>40.0</t>
        </is>
      </c>
      <c r="L4550" t="n">
        <v>35</v>
      </c>
      <c r="M4550" s="1" t="inlineStr">
        <is>
          <t>-12.50%</t>
        </is>
      </c>
      <c r="N4550" t="n">
        <v>4.9</v>
      </c>
      <c r="O4550" t="n">
        <v>94</v>
      </c>
      <c r="Q4550" t="inlineStr">
        <is>
          <t>InStock</t>
        </is>
      </c>
      <c r="R4550" t="inlineStr">
        <is>
          <t>undefined</t>
        </is>
      </c>
      <c r="S4550" t="inlineStr">
        <is>
          <t>6715353170007</t>
        </is>
      </c>
    </row>
    <row r="4551" ht="75" customHeight="1">
      <c r="A4551" s="2">
        <f>HYPERLINK("https://faoschwarz.com/products/scrabble-vintage-bookshelf-edition", "https://faoschwarz.com/products/scrabble-vintage-bookshelf-edition")</f>
        <v/>
      </c>
      <c r="B4551" s="2">
        <f>HYPERLINK("https://faoschwarz.com/products/scrabble-vintage-bookshelf-edition", "https://faoschwarz.com/products/scrabble-vintage-bookshelf-edition")</f>
        <v/>
      </c>
      <c r="C4551" t="inlineStr">
        <is>
          <t>Scrabble Vintage Bookshelf Edition</t>
        </is>
      </c>
      <c r="D4551" t="inlineStr">
        <is>
          <t>WS Game Company Sorry! Vintage Bookshelf Edition</t>
        </is>
      </c>
      <c r="E4551" s="2">
        <f>HYPERLINK("https://www.amazon.com/WS-Game-Company-Vintage-Bookshelf/dp/B09N21R993/ref=sr_1_5?keywords=Scrabble+Vintage+Bookshelf+Edition&amp;qid=1695565999&amp;sr=8-5", "https://www.amazon.com/WS-Game-Company-Vintage-Bookshelf/dp/B09N21R993/ref=sr_1_5?keywords=Scrabble+Vintage+Bookshelf+Edition&amp;qid=1695565999&amp;sr=8-5")</f>
        <v/>
      </c>
      <c r="F4551" t="inlineStr">
        <is>
          <t>B09N21R993</t>
        </is>
      </c>
      <c r="G4551">
        <f>_xlfn.IMAGE("https://faoschwarz.com/cdn/shop/products/ws-game-company-games-scrabble-vintage-bookshelf-edition-28896789200983_1080x.jpg?v=1655985123")</f>
        <v/>
      </c>
      <c r="H4551">
        <f>_xlfn.IMAGE("https://m.media-amazon.com/images/I/81K6S3Yn+HL._AC_UL320_.jpg")</f>
        <v/>
      </c>
      <c r="K4551" t="inlineStr">
        <is>
          <t>40.0</t>
        </is>
      </c>
      <c r="L4551" t="n">
        <v>35</v>
      </c>
      <c r="M4551" s="1" t="inlineStr">
        <is>
          <t>-12.50%</t>
        </is>
      </c>
      <c r="N4551" t="n">
        <v>4.9</v>
      </c>
      <c r="O4551" t="n">
        <v>184</v>
      </c>
      <c r="Q4551" t="inlineStr">
        <is>
          <t>InStock</t>
        </is>
      </c>
      <c r="R4551" t="inlineStr">
        <is>
          <t>undefined</t>
        </is>
      </c>
      <c r="S4551" t="inlineStr">
        <is>
          <t>6715353170007</t>
        </is>
      </c>
    </row>
    <row r="4552" ht="75" customHeight="1">
      <c r="A4552" s="2">
        <f>HYPERLINK("https://faoschwarz.com/products/scrabble-vintage-bookshelf-edition", "https://faoschwarz.com/products/scrabble-vintage-bookshelf-edition")</f>
        <v/>
      </c>
      <c r="B4552" s="2">
        <f>HYPERLINK("https://faoschwarz.com/products/scrabble-vintage-bookshelf-edition", "https://faoschwarz.com/products/scrabble-vintage-bookshelf-edition")</f>
        <v/>
      </c>
      <c r="C4552" t="inlineStr">
        <is>
          <t>Scrabble Vintage Bookshelf Edition</t>
        </is>
      </c>
      <c r="D4552" t="inlineStr">
        <is>
          <t>Winning Solutions Yahtzee Vintage Bookshelf Edition</t>
        </is>
      </c>
      <c r="E4552" s="2">
        <f>HYPERLINK("https://www.amazon.com/Winning-Solutions-Yahtzee-Linen-Vintage/dp/B075SCWZND/ref=sr_1_4?keywords=Scrabble+Vintage+Bookshelf+Edition&amp;qid=1695565999&amp;sr=8-4", "https://www.amazon.com/Winning-Solutions-Yahtzee-Linen-Vintage/dp/B075SCWZND/ref=sr_1_4?keywords=Scrabble+Vintage+Bookshelf+Edition&amp;qid=1695565999&amp;sr=8-4")</f>
        <v/>
      </c>
      <c r="F4552" t="inlineStr">
        <is>
          <t>B075SCWZND</t>
        </is>
      </c>
      <c r="G4552">
        <f>_xlfn.IMAGE("https://faoschwarz.com/cdn/shop/products/ws-game-company-games-scrabble-vintage-bookshelf-edition-28896789200983_1080x.jpg?v=1655985123")</f>
        <v/>
      </c>
      <c r="H4552">
        <f>_xlfn.IMAGE("https://m.media-amazon.com/images/I/518FvCklg1L._AC_UL320_.jpg")</f>
        <v/>
      </c>
      <c r="K4552" t="inlineStr">
        <is>
          <t>40.0</t>
        </is>
      </c>
      <c r="L4552" t="n">
        <v>35</v>
      </c>
      <c r="M4552" s="1" t="inlineStr">
        <is>
          <t>-12.50%</t>
        </is>
      </c>
      <c r="N4552" t="n">
        <v>4.8</v>
      </c>
      <c r="O4552" t="n">
        <v>585</v>
      </c>
      <c r="Q4552" t="inlineStr">
        <is>
          <t>InStock</t>
        </is>
      </c>
      <c r="R4552" t="inlineStr">
        <is>
          <t>undefined</t>
        </is>
      </c>
      <c r="S4552" t="inlineStr">
        <is>
          <t>6715353170007</t>
        </is>
      </c>
    </row>
    <row r="4553" ht="75" customHeight="1">
      <c r="A4553" s="2">
        <f>HYPERLINK("https://faoschwarz.com/products/scrabble-vintage-bookshelf-edition", "https://faoschwarz.com/products/scrabble-vintage-bookshelf-edition")</f>
        <v/>
      </c>
      <c r="B4553" s="2">
        <f>HYPERLINK("https://faoschwarz.com/products/scrabble-vintage-bookshelf-edition", "https://faoschwarz.com/products/scrabble-vintage-bookshelf-edition")</f>
        <v/>
      </c>
      <c r="C4553" t="inlineStr">
        <is>
          <t>Scrabble Vintage Bookshelf Edition</t>
        </is>
      </c>
      <c r="D4553" t="inlineStr">
        <is>
          <t>'Winning Solutions Scrabble Vintage Bookshelf Edition</t>
        </is>
      </c>
      <c r="E4553" s="2">
        <f>HYPERLINK("https://www.amazon.com/WS-Game-Company-21420-Bookshelf/dp/B01CPUSHSO/ref=sr_1_1?keywords=Scrabble+Vintage+Bookshelf+Edition&amp;qid=1695565999&amp;sr=8-1", "https://www.amazon.com/WS-Game-Company-21420-Bookshelf/dp/B01CPUSHSO/ref=sr_1_1?keywords=Scrabble+Vintage+Bookshelf+Edition&amp;qid=1695565999&amp;sr=8-1")</f>
        <v/>
      </c>
      <c r="F4553" t="inlineStr">
        <is>
          <t>B01CPUSHSO</t>
        </is>
      </c>
      <c r="G4553">
        <f>_xlfn.IMAGE("https://faoschwarz.com/cdn/shop/products/ws-game-company-games-scrabble-vintage-bookshelf-edition-28896789200983_1080x.jpg?v=1655985123")</f>
        <v/>
      </c>
      <c r="H4553">
        <f>_xlfn.IMAGE("https://m.media-amazon.com/images/I/81UMj2xiq3L._AC_UL320_.jpg")</f>
        <v/>
      </c>
      <c r="K4553" t="inlineStr">
        <is>
          <t>40.0</t>
        </is>
      </c>
      <c r="L4553" t="n">
        <v>35</v>
      </c>
      <c r="M4553" s="1" t="inlineStr">
        <is>
          <t>-12.50%</t>
        </is>
      </c>
      <c r="N4553" t="n">
        <v>4.8</v>
      </c>
      <c r="O4553" t="n">
        <v>840</v>
      </c>
      <c r="Q4553" t="inlineStr">
        <is>
          <t>InStock</t>
        </is>
      </c>
      <c r="R4553" t="inlineStr">
        <is>
          <t>undefined</t>
        </is>
      </c>
      <c r="S4553" t="inlineStr">
        <is>
          <t>6715353170007</t>
        </is>
      </c>
    </row>
    <row r="4554" ht="75" customHeight="1">
      <c r="A4554" s="2">
        <f>HYPERLINK("https://faoschwarz.com/products/scrabble-vintage-bookshelf-edition", "https://faoschwarz.com/products/scrabble-vintage-bookshelf-edition")</f>
        <v/>
      </c>
      <c r="B4554" s="2">
        <f>HYPERLINK("https://faoschwarz.com/products/scrabble-vintage-bookshelf-edition", "https://faoschwarz.com/products/scrabble-vintage-bookshelf-edition")</f>
        <v/>
      </c>
      <c r="C4554" t="inlineStr">
        <is>
          <t>Scrabble Vintage Bookshelf Edition</t>
        </is>
      </c>
      <c r="D4554" t="inlineStr">
        <is>
          <t>WS Game Company Chess Vintage Bookshelf Edition</t>
        </is>
      </c>
      <c r="E4554" s="2">
        <f>HYPERLINK("https://www.amazon.com/WS-Game-Company-Vintage-Bookshelf/dp/B09N451M4X/ref=sr_1_6?keywords=Scrabble+Vintage+Bookshelf+Edition&amp;qid=1695565999&amp;sr=8-6", "https://www.amazon.com/WS-Game-Company-Vintage-Bookshelf/dp/B09N451M4X/ref=sr_1_6?keywords=Scrabble+Vintage+Bookshelf+Edition&amp;qid=1695565999&amp;sr=8-6")</f>
        <v/>
      </c>
      <c r="F4554" t="inlineStr">
        <is>
          <t>B09N451M4X</t>
        </is>
      </c>
      <c r="G4554">
        <f>_xlfn.IMAGE("https://faoschwarz.com/cdn/shop/products/ws-game-company-games-scrabble-vintage-bookshelf-edition-28896789200983_1080x.jpg?v=1655985123")</f>
        <v/>
      </c>
      <c r="H4554">
        <f>_xlfn.IMAGE("https://m.media-amazon.com/images/I/81yVQWnPdbL._AC_UL320_.jpg")</f>
        <v/>
      </c>
      <c r="K4554" t="inlineStr">
        <is>
          <t>40.0</t>
        </is>
      </c>
      <c r="L4554" t="n">
        <v>35</v>
      </c>
      <c r="M4554" s="1" t="inlineStr">
        <is>
          <t>-12.50%</t>
        </is>
      </c>
      <c r="N4554" t="n">
        <v>4.9</v>
      </c>
      <c r="O4554" t="n">
        <v>94</v>
      </c>
      <c r="Q4554" t="inlineStr">
        <is>
          <t>InStock</t>
        </is>
      </c>
      <c r="R4554" t="inlineStr">
        <is>
          <t>undefined</t>
        </is>
      </c>
      <c r="S4554" t="inlineStr">
        <is>
          <t>6715353170007</t>
        </is>
      </c>
    </row>
    <row r="4555" ht="75" customHeight="1">
      <c r="A4555" s="2">
        <f>HYPERLINK("https://faoschwarz.com/products/scrabble-vintage-bookshelf-edition", "https://faoschwarz.com/products/scrabble-vintage-bookshelf-edition")</f>
        <v/>
      </c>
      <c r="B4555" s="2">
        <f>HYPERLINK("https://faoschwarz.com/products/scrabble-vintage-bookshelf-edition", "https://faoschwarz.com/products/scrabble-vintage-bookshelf-edition")</f>
        <v/>
      </c>
      <c r="C4555" t="inlineStr">
        <is>
          <t>Scrabble Vintage Bookshelf Edition</t>
        </is>
      </c>
      <c r="D4555" t="inlineStr">
        <is>
          <t>WS Game Company Sorry! Vintage Bookshelf Edition</t>
        </is>
      </c>
      <c r="E4555" s="2">
        <f>HYPERLINK("https://www.amazon.com/WS-Game-Company-Vintage-Bookshelf/dp/B09N21R993/ref=sr_1_5?keywords=Scrabble+Vintage+Bookshelf+Edition&amp;qid=1695565999&amp;sr=8-5", "https://www.amazon.com/WS-Game-Company-Vintage-Bookshelf/dp/B09N21R993/ref=sr_1_5?keywords=Scrabble+Vintage+Bookshelf+Edition&amp;qid=1695565999&amp;sr=8-5")</f>
        <v/>
      </c>
      <c r="F4555" t="inlineStr">
        <is>
          <t>B09N21R993</t>
        </is>
      </c>
      <c r="G4555">
        <f>_xlfn.IMAGE("https://faoschwarz.com/cdn/shop/products/ws-game-company-games-scrabble-vintage-bookshelf-edition-28896789200983_1080x.jpg?v=1655985123")</f>
        <v/>
      </c>
      <c r="H4555">
        <f>_xlfn.IMAGE("https://m.media-amazon.com/images/I/81K6S3Yn+HL._AC_UL320_.jpg")</f>
        <v/>
      </c>
      <c r="K4555" t="inlineStr">
        <is>
          <t>40.0</t>
        </is>
      </c>
      <c r="L4555" t="n">
        <v>35</v>
      </c>
      <c r="M4555" s="1" t="inlineStr">
        <is>
          <t>-12.50%</t>
        </is>
      </c>
      <c r="N4555" t="n">
        <v>4.9</v>
      </c>
      <c r="O4555" t="n">
        <v>184</v>
      </c>
      <c r="Q4555" t="inlineStr">
        <is>
          <t>InStock</t>
        </is>
      </c>
      <c r="R4555" t="inlineStr">
        <is>
          <t>undefined</t>
        </is>
      </c>
      <c r="S4555" t="inlineStr">
        <is>
          <t>6715353170007</t>
        </is>
      </c>
    </row>
    <row r="4556" ht="75" customHeight="1">
      <c r="A4556" s="2">
        <f>HYPERLINK("https://faoschwarz.com/products/scrabble-vintage-bookshelf-edition", "https://faoschwarz.com/products/scrabble-vintage-bookshelf-edition")</f>
        <v/>
      </c>
      <c r="B4556" s="2">
        <f>HYPERLINK("https://faoschwarz.com/products/scrabble-vintage-bookshelf-edition", "https://faoschwarz.com/products/scrabble-vintage-bookshelf-edition")</f>
        <v/>
      </c>
      <c r="C4556" t="inlineStr">
        <is>
          <t>Scrabble Vintage Bookshelf Edition</t>
        </is>
      </c>
      <c r="D4556" t="inlineStr">
        <is>
          <t>Winning Solutions Yahtzee Vintage Bookshelf Edition</t>
        </is>
      </c>
      <c r="E4556" s="2">
        <f>HYPERLINK("https://www.amazon.com/Winning-Solutions-Yahtzee-Linen-Vintage/dp/B075SCWZND/ref=sr_1_4?keywords=Scrabble+Vintage+Bookshelf+Edition&amp;qid=1695565999&amp;sr=8-4", "https://www.amazon.com/Winning-Solutions-Yahtzee-Linen-Vintage/dp/B075SCWZND/ref=sr_1_4?keywords=Scrabble+Vintage+Bookshelf+Edition&amp;qid=1695565999&amp;sr=8-4")</f>
        <v/>
      </c>
      <c r="F4556" t="inlineStr">
        <is>
          <t>B075SCWZND</t>
        </is>
      </c>
      <c r="G4556">
        <f>_xlfn.IMAGE("https://faoschwarz.com/cdn/shop/products/ws-game-company-games-scrabble-vintage-bookshelf-edition-28896789200983_1080x.jpg?v=1655985123")</f>
        <v/>
      </c>
      <c r="H4556">
        <f>_xlfn.IMAGE("https://m.media-amazon.com/images/I/518FvCklg1L._AC_UL320_.jpg")</f>
        <v/>
      </c>
      <c r="K4556" t="inlineStr">
        <is>
          <t>40.0</t>
        </is>
      </c>
      <c r="L4556" t="n">
        <v>35</v>
      </c>
      <c r="M4556" s="1" t="inlineStr">
        <is>
          <t>-12.50%</t>
        </is>
      </c>
      <c r="N4556" t="n">
        <v>4.8</v>
      </c>
      <c r="O4556" t="n">
        <v>585</v>
      </c>
      <c r="Q4556" t="inlineStr">
        <is>
          <t>InStock</t>
        </is>
      </c>
      <c r="R4556" t="inlineStr">
        <is>
          <t>undefined</t>
        </is>
      </c>
      <c r="S4556" t="inlineStr">
        <is>
          <t>6715353170007</t>
        </is>
      </c>
    </row>
    <row r="4557" ht="75" customHeight="1">
      <c r="A4557" s="2">
        <f>HYPERLINK("https://faoschwarz.com/products/seasons-of-new-york-1500-piece-puzzle", "https://faoschwarz.com/products/seasons-of-new-york-1500-piece-puzzle")</f>
        <v/>
      </c>
      <c r="B4557" s="2">
        <f>HYPERLINK("https://faoschwarz.com/products/seasons-of-new-york-1500-piece-puzzle", "https://faoschwarz.com/products/seasons-of-new-york-1500-piece-puzzle")</f>
        <v/>
      </c>
      <c r="C4557" t="inlineStr">
        <is>
          <t>Seasons of New York 1500 Piece Puzzle</t>
        </is>
      </c>
      <c r="D4557" t="inlineStr">
        <is>
          <t>New York Puzzle Company - New Yorker Time Warp - 1500 Piece Jigsaw Puzzle</t>
        </is>
      </c>
      <c r="E4557" s="2">
        <f>HYPERLINK("https://www.amazon.com/New-York-Puzzle-Company-Yorker/dp/B09T4RGGGJ/ref=sr_1_7?keywords=Seasons+of+New+York+1500+Piece+Puzzle&amp;qid=1695566006&amp;sr=8-7", "https://www.amazon.com/New-York-Puzzle-Company-Yorker/dp/B09T4RGGGJ/ref=sr_1_7?keywords=Seasons+of+New+York+1500+Piece+Puzzle&amp;qid=1695566006&amp;sr=8-7")</f>
        <v/>
      </c>
      <c r="F4557" t="inlineStr">
        <is>
          <t>B09T4RGGGJ</t>
        </is>
      </c>
      <c r="G4557">
        <f>_xlfn.IMAGE("https://faoschwarz.com/cdn/shop/files/ravensburger-puzzles-seasons-of-new-york-1500-piece-puzzle-30297392545879_1080x.jpg?v=1685190535")</f>
        <v/>
      </c>
      <c r="H4557">
        <f>_xlfn.IMAGE("https://m.media-amazon.com/images/I/61OlI1gJLAL._AC_UL320_.jpg")</f>
        <v/>
      </c>
      <c r="K4557" t="inlineStr">
        <is>
          <t>34.0</t>
        </is>
      </c>
      <c r="L4557" t="n">
        <v>34</v>
      </c>
      <c r="M4557" s="1" t="inlineStr">
        <is>
          <t>0.00%</t>
        </is>
      </c>
      <c r="N4557" t="n">
        <v>5</v>
      </c>
      <c r="O4557" t="n">
        <v>1</v>
      </c>
      <c r="Q4557" t="inlineStr">
        <is>
          <t>InStock</t>
        </is>
      </c>
      <c r="R4557" t="inlineStr">
        <is>
          <t>undefined</t>
        </is>
      </c>
      <c r="S4557" t="inlineStr">
        <is>
          <t>6877973708887</t>
        </is>
      </c>
    </row>
    <row r="4558" ht="75" customHeight="1">
      <c r="A4558" s="2">
        <f>HYPERLINK("https://faoschwarz.com/products/seasons-of-new-york-1500-piece-puzzle", "https://faoschwarz.com/products/seasons-of-new-york-1500-piece-puzzle")</f>
        <v/>
      </c>
      <c r="B4558" s="2">
        <f>HYPERLINK("https://faoschwarz.com/products/seasons-of-new-york-1500-piece-puzzle", "https://faoschwarz.com/products/seasons-of-new-york-1500-piece-puzzle")</f>
        <v/>
      </c>
      <c r="C4558" t="inlineStr">
        <is>
          <t>Seasons of New York 1500 Piece Puzzle</t>
        </is>
      </c>
      <c r="D4558" t="inlineStr">
        <is>
          <t>Ravensburger 16008 Day and Night New York Skyline 1500 Piece Puzzle for Adults - Every Piece is Unique, Softclick Technology Means Pieces Fit Together Perfectly, Blue</t>
        </is>
      </c>
      <c r="E4558" s="2">
        <f>HYPERLINK("https://www.amazon.com/Ravensburger-16008-Skyline-Puzzle-Adults/dp/B01MFFMH42/ref=sr_1_2?keywords=Seasons+of+New+York+1500+Piece+Puzzle&amp;qid=1695566006&amp;sr=8-2", "https://www.amazon.com/Ravensburger-16008-Skyline-Puzzle-Adults/dp/B01MFFMH42/ref=sr_1_2?keywords=Seasons+of+New+York+1500+Piece+Puzzle&amp;qid=1695566006&amp;sr=8-2")</f>
        <v/>
      </c>
      <c r="F4558" t="inlineStr">
        <is>
          <t>B01MFFMH42</t>
        </is>
      </c>
      <c r="G4558">
        <f>_xlfn.IMAGE("https://faoschwarz.com/cdn/shop/files/ravensburger-puzzles-seasons-of-new-york-1500-piece-puzzle-30297392545879_1080x.jpg?v=1685190535")</f>
        <v/>
      </c>
      <c r="H4558">
        <f>_xlfn.IMAGE("https://m.media-amazon.com/images/I/81rX1BO+LPL._AC_UL320_.jpg")</f>
        <v/>
      </c>
      <c r="K4558" t="inlineStr">
        <is>
          <t>34.0</t>
        </is>
      </c>
      <c r="L4558" t="n">
        <v>21.99</v>
      </c>
      <c r="M4558" s="1" t="inlineStr">
        <is>
          <t>-35.32%</t>
        </is>
      </c>
      <c r="N4558" t="n">
        <v>4.7</v>
      </c>
      <c r="O4558" t="n">
        <v>571</v>
      </c>
      <c r="Q4558" t="inlineStr">
        <is>
          <t>InStock</t>
        </is>
      </c>
      <c r="R4558" t="inlineStr">
        <is>
          <t>undefined</t>
        </is>
      </c>
      <c r="S4558" t="inlineStr">
        <is>
          <t>6877973708887</t>
        </is>
      </c>
    </row>
    <row r="4559" ht="75" customHeight="1">
      <c r="A4559" s="2">
        <f>HYPERLINK("https://faoschwarz.com/products/seasons-of-new-york-1500-piece-puzzle", "https://faoschwarz.com/products/seasons-of-new-york-1500-piece-puzzle")</f>
        <v/>
      </c>
      <c r="B4559" s="2">
        <f>HYPERLINK("https://faoschwarz.com/products/seasons-of-new-york-1500-piece-puzzle", "https://faoschwarz.com/products/seasons-of-new-york-1500-piece-puzzle")</f>
        <v/>
      </c>
      <c r="C4559" t="inlineStr">
        <is>
          <t>Seasons of New York 1500 Piece Puzzle</t>
        </is>
      </c>
      <c r="D4559" t="inlineStr">
        <is>
          <t>Ravensburger 16008 Day and Night New York Skyline 1500 Piece Puzzle for Adults - Every Piece is Unique, Softclick Technology Means Pieces Fit Together Perfectly, Blue</t>
        </is>
      </c>
      <c r="E4559" s="2">
        <f>HYPERLINK("https://www.amazon.com/Ravensburger-16008-Skyline-Puzzle-Adults/dp/B01MFFMH42/ref=sr_1_2?keywords=Seasons+of+New+York+1500+Piece+Puzzle&amp;qid=1695566006&amp;sr=8-2", "https://www.amazon.com/Ravensburger-16008-Skyline-Puzzle-Adults/dp/B01MFFMH42/ref=sr_1_2?keywords=Seasons+of+New+York+1500+Piece+Puzzle&amp;qid=1695566006&amp;sr=8-2")</f>
        <v/>
      </c>
      <c r="F4559" t="inlineStr">
        <is>
          <t>B01MFFMH42</t>
        </is>
      </c>
      <c r="G4559">
        <f>_xlfn.IMAGE("https://faoschwarz.com/cdn/shop/files/ravensburger-puzzles-seasons-of-new-york-1500-piece-puzzle-30297392545879_1080x.jpg?v=1685190535")</f>
        <v/>
      </c>
      <c r="H4559">
        <f>_xlfn.IMAGE("https://m.media-amazon.com/images/I/81rX1BO+LPL._AC_UL320_.jpg")</f>
        <v/>
      </c>
      <c r="K4559" t="inlineStr">
        <is>
          <t>34.0</t>
        </is>
      </c>
      <c r="L4559" t="n">
        <v>21.99</v>
      </c>
      <c r="M4559" s="1" t="inlineStr">
        <is>
          <t>-35.32%</t>
        </is>
      </c>
      <c r="N4559" t="n">
        <v>4.7</v>
      </c>
      <c r="O4559" t="n">
        <v>571</v>
      </c>
      <c r="Q4559" t="inlineStr">
        <is>
          <t>InStock</t>
        </is>
      </c>
      <c r="R4559" t="inlineStr">
        <is>
          <t>undefined</t>
        </is>
      </c>
      <c r="S4559" t="inlineStr">
        <is>
          <t>6877973708887</t>
        </is>
      </c>
    </row>
    <row r="4560" ht="75" customHeight="1">
      <c r="A4560" s="2">
        <f>HYPERLINK("https://faoschwarz.com/products/seinfeld-the-party-game-about-nothing", "https://faoschwarz.com/products/seinfeld-the-party-game-about-nothing")</f>
        <v/>
      </c>
      <c r="B4560" s="2">
        <f>HYPERLINK("https://faoschwarz.com/products/seinfeld-the-party-game-about-nothing", "https://faoschwarz.com/products/seinfeld-the-party-game-about-nothing")</f>
        <v/>
      </c>
      <c r="C4560" t="inlineStr">
        <is>
          <t>Seinfeld: The Party Game About Nothing</t>
        </is>
      </c>
      <c r="D4560" t="inlineStr">
        <is>
          <t>Seinfeld: The Party Game About Nothing</t>
        </is>
      </c>
      <c r="E4560" s="2">
        <f>HYPERLINK("https://www.amazon.com/Funko-Seinfeld-Party-About-Nothing/dp/B08VWR6Q9F/ref=sr_1_1?keywords=Seinfeld%3A+The+Party+Game+About+Nothing&amp;qid=1695565974&amp;sr=8-1", "https://www.amazon.com/Funko-Seinfeld-Party-About-Nothing/dp/B08VWR6Q9F/ref=sr_1_1?keywords=Seinfeld%3A+The+Party+Game+About+Nothing&amp;qid=1695565974&amp;sr=8-1")</f>
        <v/>
      </c>
      <c r="F4560" t="inlineStr">
        <is>
          <t>B08VWR6Q9F</t>
        </is>
      </c>
      <c r="G4560">
        <f>_xlfn.IMAGE("https://faoschwarz.com/cdn/shop/files/funko-world-of-funko-seinfeld-the-party-game-about-nothing-30394580598871_1080x.jpg?v=1693362120")</f>
        <v/>
      </c>
      <c r="H4560">
        <f>_xlfn.IMAGE("https://m.media-amazon.com/images/I/61HGI-ccxuL._AC_UL320_.jpg")</f>
        <v/>
      </c>
      <c r="K4560" t="inlineStr">
        <is>
          <t>23.0</t>
        </is>
      </c>
      <c r="L4560" t="n">
        <v>12.19</v>
      </c>
      <c r="M4560" s="1" t="inlineStr">
        <is>
          <t>-47.00%</t>
        </is>
      </c>
      <c r="N4560" t="n">
        <v>4.6</v>
      </c>
      <c r="O4560" t="n">
        <v>497</v>
      </c>
      <c r="Q4560" t="inlineStr">
        <is>
          <t>InStock</t>
        </is>
      </c>
      <c r="R4560" t="inlineStr">
        <is>
          <t>undefined</t>
        </is>
      </c>
      <c r="S4560" t="inlineStr">
        <is>
          <t>6884920492119</t>
        </is>
      </c>
    </row>
    <row r="4561" ht="75" customHeight="1">
      <c r="A4561" s="2">
        <f>HYPERLINK("https://faoschwarz.com/products/seinfeld-the-party-game-about-nothing", "https://faoschwarz.com/products/seinfeld-the-party-game-about-nothing")</f>
        <v/>
      </c>
      <c r="B4561" s="2">
        <f>HYPERLINK("https://faoschwarz.com/products/seinfeld-the-party-game-about-nothing", "https://faoschwarz.com/products/seinfeld-the-party-game-about-nothing")</f>
        <v/>
      </c>
      <c r="C4561" t="inlineStr">
        <is>
          <t>Seinfeld: The Party Game About Nothing</t>
        </is>
      </c>
      <c r="D4561" t="inlineStr">
        <is>
          <t>Seinfeld: The Party Game About Nothing</t>
        </is>
      </c>
      <c r="E4561" s="2">
        <f>HYPERLINK("https://www.amazon.com/Funko-Seinfeld-Party-About-Nothing/dp/B08VWR6Q9F/ref=sr_1_1?keywords=Seinfeld%3A+The+Party+Game+About+Nothing&amp;qid=1695565974&amp;sr=8-1", "https://www.amazon.com/Funko-Seinfeld-Party-About-Nothing/dp/B08VWR6Q9F/ref=sr_1_1?keywords=Seinfeld%3A+The+Party+Game+About+Nothing&amp;qid=1695565974&amp;sr=8-1")</f>
        <v/>
      </c>
      <c r="F4561" t="inlineStr">
        <is>
          <t>B08VWR6Q9F</t>
        </is>
      </c>
      <c r="G4561">
        <f>_xlfn.IMAGE("https://faoschwarz.com/cdn/shop/files/funko-world-of-funko-seinfeld-the-party-game-about-nothing-30394580598871_1080x.jpg?v=1693362120")</f>
        <v/>
      </c>
      <c r="H4561">
        <f>_xlfn.IMAGE("https://m.media-amazon.com/images/I/61HGI-ccxuL._AC_UL320_.jpg")</f>
        <v/>
      </c>
      <c r="K4561" t="inlineStr">
        <is>
          <t>23.0</t>
        </is>
      </c>
      <c r="L4561" t="n">
        <v>12.19</v>
      </c>
      <c r="M4561" s="1" t="inlineStr">
        <is>
          <t>-47.00%</t>
        </is>
      </c>
      <c r="N4561" t="n">
        <v>4.6</v>
      </c>
      <c r="O4561" t="n">
        <v>497</v>
      </c>
      <c r="Q4561" t="inlineStr">
        <is>
          <t>InStock</t>
        </is>
      </c>
      <c r="R4561" t="inlineStr">
        <is>
          <t>undefined</t>
        </is>
      </c>
      <c r="S4561" t="inlineStr">
        <is>
          <t>6884920492119</t>
        </is>
      </c>
    </row>
    <row r="4562" ht="75" customHeight="1">
      <c r="A4562" s="2">
        <f>HYPERLINK("https://faoschwarz.com/products/sidewalk-chalk-narwhal-horns", "https://faoschwarz.com/products/sidewalk-chalk-narwhal-horns")</f>
        <v/>
      </c>
      <c r="B4562" s="2">
        <f>HYPERLINK("https://faoschwarz.com/products/sidewalk-chalk-narwhal-horns", "https://faoschwarz.com/products/sidewalk-chalk-narwhal-horns")</f>
        <v/>
      </c>
      <c r="C4562" t="inlineStr">
        <is>
          <t>Sidewalk Chalk Narwhal Horns</t>
        </is>
      </c>
      <c r="D4562" t="inlineStr">
        <is>
          <t>Crayola : Unicorn Horns Sidewalk Chalk (Bilingual)</t>
        </is>
      </c>
      <c r="E4562" s="2">
        <f>HYPERLINK("https://www.amazon.com/Crayola-Unicorn-Horns-Sidewalk-Bilingual/dp/B087WVPCVQ/ref=sr_1_5?keywords=Sidewalk+Chalk+Narwhal+Horns&amp;qid=1695565997&amp;sr=8-5", "https://www.amazon.com/Crayola-Unicorn-Horns-Sidewalk-Bilingual/dp/B087WVPCVQ/ref=sr_1_5?keywords=Sidewalk+Chalk+Narwhal+Horns&amp;qid=1695565997&amp;sr=8-5")</f>
        <v/>
      </c>
      <c r="F4562" t="inlineStr">
        <is>
          <t>B087WVPCVQ</t>
        </is>
      </c>
      <c r="G4562">
        <f>_xlfn.IMAGE("https://faoschwarz.com/cdn/shop/products/twee-outdoor-sidewalk-chalk-narwhal-horns-28545559429207_1080x.jpg?v=1656044558")</f>
        <v/>
      </c>
      <c r="H4562">
        <f>_xlfn.IMAGE("https://m.media-amazon.com/images/I/714zs1EWSGL._AC_UL320_.jpg")</f>
        <v/>
      </c>
      <c r="K4562" t="inlineStr">
        <is>
          <t>18.0</t>
        </is>
      </c>
      <c r="L4562" t="n">
        <v>14.99</v>
      </c>
      <c r="M4562" s="1" t="inlineStr">
        <is>
          <t>-16.72%</t>
        </is>
      </c>
      <c r="N4562" t="n">
        <v>4.3</v>
      </c>
      <c r="O4562" t="n">
        <v>8</v>
      </c>
      <c r="Q4562" t="inlineStr">
        <is>
          <t>InStock</t>
        </is>
      </c>
      <c r="R4562" t="inlineStr">
        <is>
          <t>undefined</t>
        </is>
      </c>
      <c r="S4562" t="inlineStr">
        <is>
          <t>6639656337495</t>
        </is>
      </c>
    </row>
    <row r="4563" ht="75" customHeight="1">
      <c r="A4563" s="2">
        <f>HYPERLINK("https://faoschwarz.com/products/sidewalk-chalk-narwhal-horns", "https://faoschwarz.com/products/sidewalk-chalk-narwhal-horns")</f>
        <v/>
      </c>
      <c r="B4563" s="2">
        <f>HYPERLINK("https://faoschwarz.com/products/sidewalk-chalk-narwhal-horns", "https://faoschwarz.com/products/sidewalk-chalk-narwhal-horns")</f>
        <v/>
      </c>
      <c r="C4563" t="inlineStr">
        <is>
          <t>Sidewalk Chalk Narwhal Horns</t>
        </is>
      </c>
      <c r="D4563" t="inlineStr">
        <is>
          <t>3C4G THREE CHEERS FOR GIRLS- Unicorn Rainbow Magic Chalk Set - Sidewalk Chalk for Toddlers &amp; Kids - Washable Outdoor Chalk Set - Includes 5 Chalk Sticks, 2 Chalk Rainbow Cakes &amp; 2 Chalk Unicorn Horns</t>
        </is>
      </c>
      <c r="E4563" s="2">
        <f>HYPERLINK("https://www.amazon.com/3C4G-THREE-CHEERS-Unicorn-Rainbow/dp/B08WGDKMLL/ref=sr_1_6?keywords=Sidewalk+Chalk+Narwhal+Horns&amp;qid=1695565997&amp;sr=8-6", "https://www.amazon.com/3C4G-THREE-CHEERS-Unicorn-Rainbow/dp/B08WGDKMLL/ref=sr_1_6?keywords=Sidewalk+Chalk+Narwhal+Horns&amp;qid=1695565997&amp;sr=8-6")</f>
        <v/>
      </c>
      <c r="F4563" t="inlineStr">
        <is>
          <t>B08WGDKMLL</t>
        </is>
      </c>
      <c r="G4563">
        <f>_xlfn.IMAGE("https://faoschwarz.com/cdn/shop/products/twee-outdoor-sidewalk-chalk-narwhal-horns-28545559429207_1080x.jpg?v=1656044558")</f>
        <v/>
      </c>
      <c r="H4563">
        <f>_xlfn.IMAGE("https://m.media-amazon.com/images/I/81THYv9fqlL._AC_UL320_.jpg")</f>
        <v/>
      </c>
      <c r="K4563" t="inlineStr">
        <is>
          <t>18.0</t>
        </is>
      </c>
      <c r="L4563" t="n">
        <v>12.85</v>
      </c>
      <c r="M4563" s="1" t="inlineStr">
        <is>
          <t>-28.61%</t>
        </is>
      </c>
      <c r="N4563" t="n">
        <v>4.9</v>
      </c>
      <c r="O4563" t="n">
        <v>22</v>
      </c>
      <c r="Q4563" t="inlineStr">
        <is>
          <t>InStock</t>
        </is>
      </c>
      <c r="R4563" t="inlineStr">
        <is>
          <t>undefined</t>
        </is>
      </c>
      <c r="S4563" t="inlineStr">
        <is>
          <t>6639656337495</t>
        </is>
      </c>
    </row>
    <row r="4564" ht="75" customHeight="1">
      <c r="A4564" s="2">
        <f>HYPERLINK("https://faoschwarz.com/products/sidewalk-chalk-narwhal-horns", "https://faoschwarz.com/products/sidewalk-chalk-narwhal-horns")</f>
        <v/>
      </c>
      <c r="B4564" s="2">
        <f>HYPERLINK("https://faoschwarz.com/products/sidewalk-chalk-narwhal-horns", "https://faoschwarz.com/products/sidewalk-chalk-narwhal-horns")</f>
        <v/>
      </c>
      <c r="C4564" t="inlineStr">
        <is>
          <t>Sidewalk Chalk Narwhal Horns</t>
        </is>
      </c>
      <c r="D4564" t="inlineStr">
        <is>
          <t>Crayola : Unicorn Horns Sidewalk Chalk (Bilingual)</t>
        </is>
      </c>
      <c r="E4564" s="2">
        <f>HYPERLINK("https://www.amazon.com/Crayola-Unicorn-Horns-Sidewalk-Bilingual/dp/B087WVPCVQ/ref=sr_1_5?keywords=Sidewalk+Chalk+Narwhal+Horns&amp;qid=1695565997&amp;sr=8-5", "https://www.amazon.com/Crayola-Unicorn-Horns-Sidewalk-Bilingual/dp/B087WVPCVQ/ref=sr_1_5?keywords=Sidewalk+Chalk+Narwhal+Horns&amp;qid=1695565997&amp;sr=8-5")</f>
        <v/>
      </c>
      <c r="F4564" t="inlineStr">
        <is>
          <t>B087WVPCVQ</t>
        </is>
      </c>
      <c r="G4564">
        <f>_xlfn.IMAGE("https://faoschwarz.com/cdn/shop/products/twee-outdoor-sidewalk-chalk-narwhal-horns-28545559429207_1080x.jpg?v=1656044558")</f>
        <v/>
      </c>
      <c r="H4564">
        <f>_xlfn.IMAGE("https://m.media-amazon.com/images/I/714zs1EWSGL._AC_UL320_.jpg")</f>
        <v/>
      </c>
      <c r="K4564" t="inlineStr">
        <is>
          <t>18.0</t>
        </is>
      </c>
      <c r="L4564" t="n">
        <v>14.99</v>
      </c>
      <c r="M4564" s="1" t="inlineStr">
        <is>
          <t>-16.72%</t>
        </is>
      </c>
      <c r="N4564" t="n">
        <v>4.3</v>
      </c>
      <c r="O4564" t="n">
        <v>8</v>
      </c>
      <c r="Q4564" t="inlineStr">
        <is>
          <t>InStock</t>
        </is>
      </c>
      <c r="R4564" t="inlineStr">
        <is>
          <t>undefined</t>
        </is>
      </c>
      <c r="S4564" t="inlineStr">
        <is>
          <t>6639656337495</t>
        </is>
      </c>
    </row>
    <row r="4565" ht="75" customHeight="1">
      <c r="A4565" s="2">
        <f>HYPERLINK("https://faoschwarz.com/products/sidewalk-chalk-narwhal-horns", "https://faoschwarz.com/products/sidewalk-chalk-narwhal-horns")</f>
        <v/>
      </c>
      <c r="B4565" s="2">
        <f>HYPERLINK("https://faoschwarz.com/products/sidewalk-chalk-narwhal-horns", "https://faoschwarz.com/products/sidewalk-chalk-narwhal-horns")</f>
        <v/>
      </c>
      <c r="C4565" t="inlineStr">
        <is>
          <t>Sidewalk Chalk Narwhal Horns</t>
        </is>
      </c>
      <c r="D4565" t="inlineStr">
        <is>
          <t>3C4G THREE CHEERS FOR GIRLS- Unicorn Rainbow Magic Chalk Set - Sidewalk Chalk for Toddlers &amp; Kids - Washable Outdoor Chalk Set - Includes 5 Chalk Sticks, 2 Chalk Rainbow Cakes &amp; 2 Chalk Unicorn Horns</t>
        </is>
      </c>
      <c r="E4565" s="2">
        <f>HYPERLINK("https://www.amazon.com/3C4G-THREE-CHEERS-Unicorn-Rainbow/dp/B08WGDKMLL/ref=sr_1_6?keywords=Sidewalk+Chalk+Narwhal+Horns&amp;qid=1695565997&amp;sr=8-6", "https://www.amazon.com/3C4G-THREE-CHEERS-Unicorn-Rainbow/dp/B08WGDKMLL/ref=sr_1_6?keywords=Sidewalk+Chalk+Narwhal+Horns&amp;qid=1695565997&amp;sr=8-6")</f>
        <v/>
      </c>
      <c r="F4565" t="inlineStr">
        <is>
          <t>B08WGDKMLL</t>
        </is>
      </c>
      <c r="G4565">
        <f>_xlfn.IMAGE("https://faoschwarz.com/cdn/shop/products/twee-outdoor-sidewalk-chalk-narwhal-horns-28545559429207_1080x.jpg?v=1656044558")</f>
        <v/>
      </c>
      <c r="H4565">
        <f>_xlfn.IMAGE("https://m.media-amazon.com/images/I/81THYv9fqlL._AC_UL320_.jpg")</f>
        <v/>
      </c>
      <c r="K4565" t="inlineStr">
        <is>
          <t>18.0</t>
        </is>
      </c>
      <c r="L4565" t="n">
        <v>12.85</v>
      </c>
      <c r="M4565" s="1" t="inlineStr">
        <is>
          <t>-28.61%</t>
        </is>
      </c>
      <c r="N4565" t="n">
        <v>4.9</v>
      </c>
      <c r="O4565" t="n">
        <v>22</v>
      </c>
      <c r="Q4565" t="inlineStr">
        <is>
          <t>InStock</t>
        </is>
      </c>
      <c r="R4565" t="inlineStr">
        <is>
          <t>undefined</t>
        </is>
      </c>
      <c r="S4565" t="inlineStr">
        <is>
          <t>6639656337495</t>
        </is>
      </c>
    </row>
    <row r="4566" ht="75" customHeight="1">
      <c r="A4566" s="2">
        <f>HYPERLINK("https://faoschwarz.com/products/skittles-lawn-bowling", "https://faoschwarz.com/products/skittles-lawn-bowling")</f>
        <v/>
      </c>
      <c r="B4566" s="2">
        <f>HYPERLINK("https://faoschwarz.com/products/skittles-lawn-bowling", "https://faoschwarz.com/products/skittles-lawn-bowling")</f>
        <v/>
      </c>
      <c r="C4566" t="inlineStr">
        <is>
          <t>Skittles - Lawn Bowling</t>
        </is>
      </c>
      <c r="D4566" t="inlineStr">
        <is>
          <t>NI-ROU Outdoor Giant Lawn Bowling Games Rubber Wooden Lawn Set Fun Sports Games Outside or Indoor for Family Adults and Kids Backyard Skittles Carrying Bag with 10 Pins and 2 Balls</t>
        </is>
      </c>
      <c r="E4566" s="2">
        <f>HYPERLINK("https://www.amazon.com/Outdoor-Bowling-Backyard-Skittles-Hardwood/dp/B07X7FB9G2/ref=sr_1_9?keywords=Skittles+-+Lawn+Bowling&amp;qid=1695565974&amp;sr=8-9", "https://www.amazon.com/Outdoor-Bowling-Backyard-Skittles-Hardwood/dp/B07X7FB9G2/ref=sr_1_9?keywords=Skittles+-+Lawn+Bowling&amp;qid=1695565974&amp;sr=8-9")</f>
        <v/>
      </c>
      <c r="F4566" t="inlineStr">
        <is>
          <t>B07X7FB9G2</t>
        </is>
      </c>
      <c r="G4566">
        <f>_xlfn.IMAGE("https://faoschwarz.com/cdn/shop/products/lucio-londero-games-skittles-lawn-bowling-28473410912343_1080x.jpg?v=1656064416")</f>
        <v/>
      </c>
      <c r="H4566">
        <f>_xlfn.IMAGE("https://m.media-amazon.com/images/I/717IuWTWJDL._AC_UL320_.jpg")</f>
        <v/>
      </c>
      <c r="K4566" t="inlineStr">
        <is>
          <t>115.0</t>
        </is>
      </c>
      <c r="L4566" t="n">
        <v>79.98999999999999</v>
      </c>
      <c r="M4566" s="1" t="inlineStr">
        <is>
          <t>-30.44%</t>
        </is>
      </c>
      <c r="N4566" t="n">
        <v>4.2</v>
      </c>
      <c r="O4566" t="n">
        <v>234</v>
      </c>
      <c r="Q4566" t="inlineStr">
        <is>
          <t>InStock</t>
        </is>
      </c>
      <c r="R4566" t="inlineStr">
        <is>
          <t>undefined</t>
        </is>
      </c>
      <c r="S4566" t="inlineStr">
        <is>
          <t>6620750544983</t>
        </is>
      </c>
    </row>
    <row r="4567" ht="75" customHeight="1">
      <c r="A4567" s="2">
        <f>HYPERLINK("https://faoschwarz.com/products/skittles-lawn-bowling", "https://faoschwarz.com/products/skittles-lawn-bowling")</f>
        <v/>
      </c>
      <c r="B4567" s="2">
        <f>HYPERLINK("https://faoschwarz.com/products/skittles-lawn-bowling", "https://faoschwarz.com/products/skittles-lawn-bowling")</f>
        <v/>
      </c>
      <c r="C4567" t="inlineStr">
        <is>
          <t>Skittles - Lawn Bowling</t>
        </is>
      </c>
      <c r="D4567" t="inlineStr">
        <is>
          <t>STERLING Sports Premium Wooden Lawn Bowling Skittles Set 11" Pins with Carrying Mesh Bag - 10 Heavy Solid Wooden Pins and 2 Balls - for Indoors and Outdoors</t>
        </is>
      </c>
      <c r="E4567" s="2">
        <f>HYPERLINK("https://www.amazon.com/Sterling-Sports-Deluxe-Lawn-Bowling/dp/B00JS64R8S/ref=sr_1_7?keywords=Skittles+-+Lawn+Bowling&amp;qid=1695565974&amp;sr=8-7", "https://www.amazon.com/Sterling-Sports-Deluxe-Lawn-Bowling/dp/B00JS64R8S/ref=sr_1_7?keywords=Skittles+-+Lawn+Bowling&amp;qid=1695565974&amp;sr=8-7")</f>
        <v/>
      </c>
      <c r="F4567" t="inlineStr">
        <is>
          <t>B00JS64R8S</t>
        </is>
      </c>
      <c r="G4567">
        <f>_xlfn.IMAGE("https://faoschwarz.com/cdn/shop/products/lucio-londero-games-skittles-lawn-bowling-28473410912343_1080x.jpg?v=1656064416")</f>
        <v/>
      </c>
      <c r="H4567">
        <f>_xlfn.IMAGE("https://m.media-amazon.com/images/I/71SBo0rvOpL._AC_UL320_.jpg")</f>
        <v/>
      </c>
      <c r="K4567" t="inlineStr">
        <is>
          <t>115.0</t>
        </is>
      </c>
      <c r="L4567" t="n">
        <v>69.98999999999999</v>
      </c>
      <c r="M4567" s="1" t="inlineStr">
        <is>
          <t>-39.14%</t>
        </is>
      </c>
      <c r="N4567" t="n">
        <v>4.6</v>
      </c>
      <c r="O4567" t="n">
        <v>53</v>
      </c>
      <c r="Q4567" t="inlineStr">
        <is>
          <t>InStock</t>
        </is>
      </c>
      <c r="R4567" t="inlineStr">
        <is>
          <t>undefined</t>
        </is>
      </c>
      <c r="S4567" t="inlineStr">
        <is>
          <t>6620750544983</t>
        </is>
      </c>
    </row>
    <row r="4568" ht="75" customHeight="1">
      <c r="A4568" s="2">
        <f>HYPERLINK("https://faoschwarz.com/products/skittles-lawn-bowling", "https://faoschwarz.com/products/skittles-lawn-bowling")</f>
        <v/>
      </c>
      <c r="B4568" s="2">
        <f>HYPERLINK("https://faoschwarz.com/products/skittles-lawn-bowling", "https://faoschwarz.com/products/skittles-lawn-bowling")</f>
        <v/>
      </c>
      <c r="C4568" t="inlineStr">
        <is>
          <t>Skittles - Lawn Bowling</t>
        </is>
      </c>
      <c r="D4568" t="inlineStr">
        <is>
          <t>Lawn Bowling Game/Skittle Ball- Indoor and Outdoor Fun for Toddlers, Kids, Adults –10 Wooden Pins, 2 Balls, and Mesh Bag Set by Hey! Play! (11 Inch)</t>
        </is>
      </c>
      <c r="E4568" s="2">
        <f>HYPERLINK("https://www.amazon.com/Bowling-Skittle-Toddlers-Hey-Play/dp/B01ACYSSL6/ref=sr_1_6?keywords=Skittles+-+Lawn+Bowling&amp;qid=1695565974&amp;sr=8-6", "https://www.amazon.com/Bowling-Skittle-Toddlers-Hey-Play/dp/B01ACYSSL6/ref=sr_1_6?keywords=Skittles+-+Lawn+Bowling&amp;qid=1695565974&amp;sr=8-6")</f>
        <v/>
      </c>
      <c r="F4568" t="inlineStr">
        <is>
          <t>B01ACYSSL6</t>
        </is>
      </c>
      <c r="G4568">
        <f>_xlfn.IMAGE("https://faoschwarz.com/cdn/shop/products/lucio-londero-games-skittles-lawn-bowling-28473410912343_1080x.jpg?v=1656064416")</f>
        <v/>
      </c>
      <c r="H4568">
        <f>_xlfn.IMAGE("https://m.media-amazon.com/images/I/71jV3oJo-zL._AC_UL320_.jpg")</f>
        <v/>
      </c>
      <c r="K4568" t="inlineStr">
        <is>
          <t>115.0</t>
        </is>
      </c>
      <c r="L4568" t="n">
        <v>50.63</v>
      </c>
      <c r="M4568" s="1" t="inlineStr">
        <is>
          <t>-55.97%</t>
        </is>
      </c>
      <c r="N4568" t="n">
        <v>4</v>
      </c>
      <c r="O4568" t="n">
        <v>180</v>
      </c>
      <c r="Q4568" t="inlineStr">
        <is>
          <t>InStock</t>
        </is>
      </c>
      <c r="R4568" t="inlineStr">
        <is>
          <t>undefined</t>
        </is>
      </c>
      <c r="S4568" t="inlineStr">
        <is>
          <t>6620750544983</t>
        </is>
      </c>
    </row>
    <row r="4569" ht="75" customHeight="1">
      <c r="A4569" s="2">
        <f>HYPERLINK("https://faoschwarz.com/products/skittles-lawn-bowling", "https://faoschwarz.com/products/skittles-lawn-bowling")</f>
        <v/>
      </c>
      <c r="B4569" s="2">
        <f>HYPERLINK("https://faoschwarz.com/products/skittles-lawn-bowling", "https://faoschwarz.com/products/skittles-lawn-bowling")</f>
        <v/>
      </c>
      <c r="C4569" t="inlineStr">
        <is>
          <t>Skittles - Lawn Bowling</t>
        </is>
      </c>
      <c r="D4569" t="inlineStr">
        <is>
          <t>Get Out! Wooden Bowling Set - 12pc Lawn Bowling and Skittle Ball Games for Children and Adult Fun</t>
        </is>
      </c>
      <c r="E4569" s="2">
        <f>HYPERLINK("https://www.amazon.com/Get-Out-Wooden-Bowling-Set/dp/B09TD9HLYY/ref=sr_1_3?keywords=Skittles+-+Lawn+Bowling&amp;qid=1695565974&amp;sr=8-3", "https://www.amazon.com/Get-Out-Wooden-Bowling-Set/dp/B09TD9HLYY/ref=sr_1_3?keywords=Skittles+-+Lawn+Bowling&amp;qid=1695565974&amp;sr=8-3")</f>
        <v/>
      </c>
      <c r="F4569" t="inlineStr">
        <is>
          <t>B09TD9HLYY</t>
        </is>
      </c>
      <c r="G4569">
        <f>_xlfn.IMAGE("https://faoschwarz.com/cdn/shop/products/lucio-londero-games-skittles-lawn-bowling-28473410912343_1080x.jpg?v=1656064416")</f>
        <v/>
      </c>
      <c r="H4569">
        <f>_xlfn.IMAGE("https://m.media-amazon.com/images/I/81PA8yH7y+L._AC_UL320_.jpg")</f>
        <v/>
      </c>
      <c r="K4569" t="inlineStr">
        <is>
          <t>115.0</t>
        </is>
      </c>
      <c r="L4569" t="n">
        <v>45.99</v>
      </c>
      <c r="M4569" s="1" t="inlineStr">
        <is>
          <t>-60.01%</t>
        </is>
      </c>
      <c r="N4569" t="n">
        <v>4.4</v>
      </c>
      <c r="O4569" t="n">
        <v>67</v>
      </c>
      <c r="Q4569" t="inlineStr">
        <is>
          <t>InStock</t>
        </is>
      </c>
      <c r="R4569" t="inlineStr">
        <is>
          <t>undefined</t>
        </is>
      </c>
      <c r="S4569" t="inlineStr">
        <is>
          <t>6620750544983</t>
        </is>
      </c>
    </row>
    <row r="4570" ht="75" customHeight="1">
      <c r="A4570" s="2">
        <f>HYPERLINK("https://faoschwarz.com/products/skittles-lawn-bowling", "https://faoschwarz.com/products/skittles-lawn-bowling")</f>
        <v/>
      </c>
      <c r="B4570" s="2">
        <f>HYPERLINK("https://faoschwarz.com/products/skittles-lawn-bowling", "https://faoschwarz.com/products/skittles-lawn-bowling")</f>
        <v/>
      </c>
      <c r="C4570" t="inlineStr">
        <is>
          <t>Skittles - Lawn Bowling</t>
        </is>
      </c>
      <c r="D4570" t="inlineStr">
        <is>
          <t>Lawn Bowling Game/Skittle Ball- Indoor and Outdoor Fun for Toddlers, Kids, Adults –10 Wooden Pins, 2 Balls, and Mesh Bag Set by Hey! Play! (9.5 Inch)</t>
        </is>
      </c>
      <c r="E4570" s="2">
        <f>HYPERLINK("https://www.amazon.com/Bowling-Skittle-Toddlers-Hey-Play/dp/B071HDGGZK/ref=sr_1_2?keywords=Skittles+-+Lawn+Bowling&amp;qid=1695565974&amp;sr=8-2", "https://www.amazon.com/Bowling-Skittle-Toddlers-Hey-Play/dp/B071HDGGZK/ref=sr_1_2?keywords=Skittles+-+Lawn+Bowling&amp;qid=1695565974&amp;sr=8-2")</f>
        <v/>
      </c>
      <c r="F4570" t="inlineStr">
        <is>
          <t>B071HDGGZK</t>
        </is>
      </c>
      <c r="G4570">
        <f>_xlfn.IMAGE("https://faoschwarz.com/cdn/shop/products/lucio-londero-games-skittles-lawn-bowling-28473410912343_1080x.jpg?v=1656064416")</f>
        <v/>
      </c>
      <c r="H4570">
        <f>_xlfn.IMAGE("https://m.media-amazon.com/images/I/51+BKPzirPL._AC_UL320_.jpg")</f>
        <v/>
      </c>
      <c r="K4570" t="inlineStr">
        <is>
          <t>115.0</t>
        </is>
      </c>
      <c r="L4570" t="n">
        <v>43.86</v>
      </c>
      <c r="M4570" s="1" t="inlineStr">
        <is>
          <t>-61.86%</t>
        </is>
      </c>
      <c r="N4570" t="n">
        <v>4.3</v>
      </c>
      <c r="O4570" t="n">
        <v>286</v>
      </c>
      <c r="Q4570" t="inlineStr">
        <is>
          <t>InStock</t>
        </is>
      </c>
      <c r="R4570" t="inlineStr">
        <is>
          <t>undefined</t>
        </is>
      </c>
      <c r="S4570" t="inlineStr">
        <is>
          <t>6620750544983</t>
        </is>
      </c>
    </row>
    <row r="4571" ht="75" customHeight="1">
      <c r="A4571" s="2">
        <f>HYPERLINK("https://faoschwarz.com/products/skittles-lawn-bowling", "https://faoschwarz.com/products/skittles-lawn-bowling")</f>
        <v/>
      </c>
      <c r="B4571" s="2">
        <f>HYPERLINK("https://faoschwarz.com/products/skittles-lawn-bowling", "https://faoschwarz.com/products/skittles-lawn-bowling")</f>
        <v/>
      </c>
      <c r="C4571" t="inlineStr">
        <is>
          <t>Skittles - Lawn Bowling</t>
        </is>
      </c>
      <c r="D4571" t="inlineStr">
        <is>
          <t>Sterling Sports Wooden Lawn Bowling 9" Skittles Set with Carrying Mesh Bag for Indoors and Outdoors - 10 Wooden Pins and 2 Balls, Green/Turquoise and Gray</t>
        </is>
      </c>
      <c r="E4571" s="2">
        <f>HYPERLINK("https://www.amazon.com/STERLING-Wooden-Lawn-Bowling-Orange/dp/B008PBIWFG/ref=sr_1_1?keywords=Skittles+-+Lawn+Bowling&amp;qid=1695565974&amp;sr=8-1", "https://www.amazon.com/STERLING-Wooden-Lawn-Bowling-Orange/dp/B008PBIWFG/ref=sr_1_1?keywords=Skittles+-+Lawn+Bowling&amp;qid=1695565974&amp;sr=8-1")</f>
        <v/>
      </c>
      <c r="F4571" t="inlineStr">
        <is>
          <t>B008PBIWFG</t>
        </is>
      </c>
      <c r="G4571">
        <f>_xlfn.IMAGE("https://faoschwarz.com/cdn/shop/products/lucio-londero-games-skittles-lawn-bowling-28473410912343_1080x.jpg?v=1656064416")</f>
        <v/>
      </c>
      <c r="H4571">
        <f>_xlfn.IMAGE("https://m.media-amazon.com/images/I/61AKGMIXhML._AC_UL320_.jpg")</f>
        <v/>
      </c>
      <c r="K4571" t="inlineStr">
        <is>
          <t>115.0</t>
        </is>
      </c>
      <c r="L4571" t="n">
        <v>39.99</v>
      </c>
      <c r="M4571" s="1" t="inlineStr">
        <is>
          <t>-65.23%</t>
        </is>
      </c>
      <c r="N4571" t="n">
        <v>4</v>
      </c>
      <c r="O4571" t="n">
        <v>99</v>
      </c>
      <c r="Q4571" t="inlineStr">
        <is>
          <t>InStock</t>
        </is>
      </c>
      <c r="R4571" t="inlineStr">
        <is>
          <t>undefined</t>
        </is>
      </c>
      <c r="S4571" t="inlineStr">
        <is>
          <t>6620750544983</t>
        </is>
      </c>
    </row>
    <row r="4572" ht="75" customHeight="1">
      <c r="A4572" s="2">
        <f>HYPERLINK("https://faoschwarz.com/products/skittles-lawn-bowling", "https://faoschwarz.com/products/skittles-lawn-bowling")</f>
        <v/>
      </c>
      <c r="B4572" s="2">
        <f>HYPERLINK("https://faoschwarz.com/products/skittles-lawn-bowling", "https://faoschwarz.com/products/skittles-lawn-bowling")</f>
        <v/>
      </c>
      <c r="C4572" t="inlineStr">
        <is>
          <t>Skittles - Lawn Bowling</t>
        </is>
      </c>
      <c r="D4572" t="inlineStr">
        <is>
          <t>Lawn Bowling Game/Skittle Ball- Indoor and Outdoor Fun for Toddlers, Kids, Adults –10 Wooden Pins, 2 Balls, and Mesh Bag Set by Hey! Play! (8 Inch), Navy - 8"</t>
        </is>
      </c>
      <c r="E4572" s="2">
        <f>HYPERLINK("https://www.amazon.com/Bowling-Skittle-Toddlers-Hey-Play/dp/B072L5DBNS/ref=sr_1_4?keywords=Skittles+-+Lawn+Bowling&amp;qid=1695565974&amp;sr=8-4", "https://www.amazon.com/Bowling-Skittle-Toddlers-Hey-Play/dp/B072L5DBNS/ref=sr_1_4?keywords=Skittles+-+Lawn+Bowling&amp;qid=1695565974&amp;sr=8-4")</f>
        <v/>
      </c>
      <c r="F4572" t="inlineStr">
        <is>
          <t>B072L5DBNS</t>
        </is>
      </c>
      <c r="G4572">
        <f>_xlfn.IMAGE("https://faoschwarz.com/cdn/shop/products/lucio-londero-games-skittles-lawn-bowling-28473410912343_1080x.jpg?v=1656064416")</f>
        <v/>
      </c>
      <c r="H4572">
        <f>_xlfn.IMAGE("https://m.media-amazon.com/images/I/51nLockYmQL._AC_UL320_.jpg")</f>
        <v/>
      </c>
      <c r="K4572" t="inlineStr">
        <is>
          <t>115.0</t>
        </is>
      </c>
      <c r="L4572" t="n">
        <v>29</v>
      </c>
      <c r="M4572" s="1" t="inlineStr">
        <is>
          <t>-74.78%</t>
        </is>
      </c>
      <c r="N4572" t="n">
        <v>3.7</v>
      </c>
      <c r="O4572" t="n">
        <v>3172</v>
      </c>
      <c r="Q4572" t="inlineStr">
        <is>
          <t>InStock</t>
        </is>
      </c>
      <c r="R4572" t="inlineStr">
        <is>
          <t>undefined</t>
        </is>
      </c>
      <c r="S4572" t="inlineStr">
        <is>
          <t>6620750544983</t>
        </is>
      </c>
    </row>
    <row r="4573" ht="75" customHeight="1">
      <c r="A4573" s="2">
        <f>HYPERLINK("https://faoschwarz.com/products/skittles-lawn-bowling", "https://faoschwarz.com/products/skittles-lawn-bowling")</f>
        <v/>
      </c>
      <c r="B4573" s="2">
        <f>HYPERLINK("https://faoschwarz.com/products/skittles-lawn-bowling", "https://faoschwarz.com/products/skittles-lawn-bowling")</f>
        <v/>
      </c>
      <c r="C4573" t="inlineStr">
        <is>
          <t>Skittles - Lawn Bowling</t>
        </is>
      </c>
      <c r="D4573" t="inlineStr">
        <is>
          <t>Hey!Play! Lawn Bowling Game/Skittle Ball- Indoor/Outdoor Fun for Kids, Adults -10 Wooden Pins, 2 Balls &amp; Mesh Bag Set</t>
        </is>
      </c>
      <c r="E4573" s="2">
        <f>HYPERLINK("https://www.amazon.com/Hey-Play-Coca-Cola-Bowling-Toddlers/dp/B07BR2G8PD/ref=sr_1_10?keywords=Skittles+-+Lawn+Bowling&amp;qid=1695565974&amp;sr=8-10", "https://www.amazon.com/Hey-Play-Coca-Cola-Bowling-Toddlers/dp/B07BR2G8PD/ref=sr_1_10?keywords=Skittles+-+Lawn+Bowling&amp;qid=1695565974&amp;sr=8-10")</f>
        <v/>
      </c>
      <c r="F4573" t="inlineStr">
        <is>
          <t>B07BR2G8PD</t>
        </is>
      </c>
      <c r="G4573">
        <f>_xlfn.IMAGE("https://faoschwarz.com/cdn/shop/products/lucio-londero-games-skittles-lawn-bowling-28473410912343_1080x.jpg?v=1656064416")</f>
        <v/>
      </c>
      <c r="H4573">
        <f>_xlfn.IMAGE("https://m.media-amazon.com/images/I/817rG9f3E3L._AC_UL320_.jpg")</f>
        <v/>
      </c>
      <c r="K4573" t="inlineStr">
        <is>
          <t>115.0</t>
        </is>
      </c>
      <c r="L4573" t="n">
        <v>28</v>
      </c>
      <c r="M4573" s="1" t="inlineStr">
        <is>
          <t>-75.65%</t>
        </is>
      </c>
      <c r="N4573" t="n">
        <v>4</v>
      </c>
      <c r="O4573" t="n">
        <v>105</v>
      </c>
      <c r="Q4573" t="inlineStr">
        <is>
          <t>InStock</t>
        </is>
      </c>
      <c r="R4573" t="inlineStr">
        <is>
          <t>undefined</t>
        </is>
      </c>
      <c r="S4573" t="inlineStr">
        <is>
          <t>6620750544983</t>
        </is>
      </c>
    </row>
    <row r="4574" ht="75" customHeight="1">
      <c r="A4574" s="2">
        <f>HYPERLINK("https://faoschwarz.com/products/skittles-lawn-bowling", "https://faoschwarz.com/products/skittles-lawn-bowling")</f>
        <v/>
      </c>
      <c r="B4574" s="2">
        <f>HYPERLINK("https://faoschwarz.com/products/skittles-lawn-bowling", "https://faoschwarz.com/products/skittles-lawn-bowling")</f>
        <v/>
      </c>
      <c r="C4574" t="inlineStr">
        <is>
          <t>Skittles - Lawn Bowling</t>
        </is>
      </c>
      <c r="D4574" t="inlineStr">
        <is>
          <t>Wooden Bowling Game, Lawn Bowling Game/Skittle Ball, Colorful Design, Indoor and Outdoor Fun for Toddlers, Children, Adults Wooden Skittle Set Toys</t>
        </is>
      </c>
      <c r="E4574" s="2">
        <f>HYPERLINK("https://www.amazon.com/Bowling-Skittle-Colorful-Toddlers-Children/dp/B0BL3KSP1X/ref=sr_1_5?keywords=Skittles+-+Lawn+Bowling&amp;qid=1695565974&amp;sr=8-5", "https://www.amazon.com/Bowling-Skittle-Colorful-Toddlers-Children/dp/B0BL3KSP1X/ref=sr_1_5?keywords=Skittles+-+Lawn+Bowling&amp;qid=1695565974&amp;sr=8-5")</f>
        <v/>
      </c>
      <c r="F4574" t="inlineStr">
        <is>
          <t>B0BL3KSP1X</t>
        </is>
      </c>
      <c r="G4574">
        <f>_xlfn.IMAGE("https://faoschwarz.com/cdn/shop/products/lucio-londero-games-skittles-lawn-bowling-28473410912343_1080x.jpg?v=1656064416")</f>
        <v/>
      </c>
      <c r="H4574">
        <f>_xlfn.IMAGE("https://m.media-amazon.com/images/I/615nWeWJVIL._AC_UL320_.jpg")</f>
        <v/>
      </c>
      <c r="K4574" t="inlineStr">
        <is>
          <t>115.0</t>
        </is>
      </c>
      <c r="L4574" t="n">
        <v>25.89</v>
      </c>
      <c r="M4574" s="1" t="inlineStr">
        <is>
          <t>-77.49%</t>
        </is>
      </c>
      <c r="N4574" t="n">
        <v>3.5</v>
      </c>
      <c r="O4574" t="n">
        <v>2</v>
      </c>
      <c r="Q4574" t="inlineStr">
        <is>
          <t>InStock</t>
        </is>
      </c>
      <c r="R4574" t="inlineStr">
        <is>
          <t>undefined</t>
        </is>
      </c>
      <c r="S4574" t="inlineStr">
        <is>
          <t>6620750544983</t>
        </is>
      </c>
    </row>
    <row r="4575" ht="75" customHeight="1">
      <c r="A4575" s="2">
        <f>HYPERLINK("https://faoschwarz.com/products/skittles-lawn-bowling", "https://faoschwarz.com/products/skittles-lawn-bowling")</f>
        <v/>
      </c>
      <c r="B4575" s="2">
        <f>HYPERLINK("https://faoschwarz.com/products/skittles-lawn-bowling", "https://faoschwarz.com/products/skittles-lawn-bowling")</f>
        <v/>
      </c>
      <c r="C4575" t="inlineStr">
        <is>
          <t>Skittles - Lawn Bowling</t>
        </is>
      </c>
      <c r="D4575" t="inlineStr">
        <is>
          <t>NI-ROU Outdoor Giant Lawn Bowling Games Rubber Wooden Lawn Set Fun Sports Games Outside or Indoor for Family Adults and Kids Backyard Skittles Carrying Bag with 10 Pins and 2 Balls</t>
        </is>
      </c>
      <c r="E4575" s="2">
        <f>HYPERLINK("https://www.amazon.com/Outdoor-Bowling-Backyard-Skittles-Hardwood/dp/B07X7FB9G2/ref=sr_1_9?keywords=Skittles+-+Lawn+Bowling&amp;qid=1695565974&amp;sr=8-9", "https://www.amazon.com/Outdoor-Bowling-Backyard-Skittles-Hardwood/dp/B07X7FB9G2/ref=sr_1_9?keywords=Skittles+-+Lawn+Bowling&amp;qid=1695565974&amp;sr=8-9")</f>
        <v/>
      </c>
      <c r="F4575" t="inlineStr">
        <is>
          <t>B07X7FB9G2</t>
        </is>
      </c>
      <c r="G4575">
        <f>_xlfn.IMAGE("https://faoschwarz.com/cdn/shop/products/lucio-londero-games-skittles-lawn-bowling-28473410912343_1080x.jpg?v=1656064416")</f>
        <v/>
      </c>
      <c r="H4575">
        <f>_xlfn.IMAGE("https://m.media-amazon.com/images/I/717IuWTWJDL._AC_UL320_.jpg")</f>
        <v/>
      </c>
      <c r="K4575" t="inlineStr">
        <is>
          <t>115.0</t>
        </is>
      </c>
      <c r="L4575" t="n">
        <v>79.98999999999999</v>
      </c>
      <c r="M4575" s="1" t="inlineStr">
        <is>
          <t>-30.44%</t>
        </is>
      </c>
      <c r="N4575" t="n">
        <v>4.2</v>
      </c>
      <c r="O4575" t="n">
        <v>234</v>
      </c>
      <c r="Q4575" t="inlineStr">
        <is>
          <t>InStock</t>
        </is>
      </c>
      <c r="R4575" t="inlineStr">
        <is>
          <t>undefined</t>
        </is>
      </c>
      <c r="S4575" t="inlineStr">
        <is>
          <t>6620750544983</t>
        </is>
      </c>
    </row>
    <row r="4576" ht="75" customHeight="1">
      <c r="A4576" s="2">
        <f>HYPERLINK("https://faoschwarz.com/products/skittles-lawn-bowling", "https://faoschwarz.com/products/skittles-lawn-bowling")</f>
        <v/>
      </c>
      <c r="B4576" s="2">
        <f>HYPERLINK("https://faoschwarz.com/products/skittles-lawn-bowling", "https://faoschwarz.com/products/skittles-lawn-bowling")</f>
        <v/>
      </c>
      <c r="C4576" t="inlineStr">
        <is>
          <t>Skittles - Lawn Bowling</t>
        </is>
      </c>
      <c r="D4576" t="inlineStr">
        <is>
          <t>STERLING Sports Premium Wooden Lawn Bowling Skittles Set 11" Pins with Carrying Mesh Bag - 10 Heavy Solid Wooden Pins and 2 Balls - for Indoors and Outdoors</t>
        </is>
      </c>
      <c r="E4576" s="2">
        <f>HYPERLINK("https://www.amazon.com/Sterling-Sports-Deluxe-Lawn-Bowling/dp/B00JS64R8S/ref=sr_1_7?keywords=Skittles+-+Lawn+Bowling&amp;qid=1695565974&amp;sr=8-7", "https://www.amazon.com/Sterling-Sports-Deluxe-Lawn-Bowling/dp/B00JS64R8S/ref=sr_1_7?keywords=Skittles+-+Lawn+Bowling&amp;qid=1695565974&amp;sr=8-7")</f>
        <v/>
      </c>
      <c r="F4576" t="inlineStr">
        <is>
          <t>B00JS64R8S</t>
        </is>
      </c>
      <c r="G4576">
        <f>_xlfn.IMAGE("https://faoschwarz.com/cdn/shop/products/lucio-londero-games-skittles-lawn-bowling-28473410912343_1080x.jpg?v=1656064416")</f>
        <v/>
      </c>
      <c r="H4576">
        <f>_xlfn.IMAGE("https://m.media-amazon.com/images/I/71SBo0rvOpL._AC_UL320_.jpg")</f>
        <v/>
      </c>
      <c r="K4576" t="inlineStr">
        <is>
          <t>115.0</t>
        </is>
      </c>
      <c r="L4576" t="n">
        <v>69.98999999999999</v>
      </c>
      <c r="M4576" s="1" t="inlineStr">
        <is>
          <t>-39.14%</t>
        </is>
      </c>
      <c r="N4576" t="n">
        <v>4.6</v>
      </c>
      <c r="O4576" t="n">
        <v>53</v>
      </c>
      <c r="Q4576" t="inlineStr">
        <is>
          <t>InStock</t>
        </is>
      </c>
      <c r="R4576" t="inlineStr">
        <is>
          <t>undefined</t>
        </is>
      </c>
      <c r="S4576" t="inlineStr">
        <is>
          <t>6620750544983</t>
        </is>
      </c>
    </row>
    <row r="4577" ht="75" customHeight="1">
      <c r="A4577" s="2">
        <f>HYPERLINK("https://faoschwarz.com/products/skittles-lawn-bowling", "https://faoschwarz.com/products/skittles-lawn-bowling")</f>
        <v/>
      </c>
      <c r="B4577" s="2">
        <f>HYPERLINK("https://faoschwarz.com/products/skittles-lawn-bowling", "https://faoschwarz.com/products/skittles-lawn-bowling")</f>
        <v/>
      </c>
      <c r="C4577" t="inlineStr">
        <is>
          <t>Skittles - Lawn Bowling</t>
        </is>
      </c>
      <c r="D4577" t="inlineStr">
        <is>
          <t>Lawn Bowling Game/Skittle Ball- Indoor and Outdoor Fun for Toddlers, Kids, Adults –10 Wooden Pins, 2 Balls, and Mesh Bag Set by Hey! Play! (11 Inch)</t>
        </is>
      </c>
      <c r="E4577" s="2">
        <f>HYPERLINK("https://www.amazon.com/Bowling-Skittle-Toddlers-Hey-Play/dp/B01ACYSSL6/ref=sr_1_6?keywords=Skittles+-+Lawn+Bowling&amp;qid=1695565974&amp;sr=8-6", "https://www.amazon.com/Bowling-Skittle-Toddlers-Hey-Play/dp/B01ACYSSL6/ref=sr_1_6?keywords=Skittles+-+Lawn+Bowling&amp;qid=1695565974&amp;sr=8-6")</f>
        <v/>
      </c>
      <c r="F4577" t="inlineStr">
        <is>
          <t>B01ACYSSL6</t>
        </is>
      </c>
      <c r="G4577">
        <f>_xlfn.IMAGE("https://faoschwarz.com/cdn/shop/products/lucio-londero-games-skittles-lawn-bowling-28473410912343_1080x.jpg?v=1656064416")</f>
        <v/>
      </c>
      <c r="H4577">
        <f>_xlfn.IMAGE("https://m.media-amazon.com/images/I/71jV3oJo-zL._AC_UL320_.jpg")</f>
        <v/>
      </c>
      <c r="K4577" t="inlineStr">
        <is>
          <t>115.0</t>
        </is>
      </c>
      <c r="L4577" t="n">
        <v>50.63</v>
      </c>
      <c r="M4577" s="1" t="inlineStr">
        <is>
          <t>-55.97%</t>
        </is>
      </c>
      <c r="N4577" t="n">
        <v>4</v>
      </c>
      <c r="O4577" t="n">
        <v>180</v>
      </c>
      <c r="Q4577" t="inlineStr">
        <is>
          <t>InStock</t>
        </is>
      </c>
      <c r="R4577" t="inlineStr">
        <is>
          <t>undefined</t>
        </is>
      </c>
      <c r="S4577" t="inlineStr">
        <is>
          <t>6620750544983</t>
        </is>
      </c>
    </row>
    <row r="4578" ht="75" customHeight="1">
      <c r="A4578" s="2">
        <f>HYPERLINK("https://faoschwarz.com/products/skittles-lawn-bowling", "https://faoschwarz.com/products/skittles-lawn-bowling")</f>
        <v/>
      </c>
      <c r="B4578" s="2">
        <f>HYPERLINK("https://faoschwarz.com/products/skittles-lawn-bowling", "https://faoschwarz.com/products/skittles-lawn-bowling")</f>
        <v/>
      </c>
      <c r="C4578" t="inlineStr">
        <is>
          <t>Skittles - Lawn Bowling</t>
        </is>
      </c>
      <c r="D4578" t="inlineStr">
        <is>
          <t>Get Out! Wooden Bowling Set - 12pc Lawn Bowling and Skittle Ball Games for Children and Adult Fun</t>
        </is>
      </c>
      <c r="E4578" s="2">
        <f>HYPERLINK("https://www.amazon.com/Get-Out-Wooden-Bowling-Set/dp/B09TD9HLYY/ref=sr_1_3?keywords=Skittles+-+Lawn+Bowling&amp;qid=1695565974&amp;sr=8-3", "https://www.amazon.com/Get-Out-Wooden-Bowling-Set/dp/B09TD9HLYY/ref=sr_1_3?keywords=Skittles+-+Lawn+Bowling&amp;qid=1695565974&amp;sr=8-3")</f>
        <v/>
      </c>
      <c r="F4578" t="inlineStr">
        <is>
          <t>B09TD9HLYY</t>
        </is>
      </c>
      <c r="G4578">
        <f>_xlfn.IMAGE("https://faoschwarz.com/cdn/shop/products/lucio-londero-games-skittles-lawn-bowling-28473410912343_1080x.jpg?v=1656064416")</f>
        <v/>
      </c>
      <c r="H4578">
        <f>_xlfn.IMAGE("https://m.media-amazon.com/images/I/81PA8yH7y+L._AC_UL320_.jpg")</f>
        <v/>
      </c>
      <c r="K4578" t="inlineStr">
        <is>
          <t>115.0</t>
        </is>
      </c>
      <c r="L4578" t="n">
        <v>45.99</v>
      </c>
      <c r="M4578" s="1" t="inlineStr">
        <is>
          <t>-60.01%</t>
        </is>
      </c>
      <c r="N4578" t="n">
        <v>4.4</v>
      </c>
      <c r="O4578" t="n">
        <v>67</v>
      </c>
      <c r="Q4578" t="inlineStr">
        <is>
          <t>InStock</t>
        </is>
      </c>
      <c r="R4578" t="inlineStr">
        <is>
          <t>undefined</t>
        </is>
      </c>
      <c r="S4578" t="inlineStr">
        <is>
          <t>6620750544983</t>
        </is>
      </c>
    </row>
    <row r="4579" ht="75" customHeight="1">
      <c r="A4579" s="2">
        <f>HYPERLINK("https://faoschwarz.com/products/skittles-lawn-bowling", "https://faoschwarz.com/products/skittles-lawn-bowling")</f>
        <v/>
      </c>
      <c r="B4579" s="2">
        <f>HYPERLINK("https://faoschwarz.com/products/skittles-lawn-bowling", "https://faoschwarz.com/products/skittles-lawn-bowling")</f>
        <v/>
      </c>
      <c r="C4579" t="inlineStr">
        <is>
          <t>Skittles - Lawn Bowling</t>
        </is>
      </c>
      <c r="D4579" t="inlineStr">
        <is>
          <t>Lawn Bowling Game/Skittle Ball- Indoor and Outdoor Fun for Toddlers, Kids, Adults –10 Wooden Pins, 2 Balls, and Mesh Bag Set by Hey! Play! (9.5 Inch)</t>
        </is>
      </c>
      <c r="E4579" s="2">
        <f>HYPERLINK("https://www.amazon.com/Bowling-Skittle-Toddlers-Hey-Play/dp/B071HDGGZK/ref=sr_1_2?keywords=Skittles+-+Lawn+Bowling&amp;qid=1695565974&amp;sr=8-2", "https://www.amazon.com/Bowling-Skittle-Toddlers-Hey-Play/dp/B071HDGGZK/ref=sr_1_2?keywords=Skittles+-+Lawn+Bowling&amp;qid=1695565974&amp;sr=8-2")</f>
        <v/>
      </c>
      <c r="F4579" t="inlineStr">
        <is>
          <t>B071HDGGZK</t>
        </is>
      </c>
      <c r="G4579">
        <f>_xlfn.IMAGE("https://faoschwarz.com/cdn/shop/products/lucio-londero-games-skittles-lawn-bowling-28473410912343_1080x.jpg?v=1656064416")</f>
        <v/>
      </c>
      <c r="H4579">
        <f>_xlfn.IMAGE("https://m.media-amazon.com/images/I/51+BKPzirPL._AC_UL320_.jpg")</f>
        <v/>
      </c>
      <c r="K4579" t="inlineStr">
        <is>
          <t>115.0</t>
        </is>
      </c>
      <c r="L4579" t="n">
        <v>43.86</v>
      </c>
      <c r="M4579" s="1" t="inlineStr">
        <is>
          <t>-61.86%</t>
        </is>
      </c>
      <c r="N4579" t="n">
        <v>4.3</v>
      </c>
      <c r="O4579" t="n">
        <v>286</v>
      </c>
      <c r="Q4579" t="inlineStr">
        <is>
          <t>InStock</t>
        </is>
      </c>
      <c r="R4579" t="inlineStr">
        <is>
          <t>undefined</t>
        </is>
      </c>
      <c r="S4579" t="inlineStr">
        <is>
          <t>6620750544983</t>
        </is>
      </c>
    </row>
    <row r="4580" ht="75" customHeight="1">
      <c r="A4580" s="2">
        <f>HYPERLINK("https://faoschwarz.com/products/skittles-lawn-bowling", "https://faoschwarz.com/products/skittles-lawn-bowling")</f>
        <v/>
      </c>
      <c r="B4580" s="2">
        <f>HYPERLINK("https://faoschwarz.com/products/skittles-lawn-bowling", "https://faoschwarz.com/products/skittles-lawn-bowling")</f>
        <v/>
      </c>
      <c r="C4580" t="inlineStr">
        <is>
          <t>Skittles - Lawn Bowling</t>
        </is>
      </c>
      <c r="D4580" t="inlineStr">
        <is>
          <t>Sterling Sports Wooden Lawn Bowling 9" Skittles Set with Carrying Mesh Bag for Indoors and Outdoors - 10 Wooden Pins and 2 Balls, Green/Turquoise and Gray</t>
        </is>
      </c>
      <c r="E4580" s="2">
        <f>HYPERLINK("https://www.amazon.com/STERLING-Wooden-Lawn-Bowling-Orange/dp/B008PBIWFG/ref=sr_1_1?keywords=Skittles+-+Lawn+Bowling&amp;qid=1695565974&amp;sr=8-1", "https://www.amazon.com/STERLING-Wooden-Lawn-Bowling-Orange/dp/B008PBIWFG/ref=sr_1_1?keywords=Skittles+-+Lawn+Bowling&amp;qid=1695565974&amp;sr=8-1")</f>
        <v/>
      </c>
      <c r="F4580" t="inlineStr">
        <is>
          <t>B008PBIWFG</t>
        </is>
      </c>
      <c r="G4580">
        <f>_xlfn.IMAGE("https://faoschwarz.com/cdn/shop/products/lucio-londero-games-skittles-lawn-bowling-28473410912343_1080x.jpg?v=1656064416")</f>
        <v/>
      </c>
      <c r="H4580">
        <f>_xlfn.IMAGE("https://m.media-amazon.com/images/I/61AKGMIXhML._AC_UL320_.jpg")</f>
        <v/>
      </c>
      <c r="K4580" t="inlineStr">
        <is>
          <t>115.0</t>
        </is>
      </c>
      <c r="L4580" t="n">
        <v>39.99</v>
      </c>
      <c r="M4580" s="1" t="inlineStr">
        <is>
          <t>-65.23%</t>
        </is>
      </c>
      <c r="N4580" t="n">
        <v>4</v>
      </c>
      <c r="O4580" t="n">
        <v>99</v>
      </c>
      <c r="Q4580" t="inlineStr">
        <is>
          <t>InStock</t>
        </is>
      </c>
      <c r="R4580" t="inlineStr">
        <is>
          <t>undefined</t>
        </is>
      </c>
      <c r="S4580" t="inlineStr">
        <is>
          <t>6620750544983</t>
        </is>
      </c>
    </row>
    <row r="4581" ht="75" customHeight="1">
      <c r="A4581" s="2">
        <f>HYPERLINK("https://faoschwarz.com/products/skittles-lawn-bowling", "https://faoschwarz.com/products/skittles-lawn-bowling")</f>
        <v/>
      </c>
      <c r="B4581" s="2">
        <f>HYPERLINK("https://faoschwarz.com/products/skittles-lawn-bowling", "https://faoschwarz.com/products/skittles-lawn-bowling")</f>
        <v/>
      </c>
      <c r="C4581" t="inlineStr">
        <is>
          <t>Skittles - Lawn Bowling</t>
        </is>
      </c>
      <c r="D4581" t="inlineStr">
        <is>
          <t>Lawn Bowling Game/Skittle Ball- Indoor and Outdoor Fun for Toddlers, Kids, Adults –10 Wooden Pins, 2 Balls, and Mesh Bag Set by Hey! Play! (8 Inch), Navy - 8"</t>
        </is>
      </c>
      <c r="E4581" s="2">
        <f>HYPERLINK("https://www.amazon.com/Bowling-Skittle-Toddlers-Hey-Play/dp/B072L5DBNS/ref=sr_1_4?keywords=Skittles+-+Lawn+Bowling&amp;qid=1695565974&amp;sr=8-4", "https://www.amazon.com/Bowling-Skittle-Toddlers-Hey-Play/dp/B072L5DBNS/ref=sr_1_4?keywords=Skittles+-+Lawn+Bowling&amp;qid=1695565974&amp;sr=8-4")</f>
        <v/>
      </c>
      <c r="F4581" t="inlineStr">
        <is>
          <t>B072L5DBNS</t>
        </is>
      </c>
      <c r="G4581">
        <f>_xlfn.IMAGE("https://faoschwarz.com/cdn/shop/products/lucio-londero-games-skittles-lawn-bowling-28473410912343_1080x.jpg?v=1656064416")</f>
        <v/>
      </c>
      <c r="H4581">
        <f>_xlfn.IMAGE("https://m.media-amazon.com/images/I/51nLockYmQL._AC_UL320_.jpg")</f>
        <v/>
      </c>
      <c r="K4581" t="inlineStr">
        <is>
          <t>115.0</t>
        </is>
      </c>
      <c r="L4581" t="n">
        <v>29</v>
      </c>
      <c r="M4581" s="1" t="inlineStr">
        <is>
          <t>-74.78%</t>
        </is>
      </c>
      <c r="N4581" t="n">
        <v>3.7</v>
      </c>
      <c r="O4581" t="n">
        <v>3172</v>
      </c>
      <c r="Q4581" t="inlineStr">
        <is>
          <t>InStock</t>
        </is>
      </c>
      <c r="R4581" t="inlineStr">
        <is>
          <t>undefined</t>
        </is>
      </c>
      <c r="S4581" t="inlineStr">
        <is>
          <t>6620750544983</t>
        </is>
      </c>
    </row>
    <row r="4582" ht="75" customHeight="1">
      <c r="A4582" s="2">
        <f>HYPERLINK("https://faoschwarz.com/products/skittles-lawn-bowling", "https://faoschwarz.com/products/skittles-lawn-bowling")</f>
        <v/>
      </c>
      <c r="B4582" s="2">
        <f>HYPERLINK("https://faoschwarz.com/products/skittles-lawn-bowling", "https://faoschwarz.com/products/skittles-lawn-bowling")</f>
        <v/>
      </c>
      <c r="C4582" t="inlineStr">
        <is>
          <t>Skittles - Lawn Bowling</t>
        </is>
      </c>
      <c r="D4582" t="inlineStr">
        <is>
          <t>Hey!Play! Lawn Bowling Game/Skittle Ball- Indoor/Outdoor Fun for Kids, Adults -10 Wooden Pins, 2 Balls &amp; Mesh Bag Set</t>
        </is>
      </c>
      <c r="E4582" s="2">
        <f>HYPERLINK("https://www.amazon.com/Hey-Play-Coca-Cola-Bowling-Toddlers/dp/B07BR2G8PD/ref=sr_1_10?keywords=Skittles+-+Lawn+Bowling&amp;qid=1695565974&amp;sr=8-10", "https://www.amazon.com/Hey-Play-Coca-Cola-Bowling-Toddlers/dp/B07BR2G8PD/ref=sr_1_10?keywords=Skittles+-+Lawn+Bowling&amp;qid=1695565974&amp;sr=8-10")</f>
        <v/>
      </c>
      <c r="F4582" t="inlineStr">
        <is>
          <t>B07BR2G8PD</t>
        </is>
      </c>
      <c r="G4582">
        <f>_xlfn.IMAGE("https://faoschwarz.com/cdn/shop/products/lucio-londero-games-skittles-lawn-bowling-28473410912343_1080x.jpg?v=1656064416")</f>
        <v/>
      </c>
      <c r="H4582">
        <f>_xlfn.IMAGE("https://m.media-amazon.com/images/I/817rG9f3E3L._AC_UL320_.jpg")</f>
        <v/>
      </c>
      <c r="K4582" t="inlineStr">
        <is>
          <t>115.0</t>
        </is>
      </c>
      <c r="L4582" t="n">
        <v>28</v>
      </c>
      <c r="M4582" s="1" t="inlineStr">
        <is>
          <t>-75.65%</t>
        </is>
      </c>
      <c r="N4582" t="n">
        <v>4</v>
      </c>
      <c r="O4582" t="n">
        <v>105</v>
      </c>
      <c r="Q4582" t="inlineStr">
        <is>
          <t>InStock</t>
        </is>
      </c>
      <c r="R4582" t="inlineStr">
        <is>
          <t>undefined</t>
        </is>
      </c>
      <c r="S4582" t="inlineStr">
        <is>
          <t>6620750544983</t>
        </is>
      </c>
    </row>
    <row r="4583" ht="75" customHeight="1">
      <c r="A4583" s="2">
        <f>HYPERLINK("https://faoschwarz.com/products/skittles-lawn-bowling", "https://faoschwarz.com/products/skittles-lawn-bowling")</f>
        <v/>
      </c>
      <c r="B4583" s="2">
        <f>HYPERLINK("https://faoschwarz.com/products/skittles-lawn-bowling", "https://faoschwarz.com/products/skittles-lawn-bowling")</f>
        <v/>
      </c>
      <c r="C4583" t="inlineStr">
        <is>
          <t>Skittles - Lawn Bowling</t>
        </is>
      </c>
      <c r="D4583" t="inlineStr">
        <is>
          <t>Wooden Bowling Game, Lawn Bowling Game/Skittle Ball, Colorful Design, Indoor and Outdoor Fun for Toddlers, Children, Adults Wooden Skittle Set Toys</t>
        </is>
      </c>
      <c r="E4583" s="2">
        <f>HYPERLINK("https://www.amazon.com/Bowling-Skittle-Colorful-Toddlers-Children/dp/B0BL3KSP1X/ref=sr_1_5?keywords=Skittles+-+Lawn+Bowling&amp;qid=1695565974&amp;sr=8-5", "https://www.amazon.com/Bowling-Skittle-Colorful-Toddlers-Children/dp/B0BL3KSP1X/ref=sr_1_5?keywords=Skittles+-+Lawn+Bowling&amp;qid=1695565974&amp;sr=8-5")</f>
        <v/>
      </c>
      <c r="F4583" t="inlineStr">
        <is>
          <t>B0BL3KSP1X</t>
        </is>
      </c>
      <c r="G4583">
        <f>_xlfn.IMAGE("https://faoschwarz.com/cdn/shop/products/lucio-londero-games-skittles-lawn-bowling-28473410912343_1080x.jpg?v=1656064416")</f>
        <v/>
      </c>
      <c r="H4583">
        <f>_xlfn.IMAGE("https://m.media-amazon.com/images/I/615nWeWJVIL._AC_UL320_.jpg")</f>
        <v/>
      </c>
      <c r="K4583" t="inlineStr">
        <is>
          <t>115.0</t>
        </is>
      </c>
      <c r="L4583" t="n">
        <v>25.89</v>
      </c>
      <c r="M4583" s="1" t="inlineStr">
        <is>
          <t>-77.49%</t>
        </is>
      </c>
      <c r="N4583" t="n">
        <v>3.5</v>
      </c>
      <c r="O4583" t="n">
        <v>2</v>
      </c>
      <c r="Q4583" t="inlineStr">
        <is>
          <t>InStock</t>
        </is>
      </c>
      <c r="R4583" t="inlineStr">
        <is>
          <t>undefined</t>
        </is>
      </c>
      <c r="S4583" t="inlineStr">
        <is>
          <t>6620750544983</t>
        </is>
      </c>
    </row>
    <row r="4584" ht="75" customHeight="1">
      <c r="A4584" s="2">
        <f>HYPERLINK("https://faoschwarz.com/products/skyline-new-york-2000-piece-puzzle", "https://faoschwarz.com/products/skyline-new-york-2000-piece-puzzle")</f>
        <v/>
      </c>
      <c r="B4584" s="2">
        <f>HYPERLINK("https://faoschwarz.com/products/skyline-new-york-2000-piece-puzzle", "https://faoschwarz.com/products/skyline-new-york-2000-piece-puzzle")</f>
        <v/>
      </c>
      <c r="C4584" t="inlineStr">
        <is>
          <t>Skyline New York 2000 Piece Puzzle</t>
        </is>
      </c>
      <c r="D4584" t="inlineStr">
        <is>
          <t>Skyline - New York City - Premium 1000 Piece Jigsaw Puzzle for Adults</t>
        </is>
      </c>
      <c r="E4584" s="2">
        <f>HYPERLINK("https://www.amazon.com/Skyline-Premium-Piece-Jigsaw-Puzzle/dp/B09SHZRBJN/ref=sr_1_7?keywords=Skyline+New+York+2000+Piece+Puzzle&amp;qid=1695566005&amp;sr=8-7", "https://www.amazon.com/Skyline-Premium-Piece-Jigsaw-Puzzle/dp/B09SHZRBJN/ref=sr_1_7?keywords=Skyline+New+York+2000+Piece+Puzzle&amp;qid=1695566005&amp;sr=8-7")</f>
        <v/>
      </c>
      <c r="F4584" t="inlineStr">
        <is>
          <t>B09SHZRBJN</t>
        </is>
      </c>
      <c r="G4584">
        <f>_xlfn.IMAGE("https://faoschwarz.com/cdn/shop/files/ravensburger-puzzles-skyline-new-york-2000-piece-puzzle-30297392578647_1080x.jpg?v=1684454241")</f>
        <v/>
      </c>
      <c r="H4584">
        <f>_xlfn.IMAGE("https://m.media-amazon.com/images/I/91wv3O806QL._AC_UL320_.jpg")</f>
        <v/>
      </c>
      <c r="K4584" t="inlineStr">
        <is>
          <t>40.0</t>
        </is>
      </c>
      <c r="L4584" t="n">
        <v>39.99</v>
      </c>
      <c r="M4584" s="1" t="inlineStr">
        <is>
          <t>-0.02%</t>
        </is>
      </c>
      <c r="N4584" t="n">
        <v>5</v>
      </c>
      <c r="O4584" t="n">
        <v>2</v>
      </c>
      <c r="Q4584" t="inlineStr">
        <is>
          <t>InStock</t>
        </is>
      </c>
      <c r="R4584" t="inlineStr">
        <is>
          <t>undefined</t>
        </is>
      </c>
      <c r="S4584" t="inlineStr">
        <is>
          <t>6877973741655</t>
        </is>
      </c>
    </row>
    <row r="4585" ht="75" customHeight="1">
      <c r="A4585" s="2">
        <f>HYPERLINK("https://faoschwarz.com/products/skyline-new-york-2000-piece-puzzle", "https://faoschwarz.com/products/skyline-new-york-2000-piece-puzzle")</f>
        <v/>
      </c>
      <c r="B4585" s="2">
        <f>HYPERLINK("https://faoschwarz.com/products/skyline-new-york-2000-piece-puzzle", "https://faoschwarz.com/products/skyline-new-york-2000-piece-puzzle")</f>
        <v/>
      </c>
      <c r="C4585" t="inlineStr">
        <is>
          <t>Skyline New York 2000 Piece Puzzle</t>
        </is>
      </c>
      <c r="D4585" t="inlineStr">
        <is>
          <t>Ravensburger 16011 Skyline New York 2000 Piece Puzzle for Adults - Every Piece is Unique, Softclick Technology Means Pieces Fit Together Perfectly</t>
        </is>
      </c>
      <c r="E4585" s="2">
        <f>HYPERLINK("https://www.amazon.com/Ravensburger-16011-Skyline-2000pc-Jigsaw/dp/B003BI9WTS/ref=sr_1_1?keywords=Skyline+New+York+2000+Piece+Puzzle&amp;qid=1695566005&amp;sr=8-1", "https://www.amazon.com/Ravensburger-16011-Skyline-2000pc-Jigsaw/dp/B003BI9WTS/ref=sr_1_1?keywords=Skyline+New+York+2000+Piece+Puzzle&amp;qid=1695566005&amp;sr=8-1")</f>
        <v/>
      </c>
      <c r="F4585" t="inlineStr">
        <is>
          <t>B003BI9WTS</t>
        </is>
      </c>
      <c r="G4585">
        <f>_xlfn.IMAGE("https://faoschwarz.com/cdn/shop/files/ravensburger-puzzles-skyline-new-york-2000-piece-puzzle-30297392578647_1080x.jpg?v=1684454241")</f>
        <v/>
      </c>
      <c r="H4585">
        <f>_xlfn.IMAGE("https://m.media-amazon.com/images/I/81mhi7fbo7L._AC_UL320_.jpg")</f>
        <v/>
      </c>
      <c r="K4585" t="inlineStr">
        <is>
          <t>40.0</t>
        </is>
      </c>
      <c r="L4585" t="n">
        <v>39.99</v>
      </c>
      <c r="M4585" s="1" t="inlineStr">
        <is>
          <t>-0.02%</t>
        </is>
      </c>
      <c r="N4585" t="n">
        <v>4.7</v>
      </c>
      <c r="O4585" t="n">
        <v>601</v>
      </c>
      <c r="Q4585" t="inlineStr">
        <is>
          <t>InStock</t>
        </is>
      </c>
      <c r="R4585" t="inlineStr">
        <is>
          <t>undefined</t>
        </is>
      </c>
      <c r="S4585" t="inlineStr">
        <is>
          <t>6877973741655</t>
        </is>
      </c>
    </row>
    <row r="4586" ht="75" customHeight="1">
      <c r="A4586" s="2">
        <f>HYPERLINK("https://faoschwarz.com/products/skyline-new-york-2000-piece-puzzle", "https://faoschwarz.com/products/skyline-new-york-2000-piece-puzzle")</f>
        <v/>
      </c>
      <c r="B4586" s="2">
        <f>HYPERLINK("https://faoschwarz.com/products/skyline-new-york-2000-piece-puzzle", "https://faoschwarz.com/products/skyline-new-york-2000-piece-puzzle")</f>
        <v/>
      </c>
      <c r="C4586" t="inlineStr">
        <is>
          <t>Skyline New York 2000 Piece Puzzle</t>
        </is>
      </c>
      <c r="D4586" t="inlineStr">
        <is>
          <t>New York City: Skyline Glow, Vintage Poster - Premium 500 Piece Jigsaw Puzzle for Adults</t>
        </is>
      </c>
      <c r="E4586" s="2">
        <f>HYPERLINK("https://www.amazon.com/New-York-City-Skyline-Vintage/dp/B0BYXBKT7J/ref=sr_1_5?keywords=Skyline+New+York+2000+Piece+Puzzle&amp;qid=1695566005&amp;sr=8-5", "https://www.amazon.com/New-York-City-Skyline-Vintage/dp/B0BYXBKT7J/ref=sr_1_5?keywords=Skyline+New+York+2000+Piece+Puzzle&amp;qid=1695566005&amp;sr=8-5")</f>
        <v/>
      </c>
      <c r="F4586" t="inlineStr">
        <is>
          <t>B0BYXBKT7J</t>
        </is>
      </c>
      <c r="G4586">
        <f>_xlfn.IMAGE("https://faoschwarz.com/cdn/shop/files/ravensburger-puzzles-skyline-new-york-2000-piece-puzzle-30297392578647_1080x.jpg?v=1684454241")</f>
        <v/>
      </c>
      <c r="H4586">
        <f>_xlfn.IMAGE("https://m.media-amazon.com/images/I/81+EafL1WEL._AC_UL320_.jpg")</f>
        <v/>
      </c>
      <c r="K4586" t="inlineStr">
        <is>
          <t>40.0</t>
        </is>
      </c>
      <c r="L4586" t="n">
        <v>34.99</v>
      </c>
      <c r="M4586" s="1" t="inlineStr">
        <is>
          <t>-12.52%</t>
        </is>
      </c>
      <c r="N4586" t="n">
        <v>5</v>
      </c>
      <c r="O4586" t="n">
        <v>1</v>
      </c>
      <c r="Q4586" t="inlineStr">
        <is>
          <t>InStock</t>
        </is>
      </c>
      <c r="R4586" t="inlineStr">
        <is>
          <t>undefined</t>
        </is>
      </c>
      <c r="S4586" t="inlineStr">
        <is>
          <t>6877973741655</t>
        </is>
      </c>
    </row>
    <row r="4587" ht="75" customHeight="1">
      <c r="A4587" s="2">
        <f>HYPERLINK("https://faoschwarz.com/products/skyline-new-york-2000-piece-puzzle", "https://faoschwarz.com/products/skyline-new-york-2000-piece-puzzle")</f>
        <v/>
      </c>
      <c r="B4587" s="2">
        <f>HYPERLINK("https://faoschwarz.com/products/skyline-new-york-2000-piece-puzzle", "https://faoschwarz.com/products/skyline-new-york-2000-piece-puzzle")</f>
        <v/>
      </c>
      <c r="C4587" t="inlineStr">
        <is>
          <t>Skyline New York 2000 Piece Puzzle</t>
        </is>
      </c>
      <c r="D4587" t="inlineStr">
        <is>
          <t>New York Skyline Jigsaw Puzzle, 1000 Pieces, Made in Italy</t>
        </is>
      </c>
      <c r="E4587" s="2">
        <f>HYPERLINK("https://www.amazon.com/Skyline-Jigsaw-Puzzle-Pieces-Italy/dp/B071LPT48W/ref=sr_1_9?keywords=Skyline+New+York+2000+Piece+Puzzle&amp;qid=1695566005&amp;sr=8-9", "https://www.amazon.com/Skyline-Jigsaw-Puzzle-Pieces-Italy/dp/B071LPT48W/ref=sr_1_9?keywords=Skyline+New+York+2000+Piece+Puzzle&amp;qid=1695566005&amp;sr=8-9")</f>
        <v/>
      </c>
      <c r="F4587" t="inlineStr">
        <is>
          <t>B071LPT48W</t>
        </is>
      </c>
      <c r="G4587">
        <f>_xlfn.IMAGE("https://faoschwarz.com/cdn/shop/files/ravensburger-puzzles-skyline-new-york-2000-piece-puzzle-30297392578647_1080x.jpg?v=1684454241")</f>
        <v/>
      </c>
      <c r="H4587">
        <f>_xlfn.IMAGE("https://m.media-amazon.com/images/I/91X6wYkwEOL._AC_UL320_.jpg")</f>
        <v/>
      </c>
      <c r="K4587" t="inlineStr">
        <is>
          <t>40.0</t>
        </is>
      </c>
      <c r="L4587" t="n">
        <v>28.94</v>
      </c>
      <c r="M4587" s="1" t="inlineStr">
        <is>
          <t>-27.65%</t>
        </is>
      </c>
      <c r="N4587" t="n">
        <v>4.6</v>
      </c>
      <c r="O4587" t="n">
        <v>169</v>
      </c>
      <c r="Q4587" t="inlineStr">
        <is>
          <t>InStock</t>
        </is>
      </c>
      <c r="R4587" t="inlineStr">
        <is>
          <t>undefined</t>
        </is>
      </c>
      <c r="S4587" t="inlineStr">
        <is>
          <t>6877973741655</t>
        </is>
      </c>
    </row>
    <row r="4588" ht="75" customHeight="1">
      <c r="A4588" s="2">
        <f>HYPERLINK("https://faoschwarz.com/products/skyline-new-york-2000-piece-puzzle", "https://faoschwarz.com/products/skyline-new-york-2000-piece-puzzle")</f>
        <v/>
      </c>
      <c r="B4588" s="2">
        <f>HYPERLINK("https://faoschwarz.com/products/skyline-new-york-2000-piece-puzzle", "https://faoschwarz.com/products/skyline-new-york-2000-piece-puzzle")</f>
        <v/>
      </c>
      <c r="C4588" t="inlineStr">
        <is>
          <t>Skyline New York 2000 Piece Puzzle</t>
        </is>
      </c>
      <c r="D4588" t="inlineStr">
        <is>
          <t>Ravensburger 16008 Day and Night New York Skyline 1500 Piece Puzzle for Adults - Every Piece is Unique, Softclick Technology Means Pieces Fit Together Perfectly, Blue</t>
        </is>
      </c>
      <c r="E4588" s="2">
        <f>HYPERLINK("https://www.amazon.com/Ravensburger-16008-Skyline-Puzzle-Adults/dp/B01MFFMH42/ref=sr_1_8?keywords=Skyline+New+York+2000+Piece+Puzzle&amp;qid=1695566005&amp;sr=8-8", "https://www.amazon.com/Ravensburger-16008-Skyline-Puzzle-Adults/dp/B01MFFMH42/ref=sr_1_8?keywords=Skyline+New+York+2000+Piece+Puzzle&amp;qid=1695566005&amp;sr=8-8")</f>
        <v/>
      </c>
      <c r="F4588" t="inlineStr">
        <is>
          <t>B01MFFMH42</t>
        </is>
      </c>
      <c r="G4588">
        <f>_xlfn.IMAGE("https://faoschwarz.com/cdn/shop/files/ravensburger-puzzles-skyline-new-york-2000-piece-puzzle-30297392578647_1080x.jpg?v=1684454241")</f>
        <v/>
      </c>
      <c r="H4588">
        <f>_xlfn.IMAGE("https://m.media-amazon.com/images/I/81rX1BO+LPL._AC_UL320_.jpg")</f>
        <v/>
      </c>
      <c r="K4588" t="inlineStr">
        <is>
          <t>40.0</t>
        </is>
      </c>
      <c r="L4588" t="n">
        <v>21.99</v>
      </c>
      <c r="M4588" s="1" t="inlineStr">
        <is>
          <t>-45.03%</t>
        </is>
      </c>
      <c r="N4588" t="n">
        <v>4.7</v>
      </c>
      <c r="O4588" t="n">
        <v>571</v>
      </c>
      <c r="Q4588" t="inlineStr">
        <is>
          <t>InStock</t>
        </is>
      </c>
      <c r="R4588" t="inlineStr">
        <is>
          <t>undefined</t>
        </is>
      </c>
      <c r="S4588" t="inlineStr">
        <is>
          <t>6877973741655</t>
        </is>
      </c>
    </row>
    <row r="4589" ht="75" customHeight="1">
      <c r="A4589" s="2">
        <f>HYPERLINK("https://faoschwarz.com/products/skyline-new-york-2000-piece-puzzle", "https://faoschwarz.com/products/skyline-new-york-2000-piece-puzzle")</f>
        <v/>
      </c>
      <c r="B4589" s="2">
        <f>HYPERLINK("https://faoschwarz.com/products/skyline-new-york-2000-piece-puzzle", "https://faoschwarz.com/products/skyline-new-york-2000-piece-puzzle")</f>
        <v/>
      </c>
      <c r="C4589" t="inlineStr">
        <is>
          <t>Skyline New York 2000 Piece Puzzle</t>
        </is>
      </c>
      <c r="D4589" t="inlineStr">
        <is>
          <t>Buffalo Games - Old New York - 2000 Piece Jigsaw Puzzle</t>
        </is>
      </c>
      <c r="E4589" s="2">
        <f>HYPERLINK("https://www.amazon.com/Buffalo-Games-Piece-Jigsaw-Puzzle/dp/B0C4BDSPX5/ref=sr_1_6?keywords=Skyline+New+York+2000+Piece+Puzzle&amp;qid=1695566005&amp;sr=8-6", "https://www.amazon.com/Buffalo-Games-Piece-Jigsaw-Puzzle/dp/B0C4BDSPX5/ref=sr_1_6?keywords=Skyline+New+York+2000+Piece+Puzzle&amp;qid=1695566005&amp;sr=8-6")</f>
        <v/>
      </c>
      <c r="F4589" t="inlineStr">
        <is>
          <t>B0C4BDSPX5</t>
        </is>
      </c>
      <c r="G4589">
        <f>_xlfn.IMAGE("https://faoschwarz.com/cdn/shop/files/ravensburger-puzzles-skyline-new-york-2000-piece-puzzle-30297392578647_1080x.jpg?v=1684454241")</f>
        <v/>
      </c>
      <c r="H4589">
        <f>_xlfn.IMAGE("https://m.media-amazon.com/images/I/81bQBE-A2ZL._AC_UL320_.jpg")</f>
        <v/>
      </c>
      <c r="K4589" t="inlineStr">
        <is>
          <t>40.0</t>
        </is>
      </c>
      <c r="L4589" t="n">
        <v>19.99</v>
      </c>
      <c r="M4589" s="1" t="inlineStr">
        <is>
          <t>-50.03%</t>
        </is>
      </c>
      <c r="N4589" t="n">
        <v>4.9</v>
      </c>
      <c r="O4589" t="n">
        <v>22</v>
      </c>
      <c r="Q4589" t="inlineStr">
        <is>
          <t>InStock</t>
        </is>
      </c>
      <c r="R4589" t="inlineStr">
        <is>
          <t>undefined</t>
        </is>
      </c>
      <c r="S4589" t="inlineStr">
        <is>
          <t>6877973741655</t>
        </is>
      </c>
    </row>
    <row r="4590" ht="75" customHeight="1">
      <c r="A4590" s="2">
        <f>HYPERLINK("https://faoschwarz.com/products/skyline-new-york-2000-piece-puzzle", "https://faoschwarz.com/products/skyline-new-york-2000-piece-puzzle")</f>
        <v/>
      </c>
      <c r="B4590" s="2">
        <f>HYPERLINK("https://faoschwarz.com/products/skyline-new-york-2000-piece-puzzle", "https://faoschwarz.com/products/skyline-new-york-2000-piece-puzzle")</f>
        <v/>
      </c>
      <c r="C4590" t="inlineStr">
        <is>
          <t>Skyline New York 2000 Piece Puzzle</t>
        </is>
      </c>
      <c r="D4590" t="inlineStr">
        <is>
          <t>New York City Skyline Puzzles Art 1000 Pieces Jigsaw Puzzles,DIY Puzzles Educational Brain Challenge Games for Adults Kids Gifts</t>
        </is>
      </c>
      <c r="E4590" s="2">
        <f>HYPERLINK("https://www.amazon.com/Jigsaw-Puzzles-Adults-1000-Pieces/dp/B08F34X473/ref=sr_1_4?keywords=Skyline+New+York+2000+Piece+Puzzle&amp;qid=1695566005&amp;sr=8-4", "https://www.amazon.com/Jigsaw-Puzzles-Adults-1000-Pieces/dp/B08F34X473/ref=sr_1_4?keywords=Skyline+New+York+2000+Piece+Puzzle&amp;qid=1695566005&amp;sr=8-4")</f>
        <v/>
      </c>
      <c r="F4590" t="inlineStr">
        <is>
          <t>B08F34X473</t>
        </is>
      </c>
      <c r="G4590">
        <f>_xlfn.IMAGE("https://faoschwarz.com/cdn/shop/files/ravensburger-puzzles-skyline-new-york-2000-piece-puzzle-30297392578647_1080x.jpg?v=1684454241")</f>
        <v/>
      </c>
      <c r="H4590">
        <f>_xlfn.IMAGE("https://m.media-amazon.com/images/I/71dk0lblfIL._AC_UL320_.jpg")</f>
        <v/>
      </c>
      <c r="K4590" t="inlineStr">
        <is>
          <t>40.0</t>
        </is>
      </c>
      <c r="L4590" t="n">
        <v>13.99</v>
      </c>
      <c r="M4590" s="1" t="inlineStr">
        <is>
          <t>-65.03%</t>
        </is>
      </c>
      <c r="N4590" t="n">
        <v>4.2</v>
      </c>
      <c r="O4590" t="n">
        <v>291</v>
      </c>
      <c r="Q4590" t="inlineStr">
        <is>
          <t>InStock</t>
        </is>
      </c>
      <c r="R4590" t="inlineStr">
        <is>
          <t>undefined</t>
        </is>
      </c>
      <c r="S4590" t="inlineStr">
        <is>
          <t>6877973741655</t>
        </is>
      </c>
    </row>
    <row r="4591" ht="75" customHeight="1">
      <c r="A4591" s="2">
        <f>HYPERLINK("https://faoschwarz.com/products/skyline-new-york-2000-piece-puzzle", "https://faoschwarz.com/products/skyline-new-york-2000-piece-puzzle")</f>
        <v/>
      </c>
      <c r="B4591" s="2">
        <f>HYPERLINK("https://faoschwarz.com/products/skyline-new-york-2000-piece-puzzle", "https://faoschwarz.com/products/skyline-new-york-2000-piece-puzzle")</f>
        <v/>
      </c>
      <c r="C4591" t="inlineStr">
        <is>
          <t>Skyline New York 2000 Piece Puzzle</t>
        </is>
      </c>
      <c r="D4591" t="inlineStr">
        <is>
          <t>Bits and Pieces - 1000 Piece Jigsaw Puzzle for Adults - New York City View - 1000 pc Statue of Liberty Skyline Jigsaw by Artist Joseph Burgess</t>
        </is>
      </c>
      <c r="E4591" s="2">
        <f>HYPERLINK("https://www.amazon.com/Bits-Pieces-Liberty-Skyline-Burgess/dp/B00D8L4DKQ/ref=sr_1_10?keywords=Skyline+New+York+2000+Piece+Puzzle&amp;qid=1695566005&amp;sr=8-10", "https://www.amazon.com/Bits-Pieces-Liberty-Skyline-Burgess/dp/B00D8L4DKQ/ref=sr_1_10?keywords=Skyline+New+York+2000+Piece+Puzzle&amp;qid=1695566005&amp;sr=8-10")</f>
        <v/>
      </c>
      <c r="F4591" t="inlineStr">
        <is>
          <t>B00D8L4DKQ</t>
        </is>
      </c>
      <c r="G4591">
        <f>_xlfn.IMAGE("https://faoschwarz.com/cdn/shop/files/ravensburger-puzzles-skyline-new-york-2000-piece-puzzle-30297392578647_1080x.jpg?v=1684454241")</f>
        <v/>
      </c>
      <c r="H4591">
        <f>_xlfn.IMAGE("https://m.media-amazon.com/images/I/81YJugjBZgL._AC_UL320_.jpg")</f>
        <v/>
      </c>
      <c r="K4591" t="inlineStr">
        <is>
          <t>40.0</t>
        </is>
      </c>
      <c r="L4591" t="n">
        <v>13.99</v>
      </c>
      <c r="M4591" s="1" t="inlineStr">
        <is>
          <t>-65.03%</t>
        </is>
      </c>
      <c r="N4591" t="n">
        <v>4.5</v>
      </c>
      <c r="O4591" t="n">
        <v>545</v>
      </c>
      <c r="Q4591" t="inlineStr">
        <is>
          <t>InStock</t>
        </is>
      </c>
      <c r="R4591" t="inlineStr">
        <is>
          <t>undefined</t>
        </is>
      </c>
      <c r="S4591" t="inlineStr">
        <is>
          <t>6877973741655</t>
        </is>
      </c>
    </row>
    <row r="4592" ht="75" customHeight="1">
      <c r="A4592" s="2">
        <f>HYPERLINK("https://faoschwarz.com/products/skyline-new-york-2000-piece-puzzle", "https://faoschwarz.com/products/skyline-new-york-2000-piece-puzzle")</f>
        <v/>
      </c>
      <c r="B4592" s="2">
        <f>HYPERLINK("https://faoschwarz.com/products/skyline-new-york-2000-piece-puzzle", "https://faoschwarz.com/products/skyline-new-york-2000-piece-puzzle")</f>
        <v/>
      </c>
      <c r="C4592" t="inlineStr">
        <is>
          <t>Skyline New York 2000 Piece Puzzle</t>
        </is>
      </c>
      <c r="D4592" t="inlineStr">
        <is>
          <t>New York City: Skyline Glow, Vintage Poster - Premium 500 Piece Jigsaw Puzzle for Adults</t>
        </is>
      </c>
      <c r="E4592" s="2">
        <f>HYPERLINK("https://www.amazon.com/New-York-City-Skyline-Vintage/dp/B0BYXBKT7J/ref=sr_1_5?keywords=Skyline+New+York+2000+Piece+Puzzle&amp;qid=1695566005&amp;sr=8-5", "https://www.amazon.com/New-York-City-Skyline-Vintage/dp/B0BYXBKT7J/ref=sr_1_5?keywords=Skyline+New+York+2000+Piece+Puzzle&amp;qid=1695566005&amp;sr=8-5")</f>
        <v/>
      </c>
      <c r="F4592" t="inlineStr">
        <is>
          <t>B0BYXBKT7J</t>
        </is>
      </c>
      <c r="G4592">
        <f>_xlfn.IMAGE("https://faoschwarz.com/cdn/shop/files/ravensburger-puzzles-skyline-new-york-2000-piece-puzzle-30297392578647_1080x.jpg?v=1684454241")</f>
        <v/>
      </c>
      <c r="H4592">
        <f>_xlfn.IMAGE("https://m.media-amazon.com/images/I/81+EafL1WEL._AC_UL320_.jpg")</f>
        <v/>
      </c>
      <c r="K4592" t="inlineStr">
        <is>
          <t>40.0</t>
        </is>
      </c>
      <c r="L4592" t="n">
        <v>34.99</v>
      </c>
      <c r="M4592" s="1" t="inlineStr">
        <is>
          <t>-12.52%</t>
        </is>
      </c>
      <c r="N4592" t="n">
        <v>5</v>
      </c>
      <c r="O4592" t="n">
        <v>1</v>
      </c>
      <c r="Q4592" t="inlineStr">
        <is>
          <t>InStock</t>
        </is>
      </c>
      <c r="R4592" t="inlineStr">
        <is>
          <t>undefined</t>
        </is>
      </c>
      <c r="S4592" t="inlineStr">
        <is>
          <t>6877973741655</t>
        </is>
      </c>
    </row>
    <row r="4593" ht="75" customHeight="1">
      <c r="A4593" s="2">
        <f>HYPERLINK("https://faoschwarz.com/products/skyline-new-york-2000-piece-puzzle", "https://faoschwarz.com/products/skyline-new-york-2000-piece-puzzle")</f>
        <v/>
      </c>
      <c r="B4593" s="2">
        <f>HYPERLINK("https://faoschwarz.com/products/skyline-new-york-2000-piece-puzzle", "https://faoschwarz.com/products/skyline-new-york-2000-piece-puzzle")</f>
        <v/>
      </c>
      <c r="C4593" t="inlineStr">
        <is>
          <t>Skyline New York 2000 Piece Puzzle</t>
        </is>
      </c>
      <c r="D4593" t="inlineStr">
        <is>
          <t>New York Skyline Jigsaw Puzzle, 1000 Pieces, Made in Italy</t>
        </is>
      </c>
      <c r="E4593" s="2">
        <f>HYPERLINK("https://www.amazon.com/Skyline-Jigsaw-Puzzle-Pieces-Italy/dp/B071LPT48W/ref=sr_1_9?keywords=Skyline+New+York+2000+Piece+Puzzle&amp;qid=1695566005&amp;sr=8-9", "https://www.amazon.com/Skyline-Jigsaw-Puzzle-Pieces-Italy/dp/B071LPT48W/ref=sr_1_9?keywords=Skyline+New+York+2000+Piece+Puzzle&amp;qid=1695566005&amp;sr=8-9")</f>
        <v/>
      </c>
      <c r="F4593" t="inlineStr">
        <is>
          <t>B071LPT48W</t>
        </is>
      </c>
      <c r="G4593">
        <f>_xlfn.IMAGE("https://faoschwarz.com/cdn/shop/files/ravensburger-puzzles-skyline-new-york-2000-piece-puzzle-30297392578647_1080x.jpg?v=1684454241")</f>
        <v/>
      </c>
      <c r="H4593">
        <f>_xlfn.IMAGE("https://m.media-amazon.com/images/I/91X6wYkwEOL._AC_UL320_.jpg")</f>
        <v/>
      </c>
      <c r="K4593" t="inlineStr">
        <is>
          <t>40.0</t>
        </is>
      </c>
      <c r="L4593" t="n">
        <v>28.94</v>
      </c>
      <c r="M4593" s="1" t="inlineStr">
        <is>
          <t>-27.65%</t>
        </is>
      </c>
      <c r="N4593" t="n">
        <v>4.6</v>
      </c>
      <c r="O4593" t="n">
        <v>169</v>
      </c>
      <c r="Q4593" t="inlineStr">
        <is>
          <t>InStock</t>
        </is>
      </c>
      <c r="R4593" t="inlineStr">
        <is>
          <t>undefined</t>
        </is>
      </c>
      <c r="S4593" t="inlineStr">
        <is>
          <t>6877973741655</t>
        </is>
      </c>
    </row>
    <row r="4594" ht="75" customHeight="1">
      <c r="A4594" s="2">
        <f>HYPERLINK("https://faoschwarz.com/products/skyline-new-york-2000-piece-puzzle", "https://faoschwarz.com/products/skyline-new-york-2000-piece-puzzle")</f>
        <v/>
      </c>
      <c r="B4594" s="2">
        <f>HYPERLINK("https://faoschwarz.com/products/skyline-new-york-2000-piece-puzzle", "https://faoschwarz.com/products/skyline-new-york-2000-piece-puzzle")</f>
        <v/>
      </c>
      <c r="C4594" t="inlineStr">
        <is>
          <t>Skyline New York 2000 Piece Puzzle</t>
        </is>
      </c>
      <c r="D4594" t="inlineStr">
        <is>
          <t>Ravensburger 16008 Day and Night New York Skyline 1500 Piece Puzzle for Adults - Every Piece is Unique, Softclick Technology Means Pieces Fit Together Perfectly, Blue</t>
        </is>
      </c>
      <c r="E4594" s="2">
        <f>HYPERLINK("https://www.amazon.com/Ravensburger-16008-Skyline-Puzzle-Adults/dp/B01MFFMH42/ref=sr_1_8?keywords=Skyline+New+York+2000+Piece+Puzzle&amp;qid=1695566005&amp;sr=8-8", "https://www.amazon.com/Ravensburger-16008-Skyline-Puzzle-Adults/dp/B01MFFMH42/ref=sr_1_8?keywords=Skyline+New+York+2000+Piece+Puzzle&amp;qid=1695566005&amp;sr=8-8")</f>
        <v/>
      </c>
      <c r="F4594" t="inlineStr">
        <is>
          <t>B01MFFMH42</t>
        </is>
      </c>
      <c r="G4594">
        <f>_xlfn.IMAGE("https://faoschwarz.com/cdn/shop/files/ravensburger-puzzles-skyline-new-york-2000-piece-puzzle-30297392578647_1080x.jpg?v=1684454241")</f>
        <v/>
      </c>
      <c r="H4594">
        <f>_xlfn.IMAGE("https://m.media-amazon.com/images/I/81rX1BO+LPL._AC_UL320_.jpg")</f>
        <v/>
      </c>
      <c r="K4594" t="inlineStr">
        <is>
          <t>40.0</t>
        </is>
      </c>
      <c r="L4594" t="n">
        <v>21.99</v>
      </c>
      <c r="M4594" s="1" t="inlineStr">
        <is>
          <t>-45.03%</t>
        </is>
      </c>
      <c r="N4594" t="n">
        <v>4.7</v>
      </c>
      <c r="O4594" t="n">
        <v>571</v>
      </c>
      <c r="Q4594" t="inlineStr">
        <is>
          <t>InStock</t>
        </is>
      </c>
      <c r="R4594" t="inlineStr">
        <is>
          <t>undefined</t>
        </is>
      </c>
      <c r="S4594" t="inlineStr">
        <is>
          <t>6877973741655</t>
        </is>
      </c>
    </row>
    <row r="4595" ht="75" customHeight="1">
      <c r="A4595" s="2">
        <f>HYPERLINK("https://faoschwarz.com/products/skyline-new-york-2000-piece-puzzle", "https://faoschwarz.com/products/skyline-new-york-2000-piece-puzzle")</f>
        <v/>
      </c>
      <c r="B4595" s="2">
        <f>HYPERLINK("https://faoschwarz.com/products/skyline-new-york-2000-piece-puzzle", "https://faoschwarz.com/products/skyline-new-york-2000-piece-puzzle")</f>
        <v/>
      </c>
      <c r="C4595" t="inlineStr">
        <is>
          <t>Skyline New York 2000 Piece Puzzle</t>
        </is>
      </c>
      <c r="D4595" t="inlineStr">
        <is>
          <t>Buffalo Games - Old New York - 2000 Piece Jigsaw Puzzle</t>
        </is>
      </c>
      <c r="E4595" s="2">
        <f>HYPERLINK("https://www.amazon.com/Buffalo-Games-Piece-Jigsaw-Puzzle/dp/B0C4BDSPX5/ref=sr_1_6?keywords=Skyline+New+York+2000+Piece+Puzzle&amp;qid=1695566005&amp;sr=8-6", "https://www.amazon.com/Buffalo-Games-Piece-Jigsaw-Puzzle/dp/B0C4BDSPX5/ref=sr_1_6?keywords=Skyline+New+York+2000+Piece+Puzzle&amp;qid=1695566005&amp;sr=8-6")</f>
        <v/>
      </c>
      <c r="F4595" t="inlineStr">
        <is>
          <t>B0C4BDSPX5</t>
        </is>
      </c>
      <c r="G4595">
        <f>_xlfn.IMAGE("https://faoschwarz.com/cdn/shop/files/ravensburger-puzzles-skyline-new-york-2000-piece-puzzle-30297392578647_1080x.jpg?v=1684454241")</f>
        <v/>
      </c>
      <c r="H4595">
        <f>_xlfn.IMAGE("https://m.media-amazon.com/images/I/81bQBE-A2ZL._AC_UL320_.jpg")</f>
        <v/>
      </c>
      <c r="K4595" t="inlineStr">
        <is>
          <t>40.0</t>
        </is>
      </c>
      <c r="L4595" t="n">
        <v>19.99</v>
      </c>
      <c r="M4595" s="1" t="inlineStr">
        <is>
          <t>-50.03%</t>
        </is>
      </c>
      <c r="N4595" t="n">
        <v>4.9</v>
      </c>
      <c r="O4595" t="n">
        <v>22</v>
      </c>
      <c r="Q4595" t="inlineStr">
        <is>
          <t>InStock</t>
        </is>
      </c>
      <c r="R4595" t="inlineStr">
        <is>
          <t>undefined</t>
        </is>
      </c>
      <c r="S4595" t="inlineStr">
        <is>
          <t>6877973741655</t>
        </is>
      </c>
    </row>
    <row r="4596" ht="75" customHeight="1">
      <c r="A4596" s="2">
        <f>HYPERLINK("https://faoschwarz.com/products/skyline-new-york-2000-piece-puzzle", "https://faoschwarz.com/products/skyline-new-york-2000-piece-puzzle")</f>
        <v/>
      </c>
      <c r="B4596" s="2">
        <f>HYPERLINK("https://faoschwarz.com/products/skyline-new-york-2000-piece-puzzle", "https://faoschwarz.com/products/skyline-new-york-2000-piece-puzzle")</f>
        <v/>
      </c>
      <c r="C4596" t="inlineStr">
        <is>
          <t>Skyline New York 2000 Piece Puzzle</t>
        </is>
      </c>
      <c r="D4596" t="inlineStr">
        <is>
          <t>New York City Skyline Puzzles Art 1000 Pieces Jigsaw Puzzles,DIY Puzzles Educational Brain Challenge Games for Adults Kids Gifts</t>
        </is>
      </c>
      <c r="E4596" s="2">
        <f>HYPERLINK("https://www.amazon.com/Jigsaw-Puzzles-Adults-1000-Pieces/dp/B08F34X473/ref=sr_1_4?keywords=Skyline+New+York+2000+Piece+Puzzle&amp;qid=1695566005&amp;sr=8-4", "https://www.amazon.com/Jigsaw-Puzzles-Adults-1000-Pieces/dp/B08F34X473/ref=sr_1_4?keywords=Skyline+New+York+2000+Piece+Puzzle&amp;qid=1695566005&amp;sr=8-4")</f>
        <v/>
      </c>
      <c r="F4596" t="inlineStr">
        <is>
          <t>B08F34X473</t>
        </is>
      </c>
      <c r="G4596">
        <f>_xlfn.IMAGE("https://faoschwarz.com/cdn/shop/files/ravensburger-puzzles-skyline-new-york-2000-piece-puzzle-30297392578647_1080x.jpg?v=1684454241")</f>
        <v/>
      </c>
      <c r="H4596">
        <f>_xlfn.IMAGE("https://m.media-amazon.com/images/I/71dk0lblfIL._AC_UL320_.jpg")</f>
        <v/>
      </c>
      <c r="K4596" t="inlineStr">
        <is>
          <t>40.0</t>
        </is>
      </c>
      <c r="L4596" t="n">
        <v>13.99</v>
      </c>
      <c r="M4596" s="1" t="inlineStr">
        <is>
          <t>-65.03%</t>
        </is>
      </c>
      <c r="N4596" t="n">
        <v>4.2</v>
      </c>
      <c r="O4596" t="n">
        <v>291</v>
      </c>
      <c r="Q4596" t="inlineStr">
        <is>
          <t>InStock</t>
        </is>
      </c>
      <c r="R4596" t="inlineStr">
        <is>
          <t>undefined</t>
        </is>
      </c>
      <c r="S4596" t="inlineStr">
        <is>
          <t>6877973741655</t>
        </is>
      </c>
    </row>
    <row r="4597" ht="75" customHeight="1">
      <c r="A4597" s="2">
        <f>HYPERLINK("https://faoschwarz.com/products/skyline-new-york-2000-piece-puzzle", "https://faoschwarz.com/products/skyline-new-york-2000-piece-puzzle")</f>
        <v/>
      </c>
      <c r="B4597" s="2">
        <f>HYPERLINK("https://faoschwarz.com/products/skyline-new-york-2000-piece-puzzle", "https://faoschwarz.com/products/skyline-new-york-2000-piece-puzzle")</f>
        <v/>
      </c>
      <c r="C4597" t="inlineStr">
        <is>
          <t>Skyline New York 2000 Piece Puzzle</t>
        </is>
      </c>
      <c r="D4597" t="inlineStr">
        <is>
          <t>Bits and Pieces - 1000 Piece Jigsaw Puzzle for Adults - New York City View - 1000 pc Statue of Liberty Skyline Jigsaw by Artist Joseph Burgess</t>
        </is>
      </c>
      <c r="E4597" s="2">
        <f>HYPERLINK("https://www.amazon.com/Bits-Pieces-Liberty-Skyline-Burgess/dp/B00D8L4DKQ/ref=sr_1_10?keywords=Skyline+New+York+2000+Piece+Puzzle&amp;qid=1695566005&amp;sr=8-10", "https://www.amazon.com/Bits-Pieces-Liberty-Skyline-Burgess/dp/B00D8L4DKQ/ref=sr_1_10?keywords=Skyline+New+York+2000+Piece+Puzzle&amp;qid=1695566005&amp;sr=8-10")</f>
        <v/>
      </c>
      <c r="F4597" t="inlineStr">
        <is>
          <t>B00D8L4DKQ</t>
        </is>
      </c>
      <c r="G4597">
        <f>_xlfn.IMAGE("https://faoschwarz.com/cdn/shop/files/ravensburger-puzzles-skyline-new-york-2000-piece-puzzle-30297392578647_1080x.jpg?v=1684454241")</f>
        <v/>
      </c>
      <c r="H4597">
        <f>_xlfn.IMAGE("https://m.media-amazon.com/images/I/81YJugjBZgL._AC_UL320_.jpg")</f>
        <v/>
      </c>
      <c r="K4597" t="inlineStr">
        <is>
          <t>40.0</t>
        </is>
      </c>
      <c r="L4597" t="n">
        <v>13.99</v>
      </c>
      <c r="M4597" s="1" t="inlineStr">
        <is>
          <t>-65.03%</t>
        </is>
      </c>
      <c r="N4597" t="n">
        <v>4.5</v>
      </c>
      <c r="O4597" t="n">
        <v>545</v>
      </c>
      <c r="Q4597" t="inlineStr">
        <is>
          <t>InStock</t>
        </is>
      </c>
      <c r="R4597" t="inlineStr">
        <is>
          <t>undefined</t>
        </is>
      </c>
      <c r="S4597" t="inlineStr">
        <is>
          <t>6877973741655</t>
        </is>
      </c>
    </row>
    <row r="4598" ht="75" customHeight="1">
      <c r="A4598" s="2">
        <f>HYPERLINK("https://faoschwarz.com/products/sleeping-beauty-1000-piece-puzzle", "https://faoschwarz.com/products/sleeping-beauty-1000-piece-puzzle")</f>
        <v/>
      </c>
      <c r="B4598" s="2">
        <f>HYPERLINK("https://faoschwarz.com/products/sleeping-beauty-1000-piece-puzzle", "https://faoschwarz.com/products/sleeping-beauty-1000-piece-puzzle")</f>
        <v/>
      </c>
      <c r="C4598" t="inlineStr">
        <is>
          <t>Sleeping Beauty 1000 Piece Puzzle</t>
        </is>
      </c>
      <c r="D4598" t="inlineStr">
        <is>
          <t>Sleeping Beauty's Castle at Disneyland Anaheim Jigsaw Puzzles for Adults Kids DIY Gift 1000 Piece with Mesh Storage Bag</t>
        </is>
      </c>
      <c r="E4598" s="2">
        <f>HYPERLINK("https://www.amazon.com/Sleeping-Beautys-Disneyland-Anaheim-Puzzles/dp/B0895HW2RZ/ref=sr_1_3?keywords=Sleeping+Beauty+1000+Piece+Puzzle&amp;qid=1695565989&amp;sr=8-3", "https://www.amazon.com/Sleeping-Beautys-Disneyland-Anaheim-Puzzles/dp/B0895HW2RZ/ref=sr_1_3?keywords=Sleeping+Beauty+1000+Piece+Puzzle&amp;qid=1695565989&amp;sr=8-3")</f>
        <v/>
      </c>
      <c r="F4598" t="inlineStr">
        <is>
          <t>B0895HW2RZ</t>
        </is>
      </c>
      <c r="G4598">
        <f>_xlfn.IMAGE("https://faoschwarz.com/cdn/shop/products/ravensburger-puzzles-sleeping-beauty-1000-piece-puzzle-28936259469399_1080x.jpg?v=1655977744")</f>
        <v/>
      </c>
      <c r="H4598">
        <f>_xlfn.IMAGE("https://m.media-amazon.com/images/I/71Cm655Pg+L._AC_UL320_.jpg")</f>
        <v/>
      </c>
      <c r="K4598" t="inlineStr">
        <is>
          <t>30.0</t>
        </is>
      </c>
      <c r="L4598" t="n">
        <v>27.99</v>
      </c>
      <c r="M4598" s="1" t="inlineStr">
        <is>
          <t>-6.70%</t>
        </is>
      </c>
      <c r="N4598" t="n">
        <v>5</v>
      </c>
      <c r="O4598" t="n">
        <v>1</v>
      </c>
      <c r="Q4598" t="inlineStr">
        <is>
          <t>InStock</t>
        </is>
      </c>
      <c r="R4598" t="inlineStr">
        <is>
          <t>undefined</t>
        </is>
      </c>
      <c r="S4598" t="inlineStr">
        <is>
          <t>4615260209239</t>
        </is>
      </c>
    </row>
    <row r="4599" ht="75" customHeight="1">
      <c r="A4599" s="2">
        <f>HYPERLINK("https://faoschwarz.com/products/sleeping-beauty-1000-piece-puzzle", "https://faoschwarz.com/products/sleeping-beauty-1000-piece-puzzle")</f>
        <v/>
      </c>
      <c r="B4599" s="2">
        <f>HYPERLINK("https://faoschwarz.com/products/sleeping-beauty-1000-piece-puzzle", "https://faoschwarz.com/products/sleeping-beauty-1000-piece-puzzle")</f>
        <v/>
      </c>
      <c r="C4599" t="inlineStr">
        <is>
          <t>Sleeping Beauty 1000 Piece Puzzle</t>
        </is>
      </c>
      <c r="D4599" t="inlineStr">
        <is>
          <t>Ravensburger Disney Collector's Edition Sleeping Beauty 1000 Piece Jigsaw Puzzle for Adults - Every Piece is Unique, Softclick Technology Means Pieces Fit Together Perfectly</t>
        </is>
      </c>
      <c r="E4599" s="2">
        <f>HYPERLINK("https://www.amazon.com/Ravensburger-13974-Disney-Collectors-Sleeping/dp/B07NQ58H83/ref=sr_1_1?keywords=Sleeping+Beauty+1000+Piece+Puzzle&amp;qid=1695565989&amp;sr=8-1", "https://www.amazon.com/Ravensburger-13974-Disney-Collectors-Sleeping/dp/B07NQ58H83/ref=sr_1_1?keywords=Sleeping+Beauty+1000+Piece+Puzzle&amp;qid=1695565989&amp;sr=8-1")</f>
        <v/>
      </c>
      <c r="F4599" t="inlineStr">
        <is>
          <t>B07NQ58H83</t>
        </is>
      </c>
      <c r="G4599">
        <f>_xlfn.IMAGE("https://faoschwarz.com/cdn/shop/products/ravensburger-puzzles-sleeping-beauty-1000-piece-puzzle-28936259469399_1080x.jpg?v=1655977744")</f>
        <v/>
      </c>
      <c r="H4599">
        <f>_xlfn.IMAGE("https://m.media-amazon.com/images/I/71cNp-MagLL._AC_UL320_.jpg")</f>
        <v/>
      </c>
      <c r="K4599" t="inlineStr">
        <is>
          <t>30.0</t>
        </is>
      </c>
      <c r="L4599" t="n">
        <v>24.94</v>
      </c>
      <c r="M4599" s="1" t="inlineStr">
        <is>
          <t>-16.87%</t>
        </is>
      </c>
      <c r="N4599" t="n">
        <v>4.8</v>
      </c>
      <c r="O4599" t="n">
        <v>5948</v>
      </c>
      <c r="Q4599" t="inlineStr">
        <is>
          <t>InStock</t>
        </is>
      </c>
      <c r="R4599" t="inlineStr">
        <is>
          <t>undefined</t>
        </is>
      </c>
      <c r="S4599" t="inlineStr">
        <is>
          <t>4615260209239</t>
        </is>
      </c>
    </row>
    <row r="4600" ht="75" customHeight="1">
      <c r="A4600" s="2">
        <f>HYPERLINK("https://faoschwarz.com/products/sleeping-beauty-1000-piece-puzzle", "https://faoschwarz.com/products/sleeping-beauty-1000-piece-puzzle")</f>
        <v/>
      </c>
      <c r="B4600" s="2">
        <f>HYPERLINK("https://faoschwarz.com/products/sleeping-beauty-1000-piece-puzzle", "https://faoschwarz.com/products/sleeping-beauty-1000-piece-puzzle")</f>
        <v/>
      </c>
      <c r="C4600" t="inlineStr">
        <is>
          <t>Sleeping Beauty 1000 Piece Puzzle</t>
        </is>
      </c>
      <c r="D4600" t="inlineStr">
        <is>
          <t>Masterpieces 1000 Piece Jigsaw Puzzle for Adults, Family, Or Kids - Beauty and The Beast - 19.25"x26.75"</t>
        </is>
      </c>
      <c r="E4600" s="2">
        <f>HYPERLINK("https://www.amazon.com/Masterpieces-Jigsaw-Puzzle-Adults-Family/dp/B087SHDVZ5/ref=sr_1_4?keywords=Sleeping+Beauty+1000+Piece+Puzzle&amp;qid=1695565989&amp;sr=8-4", "https://www.amazon.com/Masterpieces-Jigsaw-Puzzle-Adults-Family/dp/B087SHDVZ5/ref=sr_1_4?keywords=Sleeping+Beauty+1000+Piece+Puzzle&amp;qid=1695565989&amp;sr=8-4")</f>
        <v/>
      </c>
      <c r="F4600" t="inlineStr">
        <is>
          <t>B087SHDVZ5</t>
        </is>
      </c>
      <c r="G4600">
        <f>_xlfn.IMAGE("https://faoschwarz.com/cdn/shop/products/ravensburger-puzzles-sleeping-beauty-1000-piece-puzzle-28936259469399_1080x.jpg?v=1655977744")</f>
        <v/>
      </c>
      <c r="H4600">
        <f>_xlfn.IMAGE("https://m.media-amazon.com/images/I/91haGSzFxHL._AC_UL320_.jpg")</f>
        <v/>
      </c>
      <c r="K4600" t="inlineStr">
        <is>
          <t>30.0</t>
        </is>
      </c>
      <c r="L4600" t="n">
        <v>16.99</v>
      </c>
      <c r="M4600" s="1" t="inlineStr">
        <is>
          <t>-43.37%</t>
        </is>
      </c>
      <c r="N4600" t="n">
        <v>4.5</v>
      </c>
      <c r="O4600" t="n">
        <v>221</v>
      </c>
      <c r="Q4600" t="inlineStr">
        <is>
          <t>InStock</t>
        </is>
      </c>
      <c r="R4600" t="inlineStr">
        <is>
          <t>undefined</t>
        </is>
      </c>
      <c r="S4600" t="inlineStr">
        <is>
          <t>4615260209239</t>
        </is>
      </c>
    </row>
    <row r="4601" ht="75" customHeight="1">
      <c r="A4601" s="2">
        <f>HYPERLINK("https://faoschwarz.com/products/sleeping-beauty-1000-piece-puzzle", "https://faoschwarz.com/products/sleeping-beauty-1000-piece-puzzle")</f>
        <v/>
      </c>
      <c r="B4601" s="2">
        <f>HYPERLINK("https://faoschwarz.com/products/sleeping-beauty-1000-piece-puzzle", "https://faoschwarz.com/products/sleeping-beauty-1000-piece-puzzle")</f>
        <v/>
      </c>
      <c r="C4601" t="inlineStr">
        <is>
          <t>Sleeping Beauty 1000 Piece Puzzle</t>
        </is>
      </c>
      <c r="D4601" t="inlineStr">
        <is>
          <t>Ceaco - 4 in 1 Multipack - Thomas Kinkade - Disney Dreams Collection - Tangled, Sleeping Beauty, Peter Pan, &amp; Mickey and Minnie - (4) 500 Piece Jigsaw Puzzles</t>
        </is>
      </c>
      <c r="E4601" s="2">
        <f>HYPERLINK("https://www.amazon.com/Ceaco-500-Piece-Thomas-Kinkade/dp/B08H54LGMH/ref=sr_1_8?keywords=Sleeping+Beauty+1000+Piece+Puzzle&amp;qid=1695565989&amp;sr=8-8", "https://www.amazon.com/Ceaco-500-Piece-Thomas-Kinkade/dp/B08H54LGMH/ref=sr_1_8?keywords=Sleeping+Beauty+1000+Piece+Puzzle&amp;qid=1695565989&amp;sr=8-8")</f>
        <v/>
      </c>
      <c r="F4601" t="inlineStr">
        <is>
          <t>B08H54LGMH</t>
        </is>
      </c>
      <c r="G4601">
        <f>_xlfn.IMAGE("https://faoschwarz.com/cdn/shop/products/ravensburger-puzzles-sleeping-beauty-1000-piece-puzzle-28936259469399_1080x.jpg?v=1655977744")</f>
        <v/>
      </c>
      <c r="H4601">
        <f>_xlfn.IMAGE("https://m.media-amazon.com/images/I/A1Ew+R26ebL._AC_UL320_.jpg")</f>
        <v/>
      </c>
      <c r="K4601" t="inlineStr">
        <is>
          <t>30.0</t>
        </is>
      </c>
      <c r="L4601" t="n">
        <v>15.97</v>
      </c>
      <c r="M4601" s="1" t="inlineStr">
        <is>
          <t>-46.77%</t>
        </is>
      </c>
      <c r="N4601" t="n">
        <v>4.7</v>
      </c>
      <c r="O4601" t="n">
        <v>765</v>
      </c>
      <c r="Q4601" t="inlineStr">
        <is>
          <t>InStock</t>
        </is>
      </c>
      <c r="R4601" t="inlineStr">
        <is>
          <t>undefined</t>
        </is>
      </c>
      <c r="S4601" t="inlineStr">
        <is>
          <t>4615260209239</t>
        </is>
      </c>
    </row>
    <row r="4602" ht="75" customHeight="1">
      <c r="A4602" s="2">
        <f>HYPERLINK("https://faoschwarz.com/products/sleeping-beauty-1000-piece-puzzle", "https://faoschwarz.com/products/sleeping-beauty-1000-piece-puzzle")</f>
        <v/>
      </c>
      <c r="B4602" s="2">
        <f>HYPERLINK("https://faoschwarz.com/products/sleeping-beauty-1000-piece-puzzle", "https://faoschwarz.com/products/sleeping-beauty-1000-piece-puzzle")</f>
        <v/>
      </c>
      <c r="C4602" t="inlineStr">
        <is>
          <t>Sleeping Beauty 1000 Piece Puzzle</t>
        </is>
      </c>
      <c r="D4602" t="inlineStr">
        <is>
          <t>Ceaco - Thomas Kinkade - Disney Dreams Collection - Sleeping Beauty - 1500 Piece Jigsaw Puzzle</t>
        </is>
      </c>
      <c r="E4602" s="2">
        <f>HYPERLINK("https://www.amazon.com/Ceaco-Thomas-Kinkade-Disney-Sleeping/dp/B0858453SS/ref=sr_1_5?keywords=Sleeping+Beauty+1000+Piece+Puzzle&amp;qid=1695565989&amp;sr=8-5", "https://www.amazon.com/Ceaco-Thomas-Kinkade-Disney-Sleeping/dp/B0858453SS/ref=sr_1_5?keywords=Sleeping+Beauty+1000+Piece+Puzzle&amp;qid=1695565989&amp;sr=8-5")</f>
        <v/>
      </c>
      <c r="F4602" t="inlineStr">
        <is>
          <t>B0858453SS</t>
        </is>
      </c>
      <c r="G4602">
        <f>_xlfn.IMAGE("https://faoschwarz.com/cdn/shop/products/ravensburger-puzzles-sleeping-beauty-1000-piece-puzzle-28936259469399_1080x.jpg?v=1655977744")</f>
        <v/>
      </c>
      <c r="H4602">
        <f>_xlfn.IMAGE("https://m.media-amazon.com/images/I/A1IWHLFw9UL._AC_UL320_.jpg")</f>
        <v/>
      </c>
      <c r="K4602" t="inlineStr">
        <is>
          <t>30.0</t>
        </is>
      </c>
      <c r="L4602" t="n">
        <v>12.6</v>
      </c>
      <c r="M4602" s="1" t="inlineStr">
        <is>
          <t>-58.00%</t>
        </is>
      </c>
      <c r="N4602" t="n">
        <v>4.6</v>
      </c>
      <c r="O4602" t="n">
        <v>145</v>
      </c>
      <c r="Q4602" t="inlineStr">
        <is>
          <t>InStock</t>
        </is>
      </c>
      <c r="R4602" t="inlineStr">
        <is>
          <t>undefined</t>
        </is>
      </c>
      <c r="S4602" t="inlineStr">
        <is>
          <t>4615260209239</t>
        </is>
      </c>
    </row>
    <row r="4603" ht="75" customHeight="1">
      <c r="A4603" s="2">
        <f>HYPERLINK("https://faoschwarz.com/products/sleeping-beauty-1000-piece-puzzle", "https://faoschwarz.com/products/sleeping-beauty-1000-piece-puzzle")</f>
        <v/>
      </c>
      <c r="B4603" s="2">
        <f>HYPERLINK("https://faoschwarz.com/products/sleeping-beauty-1000-piece-puzzle", "https://faoschwarz.com/products/sleeping-beauty-1000-piece-puzzle")</f>
        <v/>
      </c>
      <c r="C4603" t="inlineStr">
        <is>
          <t>Sleeping Beauty 1000 Piece Puzzle</t>
        </is>
      </c>
      <c r="D4603" t="inlineStr">
        <is>
          <t>Ceaco - Thomas Kinkade - Disney Dreams Collection - Sleeping Beauty Enchanted - 750 Piece Jigsaw Puzzle</t>
        </is>
      </c>
      <c r="E4603" s="2">
        <f>HYPERLINK("https://www.amazon.com/Thomas-Kinkade-Collection-Sleeping-Enchanting/dp/B07NC8VD95/ref=sr_1_7?keywords=Sleeping+Beauty+1000+Piece+Puzzle&amp;qid=1695565989&amp;sr=8-7", "https://www.amazon.com/Thomas-Kinkade-Collection-Sleeping-Enchanting/dp/B07NC8VD95/ref=sr_1_7?keywords=Sleeping+Beauty+1000+Piece+Puzzle&amp;qid=1695565989&amp;sr=8-7")</f>
        <v/>
      </c>
      <c r="F4603" t="inlineStr">
        <is>
          <t>B07NC8VD95</t>
        </is>
      </c>
      <c r="G4603">
        <f>_xlfn.IMAGE("https://faoschwarz.com/cdn/shop/products/ravensburger-puzzles-sleeping-beauty-1000-piece-puzzle-28936259469399_1080x.jpg?v=1655977744")</f>
        <v/>
      </c>
      <c r="H4603">
        <f>_xlfn.IMAGE("https://m.media-amazon.com/images/I/A13YH7vQm+L._AC_UL320_.jpg")</f>
        <v/>
      </c>
      <c r="K4603" t="inlineStr">
        <is>
          <t>30.0</t>
        </is>
      </c>
      <c r="L4603" t="n">
        <v>10.26</v>
      </c>
      <c r="M4603" s="1" t="inlineStr">
        <is>
          <t>-65.80%</t>
        </is>
      </c>
      <c r="N4603" t="n">
        <v>4.7</v>
      </c>
      <c r="O4603" t="n">
        <v>12684</v>
      </c>
      <c r="Q4603" t="inlineStr">
        <is>
          <t>InStock</t>
        </is>
      </c>
      <c r="R4603" t="inlineStr">
        <is>
          <t>undefined</t>
        </is>
      </c>
      <c r="S4603" t="inlineStr">
        <is>
          <t>4615260209239</t>
        </is>
      </c>
    </row>
    <row r="4604" ht="75" customHeight="1">
      <c r="A4604" s="2">
        <f>HYPERLINK("https://faoschwarz.com/products/sleeping-beauty-1000-piece-puzzle", "https://faoschwarz.com/products/sleeping-beauty-1000-piece-puzzle")</f>
        <v/>
      </c>
      <c r="B4604" s="2">
        <f>HYPERLINK("https://faoschwarz.com/products/sleeping-beauty-1000-piece-puzzle", "https://faoschwarz.com/products/sleeping-beauty-1000-piece-puzzle")</f>
        <v/>
      </c>
      <c r="C4604" t="inlineStr">
        <is>
          <t>Sleeping Beauty 1000 Piece Puzzle</t>
        </is>
      </c>
      <c r="D4604" t="inlineStr">
        <is>
          <t>Ravensburger Disney Collector's Edition Sleeping Beauty 1000 Piece Jigsaw Puzzle for Adults - Every Piece is Unique, Softclick Technology Means Pieces Fit Together Perfectly</t>
        </is>
      </c>
      <c r="E4604" s="2">
        <f>HYPERLINK("https://www.amazon.com/Ravensburger-13974-Disney-Collectors-Sleeping/dp/B07NQ58H83/ref=sr_1_1?keywords=Sleeping+Beauty+1000+Piece+Puzzle&amp;qid=1695565989&amp;sr=8-1", "https://www.amazon.com/Ravensburger-13974-Disney-Collectors-Sleeping/dp/B07NQ58H83/ref=sr_1_1?keywords=Sleeping+Beauty+1000+Piece+Puzzle&amp;qid=1695565989&amp;sr=8-1")</f>
        <v/>
      </c>
      <c r="F4604" t="inlineStr">
        <is>
          <t>B07NQ58H83</t>
        </is>
      </c>
      <c r="G4604">
        <f>_xlfn.IMAGE("https://faoschwarz.com/cdn/shop/products/ravensburger-puzzles-sleeping-beauty-1000-piece-puzzle-28936259469399_1080x.jpg?v=1655977744")</f>
        <v/>
      </c>
      <c r="H4604">
        <f>_xlfn.IMAGE("https://m.media-amazon.com/images/I/71cNp-MagLL._AC_UL320_.jpg")</f>
        <v/>
      </c>
      <c r="K4604" t="inlineStr">
        <is>
          <t>30.0</t>
        </is>
      </c>
      <c r="L4604" t="n">
        <v>24.94</v>
      </c>
      <c r="M4604" s="1" t="inlineStr">
        <is>
          <t>-16.87%</t>
        </is>
      </c>
      <c r="N4604" t="n">
        <v>4.8</v>
      </c>
      <c r="O4604" t="n">
        <v>5948</v>
      </c>
      <c r="Q4604" t="inlineStr">
        <is>
          <t>InStock</t>
        </is>
      </c>
      <c r="R4604" t="inlineStr">
        <is>
          <t>undefined</t>
        </is>
      </c>
      <c r="S4604" t="inlineStr">
        <is>
          <t>4615260209239</t>
        </is>
      </c>
    </row>
    <row r="4605" ht="75" customHeight="1">
      <c r="A4605" s="2">
        <f>HYPERLINK("https://faoschwarz.com/products/sleeping-beauty-1000-piece-puzzle", "https://faoschwarz.com/products/sleeping-beauty-1000-piece-puzzle")</f>
        <v/>
      </c>
      <c r="B4605" s="2">
        <f>HYPERLINK("https://faoschwarz.com/products/sleeping-beauty-1000-piece-puzzle", "https://faoschwarz.com/products/sleeping-beauty-1000-piece-puzzle")</f>
        <v/>
      </c>
      <c r="C4605" t="inlineStr">
        <is>
          <t>Sleeping Beauty 1000 Piece Puzzle</t>
        </is>
      </c>
      <c r="D4605" t="inlineStr">
        <is>
          <t>Masterpieces 1000 Piece Jigsaw Puzzle for Adults, Family, Or Kids - Beauty and The Beast - 19.25"x26.75"</t>
        </is>
      </c>
      <c r="E4605" s="2">
        <f>HYPERLINK("https://www.amazon.com/Masterpieces-Jigsaw-Puzzle-Adults-Family/dp/B087SHDVZ5/ref=sr_1_4?keywords=Sleeping+Beauty+1000+Piece+Puzzle&amp;qid=1695565989&amp;sr=8-4", "https://www.amazon.com/Masterpieces-Jigsaw-Puzzle-Adults-Family/dp/B087SHDVZ5/ref=sr_1_4?keywords=Sleeping+Beauty+1000+Piece+Puzzle&amp;qid=1695565989&amp;sr=8-4")</f>
        <v/>
      </c>
      <c r="F4605" t="inlineStr">
        <is>
          <t>B087SHDVZ5</t>
        </is>
      </c>
      <c r="G4605">
        <f>_xlfn.IMAGE("https://faoschwarz.com/cdn/shop/products/ravensburger-puzzles-sleeping-beauty-1000-piece-puzzle-28936259469399_1080x.jpg?v=1655977744")</f>
        <v/>
      </c>
      <c r="H4605">
        <f>_xlfn.IMAGE("https://m.media-amazon.com/images/I/91haGSzFxHL._AC_UL320_.jpg")</f>
        <v/>
      </c>
      <c r="K4605" t="inlineStr">
        <is>
          <t>30.0</t>
        </is>
      </c>
      <c r="L4605" t="n">
        <v>16.99</v>
      </c>
      <c r="M4605" s="1" t="inlineStr">
        <is>
          <t>-43.37%</t>
        </is>
      </c>
      <c r="N4605" t="n">
        <v>4.5</v>
      </c>
      <c r="O4605" t="n">
        <v>221</v>
      </c>
      <c r="Q4605" t="inlineStr">
        <is>
          <t>InStock</t>
        </is>
      </c>
      <c r="R4605" t="inlineStr">
        <is>
          <t>undefined</t>
        </is>
      </c>
      <c r="S4605" t="inlineStr">
        <is>
          <t>4615260209239</t>
        </is>
      </c>
    </row>
    <row r="4606" ht="75" customHeight="1">
      <c r="A4606" s="2">
        <f>HYPERLINK("https://faoschwarz.com/products/sleeping-beauty-1000-piece-puzzle", "https://faoschwarz.com/products/sleeping-beauty-1000-piece-puzzle")</f>
        <v/>
      </c>
      <c r="B4606" s="2">
        <f>HYPERLINK("https://faoschwarz.com/products/sleeping-beauty-1000-piece-puzzle", "https://faoschwarz.com/products/sleeping-beauty-1000-piece-puzzle")</f>
        <v/>
      </c>
      <c r="C4606" t="inlineStr">
        <is>
          <t>Sleeping Beauty 1000 Piece Puzzle</t>
        </is>
      </c>
      <c r="D4606" t="inlineStr">
        <is>
          <t>Ceaco - 4 in 1 Multipack - Thomas Kinkade - Disney Dreams Collection - Tangled, Sleeping Beauty, Peter Pan, &amp; Mickey and Minnie - (4) 500 Piece Jigsaw Puzzles</t>
        </is>
      </c>
      <c r="E4606" s="2">
        <f>HYPERLINK("https://www.amazon.com/Ceaco-500-Piece-Thomas-Kinkade/dp/B08H54LGMH/ref=sr_1_8?keywords=Sleeping+Beauty+1000+Piece+Puzzle&amp;qid=1695565989&amp;sr=8-8", "https://www.amazon.com/Ceaco-500-Piece-Thomas-Kinkade/dp/B08H54LGMH/ref=sr_1_8?keywords=Sleeping+Beauty+1000+Piece+Puzzle&amp;qid=1695565989&amp;sr=8-8")</f>
        <v/>
      </c>
      <c r="F4606" t="inlineStr">
        <is>
          <t>B08H54LGMH</t>
        </is>
      </c>
      <c r="G4606">
        <f>_xlfn.IMAGE("https://faoschwarz.com/cdn/shop/products/ravensburger-puzzles-sleeping-beauty-1000-piece-puzzle-28936259469399_1080x.jpg?v=1655977744")</f>
        <v/>
      </c>
      <c r="H4606">
        <f>_xlfn.IMAGE("https://m.media-amazon.com/images/I/A1Ew+R26ebL._AC_UL320_.jpg")</f>
        <v/>
      </c>
      <c r="K4606" t="inlineStr">
        <is>
          <t>30.0</t>
        </is>
      </c>
      <c r="L4606" t="n">
        <v>15.97</v>
      </c>
      <c r="M4606" s="1" t="inlineStr">
        <is>
          <t>-46.77%</t>
        </is>
      </c>
      <c r="N4606" t="n">
        <v>4.7</v>
      </c>
      <c r="O4606" t="n">
        <v>765</v>
      </c>
      <c r="Q4606" t="inlineStr">
        <is>
          <t>InStock</t>
        </is>
      </c>
      <c r="R4606" t="inlineStr">
        <is>
          <t>undefined</t>
        </is>
      </c>
      <c r="S4606" t="inlineStr">
        <is>
          <t>4615260209239</t>
        </is>
      </c>
    </row>
    <row r="4607" ht="75" customHeight="1">
      <c r="A4607" s="2">
        <f>HYPERLINK("https://faoschwarz.com/products/sleeping-beauty-1000-piece-puzzle", "https://faoschwarz.com/products/sleeping-beauty-1000-piece-puzzle")</f>
        <v/>
      </c>
      <c r="B4607" s="2">
        <f>HYPERLINK("https://faoschwarz.com/products/sleeping-beauty-1000-piece-puzzle", "https://faoschwarz.com/products/sleeping-beauty-1000-piece-puzzle")</f>
        <v/>
      </c>
      <c r="C4607" t="inlineStr">
        <is>
          <t>Sleeping Beauty 1000 Piece Puzzle</t>
        </is>
      </c>
      <c r="D4607" t="inlineStr">
        <is>
          <t>Ceaco - Thomas Kinkade - Disney Dreams Collection - Sleeping Beauty - 1500 Piece Jigsaw Puzzle</t>
        </is>
      </c>
      <c r="E4607" s="2">
        <f>HYPERLINK("https://www.amazon.com/Ceaco-Thomas-Kinkade-Disney-Sleeping/dp/B0858453SS/ref=sr_1_5?keywords=Sleeping+Beauty+1000+Piece+Puzzle&amp;qid=1695565989&amp;sr=8-5", "https://www.amazon.com/Ceaco-Thomas-Kinkade-Disney-Sleeping/dp/B0858453SS/ref=sr_1_5?keywords=Sleeping+Beauty+1000+Piece+Puzzle&amp;qid=1695565989&amp;sr=8-5")</f>
        <v/>
      </c>
      <c r="F4607" t="inlineStr">
        <is>
          <t>B0858453SS</t>
        </is>
      </c>
      <c r="G4607">
        <f>_xlfn.IMAGE("https://faoschwarz.com/cdn/shop/products/ravensburger-puzzles-sleeping-beauty-1000-piece-puzzle-28936259469399_1080x.jpg?v=1655977744")</f>
        <v/>
      </c>
      <c r="H4607">
        <f>_xlfn.IMAGE("https://m.media-amazon.com/images/I/A1IWHLFw9UL._AC_UL320_.jpg")</f>
        <v/>
      </c>
      <c r="K4607" t="inlineStr">
        <is>
          <t>30.0</t>
        </is>
      </c>
      <c r="L4607" t="n">
        <v>12.6</v>
      </c>
      <c r="M4607" s="1" t="inlineStr">
        <is>
          <t>-58.00%</t>
        </is>
      </c>
      <c r="N4607" t="n">
        <v>4.6</v>
      </c>
      <c r="O4607" t="n">
        <v>145</v>
      </c>
      <c r="Q4607" t="inlineStr">
        <is>
          <t>InStock</t>
        </is>
      </c>
      <c r="R4607" t="inlineStr">
        <is>
          <t>undefined</t>
        </is>
      </c>
      <c r="S4607" t="inlineStr">
        <is>
          <t>4615260209239</t>
        </is>
      </c>
    </row>
    <row r="4608" ht="75" customHeight="1">
      <c r="A4608" s="2">
        <f>HYPERLINK("https://faoschwarz.com/products/sleeping-beauty-1000-piece-puzzle", "https://faoschwarz.com/products/sleeping-beauty-1000-piece-puzzle")</f>
        <v/>
      </c>
      <c r="B4608" s="2">
        <f>HYPERLINK("https://faoschwarz.com/products/sleeping-beauty-1000-piece-puzzle", "https://faoschwarz.com/products/sleeping-beauty-1000-piece-puzzle")</f>
        <v/>
      </c>
      <c r="C4608" t="inlineStr">
        <is>
          <t>Sleeping Beauty 1000 Piece Puzzle</t>
        </is>
      </c>
      <c r="D4608" t="inlineStr">
        <is>
          <t>Ceaco - Thomas Kinkade - Disney Dreams Collection - Sleeping Beauty Enchanted - 750 Piece Jigsaw Puzzle</t>
        </is>
      </c>
      <c r="E4608" s="2">
        <f>HYPERLINK("https://www.amazon.com/Thomas-Kinkade-Collection-Sleeping-Enchanting/dp/B07NC8VD95/ref=sr_1_7?keywords=Sleeping+Beauty+1000+Piece+Puzzle&amp;qid=1695565989&amp;sr=8-7", "https://www.amazon.com/Thomas-Kinkade-Collection-Sleeping-Enchanting/dp/B07NC8VD95/ref=sr_1_7?keywords=Sleeping+Beauty+1000+Piece+Puzzle&amp;qid=1695565989&amp;sr=8-7")</f>
        <v/>
      </c>
      <c r="F4608" t="inlineStr">
        <is>
          <t>B07NC8VD95</t>
        </is>
      </c>
      <c r="G4608">
        <f>_xlfn.IMAGE("https://faoschwarz.com/cdn/shop/products/ravensburger-puzzles-sleeping-beauty-1000-piece-puzzle-28936259469399_1080x.jpg?v=1655977744")</f>
        <v/>
      </c>
      <c r="H4608">
        <f>_xlfn.IMAGE("https://m.media-amazon.com/images/I/A13YH7vQm+L._AC_UL320_.jpg")</f>
        <v/>
      </c>
      <c r="K4608" t="inlineStr">
        <is>
          <t>30.0</t>
        </is>
      </c>
      <c r="L4608" t="n">
        <v>10.26</v>
      </c>
      <c r="M4608" s="1" t="inlineStr">
        <is>
          <t>-65.80%</t>
        </is>
      </c>
      <c r="N4608" t="n">
        <v>4.7</v>
      </c>
      <c r="O4608" t="n">
        <v>12684</v>
      </c>
      <c r="Q4608" t="inlineStr">
        <is>
          <t>InStock</t>
        </is>
      </c>
      <c r="R4608" t="inlineStr">
        <is>
          <t>undefined</t>
        </is>
      </c>
      <c r="S4608" t="inlineStr">
        <is>
          <t>4615260209239</t>
        </is>
      </c>
    </row>
    <row r="4609" ht="75" customHeight="1">
      <c r="A4609" s="2">
        <f>HYPERLINK("https://faoschwarz.com/products/sorry-vintage-bookshelf-edition", "https://faoschwarz.com/products/sorry-vintage-bookshelf-edition")</f>
        <v/>
      </c>
      <c r="B4609" s="2">
        <f>HYPERLINK("https://faoschwarz.com/products/sorry-vintage-bookshelf-edition", "https://faoschwarz.com/products/sorry-vintage-bookshelf-edition")</f>
        <v/>
      </c>
      <c r="C4609" t="inlineStr">
        <is>
          <t>Sorry! Vintage Bookshelf Edition</t>
        </is>
      </c>
      <c r="D4609" t="inlineStr">
        <is>
          <t>WS Game Company The Game of Life Vintage Bookshelf Edition</t>
        </is>
      </c>
      <c r="E4609" s="2">
        <f>HYPERLINK("https://www.amazon.com/Winning-Solutions-Linen-Vintage-Board/dp/B075SDMMMT/ref=sr_1_2?keywords=Sorry%21+Vintage+Bookshelf+Edition&amp;qid=1695565998&amp;sr=8-2", "https://www.amazon.com/Winning-Solutions-Linen-Vintage-Board/dp/B075SDMMMT/ref=sr_1_2?keywords=Sorry%21+Vintage+Bookshelf+Edition&amp;qid=1695565998&amp;sr=8-2")</f>
        <v/>
      </c>
      <c r="F4609" t="inlineStr">
        <is>
          <t>B075SDMMMT</t>
        </is>
      </c>
      <c r="G4609">
        <f>_xlfn.IMAGE("https://faoschwarz.com/cdn/shop/products/ws-game-company-games-sorry-vintage-bookshelf-edition-28900029366359_1080x.jpg?v=1655993420")</f>
        <v/>
      </c>
      <c r="H4609">
        <f>_xlfn.IMAGE("https://m.media-amazon.com/images/I/91GMf7H9POL._AC_UL320_.jpg")</f>
        <v/>
      </c>
      <c r="K4609" t="inlineStr">
        <is>
          <t>40.0</t>
        </is>
      </c>
      <c r="L4609" t="n">
        <v>44.99</v>
      </c>
      <c r="M4609" s="1" t="inlineStr">
        <is>
          <t>12.48%</t>
        </is>
      </c>
      <c r="N4609" t="n">
        <v>4.7</v>
      </c>
      <c r="O4609" t="n">
        <v>49</v>
      </c>
      <c r="Q4609" t="inlineStr">
        <is>
          <t>InStock</t>
        </is>
      </c>
      <c r="R4609" t="inlineStr">
        <is>
          <t>undefined</t>
        </is>
      </c>
      <c r="S4609" t="inlineStr">
        <is>
          <t>6715353923671</t>
        </is>
      </c>
    </row>
    <row r="4610" ht="75" customHeight="1">
      <c r="A4610" s="2">
        <f>HYPERLINK("https://faoschwarz.com/products/sorry-vintage-bookshelf-edition", "https://faoschwarz.com/products/sorry-vintage-bookshelf-edition")</f>
        <v/>
      </c>
      <c r="B4610" s="2">
        <f>HYPERLINK("https://faoschwarz.com/products/sorry-vintage-bookshelf-edition", "https://faoschwarz.com/products/sorry-vintage-bookshelf-edition")</f>
        <v/>
      </c>
      <c r="C4610" t="inlineStr">
        <is>
          <t>Sorry! Vintage Bookshelf Edition</t>
        </is>
      </c>
      <c r="D4610" t="inlineStr">
        <is>
          <t>WS Game Company Taboo Vintage Bookshelf Edition</t>
        </is>
      </c>
      <c r="E4610" s="2">
        <f>HYPERLINK("https://www.amazon.com/WS-Game-Company-Vintage-Bookshelf/dp/B0C4D26SDW/ref=sr_1_10?keywords=Sorry%21+Vintage+Bookshelf+Edition&amp;qid=1695565998&amp;sr=8-10", "https://www.amazon.com/WS-Game-Company-Vintage-Bookshelf/dp/B0C4D26SDW/ref=sr_1_10?keywords=Sorry%21+Vintage+Bookshelf+Edition&amp;qid=1695565998&amp;sr=8-10")</f>
        <v/>
      </c>
      <c r="F4610" t="inlineStr">
        <is>
          <t>B0C4D26SDW</t>
        </is>
      </c>
      <c r="G4610">
        <f>_xlfn.IMAGE("https://faoschwarz.com/cdn/shop/products/ws-game-company-games-sorry-vintage-bookshelf-edition-28900029366359_1080x.jpg?v=1655993420")</f>
        <v/>
      </c>
      <c r="H4610">
        <f>_xlfn.IMAGE("https://m.media-amazon.com/images/I/71w+AQ-OvDL._AC_UL320_.jpg")</f>
        <v/>
      </c>
      <c r="K4610" t="inlineStr">
        <is>
          <t>40.0</t>
        </is>
      </c>
      <c r="L4610" t="n">
        <v>39.99</v>
      </c>
      <c r="M4610" s="1" t="inlineStr">
        <is>
          <t>-0.02%</t>
        </is>
      </c>
      <c r="N4610" t="n">
        <v>5</v>
      </c>
      <c r="O4610" t="n">
        <v>7</v>
      </c>
      <c r="Q4610" t="inlineStr">
        <is>
          <t>InStock</t>
        </is>
      </c>
      <c r="R4610" t="inlineStr">
        <is>
          <t>undefined</t>
        </is>
      </c>
      <c r="S4610" t="inlineStr">
        <is>
          <t>6715353923671</t>
        </is>
      </c>
    </row>
    <row r="4611" ht="75" customHeight="1">
      <c r="A4611" s="2">
        <f>HYPERLINK("https://faoschwarz.com/products/sorry-vintage-bookshelf-edition", "https://faoschwarz.com/products/sorry-vintage-bookshelf-edition")</f>
        <v/>
      </c>
      <c r="B4611" s="2">
        <f>HYPERLINK("https://faoschwarz.com/products/sorry-vintage-bookshelf-edition", "https://faoschwarz.com/products/sorry-vintage-bookshelf-edition")</f>
        <v/>
      </c>
      <c r="C4611" t="inlineStr">
        <is>
          <t>Sorry! Vintage Bookshelf Edition</t>
        </is>
      </c>
      <c r="D4611" t="inlineStr">
        <is>
          <t>WS Game Company Chess Vintage Bookshelf Edition</t>
        </is>
      </c>
      <c r="E4611" s="2">
        <f>HYPERLINK("https://www.amazon.com/WS-Game-Company-Vintage-Bookshelf/dp/B09N451M4X/ref=sr_1_8?keywords=Sorry%21+Vintage+Bookshelf+Edition&amp;qid=1695565998&amp;sr=8-8", "https://www.amazon.com/WS-Game-Company-Vintage-Bookshelf/dp/B09N451M4X/ref=sr_1_8?keywords=Sorry%21+Vintage+Bookshelf+Edition&amp;qid=1695565998&amp;sr=8-8")</f>
        <v/>
      </c>
      <c r="F4611" t="inlineStr">
        <is>
          <t>B09N451M4X</t>
        </is>
      </c>
      <c r="G4611">
        <f>_xlfn.IMAGE("https://faoschwarz.com/cdn/shop/products/ws-game-company-games-sorry-vintage-bookshelf-edition-28900029366359_1080x.jpg?v=1655993420")</f>
        <v/>
      </c>
      <c r="H4611">
        <f>_xlfn.IMAGE("https://m.media-amazon.com/images/I/81yVQWnPdbL._AC_UL320_.jpg")</f>
        <v/>
      </c>
      <c r="K4611" t="inlineStr">
        <is>
          <t>40.0</t>
        </is>
      </c>
      <c r="L4611" t="n">
        <v>39.99</v>
      </c>
      <c r="M4611" s="1" t="inlineStr">
        <is>
          <t>-0.02%</t>
        </is>
      </c>
      <c r="N4611" t="n">
        <v>4.9</v>
      </c>
      <c r="O4611" t="n">
        <v>94</v>
      </c>
      <c r="Q4611" t="inlineStr">
        <is>
          <t>InStock</t>
        </is>
      </c>
      <c r="R4611" t="inlineStr">
        <is>
          <t>undefined</t>
        </is>
      </c>
      <c r="S4611" t="inlineStr">
        <is>
          <t>6715353923671</t>
        </is>
      </c>
    </row>
    <row r="4612" ht="75" customHeight="1">
      <c r="A4612" s="2">
        <f>HYPERLINK("https://faoschwarz.com/products/sorry-vintage-bookshelf-edition", "https://faoschwarz.com/products/sorry-vintage-bookshelf-edition")</f>
        <v/>
      </c>
      <c r="B4612" s="2">
        <f>HYPERLINK("https://faoschwarz.com/products/sorry-vintage-bookshelf-edition", "https://faoschwarz.com/products/sorry-vintage-bookshelf-edition")</f>
        <v/>
      </c>
      <c r="C4612" t="inlineStr">
        <is>
          <t>Sorry! Vintage Bookshelf Edition</t>
        </is>
      </c>
      <c r="D4612" t="inlineStr">
        <is>
          <t>WS Game Company Clue Vintage Bookshelf Edition</t>
        </is>
      </c>
      <c r="E4612" s="2">
        <f>HYPERLINK("https://www.amazon.com/Clue-Linen-Book-Vintage-Board/dp/B01CPTT716/ref=sr_1_4?keywords=Sorry%21+Vintage+Bookshelf+Edition&amp;qid=1695565998&amp;sr=8-4", "https://www.amazon.com/Clue-Linen-Book-Vintage-Board/dp/B01CPTT716/ref=sr_1_4?keywords=Sorry%21+Vintage+Bookshelf+Edition&amp;qid=1695565998&amp;sr=8-4")</f>
        <v/>
      </c>
      <c r="F4612" t="inlineStr">
        <is>
          <t>B01CPTT716</t>
        </is>
      </c>
      <c r="G4612">
        <f>_xlfn.IMAGE("https://faoschwarz.com/cdn/shop/products/ws-game-company-games-sorry-vintage-bookshelf-edition-28900029366359_1080x.jpg?v=1655993420")</f>
        <v/>
      </c>
      <c r="H4612">
        <f>_xlfn.IMAGE("https://m.media-amazon.com/images/I/81MHz0qbqQL._AC_UL320_.jpg")</f>
        <v/>
      </c>
      <c r="K4612" t="inlineStr">
        <is>
          <t>40.0</t>
        </is>
      </c>
      <c r="L4612" t="n">
        <v>39.99</v>
      </c>
      <c r="M4612" s="1" t="inlineStr">
        <is>
          <t>-0.02%</t>
        </is>
      </c>
      <c r="N4612" t="n">
        <v>4.8</v>
      </c>
      <c r="O4612" t="n">
        <v>711</v>
      </c>
      <c r="Q4612" t="inlineStr">
        <is>
          <t>InStock</t>
        </is>
      </c>
      <c r="R4612" t="inlineStr">
        <is>
          <t>undefined</t>
        </is>
      </c>
      <c r="S4612" t="inlineStr">
        <is>
          <t>6715353923671</t>
        </is>
      </c>
    </row>
    <row r="4613" ht="75" customHeight="1">
      <c r="A4613" s="2">
        <f>HYPERLINK("https://faoschwarz.com/products/sorry-vintage-bookshelf-edition", "https://faoschwarz.com/products/sorry-vintage-bookshelf-edition")</f>
        <v/>
      </c>
      <c r="B4613" s="2">
        <f>HYPERLINK("https://faoschwarz.com/products/sorry-vintage-bookshelf-edition", "https://faoschwarz.com/products/sorry-vintage-bookshelf-edition")</f>
        <v/>
      </c>
      <c r="C4613" t="inlineStr">
        <is>
          <t>Sorry! Vintage Bookshelf Edition</t>
        </is>
      </c>
      <c r="D4613" t="inlineStr">
        <is>
          <t>WS Game Company Sorry! Vintage Bookshelf Edition</t>
        </is>
      </c>
      <c r="E4613" s="2">
        <f>HYPERLINK("https://www.amazon.com/WS-Game-Company-Vintage-Bookshelf/dp/B09N21R993/ref=sr_1_1?keywords=Sorry%21+Vintage+Bookshelf+Edition&amp;qid=1695565998&amp;sr=8-1", "https://www.amazon.com/WS-Game-Company-Vintage-Bookshelf/dp/B09N21R993/ref=sr_1_1?keywords=Sorry%21+Vintage+Bookshelf+Edition&amp;qid=1695565998&amp;sr=8-1")</f>
        <v/>
      </c>
      <c r="F4613" t="inlineStr">
        <is>
          <t>B09N21R993</t>
        </is>
      </c>
      <c r="G4613">
        <f>_xlfn.IMAGE("https://faoschwarz.com/cdn/shop/products/ws-game-company-games-sorry-vintage-bookshelf-edition-28900029366359_1080x.jpg?v=1655993420")</f>
        <v/>
      </c>
      <c r="H4613">
        <f>_xlfn.IMAGE("https://m.media-amazon.com/images/I/81K6S3Yn+HL._AC_UL320_.jpg")</f>
        <v/>
      </c>
      <c r="K4613" t="inlineStr">
        <is>
          <t>40.0</t>
        </is>
      </c>
      <c r="L4613" t="n">
        <v>39.99</v>
      </c>
      <c r="M4613" s="1" t="inlineStr">
        <is>
          <t>-0.02%</t>
        </is>
      </c>
      <c r="N4613" t="n">
        <v>4.9</v>
      </c>
      <c r="O4613" t="n">
        <v>184</v>
      </c>
      <c r="Q4613" t="inlineStr">
        <is>
          <t>InStock</t>
        </is>
      </c>
      <c r="R4613" t="inlineStr">
        <is>
          <t>undefined</t>
        </is>
      </c>
      <c r="S4613" t="inlineStr">
        <is>
          <t>6715353923671</t>
        </is>
      </c>
    </row>
    <row r="4614" ht="75" customHeight="1">
      <c r="A4614" s="2">
        <f>HYPERLINK("https://faoschwarz.com/products/sorry-vintage-bookshelf-edition", "https://faoschwarz.com/products/sorry-vintage-bookshelf-edition")</f>
        <v/>
      </c>
      <c r="B4614" s="2">
        <f>HYPERLINK("https://faoschwarz.com/products/sorry-vintage-bookshelf-edition", "https://faoschwarz.com/products/sorry-vintage-bookshelf-edition")</f>
        <v/>
      </c>
      <c r="C4614" t="inlineStr">
        <is>
          <t>Sorry! Vintage Bookshelf Edition</t>
        </is>
      </c>
      <c r="D4614" t="inlineStr">
        <is>
          <t>WS Game Company Catch Phrase Vintage Bookshelf Edition</t>
        </is>
      </c>
      <c r="E4614" s="2">
        <f>HYPERLINK("https://www.amazon.com/WS-Game-Company-Vintage-Bookshelf/dp/B07YB1H4T4/ref=sr_1_5?keywords=Sorry%21+Vintage+Bookshelf+Edition&amp;qid=1695565998&amp;sr=8-5", "https://www.amazon.com/WS-Game-Company-Vintage-Bookshelf/dp/B07YB1H4T4/ref=sr_1_5?keywords=Sorry%21+Vintage+Bookshelf+Edition&amp;qid=1695565998&amp;sr=8-5")</f>
        <v/>
      </c>
      <c r="F4614" t="inlineStr">
        <is>
          <t>B07YB1H4T4</t>
        </is>
      </c>
      <c r="G4614">
        <f>_xlfn.IMAGE("https://faoschwarz.com/cdn/shop/products/ws-game-company-games-sorry-vintage-bookshelf-edition-28900029366359_1080x.jpg?v=1655993420")</f>
        <v/>
      </c>
      <c r="H4614">
        <f>_xlfn.IMAGE("https://m.media-amazon.com/images/I/81cMUfpaqlL._AC_UL320_.jpg")</f>
        <v/>
      </c>
      <c r="K4614" t="inlineStr">
        <is>
          <t>40.0</t>
        </is>
      </c>
      <c r="L4614" t="n">
        <v>39.99</v>
      </c>
      <c r="M4614" s="1" t="inlineStr">
        <is>
          <t>-0.02%</t>
        </is>
      </c>
      <c r="N4614" t="n">
        <v>4.8</v>
      </c>
      <c r="O4614" t="n">
        <v>191</v>
      </c>
      <c r="Q4614" t="inlineStr">
        <is>
          <t>InStock</t>
        </is>
      </c>
      <c r="R4614" t="inlineStr">
        <is>
          <t>undefined</t>
        </is>
      </c>
      <c r="S4614" t="inlineStr">
        <is>
          <t>6715353923671</t>
        </is>
      </c>
    </row>
    <row r="4615" ht="75" customHeight="1">
      <c r="A4615" s="2">
        <f>HYPERLINK("https://faoschwarz.com/products/sorry-vintage-bookshelf-edition", "https://faoschwarz.com/products/sorry-vintage-bookshelf-edition")</f>
        <v/>
      </c>
      <c r="B4615" s="2">
        <f>HYPERLINK("https://faoschwarz.com/products/sorry-vintage-bookshelf-edition", "https://faoschwarz.com/products/sorry-vintage-bookshelf-edition")</f>
        <v/>
      </c>
      <c r="C4615" t="inlineStr">
        <is>
          <t>Sorry! Vintage Bookshelf Edition</t>
        </is>
      </c>
      <c r="D4615" t="inlineStr">
        <is>
          <t>Candy Land Vintage Bookshelf Edition</t>
        </is>
      </c>
      <c r="E4615" s="2">
        <f>HYPERLINK("https://www.amazon.com/WS-Game-Company-Vintage-Bookshelf/dp/B0844NRKT3/ref=sr_1_9?keywords=Sorry%21+Vintage+Bookshelf+Edition&amp;qid=1695565998&amp;sr=8-9", "https://www.amazon.com/WS-Game-Company-Vintage-Bookshelf/dp/B0844NRKT3/ref=sr_1_9?keywords=Sorry%21+Vintage+Bookshelf+Edition&amp;qid=1695565998&amp;sr=8-9")</f>
        <v/>
      </c>
      <c r="F4615" t="inlineStr">
        <is>
          <t>B0844NRKT3</t>
        </is>
      </c>
      <c r="G4615">
        <f>_xlfn.IMAGE("https://faoschwarz.com/cdn/shop/products/ws-game-company-games-sorry-vintage-bookshelf-edition-28900029366359_1080x.jpg?v=1655993420")</f>
        <v/>
      </c>
      <c r="H4615">
        <f>_xlfn.IMAGE("https://m.media-amazon.com/images/I/915Jx+kTAuL._AC_UL320_.jpg")</f>
        <v/>
      </c>
      <c r="K4615" t="inlineStr">
        <is>
          <t>40.0</t>
        </is>
      </c>
      <c r="L4615" t="n">
        <v>27.56</v>
      </c>
      <c r="M4615" s="1" t="inlineStr">
        <is>
          <t>-31.10%</t>
        </is>
      </c>
      <c r="N4615" t="n">
        <v>4.9</v>
      </c>
      <c r="O4615" t="n">
        <v>298</v>
      </c>
      <c r="Q4615" t="inlineStr">
        <is>
          <t>InStock</t>
        </is>
      </c>
      <c r="R4615" t="inlineStr">
        <is>
          <t>undefined</t>
        </is>
      </c>
      <c r="S4615" t="inlineStr">
        <is>
          <t>6715353923671</t>
        </is>
      </c>
    </row>
    <row r="4616" ht="75" customHeight="1">
      <c r="A4616" s="2">
        <f>HYPERLINK("https://faoschwarz.com/products/sorry-vintage-bookshelf-edition", "https://faoschwarz.com/products/sorry-vintage-bookshelf-edition")</f>
        <v/>
      </c>
      <c r="B4616" s="2">
        <f>HYPERLINK("https://faoschwarz.com/products/sorry-vintage-bookshelf-edition", "https://faoschwarz.com/products/sorry-vintage-bookshelf-edition")</f>
        <v/>
      </c>
      <c r="C4616" t="inlineStr">
        <is>
          <t>Sorry! Vintage Bookshelf Edition</t>
        </is>
      </c>
      <c r="D4616" t="inlineStr">
        <is>
          <t>Candy Land Vintage Bookshelf Edition</t>
        </is>
      </c>
      <c r="E4616" s="2">
        <f>HYPERLINK("https://www.amazon.com/WS-Game-Company-Vintage-Bookshelf/dp/B0844NRKT3/ref=sr_1_9?keywords=Sorry%21+Vintage+Bookshelf+Edition&amp;qid=1695565998&amp;sr=8-9", "https://www.amazon.com/WS-Game-Company-Vintage-Bookshelf/dp/B0844NRKT3/ref=sr_1_9?keywords=Sorry%21+Vintage+Bookshelf+Edition&amp;qid=1695565998&amp;sr=8-9")</f>
        <v/>
      </c>
      <c r="F4616" t="inlineStr">
        <is>
          <t>B0844NRKT3</t>
        </is>
      </c>
      <c r="G4616">
        <f>_xlfn.IMAGE("https://faoschwarz.com/cdn/shop/products/ws-game-company-games-sorry-vintage-bookshelf-edition-28900029366359_1080x.jpg?v=1655993420")</f>
        <v/>
      </c>
      <c r="H4616">
        <f>_xlfn.IMAGE("https://m.media-amazon.com/images/I/915Jx+kTAuL._AC_UL320_.jpg")</f>
        <v/>
      </c>
      <c r="K4616" t="inlineStr">
        <is>
          <t>40.0</t>
        </is>
      </c>
      <c r="L4616" t="n">
        <v>27.56</v>
      </c>
      <c r="M4616" s="1" t="inlineStr">
        <is>
          <t>-31.10%</t>
        </is>
      </c>
      <c r="N4616" t="n">
        <v>4.9</v>
      </c>
      <c r="O4616" t="n">
        <v>298</v>
      </c>
      <c r="Q4616" t="inlineStr">
        <is>
          <t>InStock</t>
        </is>
      </c>
      <c r="R4616" t="inlineStr">
        <is>
          <t>undefined</t>
        </is>
      </c>
      <c r="S4616" t="inlineStr">
        <is>
          <t>6715353923671</t>
        </is>
      </c>
    </row>
    <row r="4617" ht="75" customHeight="1">
      <c r="A4617" s="2">
        <f>HYPERLINK("https://faoschwarz.com/products/sorting-puzzle", "https://faoschwarz.com/products/sorting-puzzle")</f>
        <v/>
      </c>
      <c r="B4617" s="2">
        <f>HYPERLINK("https://faoschwarz.com/products/sorting-puzzle", "https://faoschwarz.com/products/sorting-puzzle")</f>
        <v/>
      </c>
      <c r="C4617" t="inlineStr">
        <is>
          <t>Sorting Puzzle</t>
        </is>
      </c>
      <c r="D4617" t="inlineStr">
        <is>
          <t>Yolesty Montessori Toys Wooden Color &amp; Shape Sorting Learning Matching Box with Stacking Toys, Early Educational Block Puzzles Gift for Preschool Toddlers Baby Boy Girl Kids 1 2 3 Years Old</t>
        </is>
      </c>
      <c r="E4617" s="2">
        <f>HYPERLINK("https://www.amazon.com/Yolesty-Montessori-Learning-Educational-Preschool/dp/B0C85HSMG8/ref=sr_1_8?keywords=Sorting+Puzzle&amp;qid=1695565992&amp;sr=8-8", "https://www.amazon.com/Yolesty-Montessori-Learning-Educational-Preschool/dp/B0C85HSMG8/ref=sr_1_8?keywords=Sorting+Puzzle&amp;qid=1695565992&amp;sr=8-8")</f>
        <v/>
      </c>
      <c r="F4617" t="inlineStr">
        <is>
          <t>B0C85HSMG8</t>
        </is>
      </c>
      <c r="G4617">
        <f>_xlfn.IMAGE("https://faoschwarz.com/cdn/shop/products/ravensburger-puzzles-sorting-puzzle-13345782628439_1080x.jpg?v=1656275437")</f>
        <v/>
      </c>
      <c r="H4617">
        <f>_xlfn.IMAGE("https://m.media-amazon.com/images/I/71NWk2lHhwL._AC_UL320_.jpg")</f>
        <v/>
      </c>
      <c r="K4617" t="inlineStr">
        <is>
          <t>25.0</t>
        </is>
      </c>
      <c r="L4617" t="n">
        <v>25.99</v>
      </c>
      <c r="M4617" s="1" t="inlineStr">
        <is>
          <t>3.96%</t>
        </is>
      </c>
      <c r="N4617" t="n">
        <v>5</v>
      </c>
      <c r="O4617" t="n">
        <v>3</v>
      </c>
      <c r="Q4617" t="inlineStr">
        <is>
          <t>InStock</t>
        </is>
      </c>
      <c r="R4617" t="inlineStr">
        <is>
          <t>undefined</t>
        </is>
      </c>
      <c r="S4617" t="inlineStr">
        <is>
          <t>1565157392471</t>
        </is>
      </c>
    </row>
    <row r="4618" ht="75" customHeight="1">
      <c r="A4618" s="2">
        <f>HYPERLINK("https://faoschwarz.com/products/sorting-puzzle", "https://faoschwarz.com/products/sorting-puzzle")</f>
        <v/>
      </c>
      <c r="B4618" s="2">
        <f>HYPERLINK("https://faoschwarz.com/products/sorting-puzzle", "https://faoschwarz.com/products/sorting-puzzle")</f>
        <v/>
      </c>
      <c r="C4618" t="inlineStr">
        <is>
          <t>Sorting Puzzle</t>
        </is>
      </c>
      <c r="D4618" t="inlineStr">
        <is>
          <t>3 in 1 Montessori Toys for 3+ Year Old, Educational Magnetic Color and Number Maze, Shape &amp; Number Wooden Puzzle Sorting Toys for Toddlers, Preschool Learning Activities Classroom Must Haves</t>
        </is>
      </c>
      <c r="E4618" s="2">
        <f>HYPERLINK("https://www.amazon.com/Montessori-Educational-Preschool-Activities-Classroom/dp/B0C5856PLL/ref=sr_1_7?keywords=Sorting+Puzzle&amp;qid=1695565992&amp;sr=8-7", "https://www.amazon.com/Montessori-Educational-Preschool-Activities-Classroom/dp/B0C5856PLL/ref=sr_1_7?keywords=Sorting+Puzzle&amp;qid=1695565992&amp;sr=8-7")</f>
        <v/>
      </c>
      <c r="F4618" t="inlineStr">
        <is>
          <t>B0C5856PLL</t>
        </is>
      </c>
      <c r="G4618">
        <f>_xlfn.IMAGE("https://faoschwarz.com/cdn/shop/products/ravensburger-puzzles-sorting-puzzle-13345782628439_1080x.jpg?v=1656275437")</f>
        <v/>
      </c>
      <c r="H4618">
        <f>_xlfn.IMAGE("https://m.media-amazon.com/images/I/71cXDpfGxeL._AC_UL320_.jpg")</f>
        <v/>
      </c>
      <c r="K4618" t="inlineStr">
        <is>
          <t>25.0</t>
        </is>
      </c>
      <c r="L4618" t="n">
        <v>25.99</v>
      </c>
      <c r="M4618" s="1" t="inlineStr">
        <is>
          <t>3.96%</t>
        </is>
      </c>
      <c r="N4618" t="n">
        <v>4.5</v>
      </c>
      <c r="O4618" t="n">
        <v>37</v>
      </c>
      <c r="Q4618" t="inlineStr">
        <is>
          <t>InStock</t>
        </is>
      </c>
      <c r="R4618" t="inlineStr">
        <is>
          <t>undefined</t>
        </is>
      </c>
      <c r="S4618" t="inlineStr">
        <is>
          <t>1565157392471</t>
        </is>
      </c>
    </row>
    <row r="4619" ht="75" customHeight="1">
      <c r="A4619" s="2">
        <f>HYPERLINK("https://faoschwarz.com/products/sorting-puzzle", "https://faoschwarz.com/products/sorting-puzzle")</f>
        <v/>
      </c>
      <c r="B4619" s="2">
        <f>HYPERLINK("https://faoschwarz.com/products/sorting-puzzle", "https://faoschwarz.com/products/sorting-puzzle")</f>
        <v/>
      </c>
      <c r="C4619" t="inlineStr">
        <is>
          <t>Sorting Puzzle</t>
        </is>
      </c>
      <c r="D4619" t="inlineStr">
        <is>
          <t>8 Puzzle Sorting Trays with Lid 10 x 10 inches - Jigsaw Puzzle Accessories Black Background Makes Pieces Stand Out to Better Sort Patterns, Shapes and Colors | for Puzzles Up to 1500-2500 Pieces</t>
        </is>
      </c>
      <c r="E4619" s="2">
        <f>HYPERLINK("https://www.amazon.com/Puzzle-Sorting-Trays-Lid-inches/dp/B08T62M65V/ref=sr_1_4?keywords=Sorting+Puzzle&amp;qid=1695565992&amp;sr=8-4", "https://www.amazon.com/Puzzle-Sorting-Trays-Lid-inches/dp/B08T62M65V/ref=sr_1_4?keywords=Sorting+Puzzle&amp;qid=1695565992&amp;sr=8-4")</f>
        <v/>
      </c>
      <c r="F4619" t="inlineStr">
        <is>
          <t>B08T62M65V</t>
        </is>
      </c>
      <c r="G4619">
        <f>_xlfn.IMAGE("https://faoschwarz.com/cdn/shop/products/ravensburger-puzzles-sorting-puzzle-13345782628439_1080x.jpg?v=1656275437")</f>
        <v/>
      </c>
      <c r="H4619">
        <f>_xlfn.IMAGE("https://m.media-amazon.com/images/I/81zzOC+lFFL._AC_UL320_.jpg")</f>
        <v/>
      </c>
      <c r="K4619" t="inlineStr">
        <is>
          <t>25.0</t>
        </is>
      </c>
      <c r="L4619" t="n">
        <v>22.99</v>
      </c>
      <c r="M4619" s="1" t="inlineStr">
        <is>
          <t>-8.04%</t>
        </is>
      </c>
      <c r="N4619" t="n">
        <v>4.7</v>
      </c>
      <c r="O4619" t="n">
        <v>489</v>
      </c>
      <c r="Q4619" t="inlineStr">
        <is>
          <t>InStock</t>
        </is>
      </c>
      <c r="R4619" t="inlineStr">
        <is>
          <t>undefined</t>
        </is>
      </c>
      <c r="S4619" t="inlineStr">
        <is>
          <t>1565157392471</t>
        </is>
      </c>
    </row>
    <row r="4620" ht="75" customHeight="1">
      <c r="A4620" s="2">
        <f>HYPERLINK("https://faoschwarz.com/products/sorting-puzzle", "https://faoschwarz.com/products/sorting-puzzle")</f>
        <v/>
      </c>
      <c r="B4620" s="2">
        <f>HYPERLINK("https://faoschwarz.com/products/sorting-puzzle", "https://faoschwarz.com/products/sorting-puzzle")</f>
        <v/>
      </c>
      <c r="C4620" t="inlineStr">
        <is>
          <t>Sorting Puzzle</t>
        </is>
      </c>
      <c r="D4620" t="inlineStr">
        <is>
          <t>Ravensburger Sort and Go Jigsaw Puzzle Accessory - Sturdy and Easy to Use Plastic Puzzle Shaped Sorting Trays to Organize Puzzles Up to 1000 Pieces, Blue</t>
        </is>
      </c>
      <c r="E4620" s="2">
        <f>HYPERLINK("https://www.amazon.com/Ravensburger-Sort-Jigsaw-Puzzle-Accessory/dp/B00ANKD7V6/ref=sr_1_3?keywords=Sorting+Puzzle&amp;qid=1695565992&amp;sr=8-3", "https://www.amazon.com/Ravensburger-Sort-Jigsaw-Puzzle-Accessory/dp/B00ANKD7V6/ref=sr_1_3?keywords=Sorting+Puzzle&amp;qid=1695565992&amp;sr=8-3")</f>
        <v/>
      </c>
      <c r="F4620" t="inlineStr">
        <is>
          <t>B00ANKD7V6</t>
        </is>
      </c>
      <c r="G4620">
        <f>_xlfn.IMAGE("https://faoschwarz.com/cdn/shop/products/ravensburger-puzzles-sorting-puzzle-13345782628439_1080x.jpg?v=1656275437")</f>
        <v/>
      </c>
      <c r="H4620">
        <f>_xlfn.IMAGE("https://m.media-amazon.com/images/I/91admWpLYgL._AC_UL320_.jpg")</f>
        <v/>
      </c>
      <c r="K4620" t="inlineStr">
        <is>
          <t>25.0</t>
        </is>
      </c>
      <c r="L4620" t="n">
        <v>22.99</v>
      </c>
      <c r="M4620" s="1" t="inlineStr">
        <is>
          <t>-8.04%</t>
        </is>
      </c>
      <c r="N4620" t="n">
        <v>4.8</v>
      </c>
      <c r="O4620" t="n">
        <v>13584</v>
      </c>
      <c r="Q4620" t="inlineStr">
        <is>
          <t>InStock</t>
        </is>
      </c>
      <c r="R4620" t="inlineStr">
        <is>
          <t>undefined</t>
        </is>
      </c>
      <c r="S4620" t="inlineStr">
        <is>
          <t>1565157392471</t>
        </is>
      </c>
    </row>
    <row r="4621" ht="75" customHeight="1">
      <c r="A4621" s="2">
        <f>HYPERLINK("https://faoschwarz.com/products/sorting-puzzle", "https://faoschwarz.com/products/sorting-puzzle")</f>
        <v/>
      </c>
      <c r="B4621" s="2">
        <f>HYPERLINK("https://faoschwarz.com/products/sorting-puzzle", "https://faoschwarz.com/products/sorting-puzzle")</f>
        <v/>
      </c>
      <c r="C4621" t="inlineStr">
        <is>
          <t>Sorting Puzzle</t>
        </is>
      </c>
      <c r="D4621" t="inlineStr">
        <is>
          <t>Nariolar 12" x 8.7" Puzzle Sorting Trays Stackable, 6 Pack Puzzle Sorter for Sorting 1000/1500/2000 Puzzle Pieces</t>
        </is>
      </c>
      <c r="E4621" s="2">
        <f>HYPERLINK("https://www.amazon.com/Nariolar-Puzzle-Sorting-Stackable-Sorter/dp/B0C8MKV93V/ref=sr_1_10?keywords=Sorting+Puzzle&amp;qid=1695565992&amp;sr=8-10", "https://www.amazon.com/Nariolar-Puzzle-Sorting-Stackable-Sorter/dp/B0C8MKV93V/ref=sr_1_10?keywords=Sorting+Puzzle&amp;qid=1695565992&amp;sr=8-10")</f>
        <v/>
      </c>
      <c r="F4621" t="inlineStr">
        <is>
          <t>B0C8MKV93V</t>
        </is>
      </c>
      <c r="G4621">
        <f>_xlfn.IMAGE("https://faoschwarz.com/cdn/shop/products/ravensburger-puzzles-sorting-puzzle-13345782628439_1080x.jpg?v=1656275437")</f>
        <v/>
      </c>
      <c r="H4621">
        <f>_xlfn.IMAGE("https://m.media-amazon.com/images/I/81uVBTJax5L._AC_UL320_.jpg")</f>
        <v/>
      </c>
      <c r="K4621" t="inlineStr">
        <is>
          <t>25.0</t>
        </is>
      </c>
      <c r="L4621" t="n">
        <v>21.99</v>
      </c>
      <c r="M4621" s="1" t="inlineStr">
        <is>
          <t>-12.04%</t>
        </is>
      </c>
      <c r="N4621" t="n">
        <v>4.5</v>
      </c>
      <c r="O4621" t="n">
        <v>17</v>
      </c>
      <c r="Q4621" t="inlineStr">
        <is>
          <t>InStock</t>
        </is>
      </c>
      <c r="R4621" t="inlineStr">
        <is>
          <t>undefined</t>
        </is>
      </c>
      <c r="S4621" t="inlineStr">
        <is>
          <t>1565157392471</t>
        </is>
      </c>
    </row>
    <row r="4622" ht="75" customHeight="1">
      <c r="A4622" s="2">
        <f>HYPERLINK("https://faoschwarz.com/products/sorting-puzzle", "https://faoschwarz.com/products/sorting-puzzle")</f>
        <v/>
      </c>
      <c r="B4622" s="2">
        <f>HYPERLINK("https://faoschwarz.com/products/sorting-puzzle", "https://faoschwarz.com/products/sorting-puzzle")</f>
        <v/>
      </c>
      <c r="C4622" t="inlineStr">
        <is>
          <t>Sorting Puzzle</t>
        </is>
      </c>
      <c r="D4622" t="inlineStr">
        <is>
          <t>Tidyboss 8 Puzzle Sorting Trays with Lid 8" x 8" - Portable Jigsaw Puzzle Accessories White Background Makes Pieces Stand Out to Better Sort Patterns, Shapes and Colors | for Puzzles Up to 1500 Pieces</t>
        </is>
      </c>
      <c r="E4622" s="2">
        <f>HYPERLINK("https://www.amazon.com/Tidyboss-Puzzle-Sorting-Trays-Lid/dp/B0892TKC7X/ref=sr_1_2?keywords=Sorting+Puzzle&amp;qid=1695565992&amp;sr=8-2", "https://www.amazon.com/Tidyboss-Puzzle-Sorting-Trays-Lid/dp/B0892TKC7X/ref=sr_1_2?keywords=Sorting+Puzzle&amp;qid=1695565992&amp;sr=8-2")</f>
        <v/>
      </c>
      <c r="F4622" t="inlineStr">
        <is>
          <t>B0892TKC7X</t>
        </is>
      </c>
      <c r="G4622">
        <f>_xlfn.IMAGE("https://faoschwarz.com/cdn/shop/products/ravensburger-puzzles-sorting-puzzle-13345782628439_1080x.jpg?v=1656275437")</f>
        <v/>
      </c>
      <c r="H4622">
        <f>_xlfn.IMAGE("https://m.media-amazon.com/images/I/81A1DekXGnL._AC_UL320_.jpg")</f>
        <v/>
      </c>
      <c r="K4622" t="inlineStr">
        <is>
          <t>25.0</t>
        </is>
      </c>
      <c r="L4622" t="n">
        <v>17.99</v>
      </c>
      <c r="M4622" s="1" t="inlineStr">
        <is>
          <t>-28.04%</t>
        </is>
      </c>
      <c r="N4622" t="n">
        <v>4.8</v>
      </c>
      <c r="O4622" t="n">
        <v>2580</v>
      </c>
      <c r="Q4622" t="inlineStr">
        <is>
          <t>InStock</t>
        </is>
      </c>
      <c r="R4622" t="inlineStr">
        <is>
          <t>undefined</t>
        </is>
      </c>
      <c r="S4622" t="inlineStr">
        <is>
          <t>1565157392471</t>
        </is>
      </c>
    </row>
    <row r="4623" ht="75" customHeight="1">
      <c r="A4623" s="2">
        <f>HYPERLINK("https://faoschwarz.com/products/sorting-puzzle", "https://faoschwarz.com/products/sorting-puzzle")</f>
        <v/>
      </c>
      <c r="B4623" s="2">
        <f>HYPERLINK("https://faoschwarz.com/products/sorting-puzzle", "https://faoschwarz.com/products/sorting-puzzle")</f>
        <v/>
      </c>
      <c r="C4623" t="inlineStr">
        <is>
          <t>Sorting Puzzle</t>
        </is>
      </c>
      <c r="D4623" t="inlineStr">
        <is>
          <t>RECHIATO 8 Puzzle Sorting Trays with Lid 8x8 Premiunm Puzzle Trays Gift for Puzzle Lovers for Puzzles Up to 1000-1500 Pieces</t>
        </is>
      </c>
      <c r="E4623" s="2">
        <f>HYPERLINK("https://www.amazon.com/RECHIATO-Puzzle-Sorting-Premiunm-Lovers/dp/B097JSPLSY/ref=sr_1_5?keywords=Sorting+Puzzle&amp;qid=1695565992&amp;sr=8-5", "https://www.amazon.com/RECHIATO-Puzzle-Sorting-Premiunm-Lovers/dp/B097JSPLSY/ref=sr_1_5?keywords=Sorting+Puzzle&amp;qid=1695565992&amp;sr=8-5")</f>
        <v/>
      </c>
      <c r="F4623" t="inlineStr">
        <is>
          <t>B097JSPLSY</t>
        </is>
      </c>
      <c r="G4623">
        <f>_xlfn.IMAGE("https://faoschwarz.com/cdn/shop/products/ravensburger-puzzles-sorting-puzzle-13345782628439_1080x.jpg?v=1656275437")</f>
        <v/>
      </c>
      <c r="H4623">
        <f>_xlfn.IMAGE("https://m.media-amazon.com/images/I/71IpYZpZPqL._AC_UL320_.jpg")</f>
        <v/>
      </c>
      <c r="K4623" t="inlineStr">
        <is>
          <t>25.0</t>
        </is>
      </c>
      <c r="L4623" t="n">
        <v>14.99</v>
      </c>
      <c r="M4623" s="1" t="inlineStr">
        <is>
          <t>-40.04%</t>
        </is>
      </c>
      <c r="N4623" t="n">
        <v>4.6</v>
      </c>
      <c r="O4623" t="n">
        <v>135</v>
      </c>
      <c r="Q4623" t="inlineStr">
        <is>
          <t>InStock</t>
        </is>
      </c>
      <c r="R4623" t="inlineStr">
        <is>
          <t>undefined</t>
        </is>
      </c>
      <c r="S4623" t="inlineStr">
        <is>
          <t>1565157392471</t>
        </is>
      </c>
    </row>
    <row r="4624" ht="75" customHeight="1">
      <c r="A4624" s="2">
        <f>HYPERLINK("https://faoschwarz.com/products/sorting-puzzle", "https://faoschwarz.com/products/sorting-puzzle")</f>
        <v/>
      </c>
      <c r="B4624" s="2">
        <f>HYPERLINK("https://faoschwarz.com/products/sorting-puzzle", "https://faoschwarz.com/products/sorting-puzzle")</f>
        <v/>
      </c>
      <c r="C4624" t="inlineStr">
        <is>
          <t>Sorting Puzzle</t>
        </is>
      </c>
      <c r="D4624" t="inlineStr">
        <is>
          <t>Buffalo Games - Puzzle Sorting Trays - 7 Count (Pack of 1)</t>
        </is>
      </c>
      <c r="E4624" s="2">
        <f>HYPERLINK("https://www.amazon.com/Buffalo-Games-Puzzle-Sorting-Trays/dp/B08DD9XFC9/ref=sr_1_1?keywords=Sorting+Puzzle&amp;qid=1695565992&amp;sr=8-1", "https://www.amazon.com/Buffalo-Games-Puzzle-Sorting-Trays/dp/B08DD9XFC9/ref=sr_1_1?keywords=Sorting+Puzzle&amp;qid=1695565992&amp;sr=8-1")</f>
        <v/>
      </c>
      <c r="F4624" t="inlineStr">
        <is>
          <t>B08DD9XFC9</t>
        </is>
      </c>
      <c r="G4624">
        <f>_xlfn.IMAGE("https://faoschwarz.com/cdn/shop/products/ravensburger-puzzles-sorting-puzzle-13345782628439_1080x.jpg?v=1656275437")</f>
        <v/>
      </c>
      <c r="H4624">
        <f>_xlfn.IMAGE("https://m.media-amazon.com/images/I/71mBxwbzbUL._AC_UL320_.jpg")</f>
        <v/>
      </c>
      <c r="K4624" t="inlineStr">
        <is>
          <t>25.0</t>
        </is>
      </c>
      <c r="L4624" t="n">
        <v>9.970000000000001</v>
      </c>
      <c r="M4624" s="1" t="inlineStr">
        <is>
          <t>-60.12%</t>
        </is>
      </c>
      <c r="N4624" t="n">
        <v>4.7</v>
      </c>
      <c r="O4624" t="n">
        <v>2861</v>
      </c>
      <c r="Q4624" t="inlineStr">
        <is>
          <t>InStock</t>
        </is>
      </c>
      <c r="R4624" t="inlineStr">
        <is>
          <t>undefined</t>
        </is>
      </c>
      <c r="S4624" t="inlineStr">
        <is>
          <t>1565157392471</t>
        </is>
      </c>
    </row>
    <row r="4625" ht="75" customHeight="1">
      <c r="A4625" s="2">
        <f>HYPERLINK("https://faoschwarz.com/products/sorting-puzzle", "https://faoschwarz.com/products/sorting-puzzle")</f>
        <v/>
      </c>
      <c r="B4625" s="2">
        <f>HYPERLINK("https://faoschwarz.com/products/sorting-puzzle", "https://faoschwarz.com/products/sorting-puzzle")</f>
        <v/>
      </c>
      <c r="C4625" t="inlineStr">
        <is>
          <t>Sorting Puzzle</t>
        </is>
      </c>
      <c r="D4625" t="inlineStr">
        <is>
          <t>Nariolar 12" x 8.7" Puzzle Sorting Trays Stackable, 6 Pack Puzzle Sorter for Sorting 1000/1500/2000 Puzzle Pieces</t>
        </is>
      </c>
      <c r="E4625" s="2">
        <f>HYPERLINK("https://www.amazon.com/Nariolar-Puzzle-Sorting-Stackable-Sorter/dp/B0C8MKV93V/ref=sr_1_10?keywords=Sorting+Puzzle&amp;qid=1695565992&amp;sr=8-10", "https://www.amazon.com/Nariolar-Puzzle-Sorting-Stackable-Sorter/dp/B0C8MKV93V/ref=sr_1_10?keywords=Sorting+Puzzle&amp;qid=1695565992&amp;sr=8-10")</f>
        <v/>
      </c>
      <c r="F4625" t="inlineStr">
        <is>
          <t>B0C8MKV93V</t>
        </is>
      </c>
      <c r="G4625">
        <f>_xlfn.IMAGE("https://faoschwarz.com/cdn/shop/products/ravensburger-puzzles-sorting-puzzle-13345782628439_1080x.jpg?v=1656275437")</f>
        <v/>
      </c>
      <c r="H4625">
        <f>_xlfn.IMAGE("https://m.media-amazon.com/images/I/81uVBTJax5L._AC_UL320_.jpg")</f>
        <v/>
      </c>
      <c r="K4625" t="inlineStr">
        <is>
          <t>25.0</t>
        </is>
      </c>
      <c r="L4625" t="n">
        <v>21.99</v>
      </c>
      <c r="M4625" s="1" t="inlineStr">
        <is>
          <t>-12.04%</t>
        </is>
      </c>
      <c r="N4625" t="n">
        <v>4.5</v>
      </c>
      <c r="O4625" t="n">
        <v>17</v>
      </c>
      <c r="Q4625" t="inlineStr">
        <is>
          <t>InStock</t>
        </is>
      </c>
      <c r="R4625" t="inlineStr">
        <is>
          <t>undefined</t>
        </is>
      </c>
      <c r="S4625" t="inlineStr">
        <is>
          <t>1565157392471</t>
        </is>
      </c>
    </row>
    <row r="4626" ht="75" customHeight="1">
      <c r="A4626" s="2">
        <f>HYPERLINK("https://faoschwarz.com/products/sorting-puzzle", "https://faoschwarz.com/products/sorting-puzzle")</f>
        <v/>
      </c>
      <c r="B4626" s="2">
        <f>HYPERLINK("https://faoschwarz.com/products/sorting-puzzle", "https://faoschwarz.com/products/sorting-puzzle")</f>
        <v/>
      </c>
      <c r="C4626" t="inlineStr">
        <is>
          <t>Sorting Puzzle</t>
        </is>
      </c>
      <c r="D4626" t="inlineStr">
        <is>
          <t>Tidyboss 8 Puzzle Sorting Trays with Lid 8" x 8" - Portable Jigsaw Puzzle Accessories White Background Makes Pieces Stand Out to Better Sort Patterns, Shapes and Colors | for Puzzles Up to 1500 Pieces</t>
        </is>
      </c>
      <c r="E4626" s="2">
        <f>HYPERLINK("https://www.amazon.com/Tidyboss-Puzzle-Sorting-Trays-Lid/dp/B0892TKC7X/ref=sr_1_2?keywords=Sorting+Puzzle&amp;qid=1695565992&amp;sr=8-2", "https://www.amazon.com/Tidyboss-Puzzle-Sorting-Trays-Lid/dp/B0892TKC7X/ref=sr_1_2?keywords=Sorting+Puzzle&amp;qid=1695565992&amp;sr=8-2")</f>
        <v/>
      </c>
      <c r="F4626" t="inlineStr">
        <is>
          <t>B0892TKC7X</t>
        </is>
      </c>
      <c r="G4626">
        <f>_xlfn.IMAGE("https://faoschwarz.com/cdn/shop/products/ravensburger-puzzles-sorting-puzzle-13345782628439_1080x.jpg?v=1656275437")</f>
        <v/>
      </c>
      <c r="H4626">
        <f>_xlfn.IMAGE("https://m.media-amazon.com/images/I/81A1DekXGnL._AC_UL320_.jpg")</f>
        <v/>
      </c>
      <c r="K4626" t="inlineStr">
        <is>
          <t>25.0</t>
        </is>
      </c>
      <c r="L4626" t="n">
        <v>17.99</v>
      </c>
      <c r="M4626" s="1" t="inlineStr">
        <is>
          <t>-28.04%</t>
        </is>
      </c>
      <c r="N4626" t="n">
        <v>4.8</v>
      </c>
      <c r="O4626" t="n">
        <v>2580</v>
      </c>
      <c r="Q4626" t="inlineStr">
        <is>
          <t>InStock</t>
        </is>
      </c>
      <c r="R4626" t="inlineStr">
        <is>
          <t>undefined</t>
        </is>
      </c>
      <c r="S4626" t="inlineStr">
        <is>
          <t>1565157392471</t>
        </is>
      </c>
    </row>
    <row r="4627" ht="75" customHeight="1">
      <c r="A4627" s="2">
        <f>HYPERLINK("https://faoschwarz.com/products/sorting-puzzle", "https://faoschwarz.com/products/sorting-puzzle")</f>
        <v/>
      </c>
      <c r="B4627" s="2">
        <f>HYPERLINK("https://faoschwarz.com/products/sorting-puzzle", "https://faoschwarz.com/products/sorting-puzzle")</f>
        <v/>
      </c>
      <c r="C4627" t="inlineStr">
        <is>
          <t>Sorting Puzzle</t>
        </is>
      </c>
      <c r="D4627" t="inlineStr">
        <is>
          <t>RECHIATO 8 Puzzle Sorting Trays with Lid 8x8 Premiunm Puzzle Trays Gift for Puzzle Lovers for Puzzles Up to 1000-1500 Pieces</t>
        </is>
      </c>
      <c r="E4627" s="2">
        <f>HYPERLINK("https://www.amazon.com/RECHIATO-Puzzle-Sorting-Premiunm-Lovers/dp/B097JSPLSY/ref=sr_1_5?keywords=Sorting+Puzzle&amp;qid=1695565992&amp;sr=8-5", "https://www.amazon.com/RECHIATO-Puzzle-Sorting-Premiunm-Lovers/dp/B097JSPLSY/ref=sr_1_5?keywords=Sorting+Puzzle&amp;qid=1695565992&amp;sr=8-5")</f>
        <v/>
      </c>
      <c r="F4627" t="inlineStr">
        <is>
          <t>B097JSPLSY</t>
        </is>
      </c>
      <c r="G4627">
        <f>_xlfn.IMAGE("https://faoschwarz.com/cdn/shop/products/ravensburger-puzzles-sorting-puzzle-13345782628439_1080x.jpg?v=1656275437")</f>
        <v/>
      </c>
      <c r="H4627">
        <f>_xlfn.IMAGE("https://m.media-amazon.com/images/I/71IpYZpZPqL._AC_UL320_.jpg")</f>
        <v/>
      </c>
      <c r="K4627" t="inlineStr">
        <is>
          <t>25.0</t>
        </is>
      </c>
      <c r="L4627" t="n">
        <v>14.99</v>
      </c>
      <c r="M4627" s="1" t="inlineStr">
        <is>
          <t>-40.04%</t>
        </is>
      </c>
      <c r="N4627" t="n">
        <v>4.6</v>
      </c>
      <c r="O4627" t="n">
        <v>135</v>
      </c>
      <c r="Q4627" t="inlineStr">
        <is>
          <t>InStock</t>
        </is>
      </c>
      <c r="R4627" t="inlineStr">
        <is>
          <t>undefined</t>
        </is>
      </c>
      <c r="S4627" t="inlineStr">
        <is>
          <t>1565157392471</t>
        </is>
      </c>
    </row>
    <row r="4628" ht="75" customHeight="1">
      <c r="A4628" s="2">
        <f>HYPERLINK("https://faoschwarz.com/products/sorting-puzzle", "https://faoschwarz.com/products/sorting-puzzle")</f>
        <v/>
      </c>
      <c r="B4628" s="2">
        <f>HYPERLINK("https://faoschwarz.com/products/sorting-puzzle", "https://faoschwarz.com/products/sorting-puzzle")</f>
        <v/>
      </c>
      <c r="C4628" t="inlineStr">
        <is>
          <t>Sorting Puzzle</t>
        </is>
      </c>
      <c r="D4628" t="inlineStr">
        <is>
          <t>Buffalo Games - Puzzle Sorting Trays - 7 Count (Pack of 1)</t>
        </is>
      </c>
      <c r="E4628" s="2">
        <f>HYPERLINK("https://www.amazon.com/Buffalo-Games-Puzzle-Sorting-Trays/dp/B08DD9XFC9/ref=sr_1_1?keywords=Sorting+Puzzle&amp;qid=1695565992&amp;sr=8-1", "https://www.amazon.com/Buffalo-Games-Puzzle-Sorting-Trays/dp/B08DD9XFC9/ref=sr_1_1?keywords=Sorting+Puzzle&amp;qid=1695565992&amp;sr=8-1")</f>
        <v/>
      </c>
      <c r="F4628" t="inlineStr">
        <is>
          <t>B08DD9XFC9</t>
        </is>
      </c>
      <c r="G4628">
        <f>_xlfn.IMAGE("https://faoschwarz.com/cdn/shop/products/ravensburger-puzzles-sorting-puzzle-13345782628439_1080x.jpg?v=1656275437")</f>
        <v/>
      </c>
      <c r="H4628">
        <f>_xlfn.IMAGE("https://m.media-amazon.com/images/I/71mBxwbzbUL._AC_UL320_.jpg")</f>
        <v/>
      </c>
      <c r="K4628" t="inlineStr">
        <is>
          <t>25.0</t>
        </is>
      </c>
      <c r="L4628" t="n">
        <v>9.970000000000001</v>
      </c>
      <c r="M4628" s="1" t="inlineStr">
        <is>
          <t>-60.12%</t>
        </is>
      </c>
      <c r="N4628" t="n">
        <v>4.7</v>
      </c>
      <c r="O4628" t="n">
        <v>2861</v>
      </c>
      <c r="Q4628" t="inlineStr">
        <is>
          <t>InStock</t>
        </is>
      </c>
      <c r="R4628" t="inlineStr">
        <is>
          <t>undefined</t>
        </is>
      </c>
      <c r="S4628" t="inlineStr">
        <is>
          <t>1565157392471</t>
        </is>
      </c>
    </row>
    <row r="4629" ht="75" customHeight="1">
      <c r="A4629" s="2">
        <f>HYPERLINK("https://faoschwarz.com/products/space-100-piece-puzzle", "https://faoschwarz.com/products/space-100-piece-puzzle")</f>
        <v/>
      </c>
      <c r="B4629" s="2">
        <f>HYPERLINK("https://faoschwarz.com/products/space-100-piece-puzzle", "https://faoschwarz.com/products/space-100-piece-puzzle")</f>
        <v/>
      </c>
      <c r="C4629" t="inlineStr">
        <is>
          <t>Space 100 Piece Puzzle</t>
        </is>
      </c>
      <c r="D4629" t="inlineStr">
        <is>
          <t>Solar System &amp; Space Exploration 100 Pieces Jigsaw Puzzle Fun Educational Toy for Kids, School &amp; Families. Great Gift for Boys &amp; Girls Ages 4-8 to Stimulate Learning. Size:23.4” X 16.5”</t>
        </is>
      </c>
      <c r="E4629" s="2">
        <f>HYPERLINK("https://www.amazon.com/Think2Master-Exploration-Educational-Families-Stimulate/dp/B08779LCC7/ref=sr_1_3?keywords=Space+100+Piece+Puzzle&amp;qid=1695565981&amp;sr=8-3", "https://www.amazon.com/Think2Master-Exploration-Educational-Families-Stimulate/dp/B08779LCC7/ref=sr_1_3?keywords=Space+100+Piece+Puzzle&amp;qid=1695565981&amp;sr=8-3")</f>
        <v/>
      </c>
      <c r="F4629" t="inlineStr">
        <is>
          <t>B08779LCC7</t>
        </is>
      </c>
      <c r="G4629">
        <f>_xlfn.IMAGE("https://faoschwarz.com/cdn/shop/products/ravensburger-puzzles-space-100-piece-puzzle-28304747921495_1080x.jpg?v=1656174080")</f>
        <v/>
      </c>
      <c r="H4629">
        <f>_xlfn.IMAGE("https://m.media-amazon.com/images/I/A1voMcIyddL._AC_UL320_.jpg")</f>
        <v/>
      </c>
      <c r="K4629" t="inlineStr">
        <is>
          <t>17.0</t>
        </is>
      </c>
      <c r="L4629" t="n">
        <v>19.99</v>
      </c>
      <c r="M4629" s="1" t="inlineStr">
        <is>
          <t>17.59%</t>
        </is>
      </c>
      <c r="N4629" t="n">
        <v>4.8</v>
      </c>
      <c r="O4629" t="n">
        <v>1029</v>
      </c>
      <c r="Q4629" t="inlineStr">
        <is>
          <t>InStock</t>
        </is>
      </c>
      <c r="R4629" t="inlineStr">
        <is>
          <t>undefined</t>
        </is>
      </c>
      <c r="S4629" t="inlineStr">
        <is>
          <t>4625498734679</t>
        </is>
      </c>
    </row>
    <row r="4630" ht="75" customHeight="1">
      <c r="A4630" s="2">
        <f>HYPERLINK("https://faoschwarz.com/products/space-100-piece-puzzle", "https://faoschwarz.com/products/space-100-piece-puzzle")</f>
        <v/>
      </c>
      <c r="B4630" s="2">
        <f>HYPERLINK("https://faoschwarz.com/products/space-100-piece-puzzle", "https://faoschwarz.com/products/space-100-piece-puzzle")</f>
        <v/>
      </c>
      <c r="C4630" t="inlineStr">
        <is>
          <t>Space 100 Piece Puzzle</t>
        </is>
      </c>
      <c r="D4630" t="inlineStr">
        <is>
          <t>Ravensburger Mission in Space 100 Piece Jigsaw Puzzle for Kids -12939 - Every Piece is Unique, Pieces Fit Together Perfectly</t>
        </is>
      </c>
      <c r="E4630" s="2">
        <f>HYPERLINK("https://www.amazon.com/Ravensburger-Mission-PiecePuzzles-Together-Perfectly/dp/B08PM3YJ2Q/ref=sr_1_5?keywords=Space+100+Piece+Puzzle&amp;qid=1695565981&amp;sr=8-5", "https://www.amazon.com/Ravensburger-Mission-PiecePuzzles-Together-Perfectly/dp/B08PM3YJ2Q/ref=sr_1_5?keywords=Space+100+Piece+Puzzle&amp;qid=1695565981&amp;sr=8-5")</f>
        <v/>
      </c>
      <c r="F4630" t="inlineStr">
        <is>
          <t>B08PM3YJ2Q</t>
        </is>
      </c>
      <c r="G4630">
        <f>_xlfn.IMAGE("https://faoschwarz.com/cdn/shop/products/ravensburger-puzzles-space-100-piece-puzzle-28304747921495_1080x.jpg?v=1656174080")</f>
        <v/>
      </c>
      <c r="H4630">
        <f>_xlfn.IMAGE("https://m.media-amazon.com/images/I/81gAKrTXV-L._AC_UL320_.jpg")</f>
        <v/>
      </c>
      <c r="K4630" t="inlineStr">
        <is>
          <t>17.0</t>
        </is>
      </c>
      <c r="L4630" t="n">
        <v>16.99</v>
      </c>
      <c r="M4630" s="1" t="inlineStr">
        <is>
          <t>-0.06%</t>
        </is>
      </c>
      <c r="N4630" t="n">
        <v>4.8</v>
      </c>
      <c r="O4630" t="n">
        <v>307</v>
      </c>
      <c r="Q4630" t="inlineStr">
        <is>
          <t>InStock</t>
        </is>
      </c>
      <c r="R4630" t="inlineStr">
        <is>
          <t>undefined</t>
        </is>
      </c>
      <c r="S4630" t="inlineStr">
        <is>
          <t>4625498734679</t>
        </is>
      </c>
    </row>
    <row r="4631" ht="75" customHeight="1">
      <c r="A4631" s="2">
        <f>HYPERLINK("https://faoschwarz.com/products/space-100-piece-puzzle", "https://faoschwarz.com/products/space-100-piece-puzzle")</f>
        <v/>
      </c>
      <c r="B4631" s="2">
        <f>HYPERLINK("https://faoschwarz.com/products/space-100-piece-puzzle", "https://faoschwarz.com/products/space-100-piece-puzzle")</f>
        <v/>
      </c>
      <c r="C4631" t="inlineStr">
        <is>
          <t>Space 100 Piece Puzzle</t>
        </is>
      </c>
      <c r="D4631" t="inlineStr">
        <is>
          <t>Solar System Puzzle 100 Pieces (UNIQUE SHAPE), Space Large Kid Jigsaw Size 19x14", Educational Preschool Universe Planet Learning Toy for Boy, Girl, Teenager, Children 3 4 5 6 7 8</t>
        </is>
      </c>
      <c r="E4631" s="2">
        <f>HYPERLINK("https://www.amazon.com/Original-Kindergarten-Educational-Preschool-Universe/dp/B08B8T8ZHL/ref=sr_1_9?keywords=Space+100+Piece+Puzzle&amp;qid=1695565981&amp;sr=8-9", "https://www.amazon.com/Original-Kindergarten-Educational-Preschool-Universe/dp/B08B8T8ZHL/ref=sr_1_9?keywords=Space+100+Piece+Puzzle&amp;qid=1695565981&amp;sr=8-9")</f>
        <v/>
      </c>
      <c r="F4631" t="inlineStr">
        <is>
          <t>B08B8T8ZHL</t>
        </is>
      </c>
      <c r="G4631">
        <f>_xlfn.IMAGE("https://faoschwarz.com/cdn/shop/products/ravensburger-puzzles-space-100-piece-puzzle-28304747921495_1080x.jpg?v=1656174080")</f>
        <v/>
      </c>
      <c r="H4631">
        <f>_xlfn.IMAGE("https://m.media-amazon.com/images/I/81NUcKCiM4L._AC_UL320_.jpg")</f>
        <v/>
      </c>
      <c r="K4631" t="inlineStr">
        <is>
          <t>17.0</t>
        </is>
      </c>
      <c r="L4631" t="n">
        <v>16.98</v>
      </c>
      <c r="M4631" s="1" t="inlineStr">
        <is>
          <t>-0.12%</t>
        </is>
      </c>
      <c r="N4631" t="n">
        <v>4.5</v>
      </c>
      <c r="O4631" t="n">
        <v>130</v>
      </c>
      <c r="Q4631" t="inlineStr">
        <is>
          <t>InStock</t>
        </is>
      </c>
      <c r="R4631" t="inlineStr">
        <is>
          <t>undefined</t>
        </is>
      </c>
      <c r="S4631" t="inlineStr">
        <is>
          <t>4625498734679</t>
        </is>
      </c>
    </row>
    <row r="4632" ht="75" customHeight="1">
      <c r="A4632" s="2">
        <f>HYPERLINK("https://faoschwarz.com/products/space-100-piece-puzzle", "https://faoschwarz.com/products/space-100-piece-puzzle")</f>
        <v/>
      </c>
      <c r="B4632" s="2">
        <f>HYPERLINK("https://faoschwarz.com/products/space-100-piece-puzzle", "https://faoschwarz.com/products/space-100-piece-puzzle")</f>
        <v/>
      </c>
      <c r="C4632" t="inlineStr">
        <is>
          <t>Space 100 Piece Puzzle</t>
        </is>
      </c>
      <c r="D4632" t="inlineStr">
        <is>
          <t>The Learning Journey Puzzle Doubles Glow in the Dark - Space - 100 Piece Glow in the Dark Puzzle, Space Puzzles For Kids Ages 4-8, Solar System Puzzle For Kids, Award Winning Educational Toys</t>
        </is>
      </c>
      <c r="E4632" s="2">
        <f>HYPERLINK("https://www.amazon.com/Learning-Journey-782545-Puzzle-Doubles/dp/B00BXN6E62/ref=sr_1_2?keywords=Space+100+Piece+Puzzle&amp;qid=1695565981&amp;sr=8-2", "https://www.amazon.com/Learning-Journey-782545-Puzzle-Doubles/dp/B00BXN6E62/ref=sr_1_2?keywords=Space+100+Piece+Puzzle&amp;qid=1695565981&amp;sr=8-2")</f>
        <v/>
      </c>
      <c r="F4632" t="inlineStr">
        <is>
          <t>B00BXN6E62</t>
        </is>
      </c>
      <c r="G4632">
        <f>_xlfn.IMAGE("https://faoschwarz.com/cdn/shop/products/ravensburger-puzzles-space-100-piece-puzzle-28304747921495_1080x.jpg?v=1656174080")</f>
        <v/>
      </c>
      <c r="H4632">
        <f>_xlfn.IMAGE("https://m.media-amazon.com/images/I/91riDodpzsL._AC_UL320_.jpg")</f>
        <v/>
      </c>
      <c r="K4632" t="inlineStr">
        <is>
          <t>17.0</t>
        </is>
      </c>
      <c r="L4632" t="n">
        <v>14.99</v>
      </c>
      <c r="M4632" s="1" t="inlineStr">
        <is>
          <t>-11.82%</t>
        </is>
      </c>
      <c r="N4632" t="n">
        <v>4.7</v>
      </c>
      <c r="O4632" t="n">
        <v>1938</v>
      </c>
      <c r="Q4632" t="inlineStr">
        <is>
          <t>InStock</t>
        </is>
      </c>
      <c r="R4632" t="inlineStr">
        <is>
          <t>undefined</t>
        </is>
      </c>
      <c r="S4632" t="inlineStr">
        <is>
          <t>4625498734679</t>
        </is>
      </c>
    </row>
    <row r="4633" ht="75" customHeight="1">
      <c r="A4633" s="2">
        <f>HYPERLINK("https://faoschwarz.com/products/space-100-piece-puzzle", "https://faoschwarz.com/products/space-100-piece-puzzle")</f>
        <v/>
      </c>
      <c r="B4633" s="2">
        <f>HYPERLINK("https://faoschwarz.com/products/space-100-piece-puzzle", "https://faoschwarz.com/products/space-100-piece-puzzle")</f>
        <v/>
      </c>
      <c r="C4633" t="inlineStr">
        <is>
          <t>Space 100 Piece Puzzle</t>
        </is>
      </c>
      <c r="D4633" t="inlineStr">
        <is>
          <t>Mudpuppy Cosmic Dreams 100 Piece Glow in The Dark Puzzle</t>
        </is>
      </c>
      <c r="E4633" s="2">
        <f>HYPERLINK("https://www.amazon.com/Mudpuppy-Cosmic-Dreams-Colorful-Children/dp/0735376522/ref=sr_1_8?keywords=Space+100+Piece+Puzzle&amp;qid=1695565981&amp;sr=8-8", "https://www.amazon.com/Mudpuppy-Cosmic-Dreams-Colorful-Children/dp/0735376522/ref=sr_1_8?keywords=Space+100+Piece+Puzzle&amp;qid=1695565981&amp;sr=8-8")</f>
        <v/>
      </c>
      <c r="F4633" t="inlineStr">
        <is>
          <t>0735376522</t>
        </is>
      </c>
      <c r="G4633">
        <f>_xlfn.IMAGE("https://faoschwarz.com/cdn/shop/products/ravensburger-puzzles-space-100-piece-puzzle-28304747921495_1080x.jpg?v=1656174080")</f>
        <v/>
      </c>
      <c r="H4633">
        <f>_xlfn.IMAGE("https://m.media-amazon.com/images/I/817t2HQ0ZjL._AC_UL320_.jpg")</f>
        <v/>
      </c>
      <c r="K4633" t="inlineStr">
        <is>
          <t>17.0</t>
        </is>
      </c>
      <c r="L4633" t="n">
        <v>13.55</v>
      </c>
      <c r="M4633" s="1" t="inlineStr">
        <is>
          <t>-20.29%</t>
        </is>
      </c>
      <c r="N4633" t="n">
        <v>4.9</v>
      </c>
      <c r="O4633" t="n">
        <v>12</v>
      </c>
      <c r="Q4633" t="inlineStr">
        <is>
          <t>InStock</t>
        </is>
      </c>
      <c r="R4633" t="inlineStr">
        <is>
          <t>undefined</t>
        </is>
      </c>
      <c r="S4633" t="inlineStr">
        <is>
          <t>4625498734679</t>
        </is>
      </c>
    </row>
    <row r="4634" ht="75" customHeight="1">
      <c r="A4634" s="2">
        <f>HYPERLINK("https://faoschwarz.com/products/space-100-piece-puzzle", "https://faoschwarz.com/products/space-100-piece-puzzle")</f>
        <v/>
      </c>
      <c r="B4634" s="2">
        <f>HYPERLINK("https://faoschwarz.com/products/space-100-piece-puzzle", "https://faoschwarz.com/products/space-100-piece-puzzle")</f>
        <v/>
      </c>
      <c r="C4634" t="inlineStr">
        <is>
          <t>Space 100 Piece Puzzle</t>
        </is>
      </c>
      <c r="D4634" t="inlineStr">
        <is>
          <t>Puzzles for Kids Ages 4-8, 3-5, 6-8, 8-10 Boys Girls - 100 Piece Solar System Space Kids Jigsaw Puzzles - Science Educational Toys for Kids 5-7 Planets for Kids Solar System Toys</t>
        </is>
      </c>
      <c r="E4634" s="2">
        <f>HYPERLINK("https://www.amazon.com/Puzzles-Kids-Ages-8-10-Girls/dp/B0BGH7N4HN/ref=sr_1_4?keywords=Space+100+Piece+Puzzle&amp;qid=1695565981&amp;sr=8-4", "https://www.amazon.com/Puzzles-Kids-Ages-8-10-Girls/dp/B0BGH7N4HN/ref=sr_1_4?keywords=Space+100+Piece+Puzzle&amp;qid=1695565981&amp;sr=8-4")</f>
        <v/>
      </c>
      <c r="F4634" t="inlineStr">
        <is>
          <t>B0BGH7N4HN</t>
        </is>
      </c>
      <c r="G4634">
        <f>_xlfn.IMAGE("https://faoschwarz.com/cdn/shop/products/ravensburger-puzzles-space-100-piece-puzzle-28304747921495_1080x.jpg?v=1656174080")</f>
        <v/>
      </c>
      <c r="H4634">
        <f>_xlfn.IMAGE("https://m.media-amazon.com/images/I/710MuX7Y6SL._AC_UL320_.jpg")</f>
        <v/>
      </c>
      <c r="K4634" t="inlineStr">
        <is>
          <t>17.0</t>
        </is>
      </c>
      <c r="L4634" t="n">
        <v>12.99</v>
      </c>
      <c r="M4634" s="1" t="inlineStr">
        <is>
          <t>-23.59%</t>
        </is>
      </c>
      <c r="N4634" t="n">
        <v>4.7</v>
      </c>
      <c r="O4634" t="n">
        <v>251</v>
      </c>
      <c r="Q4634" t="inlineStr">
        <is>
          <t>InStock</t>
        </is>
      </c>
      <c r="R4634" t="inlineStr">
        <is>
          <t>undefined</t>
        </is>
      </c>
      <c r="S4634" t="inlineStr">
        <is>
          <t>4625498734679</t>
        </is>
      </c>
    </row>
    <row r="4635" ht="75" customHeight="1">
      <c r="A4635" s="2">
        <f>HYPERLINK("https://faoschwarz.com/products/space-100-piece-puzzle", "https://faoschwarz.com/products/space-100-piece-puzzle")</f>
        <v/>
      </c>
      <c r="B4635" s="2">
        <f>HYPERLINK("https://faoschwarz.com/products/space-100-piece-puzzle", "https://faoschwarz.com/products/space-100-piece-puzzle")</f>
        <v/>
      </c>
      <c r="C4635" t="inlineStr">
        <is>
          <t>Space 100 Piece Puzzle</t>
        </is>
      </c>
      <c r="D4635" t="inlineStr">
        <is>
          <t>Mudpuppy Outer Space Glow-in-the-Dark Puzzle, 100 Pieces, 18”x12”, Made for Kids Age 5+, Illustrations of Planets, Stars, Spaceships and More, Award-Winning Glow in the Dark Puzzle</t>
        </is>
      </c>
      <c r="E4635" s="2">
        <f>HYPERLINK("https://www.amazon.com/Mudpuppy-Illustrations-Planets-Spaceships-Award-Winning/dp/0735345732/ref=sr_1_10?keywords=Space+100+Piece+Puzzle&amp;qid=1695565981&amp;sr=8-10", "https://www.amazon.com/Mudpuppy-Illustrations-Planets-Spaceships-Award-Winning/dp/0735345732/ref=sr_1_10?keywords=Space+100+Piece+Puzzle&amp;qid=1695565981&amp;sr=8-10")</f>
        <v/>
      </c>
      <c r="F4635" t="inlineStr">
        <is>
          <t>0735345732</t>
        </is>
      </c>
      <c r="G4635">
        <f>_xlfn.IMAGE("https://faoschwarz.com/cdn/shop/products/ravensburger-puzzles-space-100-piece-puzzle-28304747921495_1080x.jpg?v=1656174080")</f>
        <v/>
      </c>
      <c r="H4635">
        <f>_xlfn.IMAGE("https://m.media-amazon.com/images/I/816OxEEMNtL._AC_UL320_.jpg")</f>
        <v/>
      </c>
      <c r="K4635" t="inlineStr">
        <is>
          <t>17.0</t>
        </is>
      </c>
      <c r="L4635" t="n">
        <v>10.6</v>
      </c>
      <c r="M4635" s="1" t="inlineStr">
        <is>
          <t>-37.65%</t>
        </is>
      </c>
      <c r="N4635" t="n">
        <v>4.7</v>
      </c>
      <c r="O4635" t="n">
        <v>3558</v>
      </c>
      <c r="Q4635" t="inlineStr">
        <is>
          <t>InStock</t>
        </is>
      </c>
      <c r="R4635" t="inlineStr">
        <is>
          <t>undefined</t>
        </is>
      </c>
      <c r="S4635" t="inlineStr">
        <is>
          <t>4625498734679</t>
        </is>
      </c>
    </row>
    <row r="4636" ht="75" customHeight="1">
      <c r="A4636" s="2">
        <f>HYPERLINK("https://faoschwarz.com/products/space-100-piece-puzzle", "https://faoschwarz.com/products/space-100-piece-puzzle")</f>
        <v/>
      </c>
      <c r="B4636" s="2">
        <f>HYPERLINK("https://faoschwarz.com/products/space-100-piece-puzzle", "https://faoschwarz.com/products/space-100-piece-puzzle")</f>
        <v/>
      </c>
      <c r="C4636" t="inlineStr">
        <is>
          <t>Space 100 Piece Puzzle</t>
        </is>
      </c>
      <c r="D4636" t="inlineStr">
        <is>
          <t>Chuckle &amp; Roar - 4 Pack Space, World Map, Fantasy, Food Puzzles - Larger Pieces Designed for Preschool Hands - 100 &amp; 200 PC Jigsaw Puzzles</t>
        </is>
      </c>
      <c r="E4636" s="2">
        <f>HYPERLINK("https://www.amazon.com/Chuckle-Roar-Fantasy-Designed-Preschool/dp/B0C2W6WG1V/ref=sr_1_7?keywords=Space+100+Piece+Puzzle&amp;qid=1695565981&amp;sr=8-7", "https://www.amazon.com/Chuckle-Roar-Fantasy-Designed-Preschool/dp/B0C2W6WG1V/ref=sr_1_7?keywords=Space+100+Piece+Puzzle&amp;qid=1695565981&amp;sr=8-7")</f>
        <v/>
      </c>
      <c r="F4636" t="inlineStr">
        <is>
          <t>B0C2W6WG1V</t>
        </is>
      </c>
      <c r="G4636">
        <f>_xlfn.IMAGE("https://faoschwarz.com/cdn/shop/products/ravensburger-puzzles-space-100-piece-puzzle-28304747921495_1080x.jpg?v=1656174080")</f>
        <v/>
      </c>
      <c r="H4636">
        <f>_xlfn.IMAGE("https://m.media-amazon.com/images/I/91yf5pdVtXL._AC_UL320_.jpg")</f>
        <v/>
      </c>
      <c r="K4636" t="inlineStr">
        <is>
          <t>17.0</t>
        </is>
      </c>
      <c r="L4636" t="n">
        <v>9.99</v>
      </c>
      <c r="M4636" s="1" t="inlineStr">
        <is>
          <t>-41.24%</t>
        </is>
      </c>
      <c r="N4636" t="n">
        <v>4.9</v>
      </c>
      <c r="O4636" t="n">
        <v>12</v>
      </c>
      <c r="Q4636" t="inlineStr">
        <is>
          <t>InStock</t>
        </is>
      </c>
      <c r="R4636" t="inlineStr">
        <is>
          <t>undefined</t>
        </is>
      </c>
      <c r="S4636" t="inlineStr">
        <is>
          <t>4625498734679</t>
        </is>
      </c>
    </row>
    <row r="4637" ht="75" customHeight="1">
      <c r="A4637" s="2">
        <f>HYPERLINK("https://faoschwarz.com/products/space-100-piece-puzzle", "https://faoschwarz.com/products/space-100-piece-puzzle")</f>
        <v/>
      </c>
      <c r="B4637" s="2">
        <f>HYPERLINK("https://faoschwarz.com/products/space-100-piece-puzzle", "https://faoschwarz.com/products/space-100-piece-puzzle")</f>
        <v/>
      </c>
      <c r="C4637" t="inlineStr">
        <is>
          <t>Space 100 Piece Puzzle</t>
        </is>
      </c>
      <c r="D4637" t="inlineStr">
        <is>
          <t>Jigsaw Puzzles 100 Pieces for Kids Youth Families (Space Traveler, Solar System) Pieces Fit Together Perfectly</t>
        </is>
      </c>
      <c r="E4637" s="2">
        <f>HYPERLINK("https://www.amazon.com/Puzzles-Families-Traveler-Together-Perfectly/dp/B0BY1NKKWG/ref=sr_1_1?keywords=Space+100+Piece+Puzzle&amp;qid=1695565981&amp;sr=8-1", "https://www.amazon.com/Puzzles-Families-Traveler-Together-Perfectly/dp/B0BY1NKKWG/ref=sr_1_1?keywords=Space+100+Piece+Puzzle&amp;qid=1695565981&amp;sr=8-1")</f>
        <v/>
      </c>
      <c r="F4637" t="inlineStr">
        <is>
          <t>B0BY1NKKWG</t>
        </is>
      </c>
      <c r="G4637">
        <f>_xlfn.IMAGE("https://faoschwarz.com/cdn/shop/products/ravensburger-puzzles-space-100-piece-puzzle-28304747921495_1080x.jpg?v=1656174080")</f>
        <v/>
      </c>
      <c r="H4637">
        <f>_xlfn.IMAGE("https://m.media-amazon.com/images/I/81pNF6WAdBL._AC_UL320_.jpg")</f>
        <v/>
      </c>
      <c r="K4637" t="inlineStr">
        <is>
          <t>17.0</t>
        </is>
      </c>
      <c r="L4637" t="n">
        <v>8.99</v>
      </c>
      <c r="M4637" s="1" t="inlineStr">
        <is>
          <t>-47.12%</t>
        </is>
      </c>
      <c r="N4637" t="n">
        <v>4.5</v>
      </c>
      <c r="O4637" t="n">
        <v>1113</v>
      </c>
      <c r="Q4637" t="inlineStr">
        <is>
          <t>InStock</t>
        </is>
      </c>
      <c r="R4637" t="inlineStr">
        <is>
          <t>undefined</t>
        </is>
      </c>
      <c r="S4637" t="inlineStr">
        <is>
          <t>4625498734679</t>
        </is>
      </c>
    </row>
    <row r="4638" ht="75" customHeight="1">
      <c r="A4638" s="2">
        <f>HYPERLINK("https://faoschwarz.com/products/space-100-piece-puzzle", "https://faoschwarz.com/products/space-100-piece-puzzle")</f>
        <v/>
      </c>
      <c r="B4638" s="2">
        <f>HYPERLINK("https://faoschwarz.com/products/space-100-piece-puzzle", "https://faoschwarz.com/products/space-100-piece-puzzle")</f>
        <v/>
      </c>
      <c r="C4638" t="inlineStr">
        <is>
          <t>Space 100 Piece Puzzle</t>
        </is>
      </c>
      <c r="D4638" t="inlineStr">
        <is>
          <t>Ceaco - Peanuts Space - Snoopy on Earth - 100 Piece Jigsaw Puzzle</t>
        </is>
      </c>
      <c r="E4638" s="2">
        <f>HYPERLINK("https://www.amazon.com/Ceaco-Peanuts-Snoopy-Jigsaw-Puzzle/dp/B09R3PNJYF/ref=sr_1_6?keywords=Space+100+Piece+Puzzle&amp;qid=1695565981&amp;sr=8-6", "https://www.amazon.com/Ceaco-Peanuts-Snoopy-Jigsaw-Puzzle/dp/B09R3PNJYF/ref=sr_1_6?keywords=Space+100+Piece+Puzzle&amp;qid=1695565981&amp;sr=8-6")</f>
        <v/>
      </c>
      <c r="F4638" t="inlineStr">
        <is>
          <t>B09R3PNJYF</t>
        </is>
      </c>
      <c r="G4638">
        <f>_xlfn.IMAGE("https://faoschwarz.com/cdn/shop/products/ravensburger-puzzles-space-100-piece-puzzle-28304747921495_1080x.jpg?v=1656174080")</f>
        <v/>
      </c>
      <c r="H4638">
        <f>_xlfn.IMAGE("https://m.media-amazon.com/images/I/A10l2q+fU9L._AC_UL320_.jpg")</f>
        <v/>
      </c>
      <c r="K4638" t="inlineStr">
        <is>
          <t>17.0</t>
        </is>
      </c>
      <c r="L4638" t="n">
        <v>8.27</v>
      </c>
      <c r="M4638" s="1" t="inlineStr">
        <is>
          <t>-51.35%</t>
        </is>
      </c>
      <c r="N4638" t="n">
        <v>4.8</v>
      </c>
      <c r="O4638" t="n">
        <v>213</v>
      </c>
      <c r="Q4638" t="inlineStr">
        <is>
          <t>InStock</t>
        </is>
      </c>
      <c r="R4638" t="inlineStr">
        <is>
          <t>undefined</t>
        </is>
      </c>
      <c r="S4638" t="inlineStr">
        <is>
          <t>4625498734679</t>
        </is>
      </c>
    </row>
    <row r="4639" ht="75" customHeight="1">
      <c r="A4639" s="2">
        <f>HYPERLINK("https://faoschwarz.com/products/space-100-piece-puzzle", "https://faoschwarz.com/products/space-100-piece-puzzle")</f>
        <v/>
      </c>
      <c r="B4639" s="2">
        <f>HYPERLINK("https://faoschwarz.com/products/space-100-piece-puzzle", "https://faoschwarz.com/products/space-100-piece-puzzle")</f>
        <v/>
      </c>
      <c r="C4639" t="inlineStr">
        <is>
          <t>Space 100 Piece Puzzle</t>
        </is>
      </c>
      <c r="D4639" t="inlineStr">
        <is>
          <t>The Learning Journey Puzzle Doubles Glow in the Dark - Space - 100 Piece Glow in the Dark Puzzle, Space Puzzles For Kids Ages 4-8, Solar System Puzzle For Kids, Award Winning Educational Toys</t>
        </is>
      </c>
      <c r="E4639" s="2">
        <f>HYPERLINK("https://www.amazon.com/Learning-Journey-782545-Puzzle-Doubles/dp/B00BXN6E62/ref=sr_1_2?keywords=Space+100+Piece+Puzzle&amp;qid=1695565981&amp;sr=8-2", "https://www.amazon.com/Learning-Journey-782545-Puzzle-Doubles/dp/B00BXN6E62/ref=sr_1_2?keywords=Space+100+Piece+Puzzle&amp;qid=1695565981&amp;sr=8-2")</f>
        <v/>
      </c>
      <c r="F4639" t="inlineStr">
        <is>
          <t>B00BXN6E62</t>
        </is>
      </c>
      <c r="G4639">
        <f>_xlfn.IMAGE("https://faoschwarz.com/cdn/shop/products/ravensburger-puzzles-space-100-piece-puzzle-28304747921495_1080x.jpg?v=1656174080")</f>
        <v/>
      </c>
      <c r="H4639">
        <f>_xlfn.IMAGE("https://m.media-amazon.com/images/I/91riDodpzsL._AC_UL320_.jpg")</f>
        <v/>
      </c>
      <c r="K4639" t="inlineStr">
        <is>
          <t>17.0</t>
        </is>
      </c>
      <c r="L4639" t="n">
        <v>14.99</v>
      </c>
      <c r="M4639" s="1" t="inlineStr">
        <is>
          <t>-11.82%</t>
        </is>
      </c>
      <c r="N4639" t="n">
        <v>4.7</v>
      </c>
      <c r="O4639" t="n">
        <v>1938</v>
      </c>
      <c r="Q4639" t="inlineStr">
        <is>
          <t>InStock</t>
        </is>
      </c>
      <c r="R4639" t="inlineStr">
        <is>
          <t>undefined</t>
        </is>
      </c>
      <c r="S4639" t="inlineStr">
        <is>
          <t>4625498734679</t>
        </is>
      </c>
    </row>
    <row r="4640" ht="75" customHeight="1">
      <c r="A4640" s="2">
        <f>HYPERLINK("https://faoschwarz.com/products/space-100-piece-puzzle", "https://faoschwarz.com/products/space-100-piece-puzzle")</f>
        <v/>
      </c>
      <c r="B4640" s="2">
        <f>HYPERLINK("https://faoschwarz.com/products/space-100-piece-puzzle", "https://faoschwarz.com/products/space-100-piece-puzzle")</f>
        <v/>
      </c>
      <c r="C4640" t="inlineStr">
        <is>
          <t>Space 100 Piece Puzzle</t>
        </is>
      </c>
      <c r="D4640" t="inlineStr">
        <is>
          <t>Mudpuppy Cosmic Dreams 100 Piece Glow in The Dark Puzzle</t>
        </is>
      </c>
      <c r="E4640" s="2">
        <f>HYPERLINK("https://www.amazon.com/Mudpuppy-Cosmic-Dreams-Colorful-Children/dp/0735376522/ref=sr_1_8?keywords=Space+100+Piece+Puzzle&amp;qid=1695565981&amp;sr=8-8", "https://www.amazon.com/Mudpuppy-Cosmic-Dreams-Colorful-Children/dp/0735376522/ref=sr_1_8?keywords=Space+100+Piece+Puzzle&amp;qid=1695565981&amp;sr=8-8")</f>
        <v/>
      </c>
      <c r="F4640" t="inlineStr">
        <is>
          <t>0735376522</t>
        </is>
      </c>
      <c r="G4640">
        <f>_xlfn.IMAGE("https://faoschwarz.com/cdn/shop/products/ravensburger-puzzles-space-100-piece-puzzle-28304747921495_1080x.jpg?v=1656174080")</f>
        <v/>
      </c>
      <c r="H4640">
        <f>_xlfn.IMAGE("https://m.media-amazon.com/images/I/817t2HQ0ZjL._AC_UL320_.jpg")</f>
        <v/>
      </c>
      <c r="K4640" t="inlineStr">
        <is>
          <t>17.0</t>
        </is>
      </c>
      <c r="L4640" t="n">
        <v>13.55</v>
      </c>
      <c r="M4640" s="1" t="inlineStr">
        <is>
          <t>-20.29%</t>
        </is>
      </c>
      <c r="N4640" t="n">
        <v>4.9</v>
      </c>
      <c r="O4640" t="n">
        <v>12</v>
      </c>
      <c r="Q4640" t="inlineStr">
        <is>
          <t>InStock</t>
        </is>
      </c>
      <c r="R4640" t="inlineStr">
        <is>
          <t>undefined</t>
        </is>
      </c>
      <c r="S4640" t="inlineStr">
        <is>
          <t>4625498734679</t>
        </is>
      </c>
    </row>
    <row r="4641" ht="75" customHeight="1">
      <c r="A4641" s="2">
        <f>HYPERLINK("https://faoschwarz.com/products/space-100-piece-puzzle", "https://faoschwarz.com/products/space-100-piece-puzzle")</f>
        <v/>
      </c>
      <c r="B4641" s="2">
        <f>HYPERLINK("https://faoschwarz.com/products/space-100-piece-puzzle", "https://faoschwarz.com/products/space-100-piece-puzzle")</f>
        <v/>
      </c>
      <c r="C4641" t="inlineStr">
        <is>
          <t>Space 100 Piece Puzzle</t>
        </is>
      </c>
      <c r="D4641" t="inlineStr">
        <is>
          <t>Puzzles for Kids Ages 4-8, 3-5, 6-8, 8-10 Boys Girls - 100 Piece Solar System Space Kids Jigsaw Puzzles - Science Educational Toys for Kids 5-7 Planets for Kids Solar System Toys</t>
        </is>
      </c>
      <c r="E4641" s="2">
        <f>HYPERLINK("https://www.amazon.com/Puzzles-Kids-Ages-8-10-Girls/dp/B0BGH7N4HN/ref=sr_1_4?keywords=Space+100+Piece+Puzzle&amp;qid=1695565981&amp;sr=8-4", "https://www.amazon.com/Puzzles-Kids-Ages-8-10-Girls/dp/B0BGH7N4HN/ref=sr_1_4?keywords=Space+100+Piece+Puzzle&amp;qid=1695565981&amp;sr=8-4")</f>
        <v/>
      </c>
      <c r="F4641" t="inlineStr">
        <is>
          <t>B0BGH7N4HN</t>
        </is>
      </c>
      <c r="G4641">
        <f>_xlfn.IMAGE("https://faoschwarz.com/cdn/shop/products/ravensburger-puzzles-space-100-piece-puzzle-28304747921495_1080x.jpg?v=1656174080")</f>
        <v/>
      </c>
      <c r="H4641">
        <f>_xlfn.IMAGE("https://m.media-amazon.com/images/I/710MuX7Y6SL._AC_UL320_.jpg")</f>
        <v/>
      </c>
      <c r="K4641" t="inlineStr">
        <is>
          <t>17.0</t>
        </is>
      </c>
      <c r="L4641" t="n">
        <v>12.99</v>
      </c>
      <c r="M4641" s="1" t="inlineStr">
        <is>
          <t>-23.59%</t>
        </is>
      </c>
      <c r="N4641" t="n">
        <v>4.7</v>
      </c>
      <c r="O4641" t="n">
        <v>251</v>
      </c>
      <c r="Q4641" t="inlineStr">
        <is>
          <t>InStock</t>
        </is>
      </c>
      <c r="R4641" t="inlineStr">
        <is>
          <t>undefined</t>
        </is>
      </c>
      <c r="S4641" t="inlineStr">
        <is>
          <t>4625498734679</t>
        </is>
      </c>
    </row>
    <row r="4642" ht="75" customHeight="1">
      <c r="A4642" s="2">
        <f>HYPERLINK("https://faoschwarz.com/products/space-100-piece-puzzle", "https://faoschwarz.com/products/space-100-piece-puzzle")</f>
        <v/>
      </c>
      <c r="B4642" s="2">
        <f>HYPERLINK("https://faoschwarz.com/products/space-100-piece-puzzle", "https://faoschwarz.com/products/space-100-piece-puzzle")</f>
        <v/>
      </c>
      <c r="C4642" t="inlineStr">
        <is>
          <t>Space 100 Piece Puzzle</t>
        </is>
      </c>
      <c r="D4642" t="inlineStr">
        <is>
          <t>Mudpuppy Outer Space Glow-in-the-Dark Puzzle, 100 Pieces, 18”x12”, Made for Kids Age 5+, Illustrations of Planets, Stars, Spaceships and More, Award-Winning Glow in the Dark Puzzle</t>
        </is>
      </c>
      <c r="E4642" s="2">
        <f>HYPERLINK("https://www.amazon.com/Mudpuppy-Illustrations-Planets-Spaceships-Award-Winning/dp/0735345732/ref=sr_1_10?keywords=Space+100+Piece+Puzzle&amp;qid=1695565981&amp;sr=8-10", "https://www.amazon.com/Mudpuppy-Illustrations-Planets-Spaceships-Award-Winning/dp/0735345732/ref=sr_1_10?keywords=Space+100+Piece+Puzzle&amp;qid=1695565981&amp;sr=8-10")</f>
        <v/>
      </c>
      <c r="F4642" t="inlineStr">
        <is>
          <t>0735345732</t>
        </is>
      </c>
      <c r="G4642">
        <f>_xlfn.IMAGE("https://faoschwarz.com/cdn/shop/products/ravensburger-puzzles-space-100-piece-puzzle-28304747921495_1080x.jpg?v=1656174080")</f>
        <v/>
      </c>
      <c r="H4642">
        <f>_xlfn.IMAGE("https://m.media-amazon.com/images/I/816OxEEMNtL._AC_UL320_.jpg")</f>
        <v/>
      </c>
      <c r="K4642" t="inlineStr">
        <is>
          <t>17.0</t>
        </is>
      </c>
      <c r="L4642" t="n">
        <v>10.6</v>
      </c>
      <c r="M4642" s="1" t="inlineStr">
        <is>
          <t>-37.65%</t>
        </is>
      </c>
      <c r="N4642" t="n">
        <v>4.7</v>
      </c>
      <c r="O4642" t="n">
        <v>3558</v>
      </c>
      <c r="Q4642" t="inlineStr">
        <is>
          <t>InStock</t>
        </is>
      </c>
      <c r="R4642" t="inlineStr">
        <is>
          <t>undefined</t>
        </is>
      </c>
      <c r="S4642" t="inlineStr">
        <is>
          <t>4625498734679</t>
        </is>
      </c>
    </row>
    <row r="4643" ht="75" customHeight="1">
      <c r="A4643" s="2">
        <f>HYPERLINK("https://faoschwarz.com/products/space-100-piece-puzzle", "https://faoschwarz.com/products/space-100-piece-puzzle")</f>
        <v/>
      </c>
      <c r="B4643" s="2">
        <f>HYPERLINK("https://faoschwarz.com/products/space-100-piece-puzzle", "https://faoschwarz.com/products/space-100-piece-puzzle")</f>
        <v/>
      </c>
      <c r="C4643" t="inlineStr">
        <is>
          <t>Space 100 Piece Puzzle</t>
        </is>
      </c>
      <c r="D4643" t="inlineStr">
        <is>
          <t>Chuckle &amp; Roar - 4 Pack Space, World Map, Fantasy, Food Puzzles - Larger Pieces Designed for Preschool Hands - 100 &amp; 200 PC Jigsaw Puzzles</t>
        </is>
      </c>
      <c r="E4643" s="2">
        <f>HYPERLINK("https://www.amazon.com/Chuckle-Roar-Fantasy-Designed-Preschool/dp/B0C2W6WG1V/ref=sr_1_7?keywords=Space+100+Piece+Puzzle&amp;qid=1695565981&amp;sr=8-7", "https://www.amazon.com/Chuckle-Roar-Fantasy-Designed-Preschool/dp/B0C2W6WG1V/ref=sr_1_7?keywords=Space+100+Piece+Puzzle&amp;qid=1695565981&amp;sr=8-7")</f>
        <v/>
      </c>
      <c r="F4643" t="inlineStr">
        <is>
          <t>B0C2W6WG1V</t>
        </is>
      </c>
      <c r="G4643">
        <f>_xlfn.IMAGE("https://faoschwarz.com/cdn/shop/products/ravensburger-puzzles-space-100-piece-puzzle-28304747921495_1080x.jpg?v=1656174080")</f>
        <v/>
      </c>
      <c r="H4643">
        <f>_xlfn.IMAGE("https://m.media-amazon.com/images/I/91yf5pdVtXL._AC_UL320_.jpg")</f>
        <v/>
      </c>
      <c r="K4643" t="inlineStr">
        <is>
          <t>17.0</t>
        </is>
      </c>
      <c r="L4643" t="n">
        <v>9.99</v>
      </c>
      <c r="M4643" s="1" t="inlineStr">
        <is>
          <t>-41.24%</t>
        </is>
      </c>
      <c r="N4643" t="n">
        <v>4.9</v>
      </c>
      <c r="O4643" t="n">
        <v>12</v>
      </c>
      <c r="Q4643" t="inlineStr">
        <is>
          <t>InStock</t>
        </is>
      </c>
      <c r="R4643" t="inlineStr">
        <is>
          <t>undefined</t>
        </is>
      </c>
      <c r="S4643" t="inlineStr">
        <is>
          <t>4625498734679</t>
        </is>
      </c>
    </row>
    <row r="4644" ht="75" customHeight="1">
      <c r="A4644" s="2">
        <f>HYPERLINK("https://faoschwarz.com/products/space-100-piece-puzzle", "https://faoschwarz.com/products/space-100-piece-puzzle")</f>
        <v/>
      </c>
      <c r="B4644" s="2">
        <f>HYPERLINK("https://faoschwarz.com/products/space-100-piece-puzzle", "https://faoschwarz.com/products/space-100-piece-puzzle")</f>
        <v/>
      </c>
      <c r="C4644" t="inlineStr">
        <is>
          <t>Space 100 Piece Puzzle</t>
        </is>
      </c>
      <c r="D4644" t="inlineStr">
        <is>
          <t>Jigsaw Puzzles 100 Pieces for Kids Youth Families (Space Traveler, Solar System) Pieces Fit Together Perfectly</t>
        </is>
      </c>
      <c r="E4644" s="2">
        <f>HYPERLINK("https://www.amazon.com/Puzzles-Families-Traveler-Together-Perfectly/dp/B0BY1NKKWG/ref=sr_1_1?keywords=Space+100+Piece+Puzzle&amp;qid=1695565981&amp;sr=8-1", "https://www.amazon.com/Puzzles-Families-Traveler-Together-Perfectly/dp/B0BY1NKKWG/ref=sr_1_1?keywords=Space+100+Piece+Puzzle&amp;qid=1695565981&amp;sr=8-1")</f>
        <v/>
      </c>
      <c r="F4644" t="inlineStr">
        <is>
          <t>B0BY1NKKWG</t>
        </is>
      </c>
      <c r="G4644">
        <f>_xlfn.IMAGE("https://faoschwarz.com/cdn/shop/products/ravensburger-puzzles-space-100-piece-puzzle-28304747921495_1080x.jpg?v=1656174080")</f>
        <v/>
      </c>
      <c r="H4644">
        <f>_xlfn.IMAGE("https://m.media-amazon.com/images/I/81pNF6WAdBL._AC_UL320_.jpg")</f>
        <v/>
      </c>
      <c r="K4644" t="inlineStr">
        <is>
          <t>17.0</t>
        </is>
      </c>
      <c r="L4644" t="n">
        <v>8.99</v>
      </c>
      <c r="M4644" s="1" t="inlineStr">
        <is>
          <t>-47.12%</t>
        </is>
      </c>
      <c r="N4644" t="n">
        <v>4.5</v>
      </c>
      <c r="O4644" t="n">
        <v>1113</v>
      </c>
      <c r="Q4644" t="inlineStr">
        <is>
          <t>InStock</t>
        </is>
      </c>
      <c r="R4644" t="inlineStr">
        <is>
          <t>undefined</t>
        </is>
      </c>
      <c r="S4644" t="inlineStr">
        <is>
          <t>4625498734679</t>
        </is>
      </c>
    </row>
    <row r="4645" ht="75" customHeight="1">
      <c r="A4645" s="2">
        <f>HYPERLINK("https://faoschwarz.com/products/space-100-piece-puzzle", "https://faoschwarz.com/products/space-100-piece-puzzle")</f>
        <v/>
      </c>
      <c r="B4645" s="2">
        <f>HYPERLINK("https://faoschwarz.com/products/space-100-piece-puzzle", "https://faoschwarz.com/products/space-100-piece-puzzle")</f>
        <v/>
      </c>
      <c r="C4645" t="inlineStr">
        <is>
          <t>Space 100 Piece Puzzle</t>
        </is>
      </c>
      <c r="D4645" t="inlineStr">
        <is>
          <t>Ceaco - Peanuts Space - Snoopy on Earth - 100 Piece Jigsaw Puzzle</t>
        </is>
      </c>
      <c r="E4645" s="2">
        <f>HYPERLINK("https://www.amazon.com/Ceaco-Peanuts-Snoopy-Jigsaw-Puzzle/dp/B09R3PNJYF/ref=sr_1_6?keywords=Space+100+Piece+Puzzle&amp;qid=1695565981&amp;sr=8-6", "https://www.amazon.com/Ceaco-Peanuts-Snoopy-Jigsaw-Puzzle/dp/B09R3PNJYF/ref=sr_1_6?keywords=Space+100+Piece+Puzzle&amp;qid=1695565981&amp;sr=8-6")</f>
        <v/>
      </c>
      <c r="F4645" t="inlineStr">
        <is>
          <t>B09R3PNJYF</t>
        </is>
      </c>
      <c r="G4645">
        <f>_xlfn.IMAGE("https://faoschwarz.com/cdn/shop/products/ravensburger-puzzles-space-100-piece-puzzle-28304747921495_1080x.jpg?v=1656174080")</f>
        <v/>
      </c>
      <c r="H4645">
        <f>_xlfn.IMAGE("https://m.media-amazon.com/images/I/A10l2q+fU9L._AC_UL320_.jpg")</f>
        <v/>
      </c>
      <c r="K4645" t="inlineStr">
        <is>
          <t>17.0</t>
        </is>
      </c>
      <c r="L4645" t="n">
        <v>8.27</v>
      </c>
      <c r="M4645" s="1" t="inlineStr">
        <is>
          <t>-51.35%</t>
        </is>
      </c>
      <c r="N4645" t="n">
        <v>4.8</v>
      </c>
      <c r="O4645" t="n">
        <v>213</v>
      </c>
      <c r="Q4645" t="inlineStr">
        <is>
          <t>InStock</t>
        </is>
      </c>
      <c r="R4645" t="inlineStr">
        <is>
          <t>undefined</t>
        </is>
      </c>
      <c r="S4645" t="inlineStr">
        <is>
          <t>4625498734679</t>
        </is>
      </c>
    </row>
    <row r="4646" ht="75" customHeight="1">
      <c r="A4646" s="2">
        <f>HYPERLINK("https://faoschwarz.com/products/space-doorway-bean-bag-toss", "https://faoschwarz.com/products/space-doorway-bean-bag-toss")</f>
        <v/>
      </c>
      <c r="B4646" s="2">
        <f>HYPERLINK("https://faoschwarz.com/products/space-doorway-bean-bag-toss", "https://faoschwarz.com/products/space-doorway-bean-bag-toss")</f>
        <v/>
      </c>
      <c r="C4646" t="inlineStr">
        <is>
          <t>Space Doorway Bean Bag Toss</t>
        </is>
      </c>
      <c r="D4646" t="inlineStr">
        <is>
          <t>Bean Bag Toss Game - 2 in 1 Game Set - Dinosaur and Spaceship - Outdoor Play Toys, Backyard Games Kids Activities, Family Party, Birthday, for Toddlers Ages 3 4 5 6 Year Old</t>
        </is>
      </c>
      <c r="E4646" s="2">
        <f>HYPERLINK("https://www.amazon.com/Grip-Kids-Bean-Toss-Game/dp/B0C375BJNF/ref=sr_1_5?keywords=Space+Doorway+Bean+Bag+Toss&amp;qid=1695565995&amp;sr=8-5", "https://www.amazon.com/Grip-Kids-Bean-Toss-Game/dp/B0C375BJNF/ref=sr_1_5?keywords=Space+Doorway+Bean+Bag+Toss&amp;qid=1695565995&amp;sr=8-5")</f>
        <v/>
      </c>
      <c r="F4646" t="inlineStr">
        <is>
          <t>B0C375BJNF</t>
        </is>
      </c>
      <c r="G4646">
        <f>_xlfn.IMAGE("https://faoschwarz.com/cdn/shop/products/wonder-wise-preschool-space-doorway-bean-bag-toss-28820539768919_1080x.jpg?v=1655994200")</f>
        <v/>
      </c>
      <c r="H4646">
        <f>_xlfn.IMAGE("https://m.media-amazon.com/images/I/713ECaBjueL._AC_UL320_.jpg")</f>
        <v/>
      </c>
      <c r="K4646" t="inlineStr">
        <is>
          <t>59.0</t>
        </is>
      </c>
      <c r="L4646" t="n">
        <v>26.99</v>
      </c>
      <c r="M4646" s="1" t="inlineStr">
        <is>
          <t>-54.25%</t>
        </is>
      </c>
      <c r="N4646" t="n">
        <v>4.6</v>
      </c>
      <c r="O4646" t="n">
        <v>10</v>
      </c>
      <c r="Q4646" t="inlineStr">
        <is>
          <t>InStock</t>
        </is>
      </c>
      <c r="R4646" t="inlineStr">
        <is>
          <t>undefined</t>
        </is>
      </c>
      <c r="S4646" t="inlineStr">
        <is>
          <t>4464853123159</t>
        </is>
      </c>
    </row>
    <row r="4647" ht="75" customHeight="1">
      <c r="A4647" s="2">
        <f>HYPERLINK("https://faoschwarz.com/products/space-doorway-bean-bag-toss", "https://faoschwarz.com/products/space-doorway-bean-bag-toss")</f>
        <v/>
      </c>
      <c r="B4647" s="2">
        <f>HYPERLINK("https://faoschwarz.com/products/space-doorway-bean-bag-toss", "https://faoschwarz.com/products/space-doorway-bean-bag-toss")</f>
        <v/>
      </c>
      <c r="C4647" t="inlineStr">
        <is>
          <t>Space Doorway Bean Bag Toss</t>
        </is>
      </c>
      <c r="D4647" t="inlineStr">
        <is>
          <t>Bean Bag Toss Game for Kids Toddlers Triple-Sided Portable Backyard Outdoor Game Birthday Party Camping Activity Cornhole Game Outer Space Toy</t>
        </is>
      </c>
      <c r="E4647" s="2">
        <f>HYPERLINK("https://www.amazon.com/OKOOKO-Collapsible-Cornhole-Portable-Carnival/dp/B09MZ73C4W/ref=sr_1_2?keywords=Space+Doorway+Bean+Bag+Toss&amp;qid=1695565995&amp;sr=8-2", "https://www.amazon.com/OKOOKO-Collapsible-Cornhole-Portable-Carnival/dp/B09MZ73C4W/ref=sr_1_2?keywords=Space+Doorway+Bean+Bag+Toss&amp;qid=1695565995&amp;sr=8-2")</f>
        <v/>
      </c>
      <c r="F4647" t="inlineStr">
        <is>
          <t>B09MZ73C4W</t>
        </is>
      </c>
      <c r="G4647">
        <f>_xlfn.IMAGE("https://faoschwarz.com/cdn/shop/products/wonder-wise-preschool-space-doorway-bean-bag-toss-28820539768919_1080x.jpg?v=1655994200")</f>
        <v/>
      </c>
      <c r="H4647">
        <f>_xlfn.IMAGE("https://m.media-amazon.com/images/I/81WNL2FkVPL._AC_UL320_.jpg")</f>
        <v/>
      </c>
      <c r="K4647" t="inlineStr">
        <is>
          <t>59.0</t>
        </is>
      </c>
      <c r="L4647" t="n">
        <v>9.99</v>
      </c>
      <c r="M4647" s="1" t="inlineStr">
        <is>
          <t>-83.07%</t>
        </is>
      </c>
      <c r="N4647" t="n">
        <v>4.6</v>
      </c>
      <c r="O4647" t="n">
        <v>131</v>
      </c>
      <c r="Q4647" t="inlineStr">
        <is>
          <t>InStock</t>
        </is>
      </c>
      <c r="R4647" t="inlineStr">
        <is>
          <t>undefined</t>
        </is>
      </c>
      <c r="S4647" t="inlineStr">
        <is>
          <t>4464853123159</t>
        </is>
      </c>
    </row>
    <row r="4648" ht="75" customHeight="1">
      <c r="A4648" s="2">
        <f>HYPERLINK("https://faoschwarz.com/products/space-doorway-bean-bag-toss", "https://faoschwarz.com/products/space-doorway-bean-bag-toss")</f>
        <v/>
      </c>
      <c r="B4648" s="2">
        <f>HYPERLINK("https://faoschwarz.com/products/space-doorway-bean-bag-toss", "https://faoschwarz.com/products/space-doorway-bean-bag-toss")</f>
        <v/>
      </c>
      <c r="C4648" t="inlineStr">
        <is>
          <t>Space Doorway Bean Bag Toss</t>
        </is>
      </c>
      <c r="D4648" t="inlineStr">
        <is>
          <t>Bean Bag Toss Game - 2 in 1 Game Set - Dinosaur and Spaceship - Outdoor Play Toys, Backyard Games Kids Activities, Family Party, Birthday, for Toddlers Ages 3 4 5 6 Year Old</t>
        </is>
      </c>
      <c r="E4648" s="2">
        <f>HYPERLINK("https://www.amazon.com/Grip-Kids-Bean-Toss-Game/dp/B0C375BJNF/ref=sr_1_5?keywords=Space+Doorway+Bean+Bag+Toss&amp;qid=1695565995&amp;sr=8-5", "https://www.amazon.com/Grip-Kids-Bean-Toss-Game/dp/B0C375BJNF/ref=sr_1_5?keywords=Space+Doorway+Bean+Bag+Toss&amp;qid=1695565995&amp;sr=8-5")</f>
        <v/>
      </c>
      <c r="F4648" t="inlineStr">
        <is>
          <t>B0C375BJNF</t>
        </is>
      </c>
      <c r="G4648">
        <f>_xlfn.IMAGE("https://faoschwarz.com/cdn/shop/products/wonder-wise-preschool-space-doorway-bean-bag-toss-28820539768919_1080x.jpg?v=1655994200")</f>
        <v/>
      </c>
      <c r="H4648">
        <f>_xlfn.IMAGE("https://m.media-amazon.com/images/I/713ECaBjueL._AC_UL320_.jpg")</f>
        <v/>
      </c>
      <c r="K4648" t="inlineStr">
        <is>
          <t>59.0</t>
        </is>
      </c>
      <c r="L4648" t="n">
        <v>26.99</v>
      </c>
      <c r="M4648" s="1" t="inlineStr">
        <is>
          <t>-54.25%</t>
        </is>
      </c>
      <c r="N4648" t="n">
        <v>4.6</v>
      </c>
      <c r="O4648" t="n">
        <v>10</v>
      </c>
      <c r="Q4648" t="inlineStr">
        <is>
          <t>InStock</t>
        </is>
      </c>
      <c r="R4648" t="inlineStr">
        <is>
          <t>undefined</t>
        </is>
      </c>
      <c r="S4648" t="inlineStr">
        <is>
          <t>4464853123159</t>
        </is>
      </c>
    </row>
    <row r="4649" ht="75" customHeight="1">
      <c r="A4649" s="2">
        <f>HYPERLINK("https://faoschwarz.com/products/space-doorway-bean-bag-toss", "https://faoschwarz.com/products/space-doorway-bean-bag-toss")</f>
        <v/>
      </c>
      <c r="B4649" s="2">
        <f>HYPERLINK("https://faoschwarz.com/products/space-doorway-bean-bag-toss", "https://faoschwarz.com/products/space-doorway-bean-bag-toss")</f>
        <v/>
      </c>
      <c r="C4649" t="inlineStr">
        <is>
          <t>Space Doorway Bean Bag Toss</t>
        </is>
      </c>
      <c r="D4649" t="inlineStr">
        <is>
          <t>Bean Bag Toss Game for Kids Toddlers Triple-Sided Portable Backyard Outdoor Game Birthday Party Camping Activity Cornhole Game Outer Space Toy</t>
        </is>
      </c>
      <c r="E4649" s="2">
        <f>HYPERLINK("https://www.amazon.com/OKOOKO-Collapsible-Cornhole-Portable-Carnival/dp/B09MZ73C4W/ref=sr_1_2?keywords=Space+Doorway+Bean+Bag+Toss&amp;qid=1695565995&amp;sr=8-2", "https://www.amazon.com/OKOOKO-Collapsible-Cornhole-Portable-Carnival/dp/B09MZ73C4W/ref=sr_1_2?keywords=Space+Doorway+Bean+Bag+Toss&amp;qid=1695565995&amp;sr=8-2")</f>
        <v/>
      </c>
      <c r="F4649" t="inlineStr">
        <is>
          <t>B09MZ73C4W</t>
        </is>
      </c>
      <c r="G4649">
        <f>_xlfn.IMAGE("https://faoschwarz.com/cdn/shop/products/wonder-wise-preschool-space-doorway-bean-bag-toss-28820539768919_1080x.jpg?v=1655994200")</f>
        <v/>
      </c>
      <c r="H4649">
        <f>_xlfn.IMAGE("https://m.media-amazon.com/images/I/81WNL2FkVPL._AC_UL320_.jpg")</f>
        <v/>
      </c>
      <c r="K4649" t="inlineStr">
        <is>
          <t>59.0</t>
        </is>
      </c>
      <c r="L4649" t="n">
        <v>9.99</v>
      </c>
      <c r="M4649" s="1" t="inlineStr">
        <is>
          <t>-83.07%</t>
        </is>
      </c>
      <c r="N4649" t="n">
        <v>4.6</v>
      </c>
      <c r="O4649" t="n">
        <v>131</v>
      </c>
      <c r="Q4649" t="inlineStr">
        <is>
          <t>InStock</t>
        </is>
      </c>
      <c r="R4649" t="inlineStr">
        <is>
          <t>undefined</t>
        </is>
      </c>
      <c r="S4649" t="inlineStr">
        <is>
          <t>4464853123159</t>
        </is>
      </c>
    </row>
    <row r="4650" ht="75" customHeight="1">
      <c r="A4650" s="2">
        <f>HYPERLINK("https://faoschwarz.com/products/star-wars-the-child", "https://faoschwarz.com/products/star-wars-the-child")</f>
        <v/>
      </c>
      <c r="B4650" s="2">
        <f>HYPERLINK("https://faoschwarz.com/products/star-wars-the-child", "https://faoschwarz.com/products/star-wars-the-child")</f>
        <v/>
      </c>
      <c r="C4650" t="inlineStr">
        <is>
          <t>Star Wars The Child Plush Toy</t>
        </is>
      </c>
      <c r="D4650" t="inlineStr">
        <is>
          <t>LEGO Star Wars The Razor Crest 75292 Mandalorian Starship Toy, Gift Idea for Kids, Boys and Girls with The Child 'Baby Yoda' Minifigure (Exclusive to Amazon)</t>
        </is>
      </c>
      <c r="E4650" s="2" t="n"/>
      <c r="F4650" t="inlineStr">
        <is>
          <t>B0849GZMZH</t>
        </is>
      </c>
      <c r="G4650">
        <f>_xlfn.IMAGE("https://faoschwarz.com/cdn/shop/products/star-wars-plush-star-wars-the-child-14619213103191_1080x.jpg?v=1656086043")</f>
        <v/>
      </c>
      <c r="H4650">
        <f>_xlfn.IMAGE("https://m.media-amazon.com/images/I/918CAx5r5PL._AC_UL320_.jpg")</f>
        <v/>
      </c>
      <c r="K4650" t="inlineStr">
        <is>
          <t>30.0</t>
        </is>
      </c>
      <c r="L4650" t="n">
        <v>136</v>
      </c>
      <c r="M4650" s="1" t="inlineStr">
        <is>
          <t>353.33%</t>
        </is>
      </c>
      <c r="N4650" t="n">
        <v>4.9</v>
      </c>
      <c r="O4650" t="n">
        <v>22166</v>
      </c>
      <c r="Q4650" t="inlineStr">
        <is>
          <t>InStock</t>
        </is>
      </c>
      <c r="R4650" t="inlineStr">
        <is>
          <t>undefined</t>
        </is>
      </c>
      <c r="S4650" t="inlineStr">
        <is>
          <t>4626176999511</t>
        </is>
      </c>
    </row>
    <row r="4651" ht="75" customHeight="1">
      <c r="A4651" s="2">
        <f>HYPERLINK("https://faoschwarz.com/products/star-wars-the-child", "https://faoschwarz.com/products/star-wars-the-child")</f>
        <v/>
      </c>
      <c r="B4651" s="2">
        <f>HYPERLINK("https://faoschwarz.com/products/star-wars-the-child", "https://faoschwarz.com/products/star-wars-the-child")</f>
        <v/>
      </c>
      <c r="C4651" t="inlineStr">
        <is>
          <t>Star Wars The Child Plush Toy</t>
        </is>
      </c>
      <c r="D4651" t="inlineStr">
        <is>
          <t>Star Wars Grogu Plush Toy, 11-in The Child from The Mandalorian, Collectible Stuffed Character with Carrying Satchel for Movie Fans, Ages 3 Years and Older</t>
        </is>
      </c>
      <c r="E4651" s="2">
        <f>HYPERLINK("https://www.amazon.com/Mandalorian-Collectible-Stuffed-Character-Carrying/dp/B08HR8NXP5/ref=sr_1_5?keywords=Star+Wars+The+Child+Plush+Toy&amp;qid=1695565930&amp;sr=8-5", "https://www.amazon.com/Mandalorian-Collectible-Stuffed-Character-Carrying/dp/B08HR8NXP5/ref=sr_1_5?keywords=Star+Wars+The+Child+Plush+Toy&amp;qid=1695565930&amp;sr=8-5")</f>
        <v/>
      </c>
      <c r="F4651" t="inlineStr">
        <is>
          <t>B08HR8NXP5</t>
        </is>
      </c>
      <c r="G4651">
        <f>_xlfn.IMAGE("https://faoschwarz.com/cdn/shop/products/star-wars-plush-star-wars-the-child-14619213103191_1080x.jpg?v=1656086043")</f>
        <v/>
      </c>
      <c r="H4651">
        <f>_xlfn.IMAGE("https://m.media-amazon.com/images/I/816GhmU4hdL._AC_UL320_.jpg")</f>
        <v/>
      </c>
      <c r="K4651" t="inlineStr">
        <is>
          <t>30.0</t>
        </is>
      </c>
      <c r="L4651" t="n">
        <v>29.49</v>
      </c>
      <c r="M4651" s="1" t="inlineStr">
        <is>
          <t>-1.70%</t>
        </is>
      </c>
      <c r="N4651" t="n">
        <v>4.8</v>
      </c>
      <c r="O4651" t="n">
        <v>868</v>
      </c>
      <c r="Q4651" t="inlineStr">
        <is>
          <t>InStock</t>
        </is>
      </c>
      <c r="R4651" t="inlineStr">
        <is>
          <t>undefined</t>
        </is>
      </c>
      <c r="S4651" t="inlineStr">
        <is>
          <t>4626176999511</t>
        </is>
      </c>
    </row>
    <row r="4652" ht="75" customHeight="1">
      <c r="A4652" s="2">
        <f>HYPERLINK("https://faoschwarz.com/products/star-wars-the-child", "https://faoschwarz.com/products/star-wars-the-child")</f>
        <v/>
      </c>
      <c r="B4652" s="2">
        <f>HYPERLINK("https://faoschwarz.com/products/star-wars-the-child", "https://faoschwarz.com/products/star-wars-the-child")</f>
        <v/>
      </c>
      <c r="C4652" t="inlineStr">
        <is>
          <t>Star Wars The Child Plush Toy</t>
        </is>
      </c>
      <c r="D4652" t="inlineStr">
        <is>
          <t>Star Wars Grogu Plush Toy, Character Figure with Soft Body. Inspired by Star Wars the Mandalorian, 11-Inch</t>
        </is>
      </c>
      <c r="E4652" s="2">
        <f>HYPERLINK("https://www.amazon.com/Grogu-Mandalorian-Collectible-Stuffed-Character/dp/B0825SNHP1/ref=sr_1_4?keywords=Star+Wars+The+Child+Plush+Toy&amp;qid=1695565930&amp;sr=8-4", "https://www.amazon.com/Grogu-Mandalorian-Collectible-Stuffed-Character/dp/B0825SNHP1/ref=sr_1_4?keywords=Star+Wars+The+Child+Plush+Toy&amp;qid=1695565930&amp;sr=8-4")</f>
        <v/>
      </c>
      <c r="F4652" t="inlineStr">
        <is>
          <t>B0825SNHP1</t>
        </is>
      </c>
      <c r="G4652">
        <f>_xlfn.IMAGE("https://faoschwarz.com/cdn/shop/products/star-wars-plush-star-wars-the-child-14619213103191_1080x.jpg?v=1656086043")</f>
        <v/>
      </c>
      <c r="H4652">
        <f>_xlfn.IMAGE("https://m.media-amazon.com/images/I/71O-Il088wL._AC_UL320_.jpg")</f>
        <v/>
      </c>
      <c r="K4652" t="inlineStr">
        <is>
          <t>30.0</t>
        </is>
      </c>
      <c r="L4652" t="n">
        <v>21.71</v>
      </c>
      <c r="M4652" s="1" t="inlineStr">
        <is>
          <t>-27.63%</t>
        </is>
      </c>
      <c r="N4652" t="n">
        <v>4.8</v>
      </c>
      <c r="O4652" t="n">
        <v>62449</v>
      </c>
      <c r="Q4652" t="inlineStr">
        <is>
          <t>InStock</t>
        </is>
      </c>
      <c r="R4652" t="inlineStr">
        <is>
          <t>undefined</t>
        </is>
      </c>
      <c r="S4652" t="inlineStr">
        <is>
          <t>4626176999511</t>
        </is>
      </c>
    </row>
    <row r="4653" ht="75" customHeight="1">
      <c r="A4653" s="2">
        <f>HYPERLINK("https://faoschwarz.com/products/star-wars-the-child", "https://faoschwarz.com/products/star-wars-the-child")</f>
        <v/>
      </c>
      <c r="B4653" s="2">
        <f>HYPERLINK("https://faoschwarz.com/products/star-wars-the-child", "https://faoschwarz.com/products/star-wars-the-child")</f>
        <v/>
      </c>
      <c r="C4653" t="inlineStr">
        <is>
          <t>Star Wars The Child Plush Toy</t>
        </is>
      </c>
      <c r="D4653" t="inlineStr">
        <is>
          <t>Star Wars Grogu Plush Toy, Character Figure with Soft Body. Inspired by Star Wars the Mandalorian, 11-Inch</t>
        </is>
      </c>
      <c r="E4653" s="2" t="n"/>
      <c r="F4653" t="inlineStr">
        <is>
          <t>B0825SNHP1</t>
        </is>
      </c>
      <c r="G4653">
        <f>_xlfn.IMAGE("https://faoschwarz.com/cdn/shop/products/star-wars-plush-star-wars-the-child-14619213103191_1080x.jpg?v=1656086043")</f>
        <v/>
      </c>
      <c r="H4653">
        <f>_xlfn.IMAGE("https://m.media-amazon.com/images/I/71O-Il088wL._AC_UL320_.jpg")</f>
        <v/>
      </c>
      <c r="K4653" t="inlineStr">
        <is>
          <t>30.0</t>
        </is>
      </c>
      <c r="L4653" t="n">
        <v>21.71</v>
      </c>
      <c r="M4653" s="1" t="inlineStr">
        <is>
          <t>-27.63%</t>
        </is>
      </c>
      <c r="N4653" t="n">
        <v>4.8</v>
      </c>
      <c r="O4653" t="n">
        <v>62449</v>
      </c>
      <c r="Q4653" t="inlineStr">
        <is>
          <t>InStock</t>
        </is>
      </c>
      <c r="R4653" t="inlineStr">
        <is>
          <t>undefined</t>
        </is>
      </c>
      <c r="S4653" t="inlineStr">
        <is>
          <t>4626176999511</t>
        </is>
      </c>
    </row>
    <row r="4654" ht="75" customHeight="1">
      <c r="A4654" s="2">
        <f>HYPERLINK("https://faoschwarz.com/products/star-wars-the-child", "https://faoschwarz.com/products/star-wars-the-child")</f>
        <v/>
      </c>
      <c r="B4654" s="2">
        <f>HYPERLINK("https://faoschwarz.com/products/star-wars-the-child", "https://faoschwarz.com/products/star-wars-the-child")</f>
        <v/>
      </c>
      <c r="C4654" t="inlineStr">
        <is>
          <t>Star Wars The Child Plush Toy</t>
        </is>
      </c>
      <c r="D4654" t="inlineStr">
        <is>
          <t>STAR WARS The Child Talking Plush Toy with Character Sounds and Accessories, The Mandalorian Toy for Kids Ages 3 and Up, Green</t>
        </is>
      </c>
      <c r="E4654" s="2" t="n"/>
      <c r="F4654" t="inlineStr">
        <is>
          <t>B082JJ2QM5</t>
        </is>
      </c>
      <c r="G4654">
        <f>_xlfn.IMAGE("https://faoschwarz.com/cdn/shop/products/star-wars-plush-star-wars-the-child-14619213103191_1080x.jpg?v=1656086043")</f>
        <v/>
      </c>
      <c r="H4654">
        <f>_xlfn.IMAGE("https://m.media-amazon.com/images/I/81o35RSl54L._AC_UL320_.jpg")</f>
        <v/>
      </c>
      <c r="K4654" t="inlineStr">
        <is>
          <t>30.0</t>
        </is>
      </c>
      <c r="L4654" t="n">
        <v>15.99</v>
      </c>
      <c r="M4654" s="1" t="inlineStr">
        <is>
          <t>-46.70%</t>
        </is>
      </c>
      <c r="N4654" t="n">
        <v>4.8</v>
      </c>
      <c r="O4654" t="n">
        <v>23231</v>
      </c>
      <c r="Q4654" t="inlineStr">
        <is>
          <t>InStock</t>
        </is>
      </c>
      <c r="R4654" t="inlineStr">
        <is>
          <t>undefined</t>
        </is>
      </c>
      <c r="S4654" t="inlineStr">
        <is>
          <t>4626176999511</t>
        </is>
      </c>
    </row>
    <row r="4655" ht="75" customHeight="1">
      <c r="A4655" s="2">
        <f>HYPERLINK("https://faoschwarz.com/products/star-wars-the-child", "https://faoschwarz.com/products/star-wars-the-child")</f>
        <v/>
      </c>
      <c r="B4655" s="2">
        <f>HYPERLINK("https://faoschwarz.com/products/star-wars-the-child", "https://faoschwarz.com/products/star-wars-the-child")</f>
        <v/>
      </c>
      <c r="C4655" t="inlineStr">
        <is>
          <t>Star Wars The Child Plush Toy</t>
        </is>
      </c>
      <c r="D4655" t="inlineStr">
        <is>
          <t>STAR WARS The Child Talking Plush Toy with Character Sounds and Accessories, The Mandalorian Toy for Kids Ages 3 and Up, Green</t>
        </is>
      </c>
      <c r="E4655" s="2">
        <f>HYPERLINK("https://www.amazon.com/Star-Wars-Character-Accessories-Mandalorian/dp/B082JJ2QM5/ref=sr_1_1?keywords=Star+Wars+The+Child+Plush+Toy&amp;qid=1695565930&amp;sr=8-1", "https://www.amazon.com/Star-Wars-Character-Accessories-Mandalorian/dp/B082JJ2QM5/ref=sr_1_1?keywords=Star+Wars+The+Child+Plush+Toy&amp;qid=1695565930&amp;sr=8-1")</f>
        <v/>
      </c>
      <c r="F4655" t="inlineStr">
        <is>
          <t>B082JJ2QM5</t>
        </is>
      </c>
      <c r="G4655">
        <f>_xlfn.IMAGE("https://faoschwarz.com/cdn/shop/products/star-wars-plush-star-wars-the-child-14619213103191_1080x.jpg?v=1656086043")</f>
        <v/>
      </c>
      <c r="H4655">
        <f>_xlfn.IMAGE("https://m.media-amazon.com/images/I/81o35RSl54L._AC_UL320_.jpg")</f>
        <v/>
      </c>
      <c r="K4655" t="inlineStr">
        <is>
          <t>30.0</t>
        </is>
      </c>
      <c r="L4655" t="n">
        <v>15.99</v>
      </c>
      <c r="M4655" s="1" t="inlineStr">
        <is>
          <t>-46.70%</t>
        </is>
      </c>
      <c r="N4655" t="n">
        <v>4.8</v>
      </c>
      <c r="O4655" t="n">
        <v>23231</v>
      </c>
      <c r="Q4655" t="inlineStr">
        <is>
          <t>InStock</t>
        </is>
      </c>
      <c r="R4655" t="inlineStr">
        <is>
          <t>undefined</t>
        </is>
      </c>
      <c r="S4655" t="inlineStr">
        <is>
          <t>4626176999511</t>
        </is>
      </c>
    </row>
    <row r="4656" ht="75" customHeight="1">
      <c r="A4656" s="2">
        <f>HYPERLINK("https://faoschwarz.com/products/star-wars-the-child", "https://faoschwarz.com/products/star-wars-the-child")</f>
        <v/>
      </c>
      <c r="B4656" s="2">
        <f>HYPERLINK("https://faoschwarz.com/products/star-wars-the-child", "https://faoschwarz.com/products/star-wars-the-child")</f>
        <v/>
      </c>
      <c r="C4656" t="inlineStr">
        <is>
          <t>Star Wars The Child Plush Toy</t>
        </is>
      </c>
      <c r="D4656" t="inlineStr">
        <is>
          <t>Cute Baby Yoda Plush Toy Stuffed Animal Baby Pillow Star Wars Plushie Toys The Child Mandalorian Stuffed Animal Toy Soft Doll Kid Gift</t>
        </is>
      </c>
      <c r="E4656" s="2">
        <f>HYPERLINK("https://www.amazon.com/Stuffed-Animal-Pillow-Plushie-Mandalorian/dp/B09PDSTGW1/ref=sr_1_6?keywords=Star+Wars+The+Child+Plush+Toy&amp;qid=1695565930&amp;sr=8-6", "https://www.amazon.com/Stuffed-Animal-Pillow-Plushie-Mandalorian/dp/B09PDSTGW1/ref=sr_1_6?keywords=Star+Wars+The+Child+Plush+Toy&amp;qid=1695565930&amp;sr=8-6")</f>
        <v/>
      </c>
      <c r="F4656" t="inlineStr">
        <is>
          <t>B09PDSTGW1</t>
        </is>
      </c>
      <c r="G4656">
        <f>_xlfn.IMAGE("https://faoschwarz.com/cdn/shop/products/star-wars-plush-star-wars-the-child-14619213103191_1080x.jpg?v=1656086043")</f>
        <v/>
      </c>
      <c r="H4656">
        <f>_xlfn.IMAGE("https://m.media-amazon.com/images/I/51dlxSFy0XL._AC_UL320_.jpg")</f>
        <v/>
      </c>
      <c r="K4656" t="inlineStr">
        <is>
          <t>30.0</t>
        </is>
      </c>
      <c r="L4656" t="n">
        <v>11.98</v>
      </c>
      <c r="M4656" s="1" t="inlineStr">
        <is>
          <t>-60.07%</t>
        </is>
      </c>
      <c r="N4656" t="n">
        <v>4.6</v>
      </c>
      <c r="O4656" t="n">
        <v>447</v>
      </c>
      <c r="Q4656" t="inlineStr">
        <is>
          <t>InStock</t>
        </is>
      </c>
      <c r="R4656" t="inlineStr">
        <is>
          <t>undefined</t>
        </is>
      </c>
      <c r="S4656" t="inlineStr">
        <is>
          <t>4626176999511</t>
        </is>
      </c>
    </row>
    <row r="4657" ht="75" customHeight="1">
      <c r="A4657" s="2">
        <f>HYPERLINK("https://faoschwarz.com/products/star-wars-the-child", "https://faoschwarz.com/products/star-wars-the-child")</f>
        <v/>
      </c>
      <c r="B4657" s="2">
        <f>HYPERLINK("https://faoschwarz.com/products/star-wars-the-child", "https://faoschwarz.com/products/star-wars-the-child")</f>
        <v/>
      </c>
      <c r="C4657" t="inlineStr">
        <is>
          <t>Star Wars The Child Plush Toy</t>
        </is>
      </c>
      <c r="D4657" t="inlineStr">
        <is>
          <t>STAR WARS The Bounty Collection The Child Hideaway Hover-Pram Plush 3-in-1 The Mandalorian Toy, Toys for Kids Ages 4 and Up</t>
        </is>
      </c>
      <c r="E4657" s="2" t="n"/>
      <c r="F4657" t="inlineStr">
        <is>
          <t>B08P2X2LQY</t>
        </is>
      </c>
      <c r="G4657">
        <f>_xlfn.IMAGE("https://faoschwarz.com/cdn/shop/products/star-wars-plush-star-wars-the-child-14619213103191_1080x.jpg?v=1656086043")</f>
        <v/>
      </c>
      <c r="H4657">
        <f>_xlfn.IMAGE("https://m.media-amazon.com/images/I/714KS2TLcUL._AC_UL320_.jpg")</f>
        <v/>
      </c>
      <c r="K4657" t="inlineStr">
        <is>
          <t>30.0</t>
        </is>
      </c>
      <c r="L4657" t="n">
        <v>9.99</v>
      </c>
      <c r="M4657" s="1" t="inlineStr">
        <is>
          <t>-66.70%</t>
        </is>
      </c>
      <c r="N4657" t="n">
        <v>4.5</v>
      </c>
      <c r="O4657" t="n">
        <v>504</v>
      </c>
      <c r="Q4657" t="inlineStr">
        <is>
          <t>InStock</t>
        </is>
      </c>
      <c r="R4657" t="inlineStr">
        <is>
          <t>undefined</t>
        </is>
      </c>
      <c r="S4657" t="inlineStr">
        <is>
          <t>4626176999511</t>
        </is>
      </c>
    </row>
    <row r="4658" ht="75" customHeight="1">
      <c r="A4658" s="2">
        <f>HYPERLINK("https://faoschwarz.com/products/statue-of-liberty-108-piece", "https://faoschwarz.com/products/statue-of-liberty-108-piece")</f>
        <v/>
      </c>
      <c r="B4658" s="2">
        <f>HYPERLINK("https://faoschwarz.com/products/statue-of-liberty-108-piece", "https://faoschwarz.com/products/statue-of-liberty-108-piece")</f>
        <v/>
      </c>
      <c r="C4658" t="inlineStr">
        <is>
          <t>Statue of Liberty 108 Piece</t>
        </is>
      </c>
      <c r="D4658" t="inlineStr">
        <is>
          <t>Apostrophe Games Statue of Liberty Building Block Set (1,577 Pieces) New York's Statue of Liberty Famous Landmark Series - Architecture Model for Kids and Adults</t>
        </is>
      </c>
      <c r="E4658" s="2">
        <f>HYPERLINK("https://www.amazon.com/Statue-Liberty-Building-Famous-Landmark/dp/B08X6G9PLB/ref=sr_1_4?keywords=Statue+of+Liberty+108+Piece&amp;qid=1695565991&amp;sr=8-4", "https://www.amazon.com/Statue-Liberty-Building-Famous-Landmark/dp/B08X6G9PLB/ref=sr_1_4?keywords=Statue+of+Liberty+108+Piece&amp;qid=1695565991&amp;sr=8-4")</f>
        <v/>
      </c>
      <c r="F4658" t="inlineStr">
        <is>
          <t>B08X6G9PLB</t>
        </is>
      </c>
      <c r="G4658">
        <f>_xlfn.IMAGE("https://faoschwarz.com/cdn/shop/products/ravensburger-puzzles-statue-of-liberty-108-piece-11990658613335_1080x.jpg?v=1656087757")</f>
        <v/>
      </c>
      <c r="H4658">
        <f>_xlfn.IMAGE("https://m.media-amazon.com/images/I/71BBBtPkGAL._AC_UL320_.jpg")</f>
        <v/>
      </c>
      <c r="K4658" t="inlineStr">
        <is>
          <t>29.0</t>
        </is>
      </c>
      <c r="L4658" t="n">
        <v>59.78</v>
      </c>
      <c r="M4658" s="1" t="inlineStr">
        <is>
          <t>106.14%</t>
        </is>
      </c>
      <c r="N4658" t="n">
        <v>4.2</v>
      </c>
      <c r="O4658" t="n">
        <v>1021</v>
      </c>
      <c r="Q4658" t="inlineStr">
        <is>
          <t>InStock</t>
        </is>
      </c>
      <c r="R4658" t="inlineStr">
        <is>
          <t>undefined</t>
        </is>
      </c>
      <c r="S4658" t="inlineStr">
        <is>
          <t>1565159784535</t>
        </is>
      </c>
    </row>
    <row r="4659" ht="75" customHeight="1">
      <c r="A4659" s="2">
        <f>HYPERLINK("https://faoschwarz.com/products/statue-of-liberty-108-piece", "https://faoschwarz.com/products/statue-of-liberty-108-piece")</f>
        <v/>
      </c>
      <c r="B4659" s="2">
        <f>HYPERLINK("https://faoschwarz.com/products/statue-of-liberty-108-piece", "https://faoschwarz.com/products/statue-of-liberty-108-piece")</f>
        <v/>
      </c>
      <c r="C4659" t="inlineStr">
        <is>
          <t>Statue of Liberty 108 Piece</t>
        </is>
      </c>
      <c r="D4659" t="inlineStr">
        <is>
          <t>Ravensburger Statue of Liberty Night Edition 108 Piece 3D Jigsaw Puzzle for Kids and Adults - Easy Click Technology Means Pieces Fit Together Perfectly , Brown</t>
        </is>
      </c>
      <c r="E4659" s="2">
        <f>HYPERLINK("https://www.amazon.com/Ravensburger-Statue-Liberty-Jigsaw-Puzzle/dp/B01D24NU5M/ref=sr_1_1?keywords=Statue+of+Liberty+108+Piece&amp;qid=1695565991&amp;sr=8-1", "https://www.amazon.com/Ravensburger-Statue-Liberty-Jigsaw-Puzzle/dp/B01D24NU5M/ref=sr_1_1?keywords=Statue+of+Liberty+108+Piece&amp;qid=1695565991&amp;sr=8-1")</f>
        <v/>
      </c>
      <c r="F4659" t="inlineStr">
        <is>
          <t>B01D24NU5M</t>
        </is>
      </c>
      <c r="G4659">
        <f>_xlfn.IMAGE("https://faoschwarz.com/cdn/shop/products/ravensburger-puzzles-statue-of-liberty-108-piece-11990658613335_1080x.jpg?v=1656087757")</f>
        <v/>
      </c>
      <c r="H4659">
        <f>_xlfn.IMAGE("https://m.media-amazon.com/images/I/71hP52TiuqL._AC_UL320_.jpg")</f>
        <v/>
      </c>
      <c r="K4659" t="inlineStr">
        <is>
          <t>29.0</t>
        </is>
      </c>
      <c r="L4659" t="n">
        <v>31.99</v>
      </c>
      <c r="M4659" s="1" t="inlineStr">
        <is>
          <t>10.31%</t>
        </is>
      </c>
      <c r="N4659" t="n">
        <v>4.4</v>
      </c>
      <c r="O4659" t="n">
        <v>3631</v>
      </c>
      <c r="Q4659" t="inlineStr">
        <is>
          <t>InStock</t>
        </is>
      </c>
      <c r="R4659" t="inlineStr">
        <is>
          <t>undefined</t>
        </is>
      </c>
      <c r="S4659" t="inlineStr">
        <is>
          <t>1565159784535</t>
        </is>
      </c>
    </row>
    <row r="4660" ht="75" customHeight="1">
      <c r="A4660" s="2">
        <f>HYPERLINK("https://faoschwarz.com/products/statue-of-liberty-108-piece", "https://faoschwarz.com/products/statue-of-liberty-108-piece")</f>
        <v/>
      </c>
      <c r="B4660" s="2">
        <f>HYPERLINK("https://faoschwarz.com/products/statue-of-liberty-108-piece", "https://faoschwarz.com/products/statue-of-liberty-108-piece")</f>
        <v/>
      </c>
      <c r="C4660" t="inlineStr">
        <is>
          <t>Statue of Liberty 108 Piece</t>
        </is>
      </c>
      <c r="D4660" t="inlineStr">
        <is>
          <t>Ravensburger 12597 5" Statue of Liberty - Pop Art Edition 3D Puzzle (108-Piece)</t>
        </is>
      </c>
      <c r="E4660" s="2">
        <f>HYPERLINK("https://www.amazon.com/Pop-Art-Statue-Liberty-Puzzle-Bauwerke/dp/B016ZC2WH0/ref=sr_1_2?keywords=Statue+of+Liberty+108+Piece&amp;qid=1695565991&amp;sr=8-2", "https://www.amazon.com/Pop-Art-Statue-Liberty-Puzzle-Bauwerke/dp/B016ZC2WH0/ref=sr_1_2?keywords=Statue+of+Liberty+108+Piece&amp;qid=1695565991&amp;sr=8-2")</f>
        <v/>
      </c>
      <c r="F4660" t="inlineStr">
        <is>
          <t>B016ZC2WH0</t>
        </is>
      </c>
      <c r="G4660">
        <f>_xlfn.IMAGE("https://faoschwarz.com/cdn/shop/products/ravensburger-puzzles-statue-of-liberty-108-piece-11990658613335_1080x.jpg?v=1656087757")</f>
        <v/>
      </c>
      <c r="H4660">
        <f>_xlfn.IMAGE("https://m.media-amazon.com/images/I/917fuTUerTL._AC_UL320_.jpg")</f>
        <v/>
      </c>
      <c r="K4660" t="inlineStr">
        <is>
          <t>29.0</t>
        </is>
      </c>
      <c r="L4660" t="n">
        <v>25.99</v>
      </c>
      <c r="M4660" s="1" t="inlineStr">
        <is>
          <t>-10.38%</t>
        </is>
      </c>
      <c r="N4660" t="n">
        <v>4.6</v>
      </c>
      <c r="O4660" t="n">
        <v>194</v>
      </c>
      <c r="Q4660" t="inlineStr">
        <is>
          <t>InStock</t>
        </is>
      </c>
      <c r="R4660" t="inlineStr">
        <is>
          <t>undefined</t>
        </is>
      </c>
      <c r="S4660" t="inlineStr">
        <is>
          <t>1565159784535</t>
        </is>
      </c>
    </row>
    <row r="4661" ht="75" customHeight="1">
      <c r="A4661" s="2">
        <f>HYPERLINK("https://faoschwarz.com/products/statue-of-liberty-108-piece", "https://faoschwarz.com/products/statue-of-liberty-108-piece")</f>
        <v/>
      </c>
      <c r="B4661" s="2">
        <f>HYPERLINK("https://faoschwarz.com/products/statue-of-liberty-108-piece", "https://faoschwarz.com/products/statue-of-liberty-108-piece")</f>
        <v/>
      </c>
      <c r="C4661" t="inlineStr">
        <is>
          <t>Statue of Liberty 108 Piece</t>
        </is>
      </c>
      <c r="D4661" t="inlineStr">
        <is>
          <t>Statue Of Liberty One Head Piece</t>
        </is>
      </c>
      <c r="E4661" s="2">
        <f>HYPERLINK("https://www.amazon.com/Statue-Liberty-One-Head-Piece/dp/B00362RW6E/ref=sr_1_7?keywords=Statue+of+Liberty+108+Piece&amp;qid=1695565991&amp;sr=8-7", "https://www.amazon.com/Statue-Liberty-One-Head-Piece/dp/B00362RW6E/ref=sr_1_7?keywords=Statue+of+Liberty+108+Piece&amp;qid=1695565991&amp;sr=8-7")</f>
        <v/>
      </c>
      <c r="F4661" t="inlineStr">
        <is>
          <t>B00362RW6E</t>
        </is>
      </c>
      <c r="G4661">
        <f>_xlfn.IMAGE("https://faoschwarz.com/cdn/shop/products/ravensburger-puzzles-statue-of-liberty-108-piece-11990658613335_1080x.jpg?v=1656087757")</f>
        <v/>
      </c>
      <c r="H4661">
        <f>_xlfn.IMAGE("https://m.media-amazon.com/images/I/41qwfx9EUKL._AC_UL320_.jpg")</f>
        <v/>
      </c>
      <c r="K4661" t="inlineStr">
        <is>
          <t>29.0</t>
        </is>
      </c>
      <c r="L4661" t="n">
        <v>7.97</v>
      </c>
      <c r="M4661" s="1" t="inlineStr">
        <is>
          <t>-72.52%</t>
        </is>
      </c>
      <c r="N4661" t="n">
        <v>3.9</v>
      </c>
      <c r="O4661" t="n">
        <v>300</v>
      </c>
      <c r="Q4661" t="inlineStr">
        <is>
          <t>InStock</t>
        </is>
      </c>
      <c r="R4661" t="inlineStr">
        <is>
          <t>undefined</t>
        </is>
      </c>
      <c r="S4661" t="inlineStr">
        <is>
          <t>1565159784535</t>
        </is>
      </c>
    </row>
    <row r="4662" ht="75" customHeight="1">
      <c r="A4662" s="2">
        <f>HYPERLINK("https://faoschwarz.com/products/statue-of-liberty-108-piece", "https://faoschwarz.com/products/statue-of-liberty-108-piece")</f>
        <v/>
      </c>
      <c r="B4662" s="2">
        <f>HYPERLINK("https://faoschwarz.com/products/statue-of-liberty-108-piece", "https://faoschwarz.com/products/statue-of-liberty-108-piece")</f>
        <v/>
      </c>
      <c r="C4662" t="inlineStr">
        <is>
          <t>Statue of Liberty 108 Piece</t>
        </is>
      </c>
      <c r="D4662" t="inlineStr">
        <is>
          <t>Ravensburger 12597 5" Statue of Liberty - Pop Art Edition 3D Puzzle (108-Piece)</t>
        </is>
      </c>
      <c r="E4662" s="2">
        <f>HYPERLINK("https://www.amazon.com/Pop-Art-Statue-Liberty-Puzzle-Bauwerke/dp/B016ZC2WH0/ref=sr_1_2?keywords=Statue+of+Liberty+108+Piece&amp;qid=1695565991&amp;sr=8-2", "https://www.amazon.com/Pop-Art-Statue-Liberty-Puzzle-Bauwerke/dp/B016ZC2WH0/ref=sr_1_2?keywords=Statue+of+Liberty+108+Piece&amp;qid=1695565991&amp;sr=8-2")</f>
        <v/>
      </c>
      <c r="F4662" t="inlineStr">
        <is>
          <t>B016ZC2WH0</t>
        </is>
      </c>
      <c r="G4662">
        <f>_xlfn.IMAGE("https://faoschwarz.com/cdn/shop/products/ravensburger-puzzles-statue-of-liberty-108-piece-11990658613335_1080x.jpg?v=1656087757")</f>
        <v/>
      </c>
      <c r="H4662">
        <f>_xlfn.IMAGE("https://m.media-amazon.com/images/I/917fuTUerTL._AC_UL320_.jpg")</f>
        <v/>
      </c>
      <c r="K4662" t="inlineStr">
        <is>
          <t>29.0</t>
        </is>
      </c>
      <c r="L4662" t="n">
        <v>25.99</v>
      </c>
      <c r="M4662" s="1" t="inlineStr">
        <is>
          <t>-10.38%</t>
        </is>
      </c>
      <c r="N4662" t="n">
        <v>4.6</v>
      </c>
      <c r="O4662" t="n">
        <v>194</v>
      </c>
      <c r="Q4662" t="inlineStr">
        <is>
          <t>InStock</t>
        </is>
      </c>
      <c r="R4662" t="inlineStr">
        <is>
          <t>undefined</t>
        </is>
      </c>
      <c r="S4662" t="inlineStr">
        <is>
          <t>1565159784535</t>
        </is>
      </c>
    </row>
    <row r="4663" ht="75" customHeight="1">
      <c r="A4663" s="2">
        <f>HYPERLINK("https://faoschwarz.com/products/statue-of-liberty-108-piece", "https://faoschwarz.com/products/statue-of-liberty-108-piece")</f>
        <v/>
      </c>
      <c r="B4663" s="2">
        <f>HYPERLINK("https://faoschwarz.com/products/statue-of-liberty-108-piece", "https://faoschwarz.com/products/statue-of-liberty-108-piece")</f>
        <v/>
      </c>
      <c r="C4663" t="inlineStr">
        <is>
          <t>Statue of Liberty 108 Piece</t>
        </is>
      </c>
      <c r="D4663" t="inlineStr">
        <is>
          <t>Statue Of Liberty One Head Piece</t>
        </is>
      </c>
      <c r="E4663" s="2">
        <f>HYPERLINK("https://www.amazon.com/Statue-Liberty-One-Head-Piece/dp/B00362RW6E/ref=sr_1_7?keywords=Statue+of+Liberty+108+Piece&amp;qid=1695565991&amp;sr=8-7", "https://www.amazon.com/Statue-Liberty-One-Head-Piece/dp/B00362RW6E/ref=sr_1_7?keywords=Statue+of+Liberty+108+Piece&amp;qid=1695565991&amp;sr=8-7")</f>
        <v/>
      </c>
      <c r="F4663" t="inlineStr">
        <is>
          <t>B00362RW6E</t>
        </is>
      </c>
      <c r="G4663">
        <f>_xlfn.IMAGE("https://faoschwarz.com/cdn/shop/products/ravensburger-puzzles-statue-of-liberty-108-piece-11990658613335_1080x.jpg?v=1656087757")</f>
        <v/>
      </c>
      <c r="H4663">
        <f>_xlfn.IMAGE("https://m.media-amazon.com/images/I/41qwfx9EUKL._AC_UL320_.jpg")</f>
        <v/>
      </c>
      <c r="K4663" t="inlineStr">
        <is>
          <t>29.0</t>
        </is>
      </c>
      <c r="L4663" t="n">
        <v>7.97</v>
      </c>
      <c r="M4663" s="1" t="inlineStr">
        <is>
          <t>-72.52%</t>
        </is>
      </c>
      <c r="N4663" t="n">
        <v>3.9</v>
      </c>
      <c r="O4663" t="n">
        <v>300</v>
      </c>
      <c r="Q4663" t="inlineStr">
        <is>
          <t>InStock</t>
        </is>
      </c>
      <c r="R4663" t="inlineStr">
        <is>
          <t>undefined</t>
        </is>
      </c>
      <c r="S4663" t="inlineStr">
        <is>
          <t>1565159784535</t>
        </is>
      </c>
    </row>
    <row r="4664" ht="75" customHeight="1">
      <c r="A4664" s="2">
        <f>HYPERLINK("https://faoschwarz.com/products/super-mini-fun-4-in-1-game", "https://faoschwarz.com/products/super-mini-fun-4-in-1-game")</f>
        <v/>
      </c>
      <c r="B4664" s="2">
        <f>HYPERLINK("https://faoschwarz.com/products/super-mini-fun-4-in-1-game", "https://faoschwarz.com/products/super-mini-fun-4-in-1-game")</f>
        <v/>
      </c>
      <c r="C4664" t="inlineStr">
        <is>
          <t>Super Mini Fun 4-in-1 Game</t>
        </is>
      </c>
      <c r="D4664" t="inlineStr">
        <is>
          <t>Worlds Smallest Miniature Classic Kids Games Bundle – Hungry Hungry Hippos – Chutes &amp; Ladders – Candyland – Connect 4 with Bonus Miniature Playing Cards, Fun for Travel &amp; Family Game Night</t>
        </is>
      </c>
      <c r="E4664" s="2">
        <f>HYPERLINK("https://www.amazon.com/Worlds-Smallest-Miniature-Classic-Bundle/dp/B0BH81FYC8/ref=sr_1_6?keywords=Super+Mini+Fun+4-in-1+Game&amp;qid=1695565994&amp;sr=8-6", "https://www.amazon.com/Worlds-Smallest-Miniature-Classic-Bundle/dp/B0BH81FYC8/ref=sr_1_6?keywords=Super+Mini+Fun+4-in-1+Game&amp;qid=1695565994&amp;sr=8-6")</f>
        <v/>
      </c>
      <c r="F4664" t="inlineStr">
        <is>
          <t>B0BH81FYC8</t>
        </is>
      </c>
      <c r="G4664">
        <f>_xlfn.IMAGE("https://faoschwarz.com/cdn/shop/products/stag-games-super-mini-fun-4-in-1-game-28092435300439_1080x.jpg?v=1656165243")</f>
        <v/>
      </c>
      <c r="H4664">
        <f>_xlfn.IMAGE("https://m.media-amazon.com/images/I/81LaYaVH1-L._AC_UL320_.jpg")</f>
        <v/>
      </c>
      <c r="K4664" t="inlineStr">
        <is>
          <t>100.0</t>
        </is>
      </c>
      <c r="L4664" t="n">
        <v>26.5</v>
      </c>
      <c r="M4664" s="1" t="inlineStr">
        <is>
          <t>-73.50%</t>
        </is>
      </c>
      <c r="N4664" t="n">
        <v>4.9</v>
      </c>
      <c r="O4664" t="n">
        <v>18</v>
      </c>
      <c r="Q4664" t="inlineStr">
        <is>
          <t>InStock</t>
        </is>
      </c>
      <c r="R4664" t="inlineStr">
        <is>
          <t>undefined</t>
        </is>
      </c>
      <c r="S4664" t="inlineStr">
        <is>
          <t>6560297549911</t>
        </is>
      </c>
    </row>
    <row r="4665" ht="75" customHeight="1">
      <c r="A4665" s="2">
        <f>HYPERLINK("https://faoschwarz.com/products/super-mini-fun-4-in-1-game", "https://faoschwarz.com/products/super-mini-fun-4-in-1-game")</f>
        <v/>
      </c>
      <c r="B4665" s="2">
        <f>HYPERLINK("https://faoschwarz.com/products/super-mini-fun-4-in-1-game", "https://faoschwarz.com/products/super-mini-fun-4-in-1-game")</f>
        <v/>
      </c>
      <c r="C4665" t="inlineStr">
        <is>
          <t>Super Mini Fun 4-in-1 Game</t>
        </is>
      </c>
      <c r="D4665" t="inlineStr">
        <is>
          <t>Worlds Smallest Miniature Classic Kids Games Bundle – Hungry Hungry Hippos – Chutes &amp; Ladders – Candyland – Connect 4 with Bonus Miniature Playing Cards, Fun for Travel &amp; Family Game Night</t>
        </is>
      </c>
      <c r="E4665" s="2">
        <f>HYPERLINK("https://www.amazon.com/Worlds-Smallest-Miniature-Classic-Bundle/dp/B0BH81FYC8/ref=sr_1_6?keywords=Super+Mini+Fun+4-in-1+Game&amp;qid=1695565994&amp;sr=8-6", "https://www.amazon.com/Worlds-Smallest-Miniature-Classic-Bundle/dp/B0BH81FYC8/ref=sr_1_6?keywords=Super+Mini+Fun+4-in-1+Game&amp;qid=1695565994&amp;sr=8-6")</f>
        <v/>
      </c>
      <c r="F4665" t="inlineStr">
        <is>
          <t>B0BH81FYC8</t>
        </is>
      </c>
      <c r="G4665">
        <f>_xlfn.IMAGE("https://faoschwarz.com/cdn/shop/products/stag-games-super-mini-fun-4-in-1-game-28092435300439_1080x.jpg?v=1656165243")</f>
        <v/>
      </c>
      <c r="H4665">
        <f>_xlfn.IMAGE("https://m.media-amazon.com/images/I/81LaYaVH1-L._AC_UL320_.jpg")</f>
        <v/>
      </c>
      <c r="K4665" t="inlineStr">
        <is>
          <t>100.0</t>
        </is>
      </c>
      <c r="L4665" t="n">
        <v>26.5</v>
      </c>
      <c r="M4665" s="1" t="inlineStr">
        <is>
          <t>-73.50%</t>
        </is>
      </c>
      <c r="N4665" t="n">
        <v>4.9</v>
      </c>
      <c r="O4665" t="n">
        <v>18</v>
      </c>
      <c r="Q4665" t="inlineStr">
        <is>
          <t>InStock</t>
        </is>
      </c>
      <c r="R4665" t="inlineStr">
        <is>
          <t>undefined</t>
        </is>
      </c>
      <c r="S4665" t="inlineStr">
        <is>
          <t>6560297549911</t>
        </is>
      </c>
    </row>
    <row r="4666" ht="75" customHeight="1">
      <c r="A4666" s="2">
        <f>HYPERLINK("https://faoschwarz.com/products/table-top-tool-bench", "https://faoschwarz.com/products/table-top-tool-bench")</f>
        <v/>
      </c>
      <c r="B4666" s="2">
        <f>HYPERLINK("https://faoschwarz.com/products/table-top-tool-bench", "https://faoschwarz.com/products/table-top-tool-bench")</f>
        <v/>
      </c>
      <c r="C4666" t="inlineStr">
        <is>
          <t>Table Top Tool Bench</t>
        </is>
      </c>
      <c r="D4666" t="inlineStr">
        <is>
          <t>59" Bamboo Wood Garage Workbench w/Power Outlets &amp; Drawer,Adjustable Height 25.4"-35.2",Multifunctional Workstation on Wheels 2000 Lbs Commercial Steel Work Tool Table Work Bench for Home Office</t>
        </is>
      </c>
      <c r="E4666" s="2" t="n"/>
      <c r="F4666" t="inlineStr">
        <is>
          <t>B0BCWD1XR4</t>
        </is>
      </c>
      <c r="G4666">
        <f>_xlfn.IMAGE("https://faoschwarz.com/cdn/shop/products/tender-leaf-toys-room-decor-table-top-tool-bench-29370656555095_1080x.jpg?v=1660172158")</f>
        <v/>
      </c>
      <c r="H4666">
        <f>_xlfn.IMAGE("https://m.media-amazon.com/images/I/61v-3UBni+L._AC_UL320_.jpg")</f>
        <v/>
      </c>
      <c r="K4666" t="inlineStr">
        <is>
          <t>120.0</t>
        </is>
      </c>
      <c r="L4666" t="n">
        <v>289.85</v>
      </c>
      <c r="M4666" s="1" t="inlineStr">
        <is>
          <t>141.54%</t>
        </is>
      </c>
      <c r="N4666" t="n">
        <v>4.2</v>
      </c>
      <c r="O4666" t="n">
        <v>79</v>
      </c>
      <c r="Q4666" t="inlineStr">
        <is>
          <t>InStock</t>
        </is>
      </c>
      <c r="R4666" t="inlineStr">
        <is>
          <t>undefined</t>
        </is>
      </c>
      <c r="S4666" t="inlineStr">
        <is>
          <t>6792923152471</t>
        </is>
      </c>
    </row>
    <row r="4667" ht="75" customHeight="1">
      <c r="A4667" s="2">
        <f>HYPERLINK("https://faoschwarz.com/products/table-top-tool-bench", "https://faoschwarz.com/products/table-top-tool-bench")</f>
        <v/>
      </c>
      <c r="B4667" s="2">
        <f>HYPERLINK("https://faoschwarz.com/products/table-top-tool-bench", "https://faoschwarz.com/products/table-top-tool-bench")</f>
        <v/>
      </c>
      <c r="C4667" t="inlineStr">
        <is>
          <t>Table Top Tool Bench</t>
        </is>
      </c>
      <c r="D4667" t="inlineStr">
        <is>
          <t>Haddockway Adjustable Workbench for Garage, 60" x 22" Rubber Wood Top Work Bench with Power Outlets, Max 2000 Lbs Load Capacity Heavy Duty Workstation for Workshop Office Home (Black Frame, 60in)</t>
        </is>
      </c>
      <c r="E4667" s="2" t="n"/>
      <c r="F4667" t="inlineStr">
        <is>
          <t>B0B9S2L68Z</t>
        </is>
      </c>
      <c r="G4667">
        <f>_xlfn.IMAGE("https://faoschwarz.com/cdn/shop/products/tender-leaf-toys-room-decor-table-top-tool-bench-29370656555095_1080x.jpg?v=1660172158")</f>
        <v/>
      </c>
      <c r="H4667">
        <f>_xlfn.IMAGE("https://m.media-amazon.com/images/I/61YbSXsFqwL._AC_UL320_.jpg")</f>
        <v/>
      </c>
      <c r="K4667" t="inlineStr">
        <is>
          <t>120.0</t>
        </is>
      </c>
      <c r="L4667" t="n">
        <v>219.99</v>
      </c>
      <c r="M4667" s="1" t="inlineStr">
        <is>
          <t>83.33%</t>
        </is>
      </c>
      <c r="N4667" t="n">
        <v>4.3</v>
      </c>
      <c r="O4667" t="n">
        <v>61</v>
      </c>
      <c r="Q4667" t="inlineStr">
        <is>
          <t>InStock</t>
        </is>
      </c>
      <c r="R4667" t="inlineStr">
        <is>
          <t>undefined</t>
        </is>
      </c>
      <c r="S4667" t="inlineStr">
        <is>
          <t>6792923152471</t>
        </is>
      </c>
    </row>
    <row r="4668" ht="75" customHeight="1">
      <c r="A4668" s="2">
        <f>HYPERLINK("https://faoschwarz.com/products/table-top-tool-bench", "https://faoschwarz.com/products/table-top-tool-bench")</f>
        <v/>
      </c>
      <c r="B4668" s="2">
        <f>HYPERLINK("https://faoschwarz.com/products/table-top-tool-bench", "https://faoschwarz.com/products/table-top-tool-bench")</f>
        <v/>
      </c>
      <c r="C4668" t="inlineStr">
        <is>
          <t>Table Top Tool Bench</t>
        </is>
      </c>
      <c r="D4668" t="inlineStr">
        <is>
          <t>HOMCOM 59" Work Bench with Height Adjustable Legs, Bamboo Tabletop Workstation Tool Table on Wheels for Garage, Weight Capacity 1320 Lbs, Black/Natural</t>
        </is>
      </c>
      <c r="E4668" s="2" t="n"/>
      <c r="F4668" t="inlineStr">
        <is>
          <t>B098PXTQYZ</t>
        </is>
      </c>
      <c r="G4668">
        <f>_xlfn.IMAGE("https://faoschwarz.com/cdn/shop/products/tender-leaf-toys-room-decor-table-top-tool-bench-29370656555095_1080x.jpg?v=1660172158")</f>
        <v/>
      </c>
      <c r="H4668">
        <f>_xlfn.IMAGE("https://m.media-amazon.com/images/I/61XX3uOyuLS._AC_UL320_.jpg")</f>
        <v/>
      </c>
      <c r="K4668" t="inlineStr">
        <is>
          <t>120.0</t>
        </is>
      </c>
      <c r="L4668" t="n">
        <v>166.99</v>
      </c>
      <c r="M4668" s="1" t="inlineStr">
        <is>
          <t>39.16%</t>
        </is>
      </c>
      <c r="N4668" t="n">
        <v>4.4</v>
      </c>
      <c r="O4668" t="n">
        <v>36</v>
      </c>
      <c r="Q4668" t="inlineStr">
        <is>
          <t>InStock</t>
        </is>
      </c>
      <c r="R4668" t="inlineStr">
        <is>
          <t>undefined</t>
        </is>
      </c>
      <c r="S4668" t="inlineStr">
        <is>
          <t>6792923152471</t>
        </is>
      </c>
    </row>
    <row r="4669" ht="75" customHeight="1">
      <c r="A4669" s="2">
        <f>HYPERLINK("https://faoschwarz.com/products/table-top-tool-bench", "https://faoschwarz.com/products/table-top-tool-bench")</f>
        <v/>
      </c>
      <c r="B4669" s="2">
        <f>HYPERLINK("https://faoschwarz.com/products/table-top-tool-bench", "https://faoschwarz.com/products/table-top-tool-bench")</f>
        <v/>
      </c>
      <c r="C4669" t="inlineStr">
        <is>
          <t>Table Top Tool Bench</t>
        </is>
      </c>
      <c r="D4669" t="inlineStr">
        <is>
          <t>HOMCOM 46" L x 28" W Fir Wood Work Bench, Tool Table for Garage with X-Shape Bracket for High Stability, and Large Tabletop, Natural/Black</t>
        </is>
      </c>
      <c r="E4669" s="2">
        <f>HYPERLINK("https://www.amazon.com/HOMCOM-X-Shape-Stability-Tabletop-Assembly/dp/B0894TKVZ4/ref=sr_1_4?keywords=Table+Top+Tool+Bench&amp;qid=1695565922&amp;sr=8-4", "https://www.amazon.com/HOMCOM-X-Shape-Stability-Tabletop-Assembly/dp/B0894TKVZ4/ref=sr_1_4?keywords=Table+Top+Tool+Bench&amp;qid=1695565922&amp;sr=8-4")</f>
        <v/>
      </c>
      <c r="F4669" t="inlineStr">
        <is>
          <t>B0894TKVZ4</t>
        </is>
      </c>
      <c r="G4669">
        <f>_xlfn.IMAGE("https://faoschwarz.com/cdn/shop/products/tender-leaf-toys-room-decor-table-top-tool-bench-29370656555095_1080x.jpg?v=1660172158")</f>
        <v/>
      </c>
      <c r="H4669">
        <f>_xlfn.IMAGE("https://m.media-amazon.com/images/I/61fPfFhep6L._AC_UL320_.jpg")</f>
        <v/>
      </c>
      <c r="K4669" t="inlineStr">
        <is>
          <t>120.0</t>
        </is>
      </c>
      <c r="L4669" t="n">
        <v>109.99</v>
      </c>
      <c r="M4669" s="1" t="inlineStr">
        <is>
          <t>-8.34%</t>
        </is>
      </c>
      <c r="N4669" t="n">
        <v>4.1</v>
      </c>
      <c r="O4669" t="n">
        <v>292</v>
      </c>
      <c r="Q4669" t="inlineStr">
        <is>
          <t>InStock</t>
        </is>
      </c>
      <c r="R4669" t="inlineStr">
        <is>
          <t>undefined</t>
        </is>
      </c>
      <c r="S4669" t="inlineStr">
        <is>
          <t>6792923152471</t>
        </is>
      </c>
    </row>
    <row r="4670" ht="75" customHeight="1">
      <c r="A4670" s="2">
        <f>HYPERLINK("https://faoschwarz.com/products/table-top-tool-bench", "https://faoschwarz.com/products/table-top-tool-bench")</f>
        <v/>
      </c>
      <c r="B4670" s="2">
        <f>HYPERLINK("https://faoschwarz.com/products/table-top-tool-bench", "https://faoschwarz.com/products/table-top-tool-bench")</f>
        <v/>
      </c>
      <c r="C4670" t="inlineStr">
        <is>
          <t>Table Top Tool Bench</t>
        </is>
      </c>
      <c r="D4670" t="inlineStr">
        <is>
          <t>6" Bench Vise Table Top Clamp Press Locking Swivel Base Heavy-Duty for Crafting Painting Sculpting Modeling Electronics Soldering Woodworking and Fishing Tackle</t>
        </is>
      </c>
      <c r="E4670" s="2">
        <f>HYPERLINK("https://www.amazon.com/Heavy-Duty-Sculpting-Electronics-Soldering-Woodworking/dp/B07YP78X91/ref=sr_1_3?keywords=Table+Top+Tool+Bench&amp;qid=1695565922&amp;sr=8-3", "https://www.amazon.com/Heavy-Duty-Sculpting-Electronics-Soldering-Woodworking/dp/B07YP78X91/ref=sr_1_3?keywords=Table+Top+Tool+Bench&amp;qid=1695565922&amp;sr=8-3")</f>
        <v/>
      </c>
      <c r="F4670" t="inlineStr">
        <is>
          <t>B07YP78X91</t>
        </is>
      </c>
      <c r="G4670">
        <f>_xlfn.IMAGE("https://faoschwarz.com/cdn/shop/products/tender-leaf-toys-room-decor-table-top-tool-bench-29370656555095_1080x.jpg?v=1660172158")</f>
        <v/>
      </c>
      <c r="H4670">
        <f>_xlfn.IMAGE("https://m.media-amazon.com/images/I/61L4Df7WRJL._AC_UL320_.jpg")</f>
        <v/>
      </c>
      <c r="K4670" t="inlineStr">
        <is>
          <t>120.0</t>
        </is>
      </c>
      <c r="L4670" t="n">
        <v>73.98999999999999</v>
      </c>
      <c r="M4670" s="1" t="inlineStr">
        <is>
          <t>-38.34%</t>
        </is>
      </c>
      <c r="N4670" t="n">
        <v>4.4</v>
      </c>
      <c r="O4670" t="n">
        <v>235</v>
      </c>
      <c r="Q4670" t="inlineStr">
        <is>
          <t>InStock</t>
        </is>
      </c>
      <c r="R4670" t="inlineStr">
        <is>
          <t>undefined</t>
        </is>
      </c>
      <c r="S4670" t="inlineStr">
        <is>
          <t>6792923152471</t>
        </is>
      </c>
    </row>
    <row r="4671" ht="75" customHeight="1">
      <c r="A4671" s="2">
        <f>HYPERLINK("https://faoschwarz.com/products/table-top-tool-bench", "https://faoschwarz.com/products/table-top-tool-bench")</f>
        <v/>
      </c>
      <c r="B4671" s="2">
        <f>HYPERLINK("https://faoschwarz.com/products/table-top-tool-bench", "https://faoschwarz.com/products/table-top-tool-bench")</f>
        <v/>
      </c>
      <c r="C4671" t="inlineStr">
        <is>
          <t>Table Top Tool Bench</t>
        </is>
      </c>
      <c r="D4671" t="inlineStr">
        <is>
          <t>Resilia Work Bench Mat - 23.5 Inches X 47.5 Inches, Clear - Easy-to-Clean Scratch Resistant Vinyl - Garage Workbench or Table Storage - Tool Station Organization - Made in The USA</t>
        </is>
      </c>
      <c r="E4671" s="2" t="n"/>
      <c r="F4671" t="inlineStr">
        <is>
          <t>B09K5XBBGV</t>
        </is>
      </c>
      <c r="G4671">
        <f>_xlfn.IMAGE("https://faoschwarz.com/cdn/shop/products/tender-leaf-toys-room-decor-table-top-tool-bench-29370656555095_1080x.jpg?v=1660172158")</f>
        <v/>
      </c>
      <c r="H4671">
        <f>_xlfn.IMAGE("https://m.media-amazon.com/images/I/417SWNNx2HL._AC_UL320_.jpg")</f>
        <v/>
      </c>
      <c r="K4671" t="inlineStr">
        <is>
          <t>120.0</t>
        </is>
      </c>
      <c r="L4671" t="n">
        <v>37.27</v>
      </c>
      <c r="M4671" s="1" t="inlineStr">
        <is>
          <t>-68.94%</t>
        </is>
      </c>
      <c r="N4671" t="n">
        <v>4.4</v>
      </c>
      <c r="O4671" t="n">
        <v>166</v>
      </c>
      <c r="Q4671" t="inlineStr">
        <is>
          <t>InStock</t>
        </is>
      </c>
      <c r="R4671" t="inlineStr">
        <is>
          <t>undefined</t>
        </is>
      </c>
      <c r="S4671" t="inlineStr">
        <is>
          <t>6792923152471</t>
        </is>
      </c>
    </row>
    <row r="4672" ht="75" customHeight="1">
      <c r="A4672" s="2">
        <f>HYPERLINK("https://faoschwarz.com/products/table-top-tool-bench", "https://faoschwarz.com/products/table-top-tool-bench")</f>
        <v/>
      </c>
      <c r="B4672" s="2">
        <f>HYPERLINK("https://faoschwarz.com/products/table-top-tool-bench", "https://faoschwarz.com/products/table-top-tool-bench")</f>
        <v/>
      </c>
      <c r="C4672" t="inlineStr">
        <is>
          <t>Table Top Tool Bench</t>
        </is>
      </c>
      <c r="D4672" t="inlineStr">
        <is>
          <t>MaxWorks 80695 Bench/Table Top 15-Bin Parts Rack</t>
        </is>
      </c>
      <c r="E4672" s="2">
        <f>HYPERLINK("https://www.amazon.com/MaxWorks-80695-Bench-Table-15-Bin/dp/B072LVS7WM/ref=sr_1_2?keywords=Table+Top+Tool+Bench&amp;qid=1695565922&amp;sr=8-2", "https://www.amazon.com/MaxWorks-80695-Bench-Table-15-Bin/dp/B072LVS7WM/ref=sr_1_2?keywords=Table+Top+Tool+Bench&amp;qid=1695565922&amp;sr=8-2")</f>
        <v/>
      </c>
      <c r="F4672" t="inlineStr">
        <is>
          <t>B072LVS7WM</t>
        </is>
      </c>
      <c r="G4672">
        <f>_xlfn.IMAGE("https://faoschwarz.com/cdn/shop/products/tender-leaf-toys-room-decor-table-top-tool-bench-29370656555095_1080x.jpg?v=1660172158")</f>
        <v/>
      </c>
      <c r="H4672">
        <f>_xlfn.IMAGE("https://m.media-amazon.com/images/I/71NJ3hpYD7L._AC_UL320_.jpg")</f>
        <v/>
      </c>
      <c r="K4672" t="inlineStr">
        <is>
          <t>120.0</t>
        </is>
      </c>
      <c r="L4672" t="n">
        <v>24.7</v>
      </c>
      <c r="M4672" s="1" t="inlineStr">
        <is>
          <t>-79.42%</t>
        </is>
      </c>
      <c r="N4672" t="n">
        <v>4.2</v>
      </c>
      <c r="O4672" t="n">
        <v>300</v>
      </c>
      <c r="Q4672" t="inlineStr">
        <is>
          <t>InStock</t>
        </is>
      </c>
      <c r="R4672" t="inlineStr">
        <is>
          <t>undefined</t>
        </is>
      </c>
      <c r="S4672" t="inlineStr">
        <is>
          <t>6792923152471</t>
        </is>
      </c>
    </row>
    <row r="4673" ht="75" customHeight="1">
      <c r="A4673" s="2">
        <f>HYPERLINK("https://faoschwarz.com/products/table-top-tool-bench", "https://faoschwarz.com/products/table-top-tool-bench")</f>
        <v/>
      </c>
      <c r="B4673" s="2">
        <f>HYPERLINK("https://faoschwarz.com/products/table-top-tool-bench", "https://faoschwarz.com/products/table-top-tool-bench")</f>
        <v/>
      </c>
      <c r="C4673" t="inlineStr">
        <is>
          <t>Table Top Tool Bench</t>
        </is>
      </c>
      <c r="D4673" t="inlineStr">
        <is>
          <t>QWORK 3" Universal Tabletop Clamp Vice Tilts Rotate 360°, Portable Work Bench Vise for Drilling, Woodworking,Jewelry Making, Mental working</t>
        </is>
      </c>
      <c r="E4673" s="2">
        <f>HYPERLINK("https://www.amazon.com/QWORK-Universal-Tabletop-Portable-Woodworking/dp/B08F5955K8/ref=sr_1_1?keywords=Table+Top+Tool+Bench&amp;qid=1695565922&amp;sr=8-1", "https://www.amazon.com/QWORK-Universal-Tabletop-Portable-Woodworking/dp/B08F5955K8/ref=sr_1_1?keywords=Table+Top+Tool+Bench&amp;qid=1695565922&amp;sr=8-1")</f>
        <v/>
      </c>
      <c r="F4673" t="inlineStr">
        <is>
          <t>B08F5955K8</t>
        </is>
      </c>
      <c r="G4673">
        <f>_xlfn.IMAGE("https://faoschwarz.com/cdn/shop/products/tender-leaf-toys-room-decor-table-top-tool-bench-29370656555095_1080x.jpg?v=1660172158")</f>
        <v/>
      </c>
      <c r="H4673">
        <f>_xlfn.IMAGE("https://m.media-amazon.com/images/I/61z6I99J8CL._AC_UL320_.jpg")</f>
        <v/>
      </c>
      <c r="K4673" t="inlineStr">
        <is>
          <t>120.0</t>
        </is>
      </c>
      <c r="L4673" t="n">
        <v>17.95</v>
      </c>
      <c r="M4673" s="1" t="inlineStr">
        <is>
          <t>-85.04%</t>
        </is>
      </c>
      <c r="N4673" t="n">
        <v>4.3</v>
      </c>
      <c r="O4673" t="n">
        <v>603</v>
      </c>
      <c r="Q4673" t="inlineStr">
        <is>
          <t>InStock</t>
        </is>
      </c>
      <c r="R4673" t="inlineStr">
        <is>
          <t>undefined</t>
        </is>
      </c>
      <c r="S4673" t="inlineStr">
        <is>
          <t>6792923152471</t>
        </is>
      </c>
    </row>
    <row r="4674" ht="75" customHeight="1">
      <c r="A4674" s="2">
        <f>HYPERLINK("https://faoschwarz.com/products/table-top-tool-bench", "https://faoschwarz.com/products/table-top-tool-bench")</f>
        <v/>
      </c>
      <c r="B4674" s="2">
        <f>HYPERLINK("https://faoschwarz.com/products/table-top-tool-bench", "https://faoschwarz.com/products/table-top-tool-bench")</f>
        <v/>
      </c>
      <c r="C4674" t="inlineStr">
        <is>
          <t>Table Top Tool Bench</t>
        </is>
      </c>
      <c r="D4674" t="inlineStr">
        <is>
          <t>Saipe Universal Mini Table Vise Clamp 360° Suction Vice Clamp Drill Press Vise Table Bench Vice Craft Vise DIY Sculpture Craft Carving Tool for Jewelry Watch Walnut</t>
        </is>
      </c>
      <c r="E4674" s="2">
        <f>HYPERLINK("https://www.amazon.com/Saipe-Universal-Suction-Sculpture-Carving/dp/B093D8FQRZ/ref=sr_1_5?keywords=Table+Top+Tool+Bench&amp;qid=1695565922&amp;sr=8-5", "https://www.amazon.com/Saipe-Universal-Suction-Sculpture-Carving/dp/B093D8FQRZ/ref=sr_1_5?keywords=Table+Top+Tool+Bench&amp;qid=1695565922&amp;sr=8-5")</f>
        <v/>
      </c>
      <c r="F4674" t="inlineStr">
        <is>
          <t>B093D8FQRZ</t>
        </is>
      </c>
      <c r="G4674">
        <f>_xlfn.IMAGE("https://faoschwarz.com/cdn/shop/products/tender-leaf-toys-room-decor-table-top-tool-bench-29370656555095_1080x.jpg?v=1660172158")</f>
        <v/>
      </c>
      <c r="H4674">
        <f>_xlfn.IMAGE("https://m.media-amazon.com/images/I/51CpvjXkTiS._AC_UL320_.jpg")</f>
        <v/>
      </c>
      <c r="K4674" t="inlineStr">
        <is>
          <t>120.0</t>
        </is>
      </c>
      <c r="L4674" t="n">
        <v>12.99</v>
      </c>
      <c r="M4674" s="1" t="inlineStr">
        <is>
          <t>-89.18%</t>
        </is>
      </c>
      <c r="N4674" t="n">
        <v>4.1</v>
      </c>
      <c r="O4674" t="n">
        <v>79</v>
      </c>
      <c r="Q4674" t="inlineStr">
        <is>
          <t>InStock</t>
        </is>
      </c>
      <c r="R4674" t="inlineStr">
        <is>
          <t>undefined</t>
        </is>
      </c>
      <c r="S4674" t="inlineStr">
        <is>
          <t>6792923152471</t>
        </is>
      </c>
    </row>
    <row r="4675" ht="75" customHeight="1">
      <c r="A4675" s="2">
        <f>HYPERLINK("https://faoschwarz.com/products/tender-leaf-farm", "https://faoschwarz.com/products/tender-leaf-farm")</f>
        <v/>
      </c>
      <c r="B4675" s="2">
        <f>HYPERLINK("https://faoschwarz.com/products/tender-leaf-farm", "https://faoschwarz.com/products/tender-leaf-farm")</f>
        <v/>
      </c>
      <c r="C4675" t="inlineStr">
        <is>
          <t>Tender Leaf Farm</t>
        </is>
      </c>
      <c r="D4675" t="inlineStr">
        <is>
          <t>Tender Leaf Toys - Tender Leaf Farm - Realistic Colorful Wooden Farmhouse Toy Set for Creative Pretend Play for Kids 3+</t>
        </is>
      </c>
      <c r="E4675" s="2">
        <f>HYPERLINK("https://www.amazon.com/Tender-Leaf-Toys-Realistic-Farmhouse/dp/B09313K8M1/ref=sr_1_2?keywords=Tender+Leaf+Farm&amp;qid=1695565913&amp;sr=8-2", "https://www.amazon.com/Tender-Leaf-Toys-Realistic-Farmhouse/dp/B09313K8M1/ref=sr_1_2?keywords=Tender+Leaf+Farm&amp;qid=1695565913&amp;sr=8-2")</f>
        <v/>
      </c>
      <c r="F4675" t="inlineStr">
        <is>
          <t>B09313K8M1</t>
        </is>
      </c>
      <c r="G4675">
        <f>_xlfn.IMAGE("https://faoschwarz.com/cdn/shop/files/tender-leaf-toys-preschool-tender-leaf-farm-30331636056151_1080x.jpg?v=1684799231")</f>
        <v/>
      </c>
      <c r="H4675">
        <f>_xlfn.IMAGE("https://m.media-amazon.com/images/I/61TNlcoDB0S._AC_UL320_.jpg")</f>
        <v/>
      </c>
      <c r="K4675" t="inlineStr">
        <is>
          <t>110.0</t>
        </is>
      </c>
      <c r="L4675" t="n">
        <v>109.99</v>
      </c>
      <c r="M4675" s="1" t="inlineStr">
        <is>
          <t>-0.01%</t>
        </is>
      </c>
      <c r="N4675" t="n">
        <v>4</v>
      </c>
      <c r="O4675" t="n">
        <v>10</v>
      </c>
      <c r="Q4675" t="inlineStr">
        <is>
          <t>InStock</t>
        </is>
      </c>
      <c r="R4675" t="inlineStr">
        <is>
          <t>undefined</t>
        </is>
      </c>
      <c r="S4675" t="inlineStr">
        <is>
          <t>6880487669847</t>
        </is>
      </c>
    </row>
    <row r="4676" ht="75" customHeight="1">
      <c r="A4676" s="2">
        <f>HYPERLINK("https://faoschwarz.com/products/tender-leaf-farm", "https://faoschwarz.com/products/tender-leaf-farm")</f>
        <v/>
      </c>
      <c r="B4676" s="2">
        <f>HYPERLINK("https://faoschwarz.com/products/tender-leaf-farm", "https://faoschwarz.com/products/tender-leaf-farm")</f>
        <v/>
      </c>
      <c r="C4676" t="inlineStr">
        <is>
          <t>Tender Leaf Farm</t>
        </is>
      </c>
      <c r="D4676" t="inlineStr">
        <is>
          <t>Tender Leaf Toys Farmyard Animals “ 13 Wooden Country Farm Figurines with a Display Shelf - Classic Toy for Pretend Play “ Develops Creative &amp; Imaginative Skills “ Learning Role Play “ Ages 3+ Years</t>
        </is>
      </c>
      <c r="E4676" s="2">
        <f>HYPERLINK("https://www.amazon.com/Tender-Leaf-Toys-Farmyard-Animals/dp/B0861DDV4T/ref=sr_1_4?keywords=Tender+Leaf+Farm&amp;qid=1695565913&amp;sr=8-4", "https://www.amazon.com/Tender-Leaf-Toys-Farmyard-Animals/dp/B0861DDV4T/ref=sr_1_4?keywords=Tender+Leaf+Farm&amp;qid=1695565913&amp;sr=8-4")</f>
        <v/>
      </c>
      <c r="F4676" t="inlineStr">
        <is>
          <t>B0861DDV4T</t>
        </is>
      </c>
      <c r="G4676">
        <f>_xlfn.IMAGE("https://faoschwarz.com/cdn/shop/files/tender-leaf-toys-preschool-tender-leaf-farm-30331636056151_1080x.jpg?v=1684799231")</f>
        <v/>
      </c>
      <c r="H4676">
        <f>_xlfn.IMAGE("https://m.media-amazon.com/images/I/71Gbka+GPZL._AC_UL320_.jpg")</f>
        <v/>
      </c>
      <c r="K4676" t="inlineStr">
        <is>
          <t>110.0</t>
        </is>
      </c>
      <c r="L4676" t="n">
        <v>64.98</v>
      </c>
      <c r="M4676" s="1" t="inlineStr">
        <is>
          <t>-40.93%</t>
        </is>
      </c>
      <c r="N4676" t="n">
        <v>4.6</v>
      </c>
      <c r="O4676" t="n">
        <v>29</v>
      </c>
      <c r="Q4676" t="inlineStr">
        <is>
          <t>InStock</t>
        </is>
      </c>
      <c r="R4676" t="inlineStr">
        <is>
          <t>undefined</t>
        </is>
      </c>
      <c r="S4676" t="inlineStr">
        <is>
          <t>6880487669847</t>
        </is>
      </c>
    </row>
    <row r="4677" ht="75" customHeight="1">
      <c r="A4677" s="2">
        <f>HYPERLINK("https://faoschwarz.com/products/tender-leaf-farm", "https://faoschwarz.com/products/tender-leaf-farm")</f>
        <v/>
      </c>
      <c r="B4677" s="2">
        <f>HYPERLINK("https://faoschwarz.com/products/tender-leaf-farm", "https://faoschwarz.com/products/tender-leaf-farm")</f>
        <v/>
      </c>
      <c r="C4677" t="inlineStr">
        <is>
          <t>Tender Leaf Farm</t>
        </is>
      </c>
      <c r="D4677" t="inlineStr">
        <is>
          <t>Tender Leaf Toys - Farmyard Tractor - Wooden Tractor Toy with Removeable Trailer, Animals and Accessories - Open-Ended Play Toy, Farm Pretend Play for Boys and Girls - Age 18m+</t>
        </is>
      </c>
      <c r="E4677" s="2">
        <f>HYPERLINK("https://www.amazon.com/Tender-Leaf-Toys-Removeable-Accessories/dp/B09TR564HC/ref=sr_1_5?keywords=Tender+Leaf+Farm&amp;qid=1695565913&amp;sr=8-5", "https://www.amazon.com/Tender-Leaf-Toys-Removeable-Accessories/dp/B09TR564HC/ref=sr_1_5?keywords=Tender+Leaf+Farm&amp;qid=1695565913&amp;sr=8-5")</f>
        <v/>
      </c>
      <c r="F4677" t="inlineStr">
        <is>
          <t>B09TR564HC</t>
        </is>
      </c>
      <c r="G4677">
        <f>_xlfn.IMAGE("https://faoschwarz.com/cdn/shop/files/tender-leaf-toys-preschool-tender-leaf-farm-30331636056151_1080x.jpg?v=1684799231")</f>
        <v/>
      </c>
      <c r="H4677">
        <f>_xlfn.IMAGE("https://m.media-amazon.com/images/I/61bLyEpdX0L._AC_UL320_.jpg")</f>
        <v/>
      </c>
      <c r="K4677" t="inlineStr">
        <is>
          <t>110.0</t>
        </is>
      </c>
      <c r="L4677" t="n">
        <v>39.99</v>
      </c>
      <c r="M4677" s="1" t="inlineStr">
        <is>
          <t>-63.65%</t>
        </is>
      </c>
      <c r="N4677" t="n">
        <v>5</v>
      </c>
      <c r="O4677" t="n">
        <v>8</v>
      </c>
      <c r="Q4677" t="inlineStr">
        <is>
          <t>InStock</t>
        </is>
      </c>
      <c r="R4677" t="inlineStr">
        <is>
          <t>undefined</t>
        </is>
      </c>
      <c r="S4677" t="inlineStr">
        <is>
          <t>6880487669847</t>
        </is>
      </c>
    </row>
    <row r="4678" ht="75" customHeight="1">
      <c r="A4678" s="2">
        <f>HYPERLINK("https://faoschwarz.com/products/tender-leaf-farm", "https://faoschwarz.com/products/tender-leaf-farm")</f>
        <v/>
      </c>
      <c r="B4678" s="2">
        <f>HYPERLINK("https://faoschwarz.com/products/tender-leaf-farm", "https://faoschwarz.com/products/tender-leaf-farm")</f>
        <v/>
      </c>
      <c r="C4678" t="inlineStr">
        <is>
          <t>Tender Leaf Farm</t>
        </is>
      </c>
      <c r="D4678" t="inlineStr">
        <is>
          <t>Tender Leaf Toys - Stacking Farmyard Play Set for Kids - Animal Play Set for Encouraging Logical Thinking, Inspire Imaginative Play and Pretend Play</t>
        </is>
      </c>
      <c r="E4678" s="2">
        <f>HYPERLINK("https://www.amazon.com/Tender-Leaf-Toys-Encouraging-Imaginative/dp/B08627ZXRT/ref=sr_1_3?keywords=Tender+Leaf+Farm&amp;qid=1695565913&amp;sr=8-3", "https://www.amazon.com/Tender-Leaf-Toys-Encouraging-Imaginative/dp/B08627ZXRT/ref=sr_1_3?keywords=Tender+Leaf+Farm&amp;qid=1695565913&amp;sr=8-3")</f>
        <v/>
      </c>
      <c r="F4678" t="inlineStr">
        <is>
          <t>B08627ZXRT</t>
        </is>
      </c>
      <c r="G4678">
        <f>_xlfn.IMAGE("https://faoschwarz.com/cdn/shop/files/tender-leaf-toys-preschool-tender-leaf-farm-30331636056151_1080x.jpg?v=1684799231")</f>
        <v/>
      </c>
      <c r="H4678">
        <f>_xlfn.IMAGE("https://m.media-amazon.com/images/I/61divqPMzZL._AC_UL320_.jpg")</f>
        <v/>
      </c>
      <c r="K4678" t="inlineStr">
        <is>
          <t>110.0</t>
        </is>
      </c>
      <c r="L4678" t="n">
        <v>29.99</v>
      </c>
      <c r="M4678" s="1" t="inlineStr">
        <is>
          <t>-72.74%</t>
        </is>
      </c>
      <c r="N4678" t="n">
        <v>4.7</v>
      </c>
      <c r="O4678" t="n">
        <v>77</v>
      </c>
      <c r="Q4678" t="inlineStr">
        <is>
          <t>InStock</t>
        </is>
      </c>
      <c r="R4678" t="inlineStr">
        <is>
          <t>undefined</t>
        </is>
      </c>
      <c r="S4678" t="inlineStr">
        <is>
          <t>6880487669847</t>
        </is>
      </c>
    </row>
    <row r="4679" ht="75" customHeight="1">
      <c r="A4679" s="2">
        <f>HYPERLINK("https://faoschwarz.com/products/tent-tunnels-2-in-1", "https://faoschwarz.com/products/tent-tunnels-2-in-1")</f>
        <v/>
      </c>
      <c r="B4679" s="2">
        <f>HYPERLINK("https://faoschwarz.com/products/tent-tunnels-2-in-1", "https://faoschwarz.com/products/tent-tunnels-2-in-1")</f>
        <v/>
      </c>
      <c r="C4679" t="inlineStr">
        <is>
          <t>Tent Tunnels 2 in 1</t>
        </is>
      </c>
      <c r="D4679" t="inlineStr">
        <is>
          <t>Play Tent with Tunnels 3 in 1 Kids Tents and Tunnels Kids Crawl Tunnel for Children Indoor and Outdoor Games</t>
        </is>
      </c>
      <c r="E4679" s="2">
        <f>HYPERLINK("https://www.amazon.com/Children-Playhouse-Tunnel-Outdoor-Install/dp/B07HFQJD1B/ref=sr_1_2?keywords=Tent+Tunnels+2+in+1&amp;qid=1695565934&amp;sr=8-2", "https://www.amazon.com/Children-Playhouse-Tunnel-Outdoor-Install/dp/B07HFQJD1B/ref=sr_1_2?keywords=Tent+Tunnels+2+in+1&amp;qid=1695565934&amp;sr=8-2")</f>
        <v/>
      </c>
      <c r="F4679" t="inlineStr">
        <is>
          <t>B07HFQJD1B</t>
        </is>
      </c>
      <c r="G4679">
        <f>_xlfn.IMAGE("https://faoschwarz.com/cdn/shop/products/fao-schwarz-preschool-tent-tunnels-2-in-1-28497943298135_1080x.jpg?v=1656041376")</f>
        <v/>
      </c>
      <c r="H4679">
        <f>_xlfn.IMAGE("https://m.media-amazon.com/images/I/61xN6OsUzwL._AC_UL320_.jpg")</f>
        <v/>
      </c>
      <c r="K4679" t="inlineStr">
        <is>
          <t>35.0</t>
        </is>
      </c>
      <c r="L4679" t="n">
        <v>59.99</v>
      </c>
      <c r="M4679" s="1" t="inlineStr">
        <is>
          <t>71.40%</t>
        </is>
      </c>
      <c r="N4679" t="n">
        <v>2.8</v>
      </c>
      <c r="O4679" t="n">
        <v>5</v>
      </c>
      <c r="Q4679" t="inlineStr">
        <is>
          <t>InStock</t>
        </is>
      </c>
      <c r="R4679" t="inlineStr">
        <is>
          <t>undefined</t>
        </is>
      </c>
      <c r="S4679" t="inlineStr">
        <is>
          <t>6627542892631</t>
        </is>
      </c>
    </row>
    <row r="4680" ht="75" customHeight="1">
      <c r="A4680" s="2">
        <f>HYPERLINK("https://faoschwarz.com/products/tent-tunnels-2-in-1", "https://faoschwarz.com/products/tent-tunnels-2-in-1")</f>
        <v/>
      </c>
      <c r="B4680" s="2">
        <f>HYPERLINK("https://faoschwarz.com/products/tent-tunnels-2-in-1", "https://faoschwarz.com/products/tent-tunnels-2-in-1")</f>
        <v/>
      </c>
      <c r="C4680" t="inlineStr">
        <is>
          <t>Tent Tunnels 2 in 1</t>
        </is>
      </c>
      <c r="D4680" t="inlineStr">
        <is>
          <t>Discovery Kids 3 in 1 Adventure Play Tent W/Removable Tunnel Tubes, Measures 32" x 32" x 32" Inches, Indoor/Outdoor Pop Up Design, Easy Setup, Lightweight Fabric, Folds Flat, Includes Carrying Bag</t>
        </is>
      </c>
      <c r="E4680" s="2">
        <f>HYPERLINK("https://www.amazon.com/Discovery-Kids-Adventure-Removable-Lightweight/dp/B07BR83L6J/ref=sr_1_1?keywords=Tent+Tunnels+2+in+1&amp;qid=1695565934&amp;sr=8-1", "https://www.amazon.com/Discovery-Kids-Adventure-Removable-Lightweight/dp/B07BR83L6J/ref=sr_1_1?keywords=Tent+Tunnels+2+in+1&amp;qid=1695565934&amp;sr=8-1")</f>
        <v/>
      </c>
      <c r="F4680" t="inlineStr">
        <is>
          <t>B07BR83L6J</t>
        </is>
      </c>
      <c r="G4680">
        <f>_xlfn.IMAGE("https://faoschwarz.com/cdn/shop/products/fao-schwarz-preschool-tent-tunnels-2-in-1-28497943298135_1080x.jpg?v=1656041376")</f>
        <v/>
      </c>
      <c r="H4680">
        <f>_xlfn.IMAGE("https://m.media-amazon.com/images/I/61LNvXTqAKL._AC_UL320_.jpg")</f>
        <v/>
      </c>
      <c r="K4680" t="inlineStr">
        <is>
          <t>35.0</t>
        </is>
      </c>
      <c r="L4680" t="n">
        <v>39.99</v>
      </c>
      <c r="M4680" s="1" t="inlineStr">
        <is>
          <t>14.26%</t>
        </is>
      </c>
      <c r="N4680" t="n">
        <v>4.4</v>
      </c>
      <c r="O4680" t="n">
        <v>306</v>
      </c>
      <c r="Q4680" t="inlineStr">
        <is>
          <t>InStock</t>
        </is>
      </c>
      <c r="R4680" t="inlineStr">
        <is>
          <t>undefined</t>
        </is>
      </c>
      <c r="S4680" t="inlineStr">
        <is>
          <t>6627542892631</t>
        </is>
      </c>
    </row>
    <row r="4681" ht="75" customHeight="1">
      <c r="A4681" s="2">
        <f>HYPERLINK("https://faoschwarz.com/products/tent-tunnels-2-in-1", "https://faoschwarz.com/products/tent-tunnels-2-in-1")</f>
        <v/>
      </c>
      <c r="B4681" s="2">
        <f>HYPERLINK("https://faoschwarz.com/products/tent-tunnels-2-in-1", "https://faoschwarz.com/products/tent-tunnels-2-in-1")</f>
        <v/>
      </c>
      <c r="C4681" t="inlineStr">
        <is>
          <t>Tent Tunnels 2 in 1</t>
        </is>
      </c>
      <c r="D4681" t="inlineStr">
        <is>
          <t>3 in 1 Kids Play Tent with Play Tunnels and Ball Pit, Pop Up Toddler Tent for Kids, Kids Toys for Boys and Girls Babies Children Indoor and Outdoor Playhouse, Gift Idea</t>
        </is>
      </c>
      <c r="E4681" s="2">
        <f>HYPERLINK("https://www.amazon.com/Tunnels-Toddler-Children-Outdoor-Playhouse/dp/B0969ZSPW4/ref=sr_1_6?keywords=Tent+Tunnels+2+in+1&amp;qid=1695565934&amp;sr=8-6", "https://www.amazon.com/Tunnels-Toddler-Children-Outdoor-Playhouse/dp/B0969ZSPW4/ref=sr_1_6?keywords=Tent+Tunnels+2+in+1&amp;qid=1695565934&amp;sr=8-6")</f>
        <v/>
      </c>
      <c r="F4681" t="inlineStr">
        <is>
          <t>B0969ZSPW4</t>
        </is>
      </c>
      <c r="G4681">
        <f>_xlfn.IMAGE("https://faoschwarz.com/cdn/shop/products/fao-schwarz-preschool-tent-tunnels-2-in-1-28497943298135_1080x.jpg?v=1656041376")</f>
        <v/>
      </c>
      <c r="H4681">
        <f>_xlfn.IMAGE("https://m.media-amazon.com/images/I/719-o5+vxSS._AC_UL320_.jpg")</f>
        <v/>
      </c>
      <c r="K4681" t="inlineStr">
        <is>
          <t>35.0</t>
        </is>
      </c>
      <c r="L4681" t="n">
        <v>29.99</v>
      </c>
      <c r="M4681" s="1" t="inlineStr">
        <is>
          <t>-14.31%</t>
        </is>
      </c>
      <c r="N4681" t="n">
        <v>4.5</v>
      </c>
      <c r="O4681" t="n">
        <v>354</v>
      </c>
      <c r="Q4681" t="inlineStr">
        <is>
          <t>InStock</t>
        </is>
      </c>
      <c r="R4681" t="inlineStr">
        <is>
          <t>undefined</t>
        </is>
      </c>
      <c r="S4681" t="inlineStr">
        <is>
          <t>6627542892631</t>
        </is>
      </c>
    </row>
    <row r="4682" ht="75" customHeight="1">
      <c r="A4682" s="2">
        <f>HYPERLINK("https://faoschwarz.com/products/theater-play-tent-with-microphone", "https://faoschwarz.com/products/theater-play-tent-with-microphone")</f>
        <v/>
      </c>
      <c r="B4682" s="2">
        <f>HYPERLINK("https://faoschwarz.com/products/theater-play-tent-with-microphone", "https://faoschwarz.com/products/theater-play-tent-with-microphone")</f>
        <v/>
      </c>
      <c r="C4682" t="inlineStr">
        <is>
          <t>Theater Playhouse</t>
        </is>
      </c>
      <c r="D4682" t="inlineStr">
        <is>
          <t>Alvantor Lemonade Stand Puppet Show Theater Pretend Playhouse Play Tent Kids on Stage Doorway Table Top Sets for Toddlers Curtain Fordable Rods Children Dramatic Furniture, 28"X20"X41"H, Yellow,8032</t>
        </is>
      </c>
      <c r="E4682" s="2">
        <f>HYPERLINK("https://www.amazon.com/Alvantor-Lemonade-Playhouse-Toddlers-Furniture/dp/B07PBZRSST/ref=sr_1_1?keywords=Theater+Playhouse&amp;qid=1695565927&amp;sr=8-1", "https://www.amazon.com/Alvantor-Lemonade-Playhouse-Toddlers-Furniture/dp/B07PBZRSST/ref=sr_1_1?keywords=Theater+Playhouse&amp;qid=1695565927&amp;sr=8-1")</f>
        <v/>
      </c>
      <c r="F4682" t="inlineStr">
        <is>
          <t>B07PBZRSST</t>
        </is>
      </c>
      <c r="G4682">
        <f>_xlfn.IMAGE("https://faoschwarz.com/cdn/shop/files/wonder-wise-preschool-theater-playhouse-30539011227735_1080x.jpg?v=1693426699")</f>
        <v/>
      </c>
      <c r="H4682">
        <f>_xlfn.IMAGE("https://m.media-amazon.com/images/I/71JBaERfm2L._AC_UL320_.jpg")</f>
        <v/>
      </c>
      <c r="K4682" t="inlineStr">
        <is>
          <t>299.0</t>
        </is>
      </c>
      <c r="L4682" t="n">
        <v>44.99</v>
      </c>
      <c r="M4682" s="1" t="inlineStr">
        <is>
          <t>-84.95%</t>
        </is>
      </c>
      <c r="N4682" t="n">
        <v>4.4</v>
      </c>
      <c r="O4682" t="n">
        <v>1537</v>
      </c>
      <c r="Q4682" t="inlineStr">
        <is>
          <t>InStock</t>
        </is>
      </c>
      <c r="R4682" t="inlineStr">
        <is>
          <t>undefined</t>
        </is>
      </c>
      <c r="S4682" t="inlineStr">
        <is>
          <t>4567191617623</t>
        </is>
      </c>
    </row>
    <row r="4683" ht="75" customHeight="1">
      <c r="A4683" s="2">
        <f>HYPERLINK("https://faoschwarz.com/products/theater-play-tent-with-microphone", "https://faoschwarz.com/products/theater-play-tent-with-microphone")</f>
        <v/>
      </c>
      <c r="B4683" s="2">
        <f>HYPERLINK("https://faoschwarz.com/products/theater-play-tent-with-microphone", "https://faoschwarz.com/products/theater-play-tent-with-microphone")</f>
        <v/>
      </c>
      <c r="C4683" t="inlineStr">
        <is>
          <t>Theater Playhouse</t>
        </is>
      </c>
      <c r="D4683" t="inlineStr">
        <is>
          <t>Upper Midland Products Inflatable Drive Thru and Theater - Outdoor Playhouse for Kids with Dry Erase Board - Puppet Show for Kids- Reversible Outdoor Toddler Drive Thru Play - 28" x 20" x 41"Inches</t>
        </is>
      </c>
      <c r="E4683" s="2">
        <f>HYPERLINK("https://www.amazon.com/Upper-Midland-Products-Inflatable-Theater/dp/B0BGYJ8XS6/ref=sr_1_4?keywords=Theater+Playhouse&amp;qid=1695565927&amp;sr=8-4", "https://www.amazon.com/Upper-Midland-Products-Inflatable-Theater/dp/B0BGYJ8XS6/ref=sr_1_4?keywords=Theater+Playhouse&amp;qid=1695565927&amp;sr=8-4")</f>
        <v/>
      </c>
      <c r="F4683" t="inlineStr">
        <is>
          <t>B0BGYJ8XS6</t>
        </is>
      </c>
      <c r="G4683">
        <f>_xlfn.IMAGE("https://faoschwarz.com/cdn/shop/files/wonder-wise-preschool-theater-playhouse-30539011227735_1080x.jpg?v=1693426699")</f>
        <v/>
      </c>
      <c r="H4683">
        <f>_xlfn.IMAGE("https://m.media-amazon.com/images/I/51kfm4BkRZL._AC_UL320_.jpg")</f>
        <v/>
      </c>
      <c r="K4683" t="inlineStr">
        <is>
          <t>299.0</t>
        </is>
      </c>
      <c r="L4683" t="n">
        <v>34.98</v>
      </c>
      <c r="M4683" s="1" t="inlineStr">
        <is>
          <t>-88.30%</t>
        </is>
      </c>
      <c r="N4683" t="n">
        <v>4.2</v>
      </c>
      <c r="O4683" t="n">
        <v>38</v>
      </c>
      <c r="Q4683" t="inlineStr">
        <is>
          <t>InStock</t>
        </is>
      </c>
      <c r="R4683" t="inlineStr">
        <is>
          <t>undefined</t>
        </is>
      </c>
      <c r="S4683" t="inlineStr">
        <is>
          <t>4567191617623</t>
        </is>
      </c>
    </row>
    <row r="4684" ht="75" customHeight="1">
      <c r="A4684" s="2">
        <f>HYPERLINK("https://faoschwarz.com/products/the-hot-air-balloon-16pc-jigsaw-puzzle", "https://faoschwarz.com/products/the-hot-air-balloon-16pc-jigsaw-puzzle")</f>
        <v/>
      </c>
      <c r="B4684" s="2">
        <f>HYPERLINK("https://faoschwarz.com/products/the-hot-air-balloon-16pc-jigsaw-puzzle", "https://faoschwarz.com/products/the-hot-air-balloon-16pc-jigsaw-puzzle")</f>
        <v/>
      </c>
      <c r="C4684" t="inlineStr">
        <is>
          <t>The Hot Air Balloon 16pc Jigsaw Puzzle</t>
        </is>
      </c>
      <c r="D4684" t="inlineStr">
        <is>
          <t>White Mountain Puzzles Hot Air Balloons - 1000 Piece Jigsaw Puzzle</t>
        </is>
      </c>
      <c r="E4684" s="2">
        <f>HYPERLINK("https://www.amazon.com/White-Mountain-Puzzles-Hot-Balloons/dp/B000H3AG8Q/ref=sr_1_3?keywords=The+Hot+Air+Balloon+16pc+Jigsaw+Puzzle&amp;qid=1695565941&amp;sr=8-3", "https://www.amazon.com/White-Mountain-Puzzles-Hot-Balloons/dp/B000H3AG8Q/ref=sr_1_3?keywords=The+Hot+Air+Balloon+16pc+Jigsaw+Puzzle&amp;qid=1695565941&amp;sr=8-3")</f>
        <v/>
      </c>
      <c r="F4684" t="inlineStr">
        <is>
          <t>B000H3AG8Q</t>
        </is>
      </c>
      <c r="G4684">
        <f>_xlfn.IMAGE("https://faoschwarz.com/cdn/shop/files/djeco-puzzles-the-hot-air-balloon-16pc-jigsaw-puzzle-29826966323287_1080x.jpg?v=1685190755")</f>
        <v/>
      </c>
      <c r="H4684">
        <f>_xlfn.IMAGE("https://m.media-amazon.com/images/I/81xqCNnhxRL._AC_UL320_.jpg")</f>
        <v/>
      </c>
      <c r="K4684" t="inlineStr">
        <is>
          <t>13.0</t>
        </is>
      </c>
      <c r="L4684" t="n">
        <v>19.98</v>
      </c>
      <c r="M4684" s="1" t="inlineStr">
        <is>
          <t>53.69%</t>
        </is>
      </c>
      <c r="N4684" t="n">
        <v>4.7</v>
      </c>
      <c r="O4684" t="n">
        <v>398</v>
      </c>
      <c r="Q4684" t="inlineStr">
        <is>
          <t>InStock</t>
        </is>
      </c>
      <c r="R4684" t="inlineStr">
        <is>
          <t>undefined</t>
        </is>
      </c>
      <c r="S4684" t="inlineStr">
        <is>
          <t>6837503262807</t>
        </is>
      </c>
    </row>
    <row r="4685" ht="75" customHeight="1">
      <c r="A4685" s="2">
        <f>HYPERLINK("https://faoschwarz.com/products/the-hot-air-balloon-16pc-jigsaw-puzzle", "https://faoschwarz.com/products/the-hot-air-balloon-16pc-jigsaw-puzzle")</f>
        <v/>
      </c>
      <c r="B4685" s="2">
        <f>HYPERLINK("https://faoschwarz.com/products/the-hot-air-balloon-16pc-jigsaw-puzzle", "https://faoschwarz.com/products/the-hot-air-balloon-16pc-jigsaw-puzzle")</f>
        <v/>
      </c>
      <c r="C4685" t="inlineStr">
        <is>
          <t>The Hot Air Balloon 16pc Jigsaw Puzzle</t>
        </is>
      </c>
      <c r="D4685" t="inlineStr">
        <is>
          <t>Jigsaw Puzzles 1000 Pieces for Adults for Kids, 1000 Pieces Jigsaw Puzzles - Hot Air Balloon, Educational Toys, Gift for Kids Child Friend, 27.56 x 19.69inch</t>
        </is>
      </c>
      <c r="E4685" s="2">
        <f>HYPERLINK("https://www.amazon.com/Jigsaw-Puzzles-1000-Pieces-Adults/dp/B086DNJS5F/ref=sr_1_10?keywords=The+Hot+Air+Balloon+16pc+Jigsaw+Puzzle&amp;qid=1695565941&amp;sr=8-10", "https://www.amazon.com/Jigsaw-Puzzles-1000-Pieces-Adults/dp/B086DNJS5F/ref=sr_1_10?keywords=The+Hot+Air+Balloon+16pc+Jigsaw+Puzzle&amp;qid=1695565941&amp;sr=8-10")</f>
        <v/>
      </c>
      <c r="F4685" t="inlineStr">
        <is>
          <t>B086DNJS5F</t>
        </is>
      </c>
      <c r="G4685">
        <f>_xlfn.IMAGE("https://faoschwarz.com/cdn/shop/files/djeco-puzzles-the-hot-air-balloon-16pc-jigsaw-puzzle-29826966323287_1080x.jpg?v=1685190755")</f>
        <v/>
      </c>
      <c r="H4685">
        <f>_xlfn.IMAGE("https://m.media-amazon.com/images/I/71aSpkBGZtL._AC_UL320_.jpg")</f>
        <v/>
      </c>
      <c r="K4685" t="inlineStr">
        <is>
          <t>13.0</t>
        </is>
      </c>
      <c r="L4685" t="n">
        <v>17.78</v>
      </c>
      <c r="M4685" s="1" t="inlineStr">
        <is>
          <t>36.77%</t>
        </is>
      </c>
      <c r="N4685" t="n">
        <v>1.9</v>
      </c>
      <c r="O4685" t="n">
        <v>9</v>
      </c>
      <c r="Q4685" t="inlineStr">
        <is>
          <t>InStock</t>
        </is>
      </c>
      <c r="R4685" t="inlineStr">
        <is>
          <t>undefined</t>
        </is>
      </c>
      <c r="S4685" t="inlineStr">
        <is>
          <t>6837503262807</t>
        </is>
      </c>
    </row>
    <row r="4686" ht="75" customHeight="1">
      <c r="A4686" s="2">
        <f>HYPERLINK("https://faoschwarz.com/products/the-hot-air-balloon-16pc-jigsaw-puzzle", "https://faoschwarz.com/products/the-hot-air-balloon-16pc-jigsaw-puzzle")</f>
        <v/>
      </c>
      <c r="B4686" s="2">
        <f>HYPERLINK("https://faoschwarz.com/products/the-hot-air-balloon-16pc-jigsaw-puzzle", "https://faoschwarz.com/products/the-hot-air-balloon-16pc-jigsaw-puzzle")</f>
        <v/>
      </c>
      <c r="C4686" t="inlineStr">
        <is>
          <t>The Hot Air Balloon 16pc Jigsaw Puzzle</t>
        </is>
      </c>
      <c r="D4686" t="inlineStr">
        <is>
          <t>Hot Air Balloon Festival Twin Spring Goods 1000 Piece Jigsaw Puzzle 1,000 pcs</t>
        </is>
      </c>
      <c r="E4686" s="2">
        <f>HYPERLINK("https://www.amazon.com/Spring-Jigsaw-Puzzle-Balloon-Festival/dp/B08BVT3JCN/ref=sr_1_1?keywords=The+Hot+Air+Balloon+16pc+Jigsaw+Puzzle&amp;qid=1695565941&amp;sr=8-1", "https://www.amazon.com/Spring-Jigsaw-Puzzle-Balloon-Festival/dp/B08BVT3JCN/ref=sr_1_1?keywords=The+Hot+Air+Balloon+16pc+Jigsaw+Puzzle&amp;qid=1695565941&amp;sr=8-1")</f>
        <v/>
      </c>
      <c r="F4686" t="inlineStr">
        <is>
          <t>B08BVT3JCN</t>
        </is>
      </c>
      <c r="G4686">
        <f>_xlfn.IMAGE("https://faoschwarz.com/cdn/shop/files/djeco-puzzles-the-hot-air-balloon-16pc-jigsaw-puzzle-29826966323287_1080x.jpg?v=1685190755")</f>
        <v/>
      </c>
      <c r="H4686">
        <f>_xlfn.IMAGE("https://m.media-amazon.com/images/I/71cr6dxfklL._AC_UL320_.jpg")</f>
        <v/>
      </c>
      <c r="K4686" t="inlineStr">
        <is>
          <t>13.0</t>
        </is>
      </c>
      <c r="L4686" t="n">
        <v>16.99</v>
      </c>
      <c r="M4686" s="1" t="inlineStr">
        <is>
          <t>30.69%</t>
        </is>
      </c>
      <c r="N4686" t="n">
        <v>4.2</v>
      </c>
      <c r="O4686" t="n">
        <v>39</v>
      </c>
      <c r="Q4686" t="inlineStr">
        <is>
          <t>InStock</t>
        </is>
      </c>
      <c r="R4686" t="inlineStr">
        <is>
          <t>undefined</t>
        </is>
      </c>
      <c r="S4686" t="inlineStr">
        <is>
          <t>6837503262807</t>
        </is>
      </c>
    </row>
    <row r="4687" ht="75" customHeight="1">
      <c r="A4687" s="2">
        <f>HYPERLINK("https://faoschwarz.com/products/the-hot-air-balloon-16pc-jigsaw-puzzle", "https://faoschwarz.com/products/the-hot-air-balloon-16pc-jigsaw-puzzle")</f>
        <v/>
      </c>
      <c r="B4687" s="2">
        <f>HYPERLINK("https://faoschwarz.com/products/the-hot-air-balloon-16pc-jigsaw-puzzle", "https://faoschwarz.com/products/the-hot-air-balloon-16pc-jigsaw-puzzle")</f>
        <v/>
      </c>
      <c r="C4687" t="inlineStr">
        <is>
          <t>The Hot Air Balloon 16pc Jigsaw Puzzle</t>
        </is>
      </c>
      <c r="D4687" t="inlineStr">
        <is>
          <t>Crown Point Graphics Balloon Glow - Soft Touch 1000 Piece Jigsaw Puzzle - Artist Nicky Boehme - Landscape Hot Air Balloon Puzzle - Balloon Festival Dark Puzzle - Soft Touch Design</t>
        </is>
      </c>
      <c r="E4687" s="2">
        <f>HYPERLINK("https://www.amazon.com/Crown-Point-Graphics-Balloon-Glow/dp/B08MFR8J6F/ref=sr_1_4?keywords=The+Hot+Air+Balloon+16pc+Jigsaw+Puzzle&amp;qid=1695565941&amp;sr=8-4", "https://www.amazon.com/Crown-Point-Graphics-Balloon-Glow/dp/B08MFR8J6F/ref=sr_1_4?keywords=The+Hot+Air+Balloon+16pc+Jigsaw+Puzzle&amp;qid=1695565941&amp;sr=8-4")</f>
        <v/>
      </c>
      <c r="F4687" t="inlineStr">
        <is>
          <t>B08MFR8J6F</t>
        </is>
      </c>
      <c r="G4687">
        <f>_xlfn.IMAGE("https://faoschwarz.com/cdn/shop/files/djeco-puzzles-the-hot-air-balloon-16pc-jigsaw-puzzle-29826966323287_1080x.jpg?v=1685190755")</f>
        <v/>
      </c>
      <c r="H4687">
        <f>_xlfn.IMAGE("https://m.media-amazon.com/images/I/71yuEnuV7gL._AC_UL320_.jpg")</f>
        <v/>
      </c>
      <c r="K4687" t="inlineStr">
        <is>
          <t>13.0</t>
        </is>
      </c>
      <c r="L4687" t="n">
        <v>15.99</v>
      </c>
      <c r="M4687" s="1" t="inlineStr">
        <is>
          <t>23.00%</t>
        </is>
      </c>
      <c r="N4687" t="n">
        <v>3.7</v>
      </c>
      <c r="O4687" t="n">
        <v>7</v>
      </c>
      <c r="Q4687" t="inlineStr">
        <is>
          <t>InStock</t>
        </is>
      </c>
      <c r="R4687" t="inlineStr">
        <is>
          <t>undefined</t>
        </is>
      </c>
      <c r="S4687" t="inlineStr">
        <is>
          <t>6837503262807</t>
        </is>
      </c>
    </row>
    <row r="4688" ht="75" customHeight="1">
      <c r="A4688" s="2">
        <f>HYPERLINK("https://faoschwarz.com/products/the-hot-air-balloon-16pc-jigsaw-puzzle", "https://faoschwarz.com/products/the-hot-air-balloon-16pc-jigsaw-puzzle")</f>
        <v/>
      </c>
      <c r="B4688" s="2">
        <f>HYPERLINK("https://faoschwarz.com/products/the-hot-air-balloon-16pc-jigsaw-puzzle", "https://faoschwarz.com/products/the-hot-air-balloon-16pc-jigsaw-puzzle")</f>
        <v/>
      </c>
      <c r="C4688" t="inlineStr">
        <is>
          <t>The Hot Air Balloon 16pc Jigsaw Puzzle</t>
        </is>
      </c>
      <c r="D4688" t="inlineStr">
        <is>
          <t>1000 Piece Puzzle- Hot Air Balloon 2 - Adults Teens Kids Jigsaw Large Puzzle Toys Gift Educational Intellectual Decompressing Fun Family Game</t>
        </is>
      </c>
      <c r="E4688" s="2">
        <f>HYPERLINK("https://www.amazon.com/1000-Piece-Puzzle-Balloon-Decompressing/dp/B08MF82WGX/ref=sr_1_9?keywords=The+Hot+Air+Balloon+16pc+Jigsaw+Puzzle&amp;qid=1695565941&amp;sr=8-9", "https://www.amazon.com/1000-Piece-Puzzle-Balloon-Decompressing/dp/B08MF82WGX/ref=sr_1_9?keywords=The+Hot+Air+Balloon+16pc+Jigsaw+Puzzle&amp;qid=1695565941&amp;sr=8-9")</f>
        <v/>
      </c>
      <c r="F4688" t="inlineStr">
        <is>
          <t>B08MF82WGX</t>
        </is>
      </c>
      <c r="G4688">
        <f>_xlfn.IMAGE("https://faoschwarz.com/cdn/shop/files/djeco-puzzles-the-hot-air-balloon-16pc-jigsaw-puzzle-29826966323287_1080x.jpg?v=1685190755")</f>
        <v/>
      </c>
      <c r="H4688">
        <f>_xlfn.IMAGE("https://m.media-amazon.com/images/I/71qXmgVW3uL._AC_UL320_.jpg")</f>
        <v/>
      </c>
      <c r="K4688" t="inlineStr">
        <is>
          <t>13.0</t>
        </is>
      </c>
      <c r="L4688" t="n">
        <v>15.99</v>
      </c>
      <c r="M4688" s="1" t="inlineStr">
        <is>
          <t>23.00%</t>
        </is>
      </c>
      <c r="N4688" t="n">
        <v>3.5</v>
      </c>
      <c r="O4688" t="n">
        <v>237</v>
      </c>
      <c r="Q4688" t="inlineStr">
        <is>
          <t>InStock</t>
        </is>
      </c>
      <c r="R4688" t="inlineStr">
        <is>
          <t>undefined</t>
        </is>
      </c>
      <c r="S4688" t="inlineStr">
        <is>
          <t>6837503262807</t>
        </is>
      </c>
    </row>
    <row r="4689" ht="75" customHeight="1">
      <c r="A4689" s="2">
        <f>HYPERLINK("https://faoschwarz.com/products/the-hot-air-balloon-16pc-jigsaw-puzzle", "https://faoschwarz.com/products/the-hot-air-balloon-16pc-jigsaw-puzzle")</f>
        <v/>
      </c>
      <c r="B4689" s="2">
        <f>HYPERLINK("https://faoschwarz.com/products/the-hot-air-balloon-16pc-jigsaw-puzzle", "https://faoschwarz.com/products/the-hot-air-balloon-16pc-jigsaw-puzzle")</f>
        <v/>
      </c>
      <c r="C4689" t="inlineStr">
        <is>
          <t>The Hot Air Balloon 16pc Jigsaw Puzzle</t>
        </is>
      </c>
      <c r="D4689" t="inlineStr">
        <is>
          <t>LucaSng Jigsaw Puzzles for Adults 1000 Piece Puzzles for Adults Hot Air Balloon Home Décor Jigsaws 1000 Pieces for Adults Puzzle Games Family Fun Floor Puzzles Educational Toys for Kids</t>
        </is>
      </c>
      <c r="E4689" s="2">
        <f>HYPERLINK("https://www.amazon.com/LucaSng-Puzzles-Balloon-Jigsaws-Educational/dp/B08S3GHLKD/ref=sr_1_5?keywords=The+Hot+Air+Balloon+16pc+Jigsaw+Puzzle&amp;qid=1695565941&amp;sr=8-5", "https://www.amazon.com/LucaSng-Puzzles-Balloon-Jigsaws-Educational/dp/B08S3GHLKD/ref=sr_1_5?keywords=The+Hot+Air+Balloon+16pc+Jigsaw+Puzzle&amp;qid=1695565941&amp;sr=8-5")</f>
        <v/>
      </c>
      <c r="F4689" t="inlineStr">
        <is>
          <t>B08S3GHLKD</t>
        </is>
      </c>
      <c r="G4689">
        <f>_xlfn.IMAGE("https://faoschwarz.com/cdn/shop/files/djeco-puzzles-the-hot-air-balloon-16pc-jigsaw-puzzle-29826966323287_1080x.jpg?v=1685190755")</f>
        <v/>
      </c>
      <c r="H4689">
        <f>_xlfn.IMAGE("https://m.media-amazon.com/images/I/81s0B-jxULL._AC_UL320_.jpg")</f>
        <v/>
      </c>
      <c r="K4689" t="inlineStr">
        <is>
          <t>13.0</t>
        </is>
      </c>
      <c r="L4689" t="n">
        <v>13.99</v>
      </c>
      <c r="M4689" s="1" t="inlineStr">
        <is>
          <t>7.62%</t>
        </is>
      </c>
      <c r="N4689" t="n">
        <v>3.9</v>
      </c>
      <c r="O4689" t="n">
        <v>25</v>
      </c>
      <c r="Q4689" t="inlineStr">
        <is>
          <t>InStock</t>
        </is>
      </c>
      <c r="R4689" t="inlineStr">
        <is>
          <t>undefined</t>
        </is>
      </c>
      <c r="S4689" t="inlineStr">
        <is>
          <t>6837503262807</t>
        </is>
      </c>
    </row>
    <row r="4690" ht="75" customHeight="1">
      <c r="A4690" s="2">
        <f>HYPERLINK("https://faoschwarz.com/products/the-hot-air-balloon-16pc-jigsaw-puzzle", "https://faoschwarz.com/products/the-hot-air-balloon-16pc-jigsaw-puzzle")</f>
        <v/>
      </c>
      <c r="B4690" s="2">
        <f>HYPERLINK("https://faoschwarz.com/products/the-hot-air-balloon-16pc-jigsaw-puzzle", "https://faoschwarz.com/products/the-hot-air-balloon-16pc-jigsaw-puzzle")</f>
        <v/>
      </c>
      <c r="C4690" t="inlineStr">
        <is>
          <t>The Hot Air Balloon 16pc Jigsaw Puzzle</t>
        </is>
      </c>
      <c r="D4690" t="inlineStr">
        <is>
          <t>Cra-Z-Art Kodak 1,000 Piece Jigsaw Puzzle, Hot Air Balloons, 20” x 27”</t>
        </is>
      </c>
      <c r="E4690" s="2">
        <f>HYPERLINK("https://www.amazon.com/Kodak-Premium-Puzzle-Balloon-Multi-Colored/dp/B08QGMPJXQ/ref=sr_1_2?keywords=The+Hot+Air+Balloon+16pc+Jigsaw+Puzzle&amp;qid=1695565941&amp;sr=8-2", "https://www.amazon.com/Kodak-Premium-Puzzle-Balloon-Multi-Colored/dp/B08QGMPJXQ/ref=sr_1_2?keywords=The+Hot+Air+Balloon+16pc+Jigsaw+Puzzle&amp;qid=1695565941&amp;sr=8-2")</f>
        <v/>
      </c>
      <c r="F4690" t="inlineStr">
        <is>
          <t>B08QGMPJXQ</t>
        </is>
      </c>
      <c r="G4690">
        <f>_xlfn.IMAGE("https://faoschwarz.com/cdn/shop/files/djeco-puzzles-the-hot-air-balloon-16pc-jigsaw-puzzle-29826966323287_1080x.jpg?v=1685190755")</f>
        <v/>
      </c>
      <c r="H4690">
        <f>_xlfn.IMAGE("https://m.media-amazon.com/images/I/71+6Y3GXC-L._AC_UL320_.jpg")</f>
        <v/>
      </c>
      <c r="K4690" t="inlineStr">
        <is>
          <t>13.0</t>
        </is>
      </c>
      <c r="L4690" t="n">
        <v>12.15</v>
      </c>
      <c r="M4690" s="1" t="inlineStr">
        <is>
          <t>-6.54%</t>
        </is>
      </c>
      <c r="N4690" t="n">
        <v>4.7</v>
      </c>
      <c r="O4690" t="n">
        <v>4</v>
      </c>
      <c r="Q4690" t="inlineStr">
        <is>
          <t>InStock</t>
        </is>
      </c>
      <c r="R4690" t="inlineStr">
        <is>
          <t>undefined</t>
        </is>
      </c>
      <c r="S4690" t="inlineStr">
        <is>
          <t>6837503262807</t>
        </is>
      </c>
    </row>
    <row r="4691" ht="75" customHeight="1">
      <c r="A4691" s="2">
        <f>HYPERLINK("https://faoschwarz.com/products/the-hot-air-balloon-16pc-jigsaw-puzzle", "https://faoschwarz.com/products/the-hot-air-balloon-16pc-jigsaw-puzzle")</f>
        <v/>
      </c>
      <c r="B4691" s="2">
        <f>HYPERLINK("https://faoschwarz.com/products/the-hot-air-balloon-16pc-jigsaw-puzzle", "https://faoschwarz.com/products/the-hot-air-balloon-16pc-jigsaw-puzzle")</f>
        <v/>
      </c>
      <c r="C4691" t="inlineStr">
        <is>
          <t>The Hot Air Balloon 16pc Jigsaw Puzzle</t>
        </is>
      </c>
      <c r="D4691" t="inlineStr">
        <is>
          <t>1,000 Piece Jigsaw Puzzle for Adults Kids Family Hot Air Balloon Sunrise Jigsaw Puzzle</t>
        </is>
      </c>
      <c r="E4691" s="2">
        <f>HYPERLINK("https://www.amazon.com/Jigsaw-Puzzle-Adults-Balloon-Sunrise/dp/B08CD4B8BK/ref=sr_1_6?keywords=The+Hot+Air+Balloon+16pc+Jigsaw+Puzzle&amp;qid=1695565941&amp;sr=8-6", "https://www.amazon.com/Jigsaw-Puzzle-Adults-Balloon-Sunrise/dp/B08CD4B8BK/ref=sr_1_6?keywords=The+Hot+Air+Balloon+16pc+Jigsaw+Puzzle&amp;qid=1695565941&amp;sr=8-6")</f>
        <v/>
      </c>
      <c r="F4691" t="inlineStr">
        <is>
          <t>B08CD4B8BK</t>
        </is>
      </c>
      <c r="G4691">
        <f>_xlfn.IMAGE("https://faoschwarz.com/cdn/shop/files/djeco-puzzles-the-hot-air-balloon-16pc-jigsaw-puzzle-29826966323287_1080x.jpg?v=1685190755")</f>
        <v/>
      </c>
      <c r="H4691">
        <f>_xlfn.IMAGE("https://m.media-amazon.com/images/I/91BsbJnbi6L._AC_UL320_.jpg")</f>
        <v/>
      </c>
      <c r="K4691" t="inlineStr">
        <is>
          <t>13.0</t>
        </is>
      </c>
      <c r="L4691" t="n">
        <v>9.99</v>
      </c>
      <c r="M4691" s="1" t="inlineStr">
        <is>
          <t>-23.15%</t>
        </is>
      </c>
      <c r="N4691" t="n">
        <v>4.2</v>
      </c>
      <c r="O4691" t="n">
        <v>43</v>
      </c>
      <c r="Q4691" t="inlineStr">
        <is>
          <t>InStock</t>
        </is>
      </c>
      <c r="R4691" t="inlineStr">
        <is>
          <t>undefined</t>
        </is>
      </c>
      <c r="S4691" t="inlineStr">
        <is>
          <t>6837503262807</t>
        </is>
      </c>
    </row>
    <row r="4692" ht="75" customHeight="1">
      <c r="A4692" s="2">
        <f>HYPERLINK("https://faoschwarz.com/products/tile-lock-scrabble", "https://faoschwarz.com/products/tile-lock-scrabble")</f>
        <v/>
      </c>
      <c r="B4692" s="2">
        <f>HYPERLINK("https://faoschwarz.com/products/tile-lock-scrabble", "https://faoschwarz.com/products/tile-lock-scrabble")</f>
        <v/>
      </c>
      <c r="C4692" t="inlineStr">
        <is>
          <t>Tile Lock Scrabble</t>
        </is>
      </c>
      <c r="D4692" t="inlineStr">
        <is>
          <t>Tile Lock Scrabble,2 to 4 players</t>
        </is>
      </c>
      <c r="E4692" s="2">
        <f>HYPERLINK("https://www.amazon.com/Winning-Moves-Tile-Lock-Scrabble/dp/1223063151/ref=sr_1_1?keywords=Tile+Lock+Scrabble&amp;qid=1695565995&amp;sr=8-1", "https://www.amazon.com/Winning-Moves-Tile-Lock-Scrabble/dp/1223063151/ref=sr_1_1?keywords=Tile+Lock+Scrabble&amp;qid=1695565995&amp;sr=8-1")</f>
        <v/>
      </c>
      <c r="F4692" t="inlineStr">
        <is>
          <t>1223063151</t>
        </is>
      </c>
      <c r="G4692">
        <f>_xlfn.IMAGE("https://faoschwarz.com/cdn/shop/products/winning-moves-games-tile-lock-scrabble-14148227530839_1080x.jpg?v=1656203643")</f>
        <v/>
      </c>
      <c r="H4692">
        <f>_xlfn.IMAGE("https://m.media-amazon.com/images/I/81LLKYZ9v8L._AC_UY218_.jpg")</f>
        <v/>
      </c>
      <c r="K4692" t="inlineStr">
        <is>
          <t>22.0</t>
        </is>
      </c>
      <c r="L4692" t="n">
        <v>19.76</v>
      </c>
      <c r="M4692" s="1" t="inlineStr">
        <is>
          <t>-10.18%</t>
        </is>
      </c>
      <c r="N4692" t="n">
        <v>4.5</v>
      </c>
      <c r="O4692" t="n">
        <v>9391</v>
      </c>
      <c r="Q4692" t="inlineStr">
        <is>
          <t>InStock</t>
        </is>
      </c>
      <c r="R4692" t="inlineStr">
        <is>
          <t>undefined</t>
        </is>
      </c>
      <c r="S4692" t="inlineStr">
        <is>
          <t>4518196740183</t>
        </is>
      </c>
    </row>
    <row r="4693" ht="75" customHeight="1">
      <c r="A4693" s="2">
        <f>HYPERLINK("https://faoschwarz.com/products/tile-lock-scrabble", "https://faoschwarz.com/products/tile-lock-scrabble")</f>
        <v/>
      </c>
      <c r="B4693" s="2">
        <f>HYPERLINK("https://faoschwarz.com/products/tile-lock-scrabble", "https://faoschwarz.com/products/tile-lock-scrabble")</f>
        <v/>
      </c>
      <c r="C4693" t="inlineStr">
        <is>
          <t>Tile Lock Scrabble</t>
        </is>
      </c>
      <c r="D4693" t="inlineStr">
        <is>
          <t>Tile Lock Scrabble,2 to 4 players</t>
        </is>
      </c>
      <c r="E4693" s="2">
        <f>HYPERLINK("https://www.amazon.com/Winning-Moves-Tile-Lock-Scrabble/dp/1223063151/ref=sr_1_1?keywords=Tile+Lock+Scrabble&amp;qid=1695565995&amp;sr=8-1", "https://www.amazon.com/Winning-Moves-Tile-Lock-Scrabble/dp/1223063151/ref=sr_1_1?keywords=Tile+Lock+Scrabble&amp;qid=1695565995&amp;sr=8-1")</f>
        <v/>
      </c>
      <c r="F4693" t="inlineStr">
        <is>
          <t>1223063151</t>
        </is>
      </c>
      <c r="G4693">
        <f>_xlfn.IMAGE("https://faoschwarz.com/cdn/shop/products/winning-moves-games-tile-lock-scrabble-14148227530839_1080x.jpg?v=1656203643")</f>
        <v/>
      </c>
      <c r="H4693">
        <f>_xlfn.IMAGE("https://m.media-amazon.com/images/I/81LLKYZ9v8L._AC_UY218_.jpg")</f>
        <v/>
      </c>
      <c r="K4693" t="inlineStr">
        <is>
          <t>22.0</t>
        </is>
      </c>
      <c r="L4693" t="n">
        <v>19.76</v>
      </c>
      <c r="M4693" s="1" t="inlineStr">
        <is>
          <t>-10.18%</t>
        </is>
      </c>
      <c r="N4693" t="n">
        <v>4.5</v>
      </c>
      <c r="O4693" t="n">
        <v>9391</v>
      </c>
      <c r="Q4693" t="inlineStr">
        <is>
          <t>InStock</t>
        </is>
      </c>
      <c r="R4693" t="inlineStr">
        <is>
          <t>undefined</t>
        </is>
      </c>
      <c r="S4693" t="inlineStr">
        <is>
          <t>4518196740183</t>
        </is>
      </c>
    </row>
    <row r="4694" ht="75" customHeight="1">
      <c r="A4694" s="2">
        <f>HYPERLINK("https://faoschwarz.com/products/toy-magnetic-tiles-50pcs", "https://faoschwarz.com/products/toy-magnetic-tiles-50pcs")</f>
        <v/>
      </c>
      <c r="B4694" s="2">
        <f>HYPERLINK("https://faoschwarz.com/products/toy-magnetic-tiles-50pcs", "https://faoschwarz.com/products/toy-magnetic-tiles-50pcs")</f>
        <v/>
      </c>
      <c r="C4694" t="inlineStr">
        <is>
          <t>50-Piece Magnetic Tile Building Blocks Set</t>
        </is>
      </c>
      <c r="D4694" t="inlineStr">
        <is>
          <t>MAGNA-TILES Dino World XL 50-Piece Magnetic Construction Set, The ORIGINAL Magnetic Building Brand</t>
        </is>
      </c>
      <c r="E4694" s="2">
        <f>HYPERLINK("https://www.amazon.com/MAGNA-TILES-50-Piece-Magnetic-Construction-ORIGINAL/dp/B0BK73NK2D/ref=sr_1_6?keywords=50-Piece+Magnetic+Tile+Building+Blocks+Set&amp;qid=1695565920&amp;sr=8-6", "https://www.amazon.com/MAGNA-TILES-50-Piece-Magnetic-Construction-ORIGINAL/dp/B0BK73NK2D/ref=sr_1_6?keywords=50-Piece+Magnetic+Tile+Building+Blocks+Set&amp;qid=1695565920&amp;sr=8-6")</f>
        <v/>
      </c>
      <c r="F4694" t="inlineStr">
        <is>
          <t>B0BK73NK2D</t>
        </is>
      </c>
      <c r="G4694">
        <f>_xlfn.IMAGE("https://faoschwarz.com/cdn/shop/files/discovery-mindblown-stem-50-piece-magnetic-tile-building-blocks-set-30349742112855_1080x.jpg?v=1684972195")</f>
        <v/>
      </c>
      <c r="H4694">
        <f>_xlfn.IMAGE("https://m.media-amazon.com/images/I/61VxCe1vEsL._AC_UL320_.jpg")</f>
        <v/>
      </c>
      <c r="K4694" t="inlineStr">
        <is>
          <t>35.0</t>
        </is>
      </c>
      <c r="L4694" t="n">
        <v>129.99</v>
      </c>
      <c r="M4694" s="1" t="inlineStr">
        <is>
          <t>271.40%</t>
        </is>
      </c>
      <c r="N4694" t="n">
        <v>4.6</v>
      </c>
      <c r="O4694" t="n">
        <v>20</v>
      </c>
      <c r="Q4694" t="inlineStr">
        <is>
          <t>InStock</t>
        </is>
      </c>
      <c r="R4694" t="inlineStr">
        <is>
          <t>undefined</t>
        </is>
      </c>
      <c r="S4694" t="inlineStr">
        <is>
          <t>6880815874135</t>
        </is>
      </c>
    </row>
    <row r="4695" ht="75" customHeight="1">
      <c r="A4695" s="2">
        <f>HYPERLINK("https://faoschwarz.com/products/toy-magnetic-tiles-50pcs", "https://faoschwarz.com/products/toy-magnetic-tiles-50pcs")</f>
        <v/>
      </c>
      <c r="B4695" s="2">
        <f>HYPERLINK("https://faoschwarz.com/products/toy-magnetic-tiles-50pcs", "https://faoschwarz.com/products/toy-magnetic-tiles-50pcs")</f>
        <v/>
      </c>
      <c r="C4695" t="inlineStr">
        <is>
          <t>50-Piece Magnetic Tile Building Blocks Set</t>
        </is>
      </c>
      <c r="D4695" t="inlineStr">
        <is>
          <t>MAGNA-TILES Grand Prix 50-Piece Magnetic Construction Set, The ORIGINAL Magnetic Building Brand</t>
        </is>
      </c>
      <c r="E4695" s="2">
        <f>HYPERLINK("https://www.amazon.com/Magna-Tiles%C2%AE-Frost-50-Piece-Grand-Prix/dp/B0842TRSY1/ref=sr_1_4?keywords=50-Piece+Magnetic+Tile+Building+Blocks+Set&amp;qid=1695565920&amp;sr=8-4", "https://www.amazon.com/Magna-Tiles%C2%AE-Frost-50-Piece-Grand-Prix/dp/B0842TRSY1/ref=sr_1_4?keywords=50-Piece+Magnetic+Tile+Building+Blocks+Set&amp;qid=1695565920&amp;sr=8-4")</f>
        <v/>
      </c>
      <c r="F4695" t="inlineStr">
        <is>
          <t>B0842TRSY1</t>
        </is>
      </c>
      <c r="G4695">
        <f>_xlfn.IMAGE("https://faoschwarz.com/cdn/shop/files/discovery-mindblown-stem-50-piece-magnetic-tile-building-blocks-set-30349742112855_1080x.jpg?v=1684972195")</f>
        <v/>
      </c>
      <c r="H4695">
        <f>_xlfn.IMAGE("https://m.media-amazon.com/images/I/619LqRYMSyL._AC_UL320_.jpg")</f>
        <v/>
      </c>
      <c r="K4695" t="inlineStr">
        <is>
          <t>35.0</t>
        </is>
      </c>
      <c r="L4695" t="n">
        <v>79</v>
      </c>
      <c r="M4695" s="1" t="inlineStr">
        <is>
          <t>125.71%</t>
        </is>
      </c>
      <c r="N4695" t="n">
        <v>4.8</v>
      </c>
      <c r="O4695" t="n">
        <v>31</v>
      </c>
      <c r="Q4695" t="inlineStr">
        <is>
          <t>InStock</t>
        </is>
      </c>
      <c r="R4695" t="inlineStr">
        <is>
          <t>undefined</t>
        </is>
      </c>
      <c r="S4695" t="inlineStr">
        <is>
          <t>6880815874135</t>
        </is>
      </c>
    </row>
    <row r="4696" ht="75" customHeight="1">
      <c r="A4696" s="2">
        <f>HYPERLINK("https://faoschwarz.com/products/toy-magnetic-tiles-50pcs", "https://faoschwarz.com/products/toy-magnetic-tiles-50pcs")</f>
        <v/>
      </c>
      <c r="B4696" s="2">
        <f>HYPERLINK("https://faoschwarz.com/products/toy-magnetic-tiles-50pcs", "https://faoschwarz.com/products/toy-magnetic-tiles-50pcs")</f>
        <v/>
      </c>
      <c r="C4696" t="inlineStr">
        <is>
          <t>50-Piece Magnetic Tile Building Blocks Set</t>
        </is>
      </c>
      <c r="D4696" t="inlineStr">
        <is>
          <t>Tytan Tiles 220-Piece Supersized Magnetic Tiles Building Set, 1000s of Creations, Large 3D Castles, Massive Vehicles, &amp; Rocket Ships, Kids’ STEM Toy, Architecture, Innovative Play, Ages 3+</t>
        </is>
      </c>
      <c r="E4696" s="2">
        <f>HYPERLINK("https://www.amazon.com/Tytan-220-Piece-Supersized-Architecture-Innovative/dp/B0BSNZT9TG/ref=sr_1_8?keywords=50-Piece+Magnetic+Tile+Building+Blocks+Set&amp;qid=1695565920&amp;sr=8-8", "https://www.amazon.com/Tytan-220-Piece-Supersized-Architecture-Innovative/dp/B0BSNZT9TG/ref=sr_1_8?keywords=50-Piece+Magnetic+Tile+Building+Blocks+Set&amp;qid=1695565920&amp;sr=8-8")</f>
        <v/>
      </c>
      <c r="F4696" t="inlineStr">
        <is>
          <t>B0BSNZT9TG</t>
        </is>
      </c>
      <c r="G4696">
        <f>_xlfn.IMAGE("https://faoschwarz.com/cdn/shop/files/discovery-mindblown-stem-50-piece-magnetic-tile-building-blocks-set-30349742112855_1080x.jpg?v=1684972195")</f>
        <v/>
      </c>
      <c r="H4696">
        <f>_xlfn.IMAGE("https://m.media-amazon.com/images/I/71S3ZufEMQL._AC_UL320_.jpg")</f>
        <v/>
      </c>
      <c r="K4696" t="inlineStr">
        <is>
          <t>35.0</t>
        </is>
      </c>
      <c r="L4696" t="n">
        <v>49.98</v>
      </c>
      <c r="M4696" s="1" t="inlineStr">
        <is>
          <t>42.80%</t>
        </is>
      </c>
      <c r="N4696" t="n">
        <v>4.9</v>
      </c>
      <c r="O4696" t="n">
        <v>31</v>
      </c>
      <c r="Q4696" t="inlineStr">
        <is>
          <t>InStock</t>
        </is>
      </c>
      <c r="R4696" t="inlineStr">
        <is>
          <t>undefined</t>
        </is>
      </c>
      <c r="S4696" t="inlineStr">
        <is>
          <t>6880815874135</t>
        </is>
      </c>
    </row>
    <row r="4697" ht="75" customHeight="1">
      <c r="A4697" s="2">
        <f>HYPERLINK("https://faoschwarz.com/products/toy-magnetic-tiles-50pcs", "https://faoschwarz.com/products/toy-magnetic-tiles-50pcs")</f>
        <v/>
      </c>
      <c r="B4697" s="2">
        <f>HYPERLINK("https://faoschwarz.com/products/toy-magnetic-tiles-50pcs", "https://faoschwarz.com/products/toy-magnetic-tiles-50pcs")</f>
        <v/>
      </c>
      <c r="C4697" t="inlineStr">
        <is>
          <t>50-Piece Magnetic Tile Building Blocks Set</t>
        </is>
      </c>
      <c r="D4697" t="inlineStr">
        <is>
          <t>MAGNA-TILES XTRAS: Roads 12 Piece Magnetic Construction Set, The ORIGINAL Magnetic Building Brand</t>
        </is>
      </c>
      <c r="E4697" s="2">
        <f>HYPERLINK("https://www.amazon.com/MAGNA-TILES-XTRAS-Magnetic-Construction-ORIGINAL/dp/B0C5KTMTKF/ref=sr_1_10?keywords=50-Piece+Magnetic+Tile+Building+Blocks+Set&amp;qid=1695565920&amp;sr=8-10", "https://www.amazon.com/MAGNA-TILES-XTRAS-Magnetic-Construction-ORIGINAL/dp/B0C5KTMTKF/ref=sr_1_10?keywords=50-Piece+Magnetic+Tile+Building+Blocks+Set&amp;qid=1695565920&amp;sr=8-10")</f>
        <v/>
      </c>
      <c r="F4697" t="inlineStr">
        <is>
          <t>B0C5KTMTKF</t>
        </is>
      </c>
      <c r="G4697">
        <f>_xlfn.IMAGE("https://faoschwarz.com/cdn/shop/files/discovery-mindblown-stem-50-piece-magnetic-tile-building-blocks-set-30349742112855_1080x.jpg?v=1684972195")</f>
        <v/>
      </c>
      <c r="H4697">
        <f>_xlfn.IMAGE("https://m.media-amazon.com/images/I/61D-YYjqYrL._AC_UL320_.jpg")</f>
        <v/>
      </c>
      <c r="K4697" t="inlineStr">
        <is>
          <t>35.0</t>
        </is>
      </c>
      <c r="L4697" t="n">
        <v>29.99</v>
      </c>
      <c r="M4697" s="1" t="inlineStr">
        <is>
          <t>-14.31%</t>
        </is>
      </c>
      <c r="N4697" t="n">
        <v>4.6</v>
      </c>
      <c r="O4697" t="n">
        <v>52</v>
      </c>
      <c r="Q4697" t="inlineStr">
        <is>
          <t>InStock</t>
        </is>
      </c>
      <c r="R4697" t="inlineStr">
        <is>
          <t>undefined</t>
        </is>
      </c>
      <c r="S4697" t="inlineStr">
        <is>
          <t>6880815874135</t>
        </is>
      </c>
    </row>
    <row r="4698" ht="75" customHeight="1">
      <c r="A4698" s="2">
        <f>HYPERLINK("https://faoschwarz.com/products/toy-magnetic-tiles-50pcs", "https://faoschwarz.com/products/toy-magnetic-tiles-50pcs")</f>
        <v/>
      </c>
      <c r="B4698" s="2">
        <f>HYPERLINK("https://faoschwarz.com/products/toy-magnetic-tiles-50pcs", "https://faoschwarz.com/products/toy-magnetic-tiles-50pcs")</f>
        <v/>
      </c>
      <c r="C4698" t="inlineStr">
        <is>
          <t>50-Piece Magnetic Tile Building Blocks Set</t>
        </is>
      </c>
      <c r="D4698" t="inlineStr">
        <is>
          <t>Discovery Kids 50-Piece 3D Magnetic Tile Set in 6 Colors, Construction Building Block Creativity Kit, Kids Educational Learning STEM Toy, Engineering Development Activity, Ages 5+</t>
        </is>
      </c>
      <c r="E4698" s="2">
        <f>HYPERLINK("https://www.amazon.com/Discovery-Kids-Construction-Creativity-Preschool/dp/B077J6XXKN/ref=sr_1_1?keywords=50-Piece+Magnetic+Tile+Building+Blocks+Set&amp;qid=1695565920&amp;sr=8-1", "https://www.amazon.com/Discovery-Kids-Construction-Creativity-Preschool/dp/B077J6XXKN/ref=sr_1_1?keywords=50-Piece+Magnetic+Tile+Building+Blocks+Set&amp;qid=1695565920&amp;sr=8-1")</f>
        <v/>
      </c>
      <c r="F4698" t="inlineStr">
        <is>
          <t>B077J6XXKN</t>
        </is>
      </c>
      <c r="G4698">
        <f>_xlfn.IMAGE("https://faoschwarz.com/cdn/shop/files/discovery-mindblown-stem-50-piece-magnetic-tile-building-blocks-set-30349742112855_1080x.jpg?v=1684972195")</f>
        <v/>
      </c>
      <c r="H4698">
        <f>_xlfn.IMAGE("https://m.media-amazon.com/images/I/61qlGlG+U2L._AC_UL320_.jpg")</f>
        <v/>
      </c>
      <c r="K4698" t="inlineStr">
        <is>
          <t>35.0</t>
        </is>
      </c>
      <c r="L4698" t="n">
        <v>27.99</v>
      </c>
      <c r="M4698" s="1" t="inlineStr">
        <is>
          <t>-20.03%</t>
        </is>
      </c>
      <c r="N4698" t="n">
        <v>4.9</v>
      </c>
      <c r="O4698" t="n">
        <v>2921</v>
      </c>
      <c r="Q4698" t="inlineStr">
        <is>
          <t>InStock</t>
        </is>
      </c>
      <c r="R4698" t="inlineStr">
        <is>
          <t>undefined</t>
        </is>
      </c>
      <c r="S4698" t="inlineStr">
        <is>
          <t>6880815874135</t>
        </is>
      </c>
    </row>
    <row r="4699" ht="75" customHeight="1">
      <c r="A4699" s="2">
        <f>HYPERLINK("https://faoschwarz.com/products/toy-magnetic-tiles-50pcs", "https://faoschwarz.com/products/toy-magnetic-tiles-50pcs")</f>
        <v/>
      </c>
      <c r="B4699" s="2">
        <f>HYPERLINK("https://faoschwarz.com/products/toy-magnetic-tiles-50pcs", "https://faoschwarz.com/products/toy-magnetic-tiles-50pcs")</f>
        <v/>
      </c>
      <c r="C4699" t="inlineStr">
        <is>
          <t>50-Piece Magnetic Tile Building Blocks Set</t>
        </is>
      </c>
      <c r="D4699" t="inlineStr">
        <is>
          <t>PicassoTiles 60 Piece Set 60pcs Magnet Building Tiles Clear Magnetic 3D Building Blocks Construction Playboards - Creativity beyond Imagination, Inspirational, Recreational, Educational, Conventional</t>
        </is>
      </c>
      <c r="E4699" s="2">
        <f>HYPERLINK("https://www.amazon.com/PicassoTiles-Building-Tiles-Construction-Playboards/dp/B00APVXSM6/ref=sr_1_9?keywords=50-Piece+Magnetic+Tile+Building+Blocks+Set&amp;qid=1695565920&amp;sr=8-9", "https://www.amazon.com/PicassoTiles-Building-Tiles-Construction-Playboards/dp/B00APVXSM6/ref=sr_1_9?keywords=50-Piece+Magnetic+Tile+Building+Blocks+Set&amp;qid=1695565920&amp;sr=8-9")</f>
        <v/>
      </c>
      <c r="F4699" t="inlineStr">
        <is>
          <t>B00APVXSM6</t>
        </is>
      </c>
      <c r="G4699">
        <f>_xlfn.IMAGE("https://faoschwarz.com/cdn/shop/files/discovery-mindblown-stem-50-piece-magnetic-tile-building-blocks-set-30349742112855_1080x.jpg?v=1684972195")</f>
        <v/>
      </c>
      <c r="H4699">
        <f>_xlfn.IMAGE("https://m.media-amazon.com/images/I/71J4Lg-QkRL._AC_UL320_.jpg")</f>
        <v/>
      </c>
      <c r="K4699" t="inlineStr">
        <is>
          <t>35.0</t>
        </is>
      </c>
      <c r="L4699" t="n">
        <v>25.98</v>
      </c>
      <c r="M4699" s="1" t="inlineStr">
        <is>
          <t>-25.77%</t>
        </is>
      </c>
      <c r="N4699" t="n">
        <v>4.9</v>
      </c>
      <c r="O4699" t="n">
        <v>30238</v>
      </c>
      <c r="Q4699" t="inlineStr">
        <is>
          <t>InStock</t>
        </is>
      </c>
      <c r="R4699" t="inlineStr">
        <is>
          <t>undefined</t>
        </is>
      </c>
      <c r="S4699" t="inlineStr">
        <is>
          <t>6880815874135</t>
        </is>
      </c>
    </row>
    <row r="4700" ht="75" customHeight="1">
      <c r="A4700" s="2">
        <f>HYPERLINK("https://faoschwarz.com/products/toy-magnetic-tiles-50pcs", "https://faoschwarz.com/products/toy-magnetic-tiles-50pcs")</f>
        <v/>
      </c>
      <c r="B4700" s="2">
        <f>HYPERLINK("https://faoschwarz.com/products/toy-magnetic-tiles-50pcs", "https://faoschwarz.com/products/toy-magnetic-tiles-50pcs")</f>
        <v/>
      </c>
      <c r="C4700" t="inlineStr">
        <is>
          <t>50-Piece Magnetic Tile Building Blocks Set</t>
        </is>
      </c>
      <c r="D4700" t="inlineStr">
        <is>
          <t>dreambuilderToy 42 Piece Magnetic Tiles, Magnet Building Blocks, STEM Educational Construction Kit，3D Magnetic Toys, Birthday Gift for Boys and Girls (42 Pieces</t>
        </is>
      </c>
      <c r="E4700" s="2">
        <f>HYPERLINK("https://www.amazon.com/dreambuilderToy-Magnetic-Preschool-Educational-Construction/dp/B0878C9D4X/ref=sr_1_7?keywords=50-Piece+Magnetic+Tile+Building+Blocks+Set&amp;qid=1695565920&amp;sr=8-7", "https://www.amazon.com/dreambuilderToy-Magnetic-Preschool-Educational-Construction/dp/B0878C9D4X/ref=sr_1_7?keywords=50-Piece+Magnetic+Tile+Building+Blocks+Set&amp;qid=1695565920&amp;sr=8-7")</f>
        <v/>
      </c>
      <c r="F4700" t="inlineStr">
        <is>
          <t>B0878C9D4X</t>
        </is>
      </c>
      <c r="G4700">
        <f>_xlfn.IMAGE("https://faoschwarz.com/cdn/shop/files/discovery-mindblown-stem-50-piece-magnetic-tile-building-blocks-set-30349742112855_1080x.jpg?v=1684972195")</f>
        <v/>
      </c>
      <c r="H4700">
        <f>_xlfn.IMAGE("https://m.media-amazon.com/images/I/914hAhbPIkL._AC_UL320_.jpg")</f>
        <v/>
      </c>
      <c r="K4700" t="inlineStr">
        <is>
          <t>35.0</t>
        </is>
      </c>
      <c r="L4700" t="n">
        <v>14.99</v>
      </c>
      <c r="M4700" s="1" t="inlineStr">
        <is>
          <t>-57.17%</t>
        </is>
      </c>
      <c r="N4700" t="n">
        <v>4.8</v>
      </c>
      <c r="O4700" t="n">
        <v>247</v>
      </c>
      <c r="Q4700" t="inlineStr">
        <is>
          <t>InStock</t>
        </is>
      </c>
      <c r="R4700" t="inlineStr">
        <is>
          <t>undefined</t>
        </is>
      </c>
      <c r="S4700" t="inlineStr">
        <is>
          <t>6880815874135</t>
        </is>
      </c>
    </row>
    <row r="4701" ht="75" customHeight="1">
      <c r="A4701" s="2">
        <f>HYPERLINK("https://faoschwarz.com/products/toy-magnetic-tiles-50pcs", "https://faoschwarz.com/products/toy-magnetic-tiles-50pcs")</f>
        <v/>
      </c>
      <c r="B4701" s="2">
        <f>HYPERLINK("https://faoschwarz.com/products/toy-magnetic-tiles-50pcs", "https://faoschwarz.com/products/toy-magnetic-tiles-50pcs")</f>
        <v/>
      </c>
      <c r="C4701" t="inlineStr">
        <is>
          <t>50-Piece Magnetic Tile Building Blocks Set</t>
        </is>
      </c>
      <c r="D4701" t="inlineStr">
        <is>
          <t>PicassoTiles 259pcs Magnetic Brick Tile Building Block Combo Set Compatible with Other Tiles Over 50+ Combination STEM Toy Educational Toys for Ages 3+ Toddler Boys and Girls Kids Activity Creativity</t>
        </is>
      </c>
      <c r="E4701" s="2">
        <f>HYPERLINK("https://www.amazon.com/PicassoTiles-Magnetic-Educational-Preschool-Creativity/dp/B09CG348LT/ref=sr_1_3?keywords=50-Piece+Magnetic+Tile+Building+Blocks+Set&amp;qid=1695565920&amp;sr=8-3", "https://www.amazon.com/PicassoTiles-Magnetic-Educational-Preschool-Creativity/dp/B09CG348LT/ref=sr_1_3?keywords=50-Piece+Magnetic+Tile+Building+Blocks+Set&amp;qid=1695565920&amp;sr=8-3")</f>
        <v/>
      </c>
      <c r="F4701" t="inlineStr">
        <is>
          <t>B09CG348LT</t>
        </is>
      </c>
      <c r="G4701">
        <f>_xlfn.IMAGE("https://faoschwarz.com/cdn/shop/files/discovery-mindblown-stem-50-piece-magnetic-tile-building-blocks-set-30349742112855_1080x.jpg?v=1684972195")</f>
        <v/>
      </c>
      <c r="H4701">
        <f>_xlfn.IMAGE("https://m.media-amazon.com/images/I/81KX+mUiYLL._AC_UL320_.jpg")</f>
        <v/>
      </c>
      <c r="K4701" t="inlineStr">
        <is>
          <t>35.0</t>
        </is>
      </c>
      <c r="L4701" t="n">
        <v>11.99</v>
      </c>
      <c r="M4701" s="1" t="inlineStr">
        <is>
          <t>-65.74%</t>
        </is>
      </c>
      <c r="N4701" t="n">
        <v>4.5</v>
      </c>
      <c r="O4701" t="n">
        <v>247</v>
      </c>
      <c r="Q4701" t="inlineStr">
        <is>
          <t>InStock</t>
        </is>
      </c>
      <c r="R4701" t="inlineStr">
        <is>
          <t>undefined</t>
        </is>
      </c>
      <c r="S4701" t="inlineStr">
        <is>
          <t>6880815874135</t>
        </is>
      </c>
    </row>
    <row r="4702" ht="75" customHeight="1">
      <c r="A4702" s="2">
        <f>HYPERLINK("https://faoschwarz.com/products/toy-piano-dance-mat-69x31", "https://faoschwarz.com/products/toy-piano-dance-mat-69x31")</f>
        <v/>
      </c>
      <c r="B4702" s="2">
        <f>HYPERLINK("https://faoschwarz.com/products/toy-piano-dance-mat-69x31", "https://faoschwarz.com/products/toy-piano-dance-mat-69x31")</f>
        <v/>
      </c>
      <c r="C4702" t="inlineStr">
        <is>
          <t>Giant Dance-On Piano Mat</t>
        </is>
      </c>
      <c r="D4702" t="inlineStr">
        <is>
          <t>Abcotech Kids Floor Piano Mat | Giant Dance Floor Keyboard Sensory Toys | Play, Record, Playback and Demo Modes - 8 Musical Instruments and Sounds for Kids Music - 70" Toddler Piano Play Mat 24 Keys</t>
        </is>
      </c>
      <c r="E4702" s="2">
        <f>HYPERLINK("https://www.amazon.com/Abcotech-Keyboard-Sensory-Record-Playback/dp/B07S2WT15P/ref=sr_1_8?keywords=Giant+Dance-On+Piano+Mat&amp;qid=1695565930&amp;sr=8-8", "https://www.amazon.com/Abcotech-Keyboard-Sensory-Record-Playback/dp/B07S2WT15P/ref=sr_1_8?keywords=Giant+Dance-On+Piano+Mat&amp;qid=1695565930&amp;sr=8-8")</f>
        <v/>
      </c>
      <c r="F4702" t="inlineStr">
        <is>
          <t>B07S2WT15P</t>
        </is>
      </c>
      <c r="G4702">
        <f>_xlfn.IMAGE("https://faoschwarz.com/cdn/shop/products/fao-schwarz-music-toy-piano-dance-mat-69x31-28259394093143_1080x.jpg?v=1656247759")</f>
        <v/>
      </c>
      <c r="H4702">
        <f>_xlfn.IMAGE("https://m.media-amazon.com/images/I/61RKjeoFrjS._AC_UL320_.jpg")</f>
        <v/>
      </c>
      <c r="K4702" t="inlineStr">
        <is>
          <t>45.0</t>
        </is>
      </c>
      <c r="L4702" t="n">
        <v>55.99</v>
      </c>
      <c r="M4702" s="1" t="inlineStr">
        <is>
          <t>24.42%</t>
        </is>
      </c>
      <c r="N4702" t="n">
        <v>4.5</v>
      </c>
      <c r="O4702" t="n">
        <v>1100</v>
      </c>
      <c r="Q4702" t="inlineStr">
        <is>
          <t>InStock</t>
        </is>
      </c>
      <c r="R4702" t="inlineStr">
        <is>
          <t>undefined</t>
        </is>
      </c>
      <c r="S4702" t="inlineStr">
        <is>
          <t>6576933404759</t>
        </is>
      </c>
    </row>
    <row r="4703" ht="75" customHeight="1">
      <c r="A4703" s="2">
        <f>HYPERLINK("https://faoschwarz.com/products/toy-piano-dance-mat-69x31", "https://faoschwarz.com/products/toy-piano-dance-mat-69x31")</f>
        <v/>
      </c>
      <c r="B4703" s="2">
        <f>HYPERLINK("https://faoschwarz.com/products/toy-piano-dance-mat-69x31", "https://faoschwarz.com/products/toy-piano-dance-mat-69x31")</f>
        <v/>
      </c>
      <c r="C4703" t="inlineStr">
        <is>
          <t>Giant Dance-On Piano Mat</t>
        </is>
      </c>
      <c r="D4703" t="inlineStr">
        <is>
          <t>Giant Piano Mat 24 Keys Floor Piano Mat for Kids 71" Musical Keyboard Play Mat Dance and Learn Mat for 3-8 Years Old Boy Girl</t>
        </is>
      </c>
      <c r="E4703" s="2">
        <f>HYPERLINK("https://www.amazon.com/Giant-Piano-Mat-Musical-Keyboard/dp/B08BN8L7XX/ref=sr_1_5?keywords=Giant+Dance-On+Piano+Mat&amp;qid=1695565930&amp;sr=8-5", "https://www.amazon.com/Giant-Piano-Mat-Musical-Keyboard/dp/B08BN8L7XX/ref=sr_1_5?keywords=Giant+Dance-On+Piano+Mat&amp;qid=1695565930&amp;sr=8-5")</f>
        <v/>
      </c>
      <c r="F4703" t="inlineStr">
        <is>
          <t>B08BN8L7XX</t>
        </is>
      </c>
      <c r="G4703">
        <f>_xlfn.IMAGE("https://faoschwarz.com/cdn/shop/products/fao-schwarz-music-toy-piano-dance-mat-69x31-28259394093143_1080x.jpg?v=1656247759")</f>
        <v/>
      </c>
      <c r="H4703">
        <f>_xlfn.IMAGE("https://m.media-amazon.com/images/I/71B1YKpMLVL._AC_UL320_.jpg")</f>
        <v/>
      </c>
      <c r="K4703" t="inlineStr">
        <is>
          <t>45.0</t>
        </is>
      </c>
      <c r="L4703" t="n">
        <v>44.99</v>
      </c>
      <c r="M4703" s="1" t="inlineStr">
        <is>
          <t>-0.02%</t>
        </is>
      </c>
      <c r="N4703" t="n">
        <v>4.5</v>
      </c>
      <c r="O4703" t="n">
        <v>299</v>
      </c>
      <c r="Q4703" t="inlineStr">
        <is>
          <t>InStock</t>
        </is>
      </c>
      <c r="R4703" t="inlineStr">
        <is>
          <t>undefined</t>
        </is>
      </c>
      <c r="S4703" t="inlineStr">
        <is>
          <t>6576933404759</t>
        </is>
      </c>
    </row>
    <row r="4704" ht="75" customHeight="1">
      <c r="A4704" s="2">
        <f>HYPERLINK("https://faoschwarz.com/products/toy-piano-dance-mat-69x31", "https://faoschwarz.com/products/toy-piano-dance-mat-69x31")</f>
        <v/>
      </c>
      <c r="B4704" s="2">
        <f>HYPERLINK("https://faoschwarz.com/products/toy-piano-dance-mat-69x31", "https://faoschwarz.com/products/toy-piano-dance-mat-69x31")</f>
        <v/>
      </c>
      <c r="C4704" t="inlineStr">
        <is>
          <t>Giant Dance-On Piano Mat</t>
        </is>
      </c>
      <c r="D4704" t="inlineStr">
        <is>
          <t>Kidzlane Durable Piano Dance Mat | 59" x 24" Giant Floor Piano Mat for Kids and Toddlers | 17 Keys, 7 Built in Songs, 10 Instrument Sounds | Step on Piano Keyboard | Electronic Music Gift Toy for Girls and Boys</t>
        </is>
      </c>
      <c r="E4704" s="2">
        <f>HYPERLINK("https://www.amazon.com/Kidzlane-Durable-Selectable-Sounds-Record/dp/B00M1V5ZX8/ref=sr_1_2?keywords=Giant+Dance-On+Piano+Mat&amp;qid=1695565930&amp;sr=8-2", "https://www.amazon.com/Kidzlane-Durable-Selectable-Sounds-Record/dp/B00M1V5ZX8/ref=sr_1_2?keywords=Giant+Dance-On+Piano+Mat&amp;qid=1695565930&amp;sr=8-2")</f>
        <v/>
      </c>
      <c r="F4704" t="inlineStr">
        <is>
          <t>B00M1V5ZX8</t>
        </is>
      </c>
      <c r="G4704">
        <f>_xlfn.IMAGE("https://faoschwarz.com/cdn/shop/products/fao-schwarz-music-toy-piano-dance-mat-69x31-28259394093143_1080x.jpg?v=1656247759")</f>
        <v/>
      </c>
      <c r="H4704">
        <f>_xlfn.IMAGE("https://m.media-amazon.com/images/I/81HPAEmhnkL._AC_UL320_.jpg")</f>
        <v/>
      </c>
      <c r="K4704" t="inlineStr">
        <is>
          <t>45.0</t>
        </is>
      </c>
      <c r="L4704" t="n">
        <v>34.99</v>
      </c>
      <c r="M4704" s="1" t="inlineStr">
        <is>
          <t>-22.24%</t>
        </is>
      </c>
      <c r="N4704" t="n">
        <v>4.4</v>
      </c>
      <c r="O4704" t="n">
        <v>844</v>
      </c>
      <c r="Q4704" t="inlineStr">
        <is>
          <t>InStock</t>
        </is>
      </c>
      <c r="R4704" t="inlineStr">
        <is>
          <t>undefined</t>
        </is>
      </c>
      <c r="S4704" t="inlineStr">
        <is>
          <t>6576933404759</t>
        </is>
      </c>
    </row>
    <row r="4705" ht="75" customHeight="1">
      <c r="A4705" s="2">
        <f>HYPERLINK("https://faoschwarz.com/products/toy-piano-dance-mat-69x31", "https://faoschwarz.com/products/toy-piano-dance-mat-69x31")</f>
        <v/>
      </c>
      <c r="B4705" s="2">
        <f>HYPERLINK("https://faoschwarz.com/products/toy-piano-dance-mat-69x31", "https://faoschwarz.com/products/toy-piano-dance-mat-69x31")</f>
        <v/>
      </c>
      <c r="C4705" t="inlineStr">
        <is>
          <t>Giant Dance-On Piano Mat</t>
        </is>
      </c>
      <c r="D4705" t="inlineStr">
        <is>
          <t>M SANMERSEN Piano Mat, Kids Musical Mat Floor Piano Keyboard Mat with 8 Instruments Sounds Music Dance Touch Play Mat, Early Educational Toys Birthday Gifts for 1 2 3 4 5 Year Old Boys Girls</t>
        </is>
      </c>
      <c r="E4705" s="2">
        <f>HYPERLINK("https://www.amazon.com/Keyboard-Instruments-Playback-Birthday-Christmas/dp/B07SP9Z683/ref=sr_1_3?keywords=Giant+Dance-On+Piano+Mat&amp;qid=1695565930&amp;sr=8-3", "https://www.amazon.com/Keyboard-Instruments-Playback-Birthday-Christmas/dp/B07SP9Z683/ref=sr_1_3?keywords=Giant+Dance-On+Piano+Mat&amp;qid=1695565930&amp;sr=8-3")</f>
        <v/>
      </c>
      <c r="F4705" t="inlineStr">
        <is>
          <t>B07SP9Z683</t>
        </is>
      </c>
      <c r="G4705">
        <f>_xlfn.IMAGE("https://faoschwarz.com/cdn/shop/products/fao-schwarz-music-toy-piano-dance-mat-69x31-28259394093143_1080x.jpg?v=1656247759")</f>
        <v/>
      </c>
      <c r="H4705">
        <f>_xlfn.IMAGE("https://m.media-amazon.com/images/I/71Cn5M-AKxL._AC_UL320_.jpg")</f>
        <v/>
      </c>
      <c r="K4705" t="inlineStr">
        <is>
          <t>45.0</t>
        </is>
      </c>
      <c r="L4705" t="n">
        <v>19.99</v>
      </c>
      <c r="M4705" s="1" t="inlineStr">
        <is>
          <t>-55.58%</t>
        </is>
      </c>
      <c r="N4705" t="n">
        <v>4.3</v>
      </c>
      <c r="O4705" t="n">
        <v>1266</v>
      </c>
      <c r="Q4705" t="inlineStr">
        <is>
          <t>InStock</t>
        </is>
      </c>
      <c r="R4705" t="inlineStr">
        <is>
          <t>undefined</t>
        </is>
      </c>
      <c r="S4705" t="inlineStr">
        <is>
          <t>6576933404759</t>
        </is>
      </c>
    </row>
    <row r="4706" ht="75" customHeight="1">
      <c r="A4706" s="2">
        <f>HYPERLINK("https://faoschwarz.com/products/toy-piano-dance-mat-69x31", "https://faoschwarz.com/products/toy-piano-dance-mat-69x31")</f>
        <v/>
      </c>
      <c r="B4706" s="2">
        <f>HYPERLINK("https://faoschwarz.com/products/toy-piano-dance-mat-69x31", "https://faoschwarz.com/products/toy-piano-dance-mat-69x31")</f>
        <v/>
      </c>
      <c r="C4706" t="inlineStr">
        <is>
          <t>Giant Dance-On Piano Mat</t>
        </is>
      </c>
      <c r="D4706" t="inlineStr">
        <is>
          <t>RenFox Baby Musical Piano Mat, Floor Dance Toys with 10 Songs, 8 Animal Sounds, 5 Modes. Child Keyboard Blanket Music Touch Play Mat, Musical Early Educational Toys Gifts for Toddlers Girls Boys</t>
        </is>
      </c>
      <c r="E4706" s="2">
        <f>HYPERLINK("https://www.amazon.com/RenFox-Musical-Keyboard-Learning-Toddlers/dp/B08R1D576J/ref=sr_1_6?keywords=Giant+Dance-On+Piano+Mat&amp;qid=1695565930&amp;sr=8-6", "https://www.amazon.com/RenFox-Musical-Keyboard-Learning-Toddlers/dp/B08R1D576J/ref=sr_1_6?keywords=Giant+Dance-On+Piano+Mat&amp;qid=1695565930&amp;sr=8-6")</f>
        <v/>
      </c>
      <c r="F4706" t="inlineStr">
        <is>
          <t>B08R1D576J</t>
        </is>
      </c>
      <c r="G4706">
        <f>_xlfn.IMAGE("https://faoschwarz.com/cdn/shop/products/fao-schwarz-music-toy-piano-dance-mat-69x31-28259394093143_1080x.jpg?v=1656247759")</f>
        <v/>
      </c>
      <c r="H4706">
        <f>_xlfn.IMAGE("https://m.media-amazon.com/images/I/71junYp2gvL._AC_UL320_.jpg")</f>
        <v/>
      </c>
      <c r="K4706" t="inlineStr">
        <is>
          <t>45.0</t>
        </is>
      </c>
      <c r="L4706" t="n">
        <v>14.99</v>
      </c>
      <c r="M4706" s="1" t="inlineStr">
        <is>
          <t>-66.69%</t>
        </is>
      </c>
      <c r="N4706" t="n">
        <v>4.4</v>
      </c>
      <c r="O4706" t="n">
        <v>399</v>
      </c>
      <c r="Q4706" t="inlineStr">
        <is>
          <t>InStock</t>
        </is>
      </c>
      <c r="R4706" t="inlineStr">
        <is>
          <t>undefined</t>
        </is>
      </c>
      <c r="S4706" t="inlineStr">
        <is>
          <t>6576933404759</t>
        </is>
      </c>
    </row>
    <row r="4707" ht="75" customHeight="1">
      <c r="A4707" s="2">
        <f>HYPERLINK("https://faoschwarz.com/products/toy-piano-dance-mat-69x31", "https://faoschwarz.com/products/toy-piano-dance-mat-69x31")</f>
        <v/>
      </c>
      <c r="B4707" s="2">
        <f>HYPERLINK("https://faoschwarz.com/products/toy-piano-dance-mat-69x31", "https://faoschwarz.com/products/toy-piano-dance-mat-69x31")</f>
        <v/>
      </c>
      <c r="C4707" t="inlineStr">
        <is>
          <t>Giant Dance-On Piano Mat</t>
        </is>
      </c>
      <c r="D4707" t="inlineStr">
        <is>
          <t>Ysoazgle Kids Musical Mats, Musical Toys Kids Piano Keyboard Floor Dance Mat Carpet Animal Blanket Antiskid Touch Playmat with 25 Music Sounds for Early Learning Education Toys Girls Boys Toddlers</t>
        </is>
      </c>
      <c r="E4707" s="2">
        <f>HYPERLINK("https://www.amazon.com/Ysoazgle-Keyboard-Antiskid-Learning-Education/dp/B0957GMX18/ref=sr_1_9?keywords=Giant+Dance-On+Piano+Mat&amp;qid=1695565930&amp;sr=8-9", "https://www.amazon.com/Ysoazgle-Keyboard-Antiskid-Learning-Education/dp/B0957GMX18/ref=sr_1_9?keywords=Giant+Dance-On+Piano+Mat&amp;qid=1695565930&amp;sr=8-9")</f>
        <v/>
      </c>
      <c r="F4707" t="inlineStr">
        <is>
          <t>B0957GMX18</t>
        </is>
      </c>
      <c r="G4707">
        <f>_xlfn.IMAGE("https://faoschwarz.com/cdn/shop/products/fao-schwarz-music-toy-piano-dance-mat-69x31-28259394093143_1080x.jpg?v=1656247759")</f>
        <v/>
      </c>
      <c r="H4707">
        <f>_xlfn.IMAGE("https://m.media-amazon.com/images/I/81Vgt0FKZ4S._AC_UL320_.jpg")</f>
        <v/>
      </c>
      <c r="K4707" t="inlineStr">
        <is>
          <t>45.0</t>
        </is>
      </c>
      <c r="L4707" t="n">
        <v>12.99</v>
      </c>
      <c r="M4707" s="1" t="inlineStr">
        <is>
          <t>-71.13%</t>
        </is>
      </c>
      <c r="N4707" t="n">
        <v>4.4</v>
      </c>
      <c r="O4707" t="n">
        <v>152</v>
      </c>
      <c r="Q4707" t="inlineStr">
        <is>
          <t>InStock</t>
        </is>
      </c>
      <c r="R4707" t="inlineStr">
        <is>
          <t>undefined</t>
        </is>
      </c>
      <c r="S4707" t="inlineStr">
        <is>
          <t>6576933404759</t>
        </is>
      </c>
    </row>
    <row r="4708" ht="75" customHeight="1">
      <c r="A4708" s="2">
        <f>HYPERLINK("https://faoschwarz.com/products/toy-piano-dance-mat-69x31", "https://faoschwarz.com/products/toy-piano-dance-mat-69x31")</f>
        <v/>
      </c>
      <c r="B4708" s="2">
        <f>HYPERLINK("https://faoschwarz.com/products/toy-piano-dance-mat-69x31", "https://faoschwarz.com/products/toy-piano-dance-mat-69x31")</f>
        <v/>
      </c>
      <c r="C4708" t="inlineStr">
        <is>
          <t>Giant Dance-On Piano Mat</t>
        </is>
      </c>
      <c r="D4708" t="inlineStr">
        <is>
          <t>Fixget Musical Mat, Kids Piano Keyboard Play Mat with 8 Animal Sounds, Children Electronic Music Blanket Touch Playmat Floor Piano Dance Mat Early Education Toys Gifts for Toddlers Baby Boys Girls</t>
        </is>
      </c>
      <c r="E4708" s="2">
        <f>HYPERLINK("https://www.amazon.com/Fixget-Musical-Keyboard-Electronic-Education/dp/B08QRCNYZL/ref=sr_1_4?keywords=Giant+Dance-On+Piano+Mat&amp;qid=1695565930&amp;sr=8-4", "https://www.amazon.com/Fixget-Musical-Keyboard-Electronic-Education/dp/B08QRCNYZL/ref=sr_1_4?keywords=Giant+Dance-On+Piano+Mat&amp;qid=1695565930&amp;sr=8-4")</f>
        <v/>
      </c>
      <c r="F4708" t="inlineStr">
        <is>
          <t>B08QRCNYZL</t>
        </is>
      </c>
      <c r="G4708">
        <f>_xlfn.IMAGE("https://faoschwarz.com/cdn/shop/products/fao-schwarz-music-toy-piano-dance-mat-69x31-28259394093143_1080x.jpg?v=1656247759")</f>
        <v/>
      </c>
      <c r="H4708">
        <f>_xlfn.IMAGE("https://m.media-amazon.com/images/I/81PWOskDMtS._AC_UL320_.jpg")</f>
        <v/>
      </c>
      <c r="K4708" t="inlineStr">
        <is>
          <t>45.0</t>
        </is>
      </c>
      <c r="L4708" t="n">
        <v>9.99</v>
      </c>
      <c r="M4708" s="1" t="inlineStr">
        <is>
          <t>-77.80%</t>
        </is>
      </c>
      <c r="N4708" t="n">
        <v>4.5</v>
      </c>
      <c r="O4708" t="n">
        <v>127</v>
      </c>
      <c r="Q4708" t="inlineStr">
        <is>
          <t>InStock</t>
        </is>
      </c>
      <c r="R4708" t="inlineStr">
        <is>
          <t>undefined</t>
        </is>
      </c>
      <c r="S4708" t="inlineStr">
        <is>
          <t>6576933404759</t>
        </is>
      </c>
    </row>
    <row r="4709" ht="75" customHeight="1">
      <c r="A4709" s="2">
        <f>HYPERLINK("https://faoschwarz.com/products/toy-rc-monster-spinning-car-blue", "https://faoschwarz.com/products/toy-rc-monster-spinning-car-blue")</f>
        <v/>
      </c>
      <c r="B4709" s="2">
        <f>HYPERLINK("https://faoschwarz.com/products/toy-rc-monster-spinning-car-blue", "https://faoschwarz.com/products/toy-rc-monster-spinning-car-blue")</f>
        <v/>
      </c>
      <c r="C4709" t="inlineStr">
        <is>
          <t>Toy RC Monster Spinning Car- Blue</t>
        </is>
      </c>
      <c r="D4709" t="inlineStr">
        <is>
          <t>BLUEJAY Remote Control Car - 2.4GHz High Speed 33KM/H RC Cars Toys, 1:12 Monster RC Truck Off Road Hobby Toys with LED Headlight and Rechargeable Battery Gifts for Adults Boys 8-12 Kids</t>
        </is>
      </c>
      <c r="E4709" s="2">
        <f>HYPERLINK("https://www.amazon.com/BLUEJAY-Remote-Control-Car-Rechargeable/dp/B0BJJLXCCM/ref=sr_1_7?keywords=Toy+RC+Monster+Spinning+Car-+Blue&amp;qid=1695565936&amp;sr=8-7", "https://www.amazon.com/BLUEJAY-Remote-Control-Car-Rechargeable/dp/B0BJJLXCCM/ref=sr_1_7?keywords=Toy+RC+Monster+Spinning+Car-+Blue&amp;qid=1695565936&amp;sr=8-7")</f>
        <v/>
      </c>
      <c r="F4709" t="inlineStr">
        <is>
          <t>B0BJJLXCCM</t>
        </is>
      </c>
      <c r="G4709">
        <f>_xlfn.IMAGE("https://faoschwarz.com/cdn/shop/products/sharper-image-vehicles-blue-new-si-packaging-toy-rc-monster-spinning-car-blue-28287780126807_1080x.jpg?v=1656257316")</f>
        <v/>
      </c>
      <c r="H4709">
        <f>_xlfn.IMAGE("https://m.media-amazon.com/images/I/817ayvgiu6L._AC_UL320_.jpg")</f>
        <v/>
      </c>
      <c r="K4709" t="inlineStr">
        <is>
          <t>15.0</t>
        </is>
      </c>
      <c r="L4709" t="n">
        <v>47.69</v>
      </c>
      <c r="M4709" s="1" t="inlineStr">
        <is>
          <t>217.93%</t>
        </is>
      </c>
      <c r="N4709" t="n">
        <v>4.2</v>
      </c>
      <c r="O4709" t="n">
        <v>789</v>
      </c>
      <c r="Q4709" t="inlineStr">
        <is>
          <t>InStock</t>
        </is>
      </c>
      <c r="R4709" t="inlineStr">
        <is>
          <t>30.0</t>
        </is>
      </c>
      <c r="S4709" t="inlineStr">
        <is>
          <t>4635444936791</t>
        </is>
      </c>
    </row>
    <row r="4710" ht="75" customHeight="1">
      <c r="A4710" s="2">
        <f>HYPERLINK("https://faoschwarz.com/products/toy-rc-monster-spinning-car-blue", "https://faoschwarz.com/products/toy-rc-monster-spinning-car-blue")</f>
        <v/>
      </c>
      <c r="B4710" s="2">
        <f>HYPERLINK("https://faoschwarz.com/products/toy-rc-monster-spinning-car-blue", "https://faoschwarz.com/products/toy-rc-monster-spinning-car-blue")</f>
        <v/>
      </c>
      <c r="C4710" t="inlineStr">
        <is>
          <t>Toy RC Monster Spinning Car- Blue</t>
        </is>
      </c>
      <c r="D4710" t="inlineStr">
        <is>
          <t>DEERC High Speed Stunt Remote Control Monster Truck for Boys, Upright 360° Swivel 4WD RC Car with LED Lights, Spray Water Mist, 2 Batteries, 2.4GHz All Terrain 1:16 Blue Rhino RC Trucks Toys for Kids</t>
        </is>
      </c>
      <c r="E4710" s="2">
        <f>HYPERLINK("https://www.amazon.com/DEERC-Control-Monster-Upright-Batteries/dp/B0C2D7DPM6/ref=sr_1_5?keywords=Toy+RC+Monster+Spinning+Car-+Blue&amp;qid=1695565936&amp;sr=8-5", "https://www.amazon.com/DEERC-Control-Monster-Upright-Batteries/dp/B0C2D7DPM6/ref=sr_1_5?keywords=Toy+RC+Monster+Spinning+Car-+Blue&amp;qid=1695565936&amp;sr=8-5")</f>
        <v/>
      </c>
      <c r="F4710" t="inlineStr">
        <is>
          <t>B0C2D7DPM6</t>
        </is>
      </c>
      <c r="G4710">
        <f>_xlfn.IMAGE("https://faoschwarz.com/cdn/shop/products/sharper-image-vehicles-blue-new-si-packaging-toy-rc-monster-spinning-car-blue-28287780126807_1080x.jpg?v=1656257316")</f>
        <v/>
      </c>
      <c r="H4710">
        <f>_xlfn.IMAGE("https://m.media-amazon.com/images/I/61DKvXdJ2hL._AC_UL320_.jpg")</f>
        <v/>
      </c>
      <c r="K4710" t="inlineStr">
        <is>
          <t>15.0</t>
        </is>
      </c>
      <c r="L4710" t="n">
        <v>45.99</v>
      </c>
      <c r="M4710" s="1" t="inlineStr">
        <is>
          <t>206.60%</t>
        </is>
      </c>
      <c r="N4710" t="n">
        <v>4.5</v>
      </c>
      <c r="O4710" t="n">
        <v>305</v>
      </c>
      <c r="Q4710" t="inlineStr">
        <is>
          <t>InStock</t>
        </is>
      </c>
      <c r="R4710" t="inlineStr">
        <is>
          <t>30.0</t>
        </is>
      </c>
      <c r="S4710" t="inlineStr">
        <is>
          <t>4635444936791</t>
        </is>
      </c>
    </row>
    <row r="4711" ht="75" customHeight="1">
      <c r="A4711" s="2">
        <f>HYPERLINK("https://faoschwarz.com/products/toy-rc-monster-spinning-car-blue", "https://faoschwarz.com/products/toy-rc-monster-spinning-car-blue")</f>
        <v/>
      </c>
      <c r="B4711" s="2">
        <f>HYPERLINK("https://faoschwarz.com/products/toy-rc-monster-spinning-car-blue", "https://faoschwarz.com/products/toy-rc-monster-spinning-car-blue")</f>
        <v/>
      </c>
      <c r="C4711" t="inlineStr">
        <is>
          <t>Toy RC Monster Spinning Car- Blue</t>
        </is>
      </c>
      <c r="D4711" t="inlineStr">
        <is>
          <t>RC Monster 2 in 1 Remote Control Car for Boys Girls, 1:14 Scale 25+ KM/H RC Trucks Car 2.4GHz All Terrains Off Road Monster Crawler Vehicle Toy with 2 Rechargeable Batteries (Blue)</t>
        </is>
      </c>
      <c r="E4711" s="2">
        <f>HYPERLINK("https://www.amazon.com/RC-Monster-Remote-Control-Girls/dp/B0BW97RYVK/ref=sr_1_9?keywords=Toy+RC+Monster+Spinning+Car-+Blue&amp;qid=1695565936&amp;sr=8-9", "https://www.amazon.com/RC-Monster-Remote-Control-Girls/dp/B0BW97RYVK/ref=sr_1_9?keywords=Toy+RC+Monster+Spinning+Car-+Blue&amp;qid=1695565936&amp;sr=8-9")</f>
        <v/>
      </c>
      <c r="F4711" t="inlineStr">
        <is>
          <t>B0BW97RYVK</t>
        </is>
      </c>
      <c r="G4711">
        <f>_xlfn.IMAGE("https://faoschwarz.com/cdn/shop/products/sharper-image-vehicles-blue-new-si-packaging-toy-rc-monster-spinning-car-blue-28287780126807_1080x.jpg?v=1656257316")</f>
        <v/>
      </c>
      <c r="H4711">
        <f>_xlfn.IMAGE("https://m.media-amazon.com/images/I/71xY1MBxuML._AC_UL320_.jpg")</f>
        <v/>
      </c>
      <c r="K4711" t="inlineStr">
        <is>
          <t>15.0</t>
        </is>
      </c>
      <c r="L4711" t="n">
        <v>34.99</v>
      </c>
      <c r="M4711" s="1" t="inlineStr">
        <is>
          <t>133.27%</t>
        </is>
      </c>
      <c r="N4711" t="n">
        <v>3.6</v>
      </c>
      <c r="O4711" t="n">
        <v>44</v>
      </c>
      <c r="Q4711" t="inlineStr">
        <is>
          <t>InStock</t>
        </is>
      </c>
      <c r="R4711" t="inlineStr">
        <is>
          <t>30.0</t>
        </is>
      </c>
      <c r="S4711" t="inlineStr">
        <is>
          <t>4635444936791</t>
        </is>
      </c>
    </row>
    <row r="4712" ht="75" customHeight="1">
      <c r="A4712" s="2">
        <f>HYPERLINK("https://faoschwarz.com/products/toy-rc-monster-spinning-car-blue", "https://faoschwarz.com/products/toy-rc-monster-spinning-car-blue")</f>
        <v/>
      </c>
      <c r="B4712" s="2">
        <f>HYPERLINK("https://faoschwarz.com/products/toy-rc-monster-spinning-car-blue", "https://faoschwarz.com/products/toy-rc-monster-spinning-car-blue")</f>
        <v/>
      </c>
      <c r="C4712" t="inlineStr">
        <is>
          <t>Toy RC Monster Spinning Car- Blue</t>
        </is>
      </c>
      <c r="D4712" t="inlineStr">
        <is>
          <t>Remote Control Car,1:20 Scale RC Stunt Car,2WD High Speed 25 Mph All Terrains Monster Truck Electric Toy Off Road RC Toy Cars Crawler with LED Headlight for Xmas Birthday Gift Adults,Kids(Blue/Red)</t>
        </is>
      </c>
      <c r="E4712" s="2">
        <f>HYPERLINK("https://www.amazon.com/Remote-Control-Car-Terrains-Headlight/dp/B0BF4DP9JK/ref=sr_1_6?keywords=Toy+RC+Monster+Spinning+Car-+Blue&amp;qid=1695565936&amp;sr=8-6", "https://www.amazon.com/Remote-Control-Car-Terrains-Headlight/dp/B0BF4DP9JK/ref=sr_1_6?keywords=Toy+RC+Monster+Spinning+Car-+Blue&amp;qid=1695565936&amp;sr=8-6")</f>
        <v/>
      </c>
      <c r="F4712" t="inlineStr">
        <is>
          <t>B0BF4DP9JK</t>
        </is>
      </c>
      <c r="G4712">
        <f>_xlfn.IMAGE("https://faoschwarz.com/cdn/shop/products/sharper-image-vehicles-blue-new-si-packaging-toy-rc-monster-spinning-car-blue-28287780126807_1080x.jpg?v=1656257316")</f>
        <v/>
      </c>
      <c r="H4712">
        <f>_xlfn.IMAGE("https://m.media-amazon.com/images/I/81BAJY+tYjL._AC_UL320_.jpg")</f>
        <v/>
      </c>
      <c r="K4712" t="inlineStr">
        <is>
          <t>15.0</t>
        </is>
      </c>
      <c r="L4712" t="n">
        <v>29.99</v>
      </c>
      <c r="M4712" s="1" t="inlineStr">
        <is>
          <t>99.93%</t>
        </is>
      </c>
      <c r="N4712" t="n">
        <v>4.2</v>
      </c>
      <c r="O4712" t="n">
        <v>14</v>
      </c>
      <c r="Q4712" t="inlineStr">
        <is>
          <t>InStock</t>
        </is>
      </c>
      <c r="R4712" t="inlineStr">
        <is>
          <t>30.0</t>
        </is>
      </c>
      <c r="S4712" t="inlineStr">
        <is>
          <t>4635444936791</t>
        </is>
      </c>
    </row>
    <row r="4713" ht="75" customHeight="1">
      <c r="A4713" s="2">
        <f>HYPERLINK("https://faoschwarz.com/products/toy-rc-monster-spinning-car-purple", "https://faoschwarz.com/products/toy-rc-monster-spinning-car-purple")</f>
        <v/>
      </c>
      <c r="B4713" s="2">
        <f>HYPERLINK("https://faoschwarz.com/products/toy-rc-monster-spinning-car-purple", "https://faoschwarz.com/products/toy-rc-monster-spinning-car-purple")</f>
        <v/>
      </c>
      <c r="C4713" t="inlineStr">
        <is>
          <t>Toy RC Monster Spinning Car- Purple</t>
        </is>
      </c>
      <c r="D4713" t="inlineStr">
        <is>
          <t>DOUBLE E Remote Control Car for Girls 1/12 Scale Monster Trucks Dual Motors Off Road RC Trucks, Girls Toys Gifts for Girls Daughter Kids, Birthday Gift Ideas, Purple</t>
        </is>
      </c>
      <c r="E4713" s="2">
        <f>HYPERLINK("https://www.amazon.com/DOUBLE-Cars-Girls-Newest-Rechargeable/dp/B0B9BVRZZW/ref=sr_1_2?keywords=Toy+RC+Monster+Spinning+Car-+Purple&amp;qid=1695565943&amp;sr=8-2", "https://www.amazon.com/DOUBLE-Cars-Girls-Newest-Rechargeable/dp/B0B9BVRZZW/ref=sr_1_2?keywords=Toy+RC+Monster+Spinning+Car-+Purple&amp;qid=1695565943&amp;sr=8-2")</f>
        <v/>
      </c>
      <c r="F4713" t="inlineStr">
        <is>
          <t>B0B9BVRZZW</t>
        </is>
      </c>
      <c r="G4713">
        <f>_xlfn.IMAGE("https://faoschwarz.com/cdn/shop/products/sharper-image-vehicles-lavender-new-si-packaging-toy-rc-monster-spinning-car-purple-14668593332311_1080x.jpg?v=1656110899")</f>
        <v/>
      </c>
      <c r="H4713">
        <f>_xlfn.IMAGE("https://m.media-amazon.com/images/I/71sWQw9uP1L._AC_UL320_.jpg")</f>
        <v/>
      </c>
      <c r="K4713" t="inlineStr">
        <is>
          <t>15.0</t>
        </is>
      </c>
      <c r="L4713" t="n">
        <v>54.99</v>
      </c>
      <c r="M4713" s="1" t="inlineStr">
        <is>
          <t>266.60%</t>
        </is>
      </c>
      <c r="N4713" t="n">
        <v>4.3</v>
      </c>
      <c r="O4713" t="n">
        <v>3434</v>
      </c>
      <c r="Q4713" t="inlineStr">
        <is>
          <t>InStock</t>
        </is>
      </c>
      <c r="R4713" t="inlineStr">
        <is>
          <t>30.0</t>
        </is>
      </c>
      <c r="S4713" t="inlineStr">
        <is>
          <t>4635445067863</t>
        </is>
      </c>
    </row>
    <row r="4714" ht="75" customHeight="1">
      <c r="A4714" s="2">
        <f>HYPERLINK("https://faoschwarz.com/products/turtles-200-piece-puzzle", "https://faoschwarz.com/products/turtles-200-piece-puzzle")</f>
        <v/>
      </c>
      <c r="B4714" s="2">
        <f>HYPERLINK("https://faoschwarz.com/products/turtles-200-piece-puzzle", "https://faoschwarz.com/products/turtles-200-piece-puzzle")</f>
        <v/>
      </c>
      <c r="C4714" t="inlineStr">
        <is>
          <t>Turtles 200 Piece Puzzle</t>
        </is>
      </c>
      <c r="D4714" t="inlineStr">
        <is>
          <t>ZenChalet Sea Turtle 200 Piece Wooden Jigsaw Puzzle for Adults - Uniquely Shaped Pieces with Durable Wood Construction - Perfect for Birthday Gifts, Game Nights, and Family Present</t>
        </is>
      </c>
      <c r="E4714" s="2">
        <f>HYPERLINK("https://www.amazon.com/ZenChalet-Turtle-Wooden-Jigsaw-Puzzle/dp/B0BV94S9D2/ref=sr_1_6?keywords=Turtles+200+Piece+Puzzle&amp;qid=1695565983&amp;sr=8-6", "https://www.amazon.com/ZenChalet-Turtle-Wooden-Jigsaw-Puzzle/dp/B0BV94S9D2/ref=sr_1_6?keywords=Turtles+200+Piece+Puzzle&amp;qid=1695565983&amp;sr=8-6")</f>
        <v/>
      </c>
      <c r="F4714" t="inlineStr">
        <is>
          <t>B0BV94S9D2</t>
        </is>
      </c>
      <c r="G4714">
        <f>_xlfn.IMAGE("https://faoschwarz.com/cdn/shop/products/ravensburger-puzzles-turtles-200-piece-puzzle-29127396655191_1080x.jpg?v=1655926416")</f>
        <v/>
      </c>
      <c r="H4714">
        <f>_xlfn.IMAGE("https://m.media-amazon.com/images/I/91fwPoeF-BL._AC_UL320_.jpg")</f>
        <v/>
      </c>
      <c r="K4714" t="inlineStr">
        <is>
          <t>17.0</t>
        </is>
      </c>
      <c r="L4714" t="n">
        <v>34.99</v>
      </c>
      <c r="M4714" s="1" t="inlineStr">
        <is>
          <t>105.82%</t>
        </is>
      </c>
      <c r="N4714" t="n">
        <v>4.8</v>
      </c>
      <c r="O4714" t="n">
        <v>226</v>
      </c>
      <c r="Q4714" t="inlineStr">
        <is>
          <t>InStock</t>
        </is>
      </c>
      <c r="R4714" t="inlineStr">
        <is>
          <t>undefined</t>
        </is>
      </c>
      <c r="S4714" t="inlineStr">
        <is>
          <t>6762963402839</t>
        </is>
      </c>
    </row>
    <row r="4715" ht="75" customHeight="1">
      <c r="A4715" s="2">
        <f>HYPERLINK("https://faoschwarz.com/products/turtles-200-piece-puzzle", "https://faoschwarz.com/products/turtles-200-piece-puzzle")</f>
        <v/>
      </c>
      <c r="B4715" s="2">
        <f>HYPERLINK("https://faoschwarz.com/products/turtles-200-piece-puzzle", "https://faoschwarz.com/products/turtles-200-piece-puzzle")</f>
        <v/>
      </c>
      <c r="C4715" t="inlineStr">
        <is>
          <t>Turtles 200 Piece Puzzle</t>
        </is>
      </c>
      <c r="D4715" t="inlineStr">
        <is>
          <t>Trendy Zone 21 Sea Turtle Jigsaw Wooden Puzzle | 200 Uniquely Shaped Pieces | Creative Artistic Gift for All Ages | Challenging Family Fun &amp; Brain-Boosting Activity</t>
        </is>
      </c>
      <c r="E4715" s="2">
        <f>HYPERLINK("https://www.amazon.com/Trendy-Zone-21-Challenging-Brain-Boosting/dp/B0C9JRDDB7/ref=sr_1_10?keywords=Turtles+200+Piece+Puzzle&amp;qid=1695565983&amp;sr=8-10", "https://www.amazon.com/Trendy-Zone-21-Challenging-Brain-Boosting/dp/B0C9JRDDB7/ref=sr_1_10?keywords=Turtles+200+Piece+Puzzle&amp;qid=1695565983&amp;sr=8-10")</f>
        <v/>
      </c>
      <c r="F4715" t="inlineStr">
        <is>
          <t>B0C9JRDDB7</t>
        </is>
      </c>
      <c r="G4715">
        <f>_xlfn.IMAGE("https://faoschwarz.com/cdn/shop/products/ravensburger-puzzles-turtles-200-piece-puzzle-29127396655191_1080x.jpg?v=1655926416")</f>
        <v/>
      </c>
      <c r="H4715">
        <f>_xlfn.IMAGE("https://m.media-amazon.com/images/I/91IJb6FhmTL._AC_UL320_.jpg")</f>
        <v/>
      </c>
      <c r="K4715" t="inlineStr">
        <is>
          <t>17.0</t>
        </is>
      </c>
      <c r="L4715" t="n">
        <v>32.99</v>
      </c>
      <c r="M4715" s="1" t="inlineStr">
        <is>
          <t>94.06%</t>
        </is>
      </c>
      <c r="N4715" t="n">
        <v>4.8</v>
      </c>
      <c r="O4715" t="n">
        <v>23</v>
      </c>
      <c r="Q4715" t="inlineStr">
        <is>
          <t>InStock</t>
        </is>
      </c>
      <c r="R4715" t="inlineStr">
        <is>
          <t>undefined</t>
        </is>
      </c>
      <c r="S4715" t="inlineStr">
        <is>
          <t>6762963402839</t>
        </is>
      </c>
    </row>
    <row r="4716" ht="75" customHeight="1">
      <c r="A4716" s="2">
        <f>HYPERLINK("https://faoschwarz.com/products/turtles-200-piece-puzzle", "https://faoschwarz.com/products/turtles-200-piece-puzzle")</f>
        <v/>
      </c>
      <c r="B4716" s="2">
        <f>HYPERLINK("https://faoschwarz.com/products/turtles-200-piece-puzzle", "https://faoschwarz.com/products/turtles-200-piece-puzzle")</f>
        <v/>
      </c>
      <c r="C4716" t="inlineStr">
        <is>
          <t>Turtles 200 Piece Puzzle</t>
        </is>
      </c>
      <c r="D4716" t="inlineStr">
        <is>
          <t>Ravensburger Ocean Turtles - 200 Piece Jigsaw Puzzle for Kids – Every Piece is Unique, Pieces Fit Together Perfectly</t>
        </is>
      </c>
      <c r="E4716" s="2">
        <f>HYPERLINK("https://www.amazon.com/Ravensburger-Ocean-Turtles-Together-Perfectly/dp/B001R1RRC0/ref=sr_1_1?keywords=Turtles+200+Piece+Puzzle&amp;qid=1695565983&amp;sr=8-1", "https://www.amazon.com/Ravensburger-Ocean-Turtles-Together-Perfectly/dp/B001R1RRC0/ref=sr_1_1?keywords=Turtles+200+Piece+Puzzle&amp;qid=1695565983&amp;sr=8-1")</f>
        <v/>
      </c>
      <c r="F4716" t="inlineStr">
        <is>
          <t>B001R1RRC0</t>
        </is>
      </c>
      <c r="G4716">
        <f>_xlfn.IMAGE("https://faoschwarz.com/cdn/shop/products/ravensburger-puzzles-turtles-200-piece-puzzle-29127396655191_1080x.jpg?v=1655926416")</f>
        <v/>
      </c>
      <c r="H4716">
        <f>_xlfn.IMAGE("https://m.media-amazon.com/images/I/816J9uDNLzL._AC_UL320_.jpg")</f>
        <v/>
      </c>
      <c r="K4716" t="inlineStr">
        <is>
          <t>17.0</t>
        </is>
      </c>
      <c r="L4716" t="n">
        <v>24.95</v>
      </c>
      <c r="M4716" s="1" t="inlineStr">
        <is>
          <t>46.76%</t>
        </is>
      </c>
      <c r="N4716" t="n">
        <v>4.8</v>
      </c>
      <c r="O4716" t="n">
        <v>3142</v>
      </c>
      <c r="Q4716" t="inlineStr">
        <is>
          <t>InStock</t>
        </is>
      </c>
      <c r="R4716" t="inlineStr">
        <is>
          <t>undefined</t>
        </is>
      </c>
      <c r="S4716" t="inlineStr">
        <is>
          <t>6762963402839</t>
        </is>
      </c>
    </row>
    <row r="4717" ht="75" customHeight="1">
      <c r="A4717" s="2">
        <f>HYPERLINK("https://faoschwarz.com/products/turtles-200-piece-puzzle", "https://faoschwarz.com/products/turtles-200-piece-puzzle")</f>
        <v/>
      </c>
      <c r="B4717" s="2">
        <f>HYPERLINK("https://faoschwarz.com/products/turtles-200-piece-puzzle", "https://faoschwarz.com/products/turtles-200-piece-puzzle")</f>
        <v/>
      </c>
      <c r="C4717" t="inlineStr">
        <is>
          <t>Turtles 200 Piece Puzzle</t>
        </is>
      </c>
      <c r="D4717" t="inlineStr">
        <is>
          <t>GAYISIC Puzzles for Kids Ages 8-10, 136 Pieces Turtle and 200 Pieces Elephant Jigsaw Puzzles for 4 6 8 10 Years Old Boys Girl Birthday Christmas</t>
        </is>
      </c>
      <c r="E4717" s="2">
        <f>HYPERLINK("https://www.amazon.com/GAYISIC-Puzzles-Elephant-Birthday-Christmas/dp/B09XX6BD4C/ref=sr_1_4?keywords=Turtles+200+Piece+Puzzle&amp;qid=1695565983&amp;sr=8-4", "https://www.amazon.com/GAYISIC-Puzzles-Elephant-Birthday-Christmas/dp/B09XX6BD4C/ref=sr_1_4?keywords=Turtles+200+Piece+Puzzle&amp;qid=1695565983&amp;sr=8-4")</f>
        <v/>
      </c>
      <c r="F4717" t="inlineStr">
        <is>
          <t>B09XX6BD4C</t>
        </is>
      </c>
      <c r="G4717">
        <f>_xlfn.IMAGE("https://faoschwarz.com/cdn/shop/products/ravensburger-puzzles-turtles-200-piece-puzzle-29127396655191_1080x.jpg?v=1655926416")</f>
        <v/>
      </c>
      <c r="H4717">
        <f>_xlfn.IMAGE("https://m.media-amazon.com/images/I/81MI3mR2kML._AC_UL320_.jpg")</f>
        <v/>
      </c>
      <c r="K4717" t="inlineStr">
        <is>
          <t>17.0</t>
        </is>
      </c>
      <c r="L4717" t="n">
        <v>20.99</v>
      </c>
      <c r="M4717" s="1" t="inlineStr">
        <is>
          <t>23.47%</t>
        </is>
      </c>
      <c r="N4717" t="n">
        <v>4.6</v>
      </c>
      <c r="O4717" t="n">
        <v>828</v>
      </c>
      <c r="Q4717" t="inlineStr">
        <is>
          <t>InStock</t>
        </is>
      </c>
      <c r="R4717" t="inlineStr">
        <is>
          <t>undefined</t>
        </is>
      </c>
      <c r="S4717" t="inlineStr">
        <is>
          <t>6762963402839</t>
        </is>
      </c>
    </row>
    <row r="4718" ht="75" customHeight="1">
      <c r="A4718" s="2">
        <f>HYPERLINK("https://faoschwarz.com/products/turtles-200-piece-puzzle", "https://faoschwarz.com/products/turtles-200-piece-puzzle")</f>
        <v/>
      </c>
      <c r="B4718" s="2">
        <f>HYPERLINK("https://faoschwarz.com/products/turtles-200-piece-puzzle", "https://faoschwarz.com/products/turtles-200-piece-puzzle")</f>
        <v/>
      </c>
      <c r="C4718" t="inlineStr">
        <is>
          <t>Turtles 200 Piece Puzzle</t>
        </is>
      </c>
      <c r="D4718" t="inlineStr">
        <is>
          <t>Bits and Pieces - 200 Piece Large Piece Family Jigsaw Puzzle for Adults &amp; Kids - 15" x 19" - Noah's Ark - 200 pc Biblical Animal Boat Zoo Jigsaw by Barbara Gibson</t>
        </is>
      </c>
      <c r="E4718" s="2">
        <f>HYPERLINK("https://www.amazon.com/Bits-Pieces-Jigsaw-Animals-Barbara/dp/B01MYDQ0YC/ref=sr_1_3?keywords=Turtles+200+Piece+Puzzle&amp;qid=1695565983&amp;sr=8-3", "https://www.amazon.com/Bits-Pieces-Jigsaw-Animals-Barbara/dp/B01MYDQ0YC/ref=sr_1_3?keywords=Turtles+200+Piece+Puzzle&amp;qid=1695565983&amp;sr=8-3")</f>
        <v/>
      </c>
      <c r="F4718" t="inlineStr">
        <is>
          <t>B01MYDQ0YC</t>
        </is>
      </c>
      <c r="G4718">
        <f>_xlfn.IMAGE("https://faoschwarz.com/cdn/shop/products/ravensburger-puzzles-turtles-200-piece-puzzle-29127396655191_1080x.jpg?v=1655926416")</f>
        <v/>
      </c>
      <c r="H4718">
        <f>_xlfn.IMAGE("https://m.media-amazon.com/images/I/81UMhs2ESjL._AC_UL320_.jpg")</f>
        <v/>
      </c>
      <c r="K4718" t="inlineStr">
        <is>
          <t>17.0</t>
        </is>
      </c>
      <c r="L4718" t="n">
        <v>14.98</v>
      </c>
      <c r="M4718" s="1" t="inlineStr">
        <is>
          <t>-11.88%</t>
        </is>
      </c>
      <c r="N4718" t="n">
        <v>4.7</v>
      </c>
      <c r="O4718" t="n">
        <v>293</v>
      </c>
      <c r="Q4718" t="inlineStr">
        <is>
          <t>InStock</t>
        </is>
      </c>
      <c r="R4718" t="inlineStr">
        <is>
          <t>undefined</t>
        </is>
      </c>
      <c r="S4718" t="inlineStr">
        <is>
          <t>6762963402839</t>
        </is>
      </c>
    </row>
    <row r="4719" ht="75" customHeight="1">
      <c r="A4719" s="2">
        <f>HYPERLINK("https://faoschwarz.com/products/turtles-200-piece-puzzle", "https://faoschwarz.com/products/turtles-200-piece-puzzle")</f>
        <v/>
      </c>
      <c r="B4719" s="2">
        <f>HYPERLINK("https://faoschwarz.com/products/turtles-200-piece-puzzle", "https://faoschwarz.com/products/turtles-200-piece-puzzle")</f>
        <v/>
      </c>
      <c r="C4719" t="inlineStr">
        <is>
          <t>Turtles 200 Piece Puzzle</t>
        </is>
      </c>
      <c r="D4719" t="inlineStr">
        <is>
          <t>Bits and Pieces - 200 Piece Large Piece Family Jigsaw Puzzle for Adults &amp; Kids - 15" x 19" - Woodland Friends - 200 pc Forest Deer Bunny Turtle Bird Large Piece Jigsaw Puzzle by Julie Bauknecht</t>
        </is>
      </c>
      <c r="E4719" s="2">
        <f>HYPERLINK("https://www.amazon.com/Bits-Pieces-Woodland-Friends-Bauknecht/dp/B08FTK4NBB/ref=sr_1_7?keywords=Turtles+200+Piece+Puzzle&amp;qid=1695565983&amp;sr=8-7", "https://www.amazon.com/Bits-Pieces-Woodland-Friends-Bauknecht/dp/B08FTK4NBB/ref=sr_1_7?keywords=Turtles+200+Piece+Puzzle&amp;qid=1695565983&amp;sr=8-7")</f>
        <v/>
      </c>
      <c r="F4719" t="inlineStr">
        <is>
          <t>B08FTK4NBB</t>
        </is>
      </c>
      <c r="G4719">
        <f>_xlfn.IMAGE("https://faoschwarz.com/cdn/shop/products/ravensburger-puzzles-turtles-200-piece-puzzle-29127396655191_1080x.jpg?v=1655926416")</f>
        <v/>
      </c>
      <c r="H4719">
        <f>_xlfn.IMAGE("https://m.media-amazon.com/images/I/71WtgFfvfAL._AC_UL320_.jpg")</f>
        <v/>
      </c>
      <c r="K4719" t="inlineStr">
        <is>
          <t>17.0</t>
        </is>
      </c>
      <c r="L4719" t="n">
        <v>14.98</v>
      </c>
      <c r="M4719" s="1" t="inlineStr">
        <is>
          <t>-11.88%</t>
        </is>
      </c>
      <c r="N4719" t="n">
        <v>4.5</v>
      </c>
      <c r="O4719" t="n">
        <v>77</v>
      </c>
      <c r="Q4719" t="inlineStr">
        <is>
          <t>InStock</t>
        </is>
      </c>
      <c r="R4719" t="inlineStr">
        <is>
          <t>undefined</t>
        </is>
      </c>
      <c r="S4719" t="inlineStr">
        <is>
          <t>6762963402839</t>
        </is>
      </c>
    </row>
    <row r="4720" ht="75" customHeight="1">
      <c r="A4720" s="2">
        <f>HYPERLINK("https://faoschwarz.com/products/turtles-200-piece-puzzle", "https://faoschwarz.com/products/turtles-200-piece-puzzle")</f>
        <v/>
      </c>
      <c r="B4720" s="2">
        <f>HYPERLINK("https://faoschwarz.com/products/turtles-200-piece-puzzle", "https://faoschwarz.com/products/turtles-200-piece-puzzle")</f>
        <v/>
      </c>
      <c r="C4720" t="inlineStr">
        <is>
          <t>Turtles 200 Piece Puzzle</t>
        </is>
      </c>
      <c r="D4720" t="inlineStr">
        <is>
          <t>Bits and Pieces - 200 Piece Large Piece Family Jigsaw Puzzle for Adults &amp; Kids - 15" x 19" - Noah's Ark - 200 pc Biblical Animal Boat Zoo Jigsaw by Barbara Gibson</t>
        </is>
      </c>
      <c r="E4720" s="2">
        <f>HYPERLINK("https://www.amazon.com/Bits-Pieces-Jigsaw-Animals-Barbara/dp/B01MYDQ0YC/ref=sr_1_3?keywords=Turtles+200+Piece+Puzzle&amp;qid=1695565983&amp;sr=8-3", "https://www.amazon.com/Bits-Pieces-Jigsaw-Animals-Barbara/dp/B01MYDQ0YC/ref=sr_1_3?keywords=Turtles+200+Piece+Puzzle&amp;qid=1695565983&amp;sr=8-3")</f>
        <v/>
      </c>
      <c r="F4720" t="inlineStr">
        <is>
          <t>B01MYDQ0YC</t>
        </is>
      </c>
      <c r="G4720">
        <f>_xlfn.IMAGE("https://faoschwarz.com/cdn/shop/products/ravensburger-puzzles-turtles-200-piece-puzzle-29127396655191_1080x.jpg?v=1655926416")</f>
        <v/>
      </c>
      <c r="H4720">
        <f>_xlfn.IMAGE("https://m.media-amazon.com/images/I/81UMhs2ESjL._AC_UL320_.jpg")</f>
        <v/>
      </c>
      <c r="K4720" t="inlineStr">
        <is>
          <t>17.0</t>
        </is>
      </c>
      <c r="L4720" t="n">
        <v>14.98</v>
      </c>
      <c r="M4720" s="1" t="inlineStr">
        <is>
          <t>-11.88%</t>
        </is>
      </c>
      <c r="N4720" t="n">
        <v>4.7</v>
      </c>
      <c r="O4720" t="n">
        <v>293</v>
      </c>
      <c r="Q4720" t="inlineStr">
        <is>
          <t>InStock</t>
        </is>
      </c>
      <c r="R4720" t="inlineStr">
        <is>
          <t>undefined</t>
        </is>
      </c>
      <c r="S4720" t="inlineStr">
        <is>
          <t>6762963402839</t>
        </is>
      </c>
    </row>
    <row r="4721" ht="75" customHeight="1">
      <c r="A4721" s="2">
        <f>HYPERLINK("https://faoschwarz.com/products/turtles-200-piece-puzzle", "https://faoschwarz.com/products/turtles-200-piece-puzzle")</f>
        <v/>
      </c>
      <c r="B4721" s="2">
        <f>HYPERLINK("https://faoschwarz.com/products/turtles-200-piece-puzzle", "https://faoschwarz.com/products/turtles-200-piece-puzzle")</f>
        <v/>
      </c>
      <c r="C4721" t="inlineStr">
        <is>
          <t>Turtles 200 Piece Puzzle</t>
        </is>
      </c>
      <c r="D4721" t="inlineStr">
        <is>
          <t>Bits and Pieces - 200 Piece Large Piece Family Jigsaw Puzzle for Adults &amp; Kids - 15" x 19" - Woodland Friends - 200 pc Forest Deer Bunny Turtle Bird Large Piece Jigsaw Puzzle by Julie Bauknecht</t>
        </is>
      </c>
      <c r="E4721" s="2">
        <f>HYPERLINK("https://www.amazon.com/Bits-Pieces-Woodland-Friends-Bauknecht/dp/B08FTK4NBB/ref=sr_1_7?keywords=Turtles+200+Piece+Puzzle&amp;qid=1695565983&amp;sr=8-7", "https://www.amazon.com/Bits-Pieces-Woodland-Friends-Bauknecht/dp/B08FTK4NBB/ref=sr_1_7?keywords=Turtles+200+Piece+Puzzle&amp;qid=1695565983&amp;sr=8-7")</f>
        <v/>
      </c>
      <c r="F4721" t="inlineStr">
        <is>
          <t>B08FTK4NBB</t>
        </is>
      </c>
      <c r="G4721">
        <f>_xlfn.IMAGE("https://faoschwarz.com/cdn/shop/products/ravensburger-puzzles-turtles-200-piece-puzzle-29127396655191_1080x.jpg?v=1655926416")</f>
        <v/>
      </c>
      <c r="H4721">
        <f>_xlfn.IMAGE("https://m.media-amazon.com/images/I/71WtgFfvfAL._AC_UL320_.jpg")</f>
        <v/>
      </c>
      <c r="K4721" t="inlineStr">
        <is>
          <t>17.0</t>
        </is>
      </c>
      <c r="L4721" t="n">
        <v>14.98</v>
      </c>
      <c r="M4721" s="1" t="inlineStr">
        <is>
          <t>-11.88%</t>
        </is>
      </c>
      <c r="N4721" t="n">
        <v>4.5</v>
      </c>
      <c r="O4721" t="n">
        <v>77</v>
      </c>
      <c r="Q4721" t="inlineStr">
        <is>
          <t>InStock</t>
        </is>
      </c>
      <c r="R4721" t="inlineStr">
        <is>
          <t>undefined</t>
        </is>
      </c>
      <c r="S4721" t="inlineStr">
        <is>
          <t>6762963402839</t>
        </is>
      </c>
    </row>
    <row r="4722" ht="75" customHeight="1">
      <c r="A4722" s="2">
        <f>HYPERLINK("https://faoschwarz.com/products/twister-nostalgia-tin", "https://faoschwarz.com/products/twister-nostalgia-tin")</f>
        <v/>
      </c>
      <c r="B4722" s="2">
        <f>HYPERLINK("https://faoschwarz.com/products/twister-nostalgia-tin", "https://faoschwarz.com/products/twister-nostalgia-tin")</f>
        <v/>
      </c>
      <c r="C4722" t="inlineStr">
        <is>
          <t>Twister Nostalgia Tin</t>
        </is>
      </c>
      <c r="D4722" t="inlineStr">
        <is>
          <t>WS Game Company Winning Solutions Twister Nostalgia Tin</t>
        </is>
      </c>
      <c r="E4722" s="2">
        <f>HYPERLINK("https://www.amazon.com/Winning-Solutions-Twister-Nostalgia-Tin/dp/B00NNXMWAC/ref=sr_1_1?keywords=Twister+Nostalgia+Tin&amp;qid=1695566003&amp;sr=8-1", "https://www.amazon.com/Winning-Solutions-Twister-Nostalgia-Tin/dp/B00NNXMWAC/ref=sr_1_1?keywords=Twister+Nostalgia+Tin&amp;qid=1695566003&amp;sr=8-1")</f>
        <v/>
      </c>
      <c r="F4722" t="inlineStr">
        <is>
          <t>B00NNXMWAC</t>
        </is>
      </c>
      <c r="G4722">
        <f>_xlfn.IMAGE("https://faoschwarz.com/cdn/shop/products/ws-game-company-games-twister-nostalgia-tin-28900041883735_1080x.jpg?v=1655984736")</f>
        <v/>
      </c>
      <c r="H4722">
        <f>_xlfn.IMAGE("https://m.media-amazon.com/images/I/91b-1n1cZyL._AC_UL320_.jpg")</f>
        <v/>
      </c>
      <c r="K4722" t="inlineStr">
        <is>
          <t>35.0</t>
        </is>
      </c>
      <c r="L4722" t="n">
        <v>29.98</v>
      </c>
      <c r="M4722" s="1" t="inlineStr">
        <is>
          <t>-14.34%</t>
        </is>
      </c>
      <c r="N4722" t="n">
        <v>4.7</v>
      </c>
      <c r="O4722" t="n">
        <v>153</v>
      </c>
      <c r="Q4722" t="inlineStr">
        <is>
          <t>InStock</t>
        </is>
      </c>
      <c r="R4722" t="inlineStr">
        <is>
          <t>undefined</t>
        </is>
      </c>
      <c r="S4722" t="inlineStr">
        <is>
          <t>6715353333847</t>
        </is>
      </c>
    </row>
    <row r="4723" ht="75" customHeight="1">
      <c r="A4723" s="2">
        <f>HYPERLINK("https://faoschwarz.com/products/twister-nostalgia-tin", "https://faoschwarz.com/products/twister-nostalgia-tin")</f>
        <v/>
      </c>
      <c r="B4723" s="2">
        <f>HYPERLINK("https://faoschwarz.com/products/twister-nostalgia-tin", "https://faoschwarz.com/products/twister-nostalgia-tin")</f>
        <v/>
      </c>
      <c r="C4723" t="inlineStr">
        <is>
          <t>Twister Nostalgia Tin</t>
        </is>
      </c>
      <c r="D4723" t="inlineStr">
        <is>
          <t>WS Game Company Winning Solutions Twister Nostalgia Tin</t>
        </is>
      </c>
      <c r="E4723" s="2">
        <f>HYPERLINK("https://www.amazon.com/Winning-Solutions-Twister-Nostalgia-Tin/dp/B00NNXMWAC/ref=sr_1_1?keywords=Twister+Nostalgia+Tin&amp;qid=1695566003&amp;sr=8-1", "https://www.amazon.com/Winning-Solutions-Twister-Nostalgia-Tin/dp/B00NNXMWAC/ref=sr_1_1?keywords=Twister+Nostalgia+Tin&amp;qid=1695566003&amp;sr=8-1")</f>
        <v/>
      </c>
      <c r="F4723" t="inlineStr">
        <is>
          <t>B00NNXMWAC</t>
        </is>
      </c>
      <c r="G4723">
        <f>_xlfn.IMAGE("https://faoschwarz.com/cdn/shop/products/ws-game-company-games-twister-nostalgia-tin-28900041883735_1080x.jpg?v=1655984736")</f>
        <v/>
      </c>
      <c r="H4723">
        <f>_xlfn.IMAGE("https://m.media-amazon.com/images/I/91b-1n1cZyL._AC_UL320_.jpg")</f>
        <v/>
      </c>
      <c r="K4723" t="inlineStr">
        <is>
          <t>35.0</t>
        </is>
      </c>
      <c r="L4723" t="n">
        <v>29.98</v>
      </c>
      <c r="M4723" s="1" t="inlineStr">
        <is>
          <t>-14.34%</t>
        </is>
      </c>
      <c r="N4723" t="n">
        <v>4.7</v>
      </c>
      <c r="O4723" t="n">
        <v>153</v>
      </c>
      <c r="Q4723" t="inlineStr">
        <is>
          <t>InStock</t>
        </is>
      </c>
      <c r="R4723" t="inlineStr">
        <is>
          <t>undefined</t>
        </is>
      </c>
      <c r="S4723" t="inlineStr">
        <is>
          <t>6715353333847</t>
        </is>
      </c>
    </row>
    <row r="4724" ht="75" customHeight="1">
      <c r="A4724" s="2">
        <f>HYPERLINK("https://faoschwarz.com/products/two-story-wooden-dollhouse", "https://faoschwarz.com/products/two-story-wooden-dollhouse")</f>
        <v/>
      </c>
      <c r="B4724" s="2">
        <f>HYPERLINK("https://faoschwarz.com/products/two-story-wooden-dollhouse", "https://faoschwarz.com/products/two-story-wooden-dollhouse")</f>
        <v/>
      </c>
      <c r="C4724" t="inlineStr">
        <is>
          <t>Two-story Wooden Dollhouse</t>
        </is>
      </c>
      <c r="D4724" t="inlineStr">
        <is>
          <t>All Seasons Kids Wooden Dollhouse by Hape | Award Winning 3 Story Dolls House Toy with Furniture, Accessories, Movable Stairs and Reversible Season Theme L: 23.6, W: 11.8, H: 28.9 inch</t>
        </is>
      </c>
      <c r="E4724" s="2" t="n"/>
      <c r="F4724" t="inlineStr">
        <is>
          <t>B005QZLBXO</t>
        </is>
      </c>
      <c r="G4724">
        <f>_xlfn.IMAGE("https://faoschwarz.com/cdn/shop/files/wonder-wise-dolls-two-story-wooden-dollhouse-30541855522903_1080x.jpg?v=1693426707")</f>
        <v/>
      </c>
      <c r="H4724">
        <f>_xlfn.IMAGE("https://m.media-amazon.com/images/I/91Gz3YXi6GL._AC_UL320_.jpg")</f>
        <v/>
      </c>
      <c r="K4724" t="inlineStr">
        <is>
          <t>199.0</t>
        </is>
      </c>
      <c r="L4724" t="n">
        <v>149.49</v>
      </c>
      <c r="M4724" s="1" t="inlineStr">
        <is>
          <t>-24.88%</t>
        </is>
      </c>
      <c r="N4724" t="n">
        <v>4.8</v>
      </c>
      <c r="O4724" t="n">
        <v>2577</v>
      </c>
      <c r="Q4724" t="inlineStr">
        <is>
          <t>InStock</t>
        </is>
      </c>
      <c r="R4724" t="inlineStr">
        <is>
          <t>undefined</t>
        </is>
      </c>
      <c r="S4724" t="inlineStr">
        <is>
          <t>6896149987415</t>
        </is>
      </c>
    </row>
    <row r="4725" ht="75" customHeight="1">
      <c r="A4725" s="2">
        <f>HYPERLINK("https://faoschwarz.com/products/two-story-wooden-dollhouse", "https://faoschwarz.com/products/two-story-wooden-dollhouse")</f>
        <v/>
      </c>
      <c r="B4725" s="2">
        <f>HYPERLINK("https://faoschwarz.com/products/two-story-wooden-dollhouse", "https://faoschwarz.com/products/two-story-wooden-dollhouse")</f>
        <v/>
      </c>
      <c r="C4725" t="inlineStr">
        <is>
          <t>Two-story Wooden Dollhouse</t>
        </is>
      </c>
      <c r="D4725" t="inlineStr">
        <is>
          <t>Melissa &amp; Doug Wooden Multi-Level Dollhouse SIOC - Wooden Multi-Story Pretend Play Dollhouse For Kids</t>
        </is>
      </c>
      <c r="E4725" s="2">
        <f>HYPERLINK("https://www.amazon.com/Melissa-Doug-Wooden-Multi-Level-Dollhouse/dp/B09VCMBJ1H/ref=sr_1_6?keywords=Two-story+Wooden+Dollhouse&amp;qid=1695565925&amp;sr=8-6", "https://www.amazon.com/Melissa-Doug-Wooden-Multi-Level-Dollhouse/dp/B09VCMBJ1H/ref=sr_1_6?keywords=Two-story+Wooden+Dollhouse&amp;qid=1695565925&amp;sr=8-6")</f>
        <v/>
      </c>
      <c r="F4725" t="inlineStr">
        <is>
          <t>B09VCMBJ1H</t>
        </is>
      </c>
      <c r="G4725">
        <f>_xlfn.IMAGE("https://faoschwarz.com/cdn/shop/files/wonder-wise-dolls-two-story-wooden-dollhouse-30541855522903_1080x.jpg?v=1693426707")</f>
        <v/>
      </c>
      <c r="H4725">
        <f>_xlfn.IMAGE("https://m.media-amazon.com/images/I/716JgSvCAlL._AC_UL320_.jpg")</f>
        <v/>
      </c>
      <c r="K4725" t="inlineStr">
        <is>
          <t>199.0</t>
        </is>
      </c>
      <c r="L4725" t="n">
        <v>126.69</v>
      </c>
      <c r="M4725" s="1" t="inlineStr">
        <is>
          <t>-36.34%</t>
        </is>
      </c>
      <c r="N4725" t="n">
        <v>4.1</v>
      </c>
      <c r="O4725" t="n">
        <v>51</v>
      </c>
      <c r="Q4725" t="inlineStr">
        <is>
          <t>InStock</t>
        </is>
      </c>
      <c r="R4725" t="inlineStr">
        <is>
          <t>undefined</t>
        </is>
      </c>
      <c r="S4725" t="inlineStr">
        <is>
          <t>6896149987415</t>
        </is>
      </c>
    </row>
    <row r="4726" ht="75" customHeight="1">
      <c r="A4726" s="2">
        <f>HYPERLINK("https://faoschwarz.com/products/two-story-wooden-dollhouse", "https://faoschwarz.com/products/two-story-wooden-dollhouse")</f>
        <v/>
      </c>
      <c r="B4726" s="2">
        <f>HYPERLINK("https://faoschwarz.com/products/two-story-wooden-dollhouse", "https://faoschwarz.com/products/two-story-wooden-dollhouse")</f>
        <v/>
      </c>
      <c r="C4726" t="inlineStr">
        <is>
          <t>Two-story Wooden Dollhouse</t>
        </is>
      </c>
      <c r="D4726" t="inlineStr">
        <is>
          <t>Costzon Kids Wooden Dollhouse Bookcase, 3 Story Cottage Toy w/Anti-Tip Design &amp; Storage Space, 2 in 1 Pretend Dream House Playset for Kids Room,Playroom Nursery Gift for Girls Boys Age 3+</t>
        </is>
      </c>
      <c r="E4726" s="2">
        <f>HYPERLINK("https://www.amazon.com/Costzon-Dollhouse-Bookcase-Anti-Tip-Playroom/dp/B09NDHKQ15/ref=sr_1_8?keywords=Two-story+Wooden+Dollhouse&amp;qid=1695565925&amp;sr=8-8", "https://www.amazon.com/Costzon-Dollhouse-Bookcase-Anti-Tip-Playroom/dp/B09NDHKQ15/ref=sr_1_8?keywords=Two-story+Wooden+Dollhouse&amp;qid=1695565925&amp;sr=8-8")</f>
        <v/>
      </c>
      <c r="F4726" t="inlineStr">
        <is>
          <t>B09NDHKQ15</t>
        </is>
      </c>
      <c r="G4726">
        <f>_xlfn.IMAGE("https://faoschwarz.com/cdn/shop/files/wonder-wise-dolls-two-story-wooden-dollhouse-30541855522903_1080x.jpg?v=1693426707")</f>
        <v/>
      </c>
      <c r="H4726">
        <f>_xlfn.IMAGE("https://m.media-amazon.com/images/I/714wtfDLbeL._AC_UL320_.jpg")</f>
        <v/>
      </c>
      <c r="K4726" t="inlineStr">
        <is>
          <t>199.0</t>
        </is>
      </c>
      <c r="L4726" t="n">
        <v>109.98</v>
      </c>
      <c r="M4726" s="1" t="inlineStr">
        <is>
          <t>-44.73%</t>
        </is>
      </c>
      <c r="N4726" t="n">
        <v>4.7</v>
      </c>
      <c r="O4726" t="n">
        <v>44</v>
      </c>
      <c r="Q4726" t="inlineStr">
        <is>
          <t>InStock</t>
        </is>
      </c>
      <c r="R4726" t="inlineStr">
        <is>
          <t>undefined</t>
        </is>
      </c>
      <c r="S4726" t="inlineStr">
        <is>
          <t>6896149987415</t>
        </is>
      </c>
    </row>
    <row r="4727" ht="75" customHeight="1">
      <c r="A4727" s="2">
        <f>HYPERLINK("https://faoschwarz.com/products/two-story-wooden-dollhouse", "https://faoschwarz.com/products/two-story-wooden-dollhouse")</f>
        <v/>
      </c>
      <c r="B4727" s="2">
        <f>HYPERLINK("https://faoschwarz.com/products/two-story-wooden-dollhouse", "https://faoschwarz.com/products/two-story-wooden-dollhouse")</f>
        <v/>
      </c>
      <c r="C4727" t="inlineStr">
        <is>
          <t>Two-story Wooden Dollhouse</t>
        </is>
      </c>
      <c r="D4727" t="inlineStr">
        <is>
          <t>Milliard Extra Large Wooden Doll House, 31 Bonus Furniture Pieces Included, 4 Story Dollhouse, 4 Ft. Tall, Ages 3+</t>
        </is>
      </c>
      <c r="E4727" s="2">
        <f>HYPERLINK("https://www.amazon.com/Milliard-Wooden-Furniture-Included-Dollhouse/dp/B0CBKX36BW/ref=sr_1_9?keywords=Two-story+Wooden+Dollhouse&amp;qid=1695565925&amp;sr=8-9", "https://www.amazon.com/Milliard-Wooden-Furniture-Included-Dollhouse/dp/B0CBKX36BW/ref=sr_1_9?keywords=Two-story+Wooden+Dollhouse&amp;qid=1695565925&amp;sr=8-9")</f>
        <v/>
      </c>
      <c r="F4727" t="inlineStr">
        <is>
          <t>B0CBKX36BW</t>
        </is>
      </c>
      <c r="G4727">
        <f>_xlfn.IMAGE("https://faoschwarz.com/cdn/shop/files/wonder-wise-dolls-two-story-wooden-dollhouse-30541855522903_1080x.jpg?v=1693426707")</f>
        <v/>
      </c>
      <c r="H4727">
        <f>_xlfn.IMAGE("https://m.media-amazon.com/images/I/715kb-rPzFL._AC_UL320_.jpg")</f>
        <v/>
      </c>
      <c r="K4727" t="inlineStr">
        <is>
          <t>199.0</t>
        </is>
      </c>
      <c r="L4727" t="n">
        <v>89.98999999999999</v>
      </c>
      <c r="M4727" s="1" t="inlineStr">
        <is>
          <t>-54.78%</t>
        </is>
      </c>
      <c r="N4727" t="n">
        <v>4.6</v>
      </c>
      <c r="O4727" t="n">
        <v>15</v>
      </c>
      <c r="Q4727" t="inlineStr">
        <is>
          <t>InStock</t>
        </is>
      </c>
      <c r="R4727" t="inlineStr">
        <is>
          <t>undefined</t>
        </is>
      </c>
      <c r="S4727" t="inlineStr">
        <is>
          <t>6896149987415</t>
        </is>
      </c>
    </row>
    <row r="4728" ht="75" customHeight="1">
      <c r="A4728" s="2">
        <f>HYPERLINK("https://faoschwarz.com/products/two-story-wooden-dollhouse", "https://faoschwarz.com/products/two-story-wooden-dollhouse")</f>
        <v/>
      </c>
      <c r="B4728" s="2">
        <f>HYPERLINK("https://faoschwarz.com/products/two-story-wooden-dollhouse", "https://faoschwarz.com/products/two-story-wooden-dollhouse")</f>
        <v/>
      </c>
      <c r="C4728" t="inlineStr">
        <is>
          <t>Two-story Wooden Dollhouse</t>
        </is>
      </c>
      <c r="D4728" t="inlineStr">
        <is>
          <t>KidKraft Storybook Mansion Three-Story Wooden Dollhouse for 12-Inch Dolls with 14-Piece Accessories, Gift for Ages 3+</t>
        </is>
      </c>
      <c r="E4728" s="2">
        <f>HYPERLINK("https://www.amazon.com/KidKraft-65878-Storybook-Mansion-Toy/dp/B00W61PVMI/ref=sr_1_5?keywords=Two-story+Wooden+Dollhouse&amp;qid=1695565925&amp;sr=8-5", "https://www.amazon.com/KidKraft-65878-Storybook-Mansion-Toy/dp/B00W61PVMI/ref=sr_1_5?keywords=Two-story+Wooden+Dollhouse&amp;qid=1695565925&amp;sr=8-5")</f>
        <v/>
      </c>
      <c r="F4728" t="inlineStr">
        <is>
          <t>B00W61PVMI</t>
        </is>
      </c>
      <c r="G4728">
        <f>_xlfn.IMAGE("https://faoschwarz.com/cdn/shop/files/wonder-wise-dolls-two-story-wooden-dollhouse-30541855522903_1080x.jpg?v=1693426707")</f>
        <v/>
      </c>
      <c r="H4728">
        <f>_xlfn.IMAGE("https://m.media-amazon.com/images/I/81AqN9XPqrL._AC_UL320_.jpg")</f>
        <v/>
      </c>
      <c r="K4728" t="inlineStr">
        <is>
          <t>199.0</t>
        </is>
      </c>
      <c r="L4728" t="n">
        <v>78.11</v>
      </c>
      <c r="M4728" s="1" t="inlineStr">
        <is>
          <t>-60.75%</t>
        </is>
      </c>
      <c r="N4728" t="n">
        <v>4.4</v>
      </c>
      <c r="O4728" t="n">
        <v>281</v>
      </c>
      <c r="Q4728" t="inlineStr">
        <is>
          <t>InStock</t>
        </is>
      </c>
      <c r="R4728" t="inlineStr">
        <is>
          <t>undefined</t>
        </is>
      </c>
      <c r="S4728" t="inlineStr">
        <is>
          <t>6896149987415</t>
        </is>
      </c>
    </row>
    <row r="4729" ht="75" customHeight="1">
      <c r="A4729" s="2">
        <f>HYPERLINK("https://faoschwarz.com/products/underwater-paradise-9000-pc", "https://faoschwarz.com/products/underwater-paradise-9000-pc")</f>
        <v/>
      </c>
      <c r="B4729" s="2">
        <f>HYPERLINK("https://faoschwarz.com/products/underwater-paradise-9000-pc", "https://faoschwarz.com/products/underwater-paradise-9000-pc")</f>
        <v/>
      </c>
      <c r="C4729" t="inlineStr">
        <is>
          <t>Underwater Paradise 9000 Piece Puzzle</t>
        </is>
      </c>
      <c r="D4729" t="inlineStr">
        <is>
          <t>Ravensburger Underwater Paradise 9000 Piece Jigsaw Puzzle for Adults - 17807 - Handcrafted Tooling, Durable Blueboard, Every Piece Fits Together Perfectly</t>
        </is>
      </c>
      <c r="E4729" s="2">
        <f>HYPERLINK("https://www.amazon.com/Ravensburger-Underwater-Paradise-Jigsaw-Puzzle/dp/B004O0TP3U/ref=sr_1_1?keywords=Underwater+Paradise+9000+Piece+Puzzle&amp;qid=1695565999&amp;sr=8-1", "https://www.amazon.com/Ravensburger-Underwater-Paradise-Jigsaw-Puzzle/dp/B004O0TP3U/ref=sr_1_1?keywords=Underwater+Paradise+9000+Piece+Puzzle&amp;qid=1695565999&amp;sr=8-1")</f>
        <v/>
      </c>
      <c r="F4729" t="inlineStr">
        <is>
          <t>B004O0TP3U</t>
        </is>
      </c>
      <c r="G4729">
        <f>_xlfn.IMAGE("https://faoschwarz.com/cdn/shop/products/ravensburger-puzzles-underwater-paradise-9000-piece-puzzle-29371092828247_1080x.jpg?v=1660169734")</f>
        <v/>
      </c>
      <c r="H4729">
        <f>_xlfn.IMAGE("https://m.media-amazon.com/images/I/81qOW9GBw3L._AC_UL320_.jpg")</f>
        <v/>
      </c>
      <c r="K4729" t="inlineStr">
        <is>
          <t>145.0</t>
        </is>
      </c>
      <c r="L4729" t="n">
        <v>144.99</v>
      </c>
      <c r="M4729" s="1" t="inlineStr">
        <is>
          <t>-0.01%</t>
        </is>
      </c>
      <c r="N4729" t="n">
        <v>4.5</v>
      </c>
      <c r="O4729" t="n">
        <v>284</v>
      </c>
      <c r="Q4729" t="inlineStr">
        <is>
          <t>InStock</t>
        </is>
      </c>
      <c r="R4729" t="inlineStr">
        <is>
          <t>undefined</t>
        </is>
      </c>
      <c r="S4729" t="inlineStr">
        <is>
          <t>4615260700759</t>
        </is>
      </c>
    </row>
    <row r="4730" ht="75" customHeight="1">
      <c r="A4730" s="2">
        <f>HYPERLINK("https://faoschwarz.com/products/underwater-paradise-9000-pc", "https://faoschwarz.com/products/underwater-paradise-9000-pc")</f>
        <v/>
      </c>
      <c r="B4730" s="2">
        <f>HYPERLINK("https://faoschwarz.com/products/underwater-paradise-9000-pc", "https://faoschwarz.com/products/underwater-paradise-9000-pc")</f>
        <v/>
      </c>
      <c r="C4730" t="inlineStr">
        <is>
          <t>Underwater Paradise 9000 Piece Puzzle</t>
        </is>
      </c>
      <c r="D4730" t="inlineStr">
        <is>
          <t>Becko US Puzzles for Adults Jigsaw Puzzles 500 Pieces Puzzles for Kids and Adults - Undersea World Underwater Paradise Ocean Scene</t>
        </is>
      </c>
      <c r="E4730" s="2">
        <f>HYPERLINK("https://www.amazon.com/Becko-Educational-Puzzles-Christmas-Thanksgiving/dp/B08K7DM4HF/ref=sr_1_2?keywords=Underwater+Paradise+9000+Piece+Puzzle&amp;qid=1695565999&amp;sr=8-2", "https://www.amazon.com/Becko-Educational-Puzzles-Christmas-Thanksgiving/dp/B08K7DM4HF/ref=sr_1_2?keywords=Underwater+Paradise+9000+Piece+Puzzle&amp;qid=1695565999&amp;sr=8-2")</f>
        <v/>
      </c>
      <c r="F4730" t="inlineStr">
        <is>
          <t>B08K7DM4HF</t>
        </is>
      </c>
      <c r="G4730">
        <f>_xlfn.IMAGE("https://faoschwarz.com/cdn/shop/products/ravensburger-puzzles-underwater-paradise-9000-piece-puzzle-29371092828247_1080x.jpg?v=1660169734")</f>
        <v/>
      </c>
      <c r="H4730">
        <f>_xlfn.IMAGE("https://m.media-amazon.com/images/I/919yRoubH+L._AC_UL320_.jpg")</f>
        <v/>
      </c>
      <c r="K4730" t="inlineStr">
        <is>
          <t>145.0</t>
        </is>
      </c>
      <c r="L4730" t="n">
        <v>15.98</v>
      </c>
      <c r="M4730" s="1" t="inlineStr">
        <is>
          <t>-88.98%</t>
        </is>
      </c>
      <c r="N4730" t="n">
        <v>4.6</v>
      </c>
      <c r="O4730" t="n">
        <v>286</v>
      </c>
      <c r="Q4730" t="inlineStr">
        <is>
          <t>InStock</t>
        </is>
      </c>
      <c r="R4730" t="inlineStr">
        <is>
          <t>undefined</t>
        </is>
      </c>
      <c r="S4730" t="inlineStr">
        <is>
          <t>4615260700759</t>
        </is>
      </c>
    </row>
    <row r="4731" ht="75" customHeight="1">
      <c r="A4731" s="2">
        <f>HYPERLINK("https://faoschwarz.com/products/underwater-paradise-9000-pc", "https://faoschwarz.com/products/underwater-paradise-9000-pc")</f>
        <v/>
      </c>
      <c r="B4731" s="2">
        <f>HYPERLINK("https://faoschwarz.com/products/underwater-paradise-9000-pc", "https://faoschwarz.com/products/underwater-paradise-9000-pc")</f>
        <v/>
      </c>
      <c r="C4731" t="inlineStr">
        <is>
          <t>Underwater Paradise 9000 Piece Puzzle</t>
        </is>
      </c>
      <c r="D4731" t="inlineStr">
        <is>
          <t>Becko US Puzzles for Adults Jigsaw Puzzles 500 Pieces Puzzles for Kids and Adults - Undersea World Underwater Paradise Ocean Scene</t>
        </is>
      </c>
      <c r="E4731" s="2">
        <f>HYPERLINK("https://www.amazon.com/Becko-Educational-Puzzles-Christmas-Thanksgiving/dp/B08K7DM4HF/ref=sr_1_2?keywords=Underwater+Paradise+9000+Piece+Puzzle&amp;qid=1695565999&amp;sr=8-2", "https://www.amazon.com/Becko-Educational-Puzzles-Christmas-Thanksgiving/dp/B08K7DM4HF/ref=sr_1_2?keywords=Underwater+Paradise+9000+Piece+Puzzle&amp;qid=1695565999&amp;sr=8-2")</f>
        <v/>
      </c>
      <c r="F4731" t="inlineStr">
        <is>
          <t>B08K7DM4HF</t>
        </is>
      </c>
      <c r="G4731">
        <f>_xlfn.IMAGE("https://faoschwarz.com/cdn/shop/products/ravensburger-puzzles-underwater-paradise-9000-piece-puzzle-29371092828247_1080x.jpg?v=1660169734")</f>
        <v/>
      </c>
      <c r="H4731">
        <f>_xlfn.IMAGE("https://m.media-amazon.com/images/I/919yRoubH+L._AC_UL320_.jpg")</f>
        <v/>
      </c>
      <c r="K4731" t="inlineStr">
        <is>
          <t>145.0</t>
        </is>
      </c>
      <c r="L4731" t="n">
        <v>15.98</v>
      </c>
      <c r="M4731" s="1" t="inlineStr">
        <is>
          <t>-88.98%</t>
        </is>
      </c>
      <c r="N4731" t="n">
        <v>4.6</v>
      </c>
      <c r="O4731" t="n">
        <v>286</v>
      </c>
      <c r="Q4731" t="inlineStr">
        <is>
          <t>InStock</t>
        </is>
      </c>
      <c r="R4731" t="inlineStr">
        <is>
          <t>undefined</t>
        </is>
      </c>
      <c r="S4731" t="inlineStr">
        <is>
          <t>4615260700759</t>
        </is>
      </c>
    </row>
    <row r="4732" ht="75" customHeight="1">
      <c r="A4732" s="2">
        <f>HYPERLINK("https://faoschwarz.com/products/uno-barbie-movie", "https://faoschwarz.com/products/uno-barbie-movie")</f>
        <v/>
      </c>
      <c r="B4732" s="2">
        <f>HYPERLINK("https://faoschwarz.com/products/uno-barbie-movie", "https://faoschwarz.com/products/uno-barbie-movie")</f>
        <v/>
      </c>
      <c r="C4732" t="inlineStr">
        <is>
          <t>UNO Barbie Movie</t>
        </is>
      </c>
      <c r="D4732" t="inlineStr">
        <is>
          <t>Mattel Games UNO Barbie The Movie Card Game, Inspired by the Movie for Family Night, Game Night, Travel, Camping and Party</t>
        </is>
      </c>
      <c r="E4732" s="2">
        <f>HYPERLINK("https://www.amazon.com/Barbie-Movie-Family-Adult-Players/dp/B0BBSW4CWN/ref=sr_1_1?keywords=UNO+Barbie+Movie&amp;qid=1695566010&amp;sr=8-1", "https://www.amazon.com/Barbie-Movie-Family-Adult-Players/dp/B0BBSW4CWN/ref=sr_1_1?keywords=UNO+Barbie+Movie&amp;qid=1695566010&amp;sr=8-1")</f>
        <v/>
      </c>
      <c r="F4732" t="inlineStr">
        <is>
          <t>B0BBSW4CWN</t>
        </is>
      </c>
      <c r="G4732">
        <f>_xlfn.IMAGE("https://faoschwarz.com/cdn/shop/files/barbie-world-of-barbie-uno-barbie-movie-30505557491799_1080x.jpg?v=1693426708")</f>
        <v/>
      </c>
      <c r="H4732">
        <f>_xlfn.IMAGE("https://m.media-amazon.com/images/I/815hI-km0PL._AC_UL320_.jpg")</f>
        <v/>
      </c>
      <c r="K4732" t="inlineStr">
        <is>
          <t>10.0</t>
        </is>
      </c>
      <c r="L4732" t="n">
        <v>6.69</v>
      </c>
      <c r="M4732" s="1" t="inlineStr">
        <is>
          <t>-33.10%</t>
        </is>
      </c>
      <c r="N4732" t="n">
        <v>4.7</v>
      </c>
      <c r="O4732" t="n">
        <v>410</v>
      </c>
      <c r="Q4732" t="inlineStr">
        <is>
          <t>InStock</t>
        </is>
      </c>
      <c r="R4732" t="inlineStr">
        <is>
          <t>undefined</t>
        </is>
      </c>
      <c r="S4732" t="inlineStr">
        <is>
          <t>6891716411479</t>
        </is>
      </c>
    </row>
    <row r="4733" ht="75" customHeight="1">
      <c r="A4733" s="2">
        <f>HYPERLINK("https://faoschwarz.com/products/uno-barbie-movie", "https://faoschwarz.com/products/uno-barbie-movie")</f>
        <v/>
      </c>
      <c r="B4733" s="2">
        <f>HYPERLINK("https://faoschwarz.com/products/uno-barbie-movie", "https://faoschwarz.com/products/uno-barbie-movie")</f>
        <v/>
      </c>
      <c r="C4733" t="inlineStr">
        <is>
          <t>UNO Barbie Movie</t>
        </is>
      </c>
      <c r="D4733" t="inlineStr">
        <is>
          <t>Mattel Games UNO Barbie The Movie Card Game, Inspired by the Movie for Family Night, Game Night, Travel, Camping and Party</t>
        </is>
      </c>
      <c r="E4733" s="2">
        <f>HYPERLINK("https://www.amazon.com/Barbie-Movie-Family-Adult-Players/dp/B0BBSW4CWN/ref=sr_1_1?keywords=UNO+Barbie+Movie&amp;qid=1695566010&amp;sr=8-1", "https://www.amazon.com/Barbie-Movie-Family-Adult-Players/dp/B0BBSW4CWN/ref=sr_1_1?keywords=UNO+Barbie+Movie&amp;qid=1695566010&amp;sr=8-1")</f>
        <v/>
      </c>
      <c r="F4733" t="inlineStr">
        <is>
          <t>B0BBSW4CWN</t>
        </is>
      </c>
      <c r="G4733">
        <f>_xlfn.IMAGE("https://faoschwarz.com/cdn/shop/files/barbie-world-of-barbie-uno-barbie-movie-30505557491799_1080x.jpg?v=1693426708")</f>
        <v/>
      </c>
      <c r="H4733">
        <f>_xlfn.IMAGE("https://m.media-amazon.com/images/I/815hI-km0PL._AC_UL320_.jpg")</f>
        <v/>
      </c>
      <c r="K4733" t="inlineStr">
        <is>
          <t>10.0</t>
        </is>
      </c>
      <c r="L4733" t="n">
        <v>6.69</v>
      </c>
      <c r="M4733" s="1" t="inlineStr">
        <is>
          <t>-33.10%</t>
        </is>
      </c>
      <c r="N4733" t="n">
        <v>4.7</v>
      </c>
      <c r="O4733" t="n">
        <v>410</v>
      </c>
      <c r="Q4733" t="inlineStr">
        <is>
          <t>InStock</t>
        </is>
      </c>
      <c r="R4733" t="inlineStr">
        <is>
          <t>undefined</t>
        </is>
      </c>
      <c r="S4733" t="inlineStr">
        <is>
          <t>6891716411479</t>
        </is>
      </c>
    </row>
    <row r="4734" ht="75" customHeight="1">
      <c r="A4734" s="2">
        <f>HYPERLINK("https://faoschwarz.com/products/villainous-strategy-board-game", "https://faoschwarz.com/products/villainous-strategy-board-game")</f>
        <v/>
      </c>
      <c r="B4734" s="2">
        <f>HYPERLINK("https://faoschwarz.com/products/villainous-strategy-board-game", "https://faoschwarz.com/products/villainous-strategy-board-game")</f>
        <v/>
      </c>
      <c r="C4734" t="inlineStr">
        <is>
          <t>Villainous Strategy Board Game</t>
        </is>
      </c>
      <c r="D4734" t="inlineStr">
        <is>
          <t>Ravensburger Disney Villainous Strategy Board Game for Age 10 &amp; Up - 2019 TOTY Game of The Year Award Winner</t>
        </is>
      </c>
      <c r="E4734" s="2">
        <f>HYPERLINK("https://www.amazon.com/Wonder-Forge-Disney-Villainous-Strategy/dp/B07DLGD9K6/ref=sr_1_1?keywords=Villainous+Strategy+Board+Game&amp;qid=1695565992&amp;sr=8-1", "https://www.amazon.com/Wonder-Forge-Disney-Villainous-Strategy/dp/B07DLGD9K6/ref=sr_1_1?keywords=Villainous+Strategy+Board+Game&amp;qid=1695565992&amp;sr=8-1")</f>
        <v/>
      </c>
      <c r="F4734" t="inlineStr">
        <is>
          <t>B07DLGD9K6</t>
        </is>
      </c>
      <c r="G4734">
        <f>_xlfn.IMAGE("https://faoschwarz.com/cdn/shop/products/ravensburger-games-villainous-strategy-board-game-28288018251863_1080x.jpg?v=1656250263")</f>
        <v/>
      </c>
      <c r="H4734">
        <f>_xlfn.IMAGE("https://m.media-amazon.com/images/I/914RTHzIuJL._AC_UL320_.jpg")</f>
        <v/>
      </c>
      <c r="K4734" t="inlineStr">
        <is>
          <t>45.0</t>
        </is>
      </c>
      <c r="L4734" t="n">
        <v>34.99</v>
      </c>
      <c r="M4734" s="1" t="inlineStr">
        <is>
          <t>-22.24%</t>
        </is>
      </c>
      <c r="N4734" t="n">
        <v>4.7</v>
      </c>
      <c r="O4734" t="n">
        <v>8459</v>
      </c>
      <c r="Q4734" t="inlineStr">
        <is>
          <t>InStock</t>
        </is>
      </c>
      <c r="R4734" t="inlineStr">
        <is>
          <t>undefined</t>
        </is>
      </c>
      <c r="S4734" t="inlineStr">
        <is>
          <t>1565157589079</t>
        </is>
      </c>
    </row>
    <row r="4735" ht="75" customHeight="1">
      <c r="A4735" s="2">
        <f>HYPERLINK("https://faoschwarz.com/products/villainous-strategy-board-game", "https://faoschwarz.com/products/villainous-strategy-board-game")</f>
        <v/>
      </c>
      <c r="B4735" s="2">
        <f>HYPERLINK("https://faoschwarz.com/products/villainous-strategy-board-game", "https://faoschwarz.com/products/villainous-strategy-board-game")</f>
        <v/>
      </c>
      <c r="C4735" t="inlineStr">
        <is>
          <t>Villainous Strategy Board Game</t>
        </is>
      </c>
      <c r="D4735" t="inlineStr">
        <is>
          <t>Ravensburger Star Wars Villainous: Power of The Dark Side - Strategy Board Game for Ages 10 &amp; Up, 2 - 4 players</t>
        </is>
      </c>
      <c r="E4735" s="2">
        <f>HYPERLINK("https://www.amazon.com/Ravensburger-Star-War-Villainous-Strategy/dp/B09XP2W4SM/ref=sr_1_6?keywords=Villainous+Strategy+Board+Game&amp;qid=1695565992&amp;sr=8-6", "https://www.amazon.com/Ravensburger-Star-War-Villainous-Strategy/dp/B09XP2W4SM/ref=sr_1_6?keywords=Villainous+Strategy+Board+Game&amp;qid=1695565992&amp;sr=8-6")</f>
        <v/>
      </c>
      <c r="F4735" t="inlineStr">
        <is>
          <t>B09XP2W4SM</t>
        </is>
      </c>
      <c r="G4735">
        <f>_xlfn.IMAGE("https://faoschwarz.com/cdn/shop/products/ravensburger-games-villainous-strategy-board-game-28288018251863_1080x.jpg?v=1656250263")</f>
        <v/>
      </c>
      <c r="H4735">
        <f>_xlfn.IMAGE("https://m.media-amazon.com/images/I/81kclaHgfyL._AC_UL320_.jpg")</f>
        <v/>
      </c>
      <c r="K4735" t="inlineStr">
        <is>
          <t>45.0</t>
        </is>
      </c>
      <c r="L4735" t="n">
        <v>34.99</v>
      </c>
      <c r="M4735" s="1" t="inlineStr">
        <is>
          <t>-22.24%</t>
        </is>
      </c>
      <c r="N4735" t="n">
        <v>4.7</v>
      </c>
      <c r="O4735" t="n">
        <v>604</v>
      </c>
      <c r="Q4735" t="inlineStr">
        <is>
          <t>InStock</t>
        </is>
      </c>
      <c r="R4735" t="inlineStr">
        <is>
          <t>undefined</t>
        </is>
      </c>
      <c r="S4735" t="inlineStr">
        <is>
          <t>1565157589079</t>
        </is>
      </c>
    </row>
    <row r="4736" ht="75" customHeight="1">
      <c r="A4736" s="2">
        <f>HYPERLINK("https://faoschwarz.com/products/villainous-strategy-board-game", "https://faoschwarz.com/products/villainous-strategy-board-game")</f>
        <v/>
      </c>
      <c r="B4736" s="2">
        <f>HYPERLINK("https://faoschwarz.com/products/villainous-strategy-board-game", "https://faoschwarz.com/products/villainous-strategy-board-game")</f>
        <v/>
      </c>
      <c r="C4736" t="inlineStr">
        <is>
          <t>Villainous Strategy Board Game</t>
        </is>
      </c>
      <c r="D4736" t="inlineStr">
        <is>
          <t>Ravensburger Disney Villainous: Wicked To The Core Strategy Board Game for Age 10 &amp; Up - Stand-Alone &amp; Expansion To The 2019 Toty Game of The Year Award Winner</t>
        </is>
      </c>
      <c r="E4736" s="2">
        <f>HYPERLINK("https://www.amazon.com/Ravensburger-Disney-Villainous-Stand-Alone-Expansion/dp/B07PRNJJW6/ref=sr_1_7?keywords=Villainous+Strategy+Board+Game&amp;qid=1695565992&amp;sr=8-7", "https://www.amazon.com/Ravensburger-Disney-Villainous-Stand-Alone-Expansion/dp/B07PRNJJW6/ref=sr_1_7?keywords=Villainous+Strategy+Board+Game&amp;qid=1695565992&amp;sr=8-7")</f>
        <v/>
      </c>
      <c r="F4736" t="inlineStr">
        <is>
          <t>B07PRNJJW6</t>
        </is>
      </c>
      <c r="G4736">
        <f>_xlfn.IMAGE("https://faoschwarz.com/cdn/shop/products/ravensburger-games-villainous-strategy-board-game-28288018251863_1080x.jpg?v=1656250263")</f>
        <v/>
      </c>
      <c r="H4736">
        <f>_xlfn.IMAGE("https://m.media-amazon.com/images/I/91AHGoE64cL._AC_UL320_.jpg")</f>
        <v/>
      </c>
      <c r="K4736" t="inlineStr">
        <is>
          <t>45.0</t>
        </is>
      </c>
      <c r="L4736" t="n">
        <v>31.99</v>
      </c>
      <c r="M4736" s="1" t="inlineStr">
        <is>
          <t>-28.91%</t>
        </is>
      </c>
      <c r="N4736" t="n">
        <v>4.9</v>
      </c>
      <c r="O4736" t="n">
        <v>3282</v>
      </c>
      <c r="Q4736" t="inlineStr">
        <is>
          <t>InStock</t>
        </is>
      </c>
      <c r="R4736" t="inlineStr">
        <is>
          <t>undefined</t>
        </is>
      </c>
      <c r="S4736" t="inlineStr">
        <is>
          <t>1565157589079</t>
        </is>
      </c>
    </row>
    <row r="4737" ht="75" customHeight="1">
      <c r="A4737" s="2">
        <f>HYPERLINK("https://faoschwarz.com/products/villainous-strategy-board-game", "https://faoschwarz.com/products/villainous-strategy-board-game")</f>
        <v/>
      </c>
      <c r="B4737" s="2">
        <f>HYPERLINK("https://faoschwarz.com/products/villainous-strategy-board-game", "https://faoschwarz.com/products/villainous-strategy-board-game")</f>
        <v/>
      </c>
      <c r="C4737" t="inlineStr">
        <is>
          <t>Villainous Strategy Board Game</t>
        </is>
      </c>
      <c r="D4737" t="inlineStr">
        <is>
          <t>Ravensburger Disney Villainous: Evil Comes Prepared Strategy Board Game for Age 10 &amp; Up - Stand-Alone &amp; Expansion to The 2019 TOTY Game of The Year Award Winner, 2020 Finalist</t>
        </is>
      </c>
      <c r="E4737" s="2">
        <f>HYPERLINK("https://www.amazon.com/Ravensburger-60001837-Disney-Villainous-Stand-Alone/dp/B07QQHPGV7/ref=sr_1_10?keywords=Villainous+Strategy+Board+Game&amp;qid=1695565992&amp;sr=8-10", "https://www.amazon.com/Ravensburger-60001837-Disney-Villainous-Stand-Alone/dp/B07QQHPGV7/ref=sr_1_10?keywords=Villainous+Strategy+Board+Game&amp;qid=1695565992&amp;sr=8-10")</f>
        <v/>
      </c>
      <c r="F4737" t="inlineStr">
        <is>
          <t>B07QQHPGV7</t>
        </is>
      </c>
      <c r="G4737">
        <f>_xlfn.IMAGE("https://faoschwarz.com/cdn/shop/products/ravensburger-games-villainous-strategy-board-game-28288018251863_1080x.jpg?v=1656250263")</f>
        <v/>
      </c>
      <c r="H4737">
        <f>_xlfn.IMAGE("https://m.media-amazon.com/images/I/916eanRhvzL._AC_UL320_.jpg")</f>
        <v/>
      </c>
      <c r="K4737" t="inlineStr">
        <is>
          <t>45.0</t>
        </is>
      </c>
      <c r="L4737" t="n">
        <v>31.99</v>
      </c>
      <c r="M4737" s="1" t="inlineStr">
        <is>
          <t>-28.91%</t>
        </is>
      </c>
      <c r="N4737" t="n">
        <v>4.8</v>
      </c>
      <c r="O4737" t="n">
        <v>3498</v>
      </c>
      <c r="Q4737" t="inlineStr">
        <is>
          <t>InStock</t>
        </is>
      </c>
      <c r="R4737" t="inlineStr">
        <is>
          <t>undefined</t>
        </is>
      </c>
      <c r="S4737" t="inlineStr">
        <is>
          <t>1565157589079</t>
        </is>
      </c>
    </row>
    <row r="4738" ht="75" customHeight="1">
      <c r="A4738" s="2">
        <f>HYPERLINK("https://faoschwarz.com/products/villainous-strategy-board-game", "https://faoschwarz.com/products/villainous-strategy-board-game")</f>
        <v/>
      </c>
      <c r="B4738" s="2">
        <f>HYPERLINK("https://faoschwarz.com/products/villainous-strategy-board-game", "https://faoschwarz.com/products/villainous-strategy-board-game")</f>
        <v/>
      </c>
      <c r="C4738" t="inlineStr">
        <is>
          <t>Villainous Strategy Board Game</t>
        </is>
      </c>
      <c r="D4738" t="inlineStr">
        <is>
          <t>Star Wars Villainous: Scum and Villainy Strategy Board Game for Ages 10 &amp; Up – The First Star Wars Villainous Expandalone</t>
        </is>
      </c>
      <c r="E4738" s="2">
        <f>HYPERLINK("https://www.amazon.com/Star-Wars-Villainous-Villainy-Expandalone/dp/B0CFMFPZF9/ref=sr_1_5?keywords=Villainous+Strategy+Board+Game&amp;qid=1695565992&amp;sr=8-5", "https://www.amazon.com/Star-Wars-Villainous-Villainy-Expandalone/dp/B0CFMFPZF9/ref=sr_1_5?keywords=Villainous+Strategy+Board+Game&amp;qid=1695565992&amp;sr=8-5")</f>
        <v/>
      </c>
      <c r="F4738" t="inlineStr">
        <is>
          <t>B0CFMFPZF9</t>
        </is>
      </c>
      <c r="G4738">
        <f>_xlfn.IMAGE("https://faoschwarz.com/cdn/shop/products/ravensburger-games-villainous-strategy-board-game-28288018251863_1080x.jpg?v=1656250263")</f>
        <v/>
      </c>
      <c r="H4738">
        <f>_xlfn.IMAGE("https://m.media-amazon.com/images/I/91AbdGlk7mL._AC_UL320_.jpg")</f>
        <v/>
      </c>
      <c r="K4738" t="inlineStr">
        <is>
          <t>45.0</t>
        </is>
      </c>
      <c r="L4738" t="n">
        <v>29.99</v>
      </c>
      <c r="M4738" s="1" t="inlineStr">
        <is>
          <t>-33.36%</t>
        </is>
      </c>
      <c r="N4738" t="n">
        <v>1.5</v>
      </c>
      <c r="O4738" t="n">
        <v>2</v>
      </c>
      <c r="Q4738" t="inlineStr">
        <is>
          <t>InStock</t>
        </is>
      </c>
      <c r="R4738" t="inlineStr">
        <is>
          <t>undefined</t>
        </is>
      </c>
      <c r="S4738" t="inlineStr">
        <is>
          <t>1565157589079</t>
        </is>
      </c>
    </row>
    <row r="4739" ht="75" customHeight="1">
      <c r="A4739" s="2">
        <f>HYPERLINK("https://faoschwarz.com/products/villainous-strategy-board-game", "https://faoschwarz.com/products/villainous-strategy-board-game")</f>
        <v/>
      </c>
      <c r="B4739" s="2">
        <f>HYPERLINK("https://faoschwarz.com/products/villainous-strategy-board-game", "https://faoschwarz.com/products/villainous-strategy-board-game")</f>
        <v/>
      </c>
      <c r="C4739" t="inlineStr">
        <is>
          <t>Villainous Strategy Board Game</t>
        </is>
      </c>
      <c r="D4739" t="inlineStr">
        <is>
          <t>Ravensburger Marvel Villainous: Twisted Ambitions Strategy Board Game for Ages 12 &amp; Up – The Newest Standalone Game in The Marvel Villainous Line</t>
        </is>
      </c>
      <c r="E4739" s="2">
        <f>HYPERLINK("https://www.amazon.com/Ravensburger-Marvel-Villainous-Ambitions-Standalone/dp/B0BZ6CZSLG/ref=sr_1_9?keywords=Villainous+Strategy+Board+Game&amp;qid=1695565992&amp;sr=8-9", "https://www.amazon.com/Ravensburger-Marvel-Villainous-Ambitions-Standalone/dp/B0BZ6CZSLG/ref=sr_1_9?keywords=Villainous+Strategy+Board+Game&amp;qid=1695565992&amp;sr=8-9")</f>
        <v/>
      </c>
      <c r="F4739" t="inlineStr">
        <is>
          <t>B0BZ6CZSLG</t>
        </is>
      </c>
      <c r="G4739">
        <f>_xlfn.IMAGE("https://faoschwarz.com/cdn/shop/products/ravensburger-games-villainous-strategy-board-game-28288018251863_1080x.jpg?v=1656250263")</f>
        <v/>
      </c>
      <c r="H4739">
        <f>_xlfn.IMAGE("https://m.media-amazon.com/images/I/91wQKKKDUsL._AC_UL320_.jpg")</f>
        <v/>
      </c>
      <c r="K4739" t="inlineStr">
        <is>
          <t>45.0</t>
        </is>
      </c>
      <c r="L4739" t="n">
        <v>29.99</v>
      </c>
      <c r="M4739" s="1" t="inlineStr">
        <is>
          <t>-33.36%</t>
        </is>
      </c>
      <c r="N4739" t="n">
        <v>4.6</v>
      </c>
      <c r="O4739" t="n">
        <v>49</v>
      </c>
      <c r="Q4739" t="inlineStr">
        <is>
          <t>InStock</t>
        </is>
      </c>
      <c r="R4739" t="inlineStr">
        <is>
          <t>undefined</t>
        </is>
      </c>
      <c r="S4739" t="inlineStr">
        <is>
          <t>1565157589079</t>
        </is>
      </c>
    </row>
    <row r="4740" ht="75" customHeight="1">
      <c r="A4740" s="2">
        <f>HYPERLINK("https://faoschwarz.com/products/villainous-strategy-board-game", "https://faoschwarz.com/products/villainous-strategy-board-game")</f>
        <v/>
      </c>
      <c r="B4740" s="2">
        <f>HYPERLINK("https://faoschwarz.com/products/villainous-strategy-board-game", "https://faoschwarz.com/products/villainous-strategy-board-game")</f>
        <v/>
      </c>
      <c r="C4740" t="inlineStr">
        <is>
          <t>Villainous Strategy Board Game</t>
        </is>
      </c>
      <c r="D4740" t="inlineStr">
        <is>
          <t>Ravensburger Disney Villainous: Perfectly Wretched Strategy Board Game for Age 10 &amp; Up - Stand-Alone &amp; Expansion to The 2019 Toty Game of The Year Award Winner</t>
        </is>
      </c>
      <c r="E4740" s="2">
        <f>HYPERLINK("https://www.amazon.com/Ravensburger-Disney-Villainous-Perfectly-Stand-Alone/dp/B083XMTCKP/ref=sr_1_8?keywords=Villainous+Strategy+Board+Game&amp;qid=1695565992&amp;sr=8-8", "https://www.amazon.com/Ravensburger-Disney-Villainous-Perfectly-Stand-Alone/dp/B083XMTCKP/ref=sr_1_8?keywords=Villainous+Strategy+Board+Game&amp;qid=1695565992&amp;sr=8-8")</f>
        <v/>
      </c>
      <c r="F4740" t="inlineStr">
        <is>
          <t>B083XMTCKP</t>
        </is>
      </c>
      <c r="G4740">
        <f>_xlfn.IMAGE("https://faoschwarz.com/cdn/shop/products/ravensburger-games-villainous-strategy-board-game-28288018251863_1080x.jpg?v=1656250263")</f>
        <v/>
      </c>
      <c r="H4740">
        <f>_xlfn.IMAGE("https://m.media-amazon.com/images/I/91v8KXCyJBL._AC_UL320_.jpg")</f>
        <v/>
      </c>
      <c r="K4740" t="inlineStr">
        <is>
          <t>45.0</t>
        </is>
      </c>
      <c r="L4740" t="n">
        <v>29.57</v>
      </c>
      <c r="M4740" s="1" t="inlineStr">
        <is>
          <t>-34.29%</t>
        </is>
      </c>
      <c r="N4740" t="n">
        <v>4.9</v>
      </c>
      <c r="O4740" t="n">
        <v>3242</v>
      </c>
      <c r="Q4740" t="inlineStr">
        <is>
          <t>InStock</t>
        </is>
      </c>
      <c r="R4740" t="inlineStr">
        <is>
          <t>undefined</t>
        </is>
      </c>
      <c r="S4740" t="inlineStr">
        <is>
          <t>1565157589079</t>
        </is>
      </c>
    </row>
    <row r="4741" ht="75" customHeight="1">
      <c r="A4741" s="2">
        <f>HYPERLINK("https://faoschwarz.com/products/villainous-strategy-board-game", "https://faoschwarz.com/products/villainous-strategy-board-game")</f>
        <v/>
      </c>
      <c r="B4741" s="2">
        <f>HYPERLINK("https://faoschwarz.com/products/villainous-strategy-board-game", "https://faoschwarz.com/products/villainous-strategy-board-game")</f>
        <v/>
      </c>
      <c r="C4741" t="inlineStr">
        <is>
          <t>Villainous Strategy Board Game</t>
        </is>
      </c>
      <c r="D4741" t="inlineStr">
        <is>
          <t>Ravensburger Disney Villainous: Despicable Plots Strategy Board Game, 2-5 players, for Ages 10 and Up – The Newest Standalone Game in The Award-Winning Line</t>
        </is>
      </c>
      <c r="E4741" s="2">
        <f>HYPERLINK("https://www.amazon.com/Ravensburger-Disney-Villainous-Despicable-Award-Winning/dp/B08VQD7XVZ/ref=sr_1_3?keywords=Villainous+Strategy+Board+Game&amp;qid=1695565992&amp;sr=8-3", "https://www.amazon.com/Ravensburger-Disney-Villainous-Despicable-Award-Winning/dp/B08VQD7XVZ/ref=sr_1_3?keywords=Villainous+Strategy+Board+Game&amp;qid=1695565992&amp;sr=8-3")</f>
        <v/>
      </c>
      <c r="F4741" t="inlineStr">
        <is>
          <t>B08VQD7XVZ</t>
        </is>
      </c>
      <c r="G4741">
        <f>_xlfn.IMAGE("https://faoschwarz.com/cdn/shop/products/ravensburger-games-villainous-strategy-board-game-28288018251863_1080x.jpg?v=1656250263")</f>
        <v/>
      </c>
      <c r="H4741">
        <f>_xlfn.IMAGE("https://m.media-amazon.com/images/I/81fDHzF3YzL._AC_UL320_.jpg")</f>
        <v/>
      </c>
      <c r="K4741" t="inlineStr">
        <is>
          <t>45.0</t>
        </is>
      </c>
      <c r="L4741" t="n">
        <v>22</v>
      </c>
      <c r="M4741" s="1" t="inlineStr">
        <is>
          <t>-51.11%</t>
        </is>
      </c>
      <c r="N4741" t="n">
        <v>4.9</v>
      </c>
      <c r="O4741" t="n">
        <v>2469</v>
      </c>
      <c r="Q4741" t="inlineStr">
        <is>
          <t>InStock</t>
        </is>
      </c>
      <c r="R4741" t="inlineStr">
        <is>
          <t>undefined</t>
        </is>
      </c>
      <c r="S4741" t="inlineStr">
        <is>
          <t>1565157589079</t>
        </is>
      </c>
    </row>
    <row r="4742" ht="75" customHeight="1">
      <c r="A4742" s="2">
        <f>HYPERLINK("https://faoschwarz.com/products/villainous-strategy-board-game", "https://faoschwarz.com/products/villainous-strategy-board-game")</f>
        <v/>
      </c>
      <c r="B4742" s="2">
        <f>HYPERLINK("https://faoschwarz.com/products/villainous-strategy-board-game", "https://faoschwarz.com/products/villainous-strategy-board-game")</f>
        <v/>
      </c>
      <c r="C4742" t="inlineStr">
        <is>
          <t>Villainous Strategy Board Game</t>
        </is>
      </c>
      <c r="D4742" t="inlineStr">
        <is>
          <t>Ravensburger Marvel Villainous: Infinite Power Strategy Board Gamefor 2 players for Ages 12 &amp; Up - The Next Chapter of Villainous</t>
        </is>
      </c>
      <c r="E4742" s="2">
        <f>HYPERLINK("https://www.amazon.com/Ravensburger-Marvel-Villainous-Infinite-Strategy/dp/B086B7QPTB/ref=sr_1_4?keywords=Villainous+Strategy+Board+Game&amp;qid=1695565992&amp;sr=8-4", "https://www.amazon.com/Ravensburger-Marvel-Villainous-Infinite-Strategy/dp/B086B7QPTB/ref=sr_1_4?keywords=Villainous+Strategy+Board+Game&amp;qid=1695565992&amp;sr=8-4")</f>
        <v/>
      </c>
      <c r="F4742" t="inlineStr">
        <is>
          <t>B086B7QPTB</t>
        </is>
      </c>
      <c r="G4742">
        <f>_xlfn.IMAGE("https://faoschwarz.com/cdn/shop/products/ravensburger-games-villainous-strategy-board-game-28288018251863_1080x.jpg?v=1656250263")</f>
        <v/>
      </c>
      <c r="H4742">
        <f>_xlfn.IMAGE("https://m.media-amazon.com/images/I/91F3sNhJ0cL._AC_UL320_.jpg")</f>
        <v/>
      </c>
      <c r="K4742" t="inlineStr">
        <is>
          <t>45.0</t>
        </is>
      </c>
      <c r="L4742" t="n">
        <v>21.99</v>
      </c>
      <c r="M4742" s="1" t="inlineStr">
        <is>
          <t>-51.13%</t>
        </is>
      </c>
      <c r="N4742" t="n">
        <v>4.6</v>
      </c>
      <c r="O4742" t="n">
        <v>4124</v>
      </c>
      <c r="Q4742" t="inlineStr">
        <is>
          <t>InStock</t>
        </is>
      </c>
      <c r="R4742" t="inlineStr">
        <is>
          <t>undefined</t>
        </is>
      </c>
      <c r="S4742" t="inlineStr">
        <is>
          <t>1565157589079</t>
        </is>
      </c>
    </row>
    <row r="4743" ht="75" customHeight="1">
      <c r="A4743" s="2">
        <f>HYPERLINK("https://faoschwarz.com/products/villainous-strategy-board-game", "https://faoschwarz.com/products/villainous-strategy-board-game")</f>
        <v/>
      </c>
      <c r="B4743" s="2">
        <f>HYPERLINK("https://faoschwarz.com/products/villainous-strategy-board-game", "https://faoschwarz.com/products/villainous-strategy-board-game")</f>
        <v/>
      </c>
      <c r="C4743" t="inlineStr">
        <is>
          <t>Villainous Strategy Board Game</t>
        </is>
      </c>
      <c r="D4743" t="inlineStr">
        <is>
          <t>Ravensburger Disney Villainous: Bigger and Badder Strategy Board Game, 2-3 players for Ages 10 &amp; Up – The Newest Standalone Game in The Award-Winning Line</t>
        </is>
      </c>
      <c r="E4743" s="2">
        <f>HYPERLINK("https://www.amazon.com/Ravensburger-Disney-Villainous-Standalone-Award-Winning/dp/B09VR7RZX4/ref=sr_1_2?keywords=Villainous+Strategy+Board+Game&amp;qid=1695565992&amp;sr=8-2", "https://www.amazon.com/Ravensburger-Disney-Villainous-Standalone-Award-Winning/dp/B09VR7RZX4/ref=sr_1_2?keywords=Villainous+Strategy+Board+Game&amp;qid=1695565992&amp;sr=8-2")</f>
        <v/>
      </c>
      <c r="F4743" t="inlineStr">
        <is>
          <t>B09VR7RZX4</t>
        </is>
      </c>
      <c r="G4743">
        <f>_xlfn.IMAGE("https://faoschwarz.com/cdn/shop/products/ravensburger-games-villainous-strategy-board-game-28288018251863_1080x.jpg?v=1656250263")</f>
        <v/>
      </c>
      <c r="H4743">
        <f>_xlfn.IMAGE("https://m.media-amazon.com/images/I/91wChBF9k1L._AC_UL320_.jpg")</f>
        <v/>
      </c>
      <c r="K4743" t="inlineStr">
        <is>
          <t>45.0</t>
        </is>
      </c>
      <c r="L4743" t="n">
        <v>19.99</v>
      </c>
      <c r="M4743" s="1" t="inlineStr">
        <is>
          <t>-55.58%</t>
        </is>
      </c>
      <c r="N4743" t="n">
        <v>4.8</v>
      </c>
      <c r="O4743" t="n">
        <v>625</v>
      </c>
      <c r="Q4743" t="inlineStr">
        <is>
          <t>InStock</t>
        </is>
      </c>
      <c r="R4743" t="inlineStr">
        <is>
          <t>undefined</t>
        </is>
      </c>
      <c r="S4743" t="inlineStr">
        <is>
          <t>1565157589079</t>
        </is>
      </c>
    </row>
    <row r="4744" ht="75" customHeight="1">
      <c r="A4744" s="2">
        <f>HYPERLINK("https://faoschwarz.com/products/villainous-strategy-board-game", "https://faoschwarz.com/products/villainous-strategy-board-game")</f>
        <v/>
      </c>
      <c r="B4744" s="2">
        <f>HYPERLINK("https://faoschwarz.com/products/villainous-strategy-board-game", "https://faoschwarz.com/products/villainous-strategy-board-game")</f>
        <v/>
      </c>
      <c r="C4744" t="inlineStr">
        <is>
          <t>Villainous Strategy Board Game</t>
        </is>
      </c>
      <c r="D4744" t="inlineStr">
        <is>
          <t>Ravensburger Disney Villainous Strategy Board Game for Age 10 &amp; Up - 2019 TOTY Game of The Year Award Winner</t>
        </is>
      </c>
      <c r="E4744" s="2">
        <f>HYPERLINK("https://www.amazon.com/Wonder-Forge-Disney-Villainous-Strategy/dp/B07DLGD9K6/ref=sr_1_1?keywords=Villainous+Strategy+Board+Game&amp;qid=1695565992&amp;sr=8-1", "https://www.amazon.com/Wonder-Forge-Disney-Villainous-Strategy/dp/B07DLGD9K6/ref=sr_1_1?keywords=Villainous+Strategy+Board+Game&amp;qid=1695565992&amp;sr=8-1")</f>
        <v/>
      </c>
      <c r="F4744" t="inlineStr">
        <is>
          <t>B07DLGD9K6</t>
        </is>
      </c>
      <c r="G4744">
        <f>_xlfn.IMAGE("https://faoschwarz.com/cdn/shop/products/ravensburger-games-villainous-strategy-board-game-28288018251863_1080x.jpg?v=1656250263")</f>
        <v/>
      </c>
      <c r="H4744">
        <f>_xlfn.IMAGE("https://m.media-amazon.com/images/I/914RTHzIuJL._AC_UL320_.jpg")</f>
        <v/>
      </c>
      <c r="K4744" t="inlineStr">
        <is>
          <t>45.0</t>
        </is>
      </c>
      <c r="L4744" t="n">
        <v>34.99</v>
      </c>
      <c r="M4744" s="1" t="inlineStr">
        <is>
          <t>-22.24%</t>
        </is>
      </c>
      <c r="N4744" t="n">
        <v>4.7</v>
      </c>
      <c r="O4744" t="n">
        <v>8459</v>
      </c>
      <c r="Q4744" t="inlineStr">
        <is>
          <t>InStock</t>
        </is>
      </c>
      <c r="R4744" t="inlineStr">
        <is>
          <t>undefined</t>
        </is>
      </c>
      <c r="S4744" t="inlineStr">
        <is>
          <t>1565157589079</t>
        </is>
      </c>
    </row>
    <row r="4745" ht="75" customHeight="1">
      <c r="A4745" s="2">
        <f>HYPERLINK("https://faoschwarz.com/products/villainous-strategy-board-game", "https://faoschwarz.com/products/villainous-strategy-board-game")</f>
        <v/>
      </c>
      <c r="B4745" s="2">
        <f>HYPERLINK("https://faoschwarz.com/products/villainous-strategy-board-game", "https://faoschwarz.com/products/villainous-strategy-board-game")</f>
        <v/>
      </c>
      <c r="C4745" t="inlineStr">
        <is>
          <t>Villainous Strategy Board Game</t>
        </is>
      </c>
      <c r="D4745" t="inlineStr">
        <is>
          <t>Ravensburger Star Wars Villainous: Power of The Dark Side - Strategy Board Game for Ages 10 &amp; Up, 2 - 4 players</t>
        </is>
      </c>
      <c r="E4745" s="2">
        <f>HYPERLINK("https://www.amazon.com/Ravensburger-Star-War-Villainous-Strategy/dp/B09XP2W4SM/ref=sr_1_6?keywords=Villainous+Strategy+Board+Game&amp;qid=1695565992&amp;sr=8-6", "https://www.amazon.com/Ravensburger-Star-War-Villainous-Strategy/dp/B09XP2W4SM/ref=sr_1_6?keywords=Villainous+Strategy+Board+Game&amp;qid=1695565992&amp;sr=8-6")</f>
        <v/>
      </c>
      <c r="F4745" t="inlineStr">
        <is>
          <t>B09XP2W4SM</t>
        </is>
      </c>
      <c r="G4745">
        <f>_xlfn.IMAGE("https://faoschwarz.com/cdn/shop/products/ravensburger-games-villainous-strategy-board-game-28288018251863_1080x.jpg?v=1656250263")</f>
        <v/>
      </c>
      <c r="H4745">
        <f>_xlfn.IMAGE("https://m.media-amazon.com/images/I/81kclaHgfyL._AC_UL320_.jpg")</f>
        <v/>
      </c>
      <c r="K4745" t="inlineStr">
        <is>
          <t>45.0</t>
        </is>
      </c>
      <c r="L4745" t="n">
        <v>34.99</v>
      </c>
      <c r="M4745" s="1" t="inlineStr">
        <is>
          <t>-22.24%</t>
        </is>
      </c>
      <c r="N4745" t="n">
        <v>4.7</v>
      </c>
      <c r="O4745" t="n">
        <v>604</v>
      </c>
      <c r="Q4745" t="inlineStr">
        <is>
          <t>InStock</t>
        </is>
      </c>
      <c r="R4745" t="inlineStr">
        <is>
          <t>undefined</t>
        </is>
      </c>
      <c r="S4745" t="inlineStr">
        <is>
          <t>1565157589079</t>
        </is>
      </c>
    </row>
    <row r="4746" ht="75" customHeight="1">
      <c r="A4746" s="2">
        <f>HYPERLINK("https://faoschwarz.com/products/villainous-strategy-board-game", "https://faoschwarz.com/products/villainous-strategy-board-game")</f>
        <v/>
      </c>
      <c r="B4746" s="2">
        <f>HYPERLINK("https://faoschwarz.com/products/villainous-strategy-board-game", "https://faoschwarz.com/products/villainous-strategy-board-game")</f>
        <v/>
      </c>
      <c r="C4746" t="inlineStr">
        <is>
          <t>Villainous Strategy Board Game</t>
        </is>
      </c>
      <c r="D4746" t="inlineStr">
        <is>
          <t>Ravensburger Disney Villainous: Wicked To The Core Strategy Board Game for Age 10 &amp; Up - Stand-Alone &amp; Expansion To The 2019 Toty Game of The Year Award Winner</t>
        </is>
      </c>
      <c r="E4746" s="2">
        <f>HYPERLINK("https://www.amazon.com/Ravensburger-Disney-Villainous-Stand-Alone-Expansion/dp/B07PRNJJW6/ref=sr_1_7?keywords=Villainous+Strategy+Board+Game&amp;qid=1695565992&amp;sr=8-7", "https://www.amazon.com/Ravensburger-Disney-Villainous-Stand-Alone-Expansion/dp/B07PRNJJW6/ref=sr_1_7?keywords=Villainous+Strategy+Board+Game&amp;qid=1695565992&amp;sr=8-7")</f>
        <v/>
      </c>
      <c r="F4746" t="inlineStr">
        <is>
          <t>B07PRNJJW6</t>
        </is>
      </c>
      <c r="G4746">
        <f>_xlfn.IMAGE("https://faoschwarz.com/cdn/shop/products/ravensburger-games-villainous-strategy-board-game-28288018251863_1080x.jpg?v=1656250263")</f>
        <v/>
      </c>
      <c r="H4746">
        <f>_xlfn.IMAGE("https://m.media-amazon.com/images/I/91AHGoE64cL._AC_UL320_.jpg")</f>
        <v/>
      </c>
      <c r="K4746" t="inlineStr">
        <is>
          <t>45.0</t>
        </is>
      </c>
      <c r="L4746" t="n">
        <v>31.99</v>
      </c>
      <c r="M4746" s="1" t="inlineStr">
        <is>
          <t>-28.91%</t>
        </is>
      </c>
      <c r="N4746" t="n">
        <v>4.9</v>
      </c>
      <c r="O4746" t="n">
        <v>3282</v>
      </c>
      <c r="Q4746" t="inlineStr">
        <is>
          <t>InStock</t>
        </is>
      </c>
      <c r="R4746" t="inlineStr">
        <is>
          <t>undefined</t>
        </is>
      </c>
      <c r="S4746" t="inlineStr">
        <is>
          <t>1565157589079</t>
        </is>
      </c>
    </row>
    <row r="4747" ht="75" customHeight="1">
      <c r="A4747" s="2">
        <f>HYPERLINK("https://faoschwarz.com/products/villainous-strategy-board-game", "https://faoschwarz.com/products/villainous-strategy-board-game")</f>
        <v/>
      </c>
      <c r="B4747" s="2">
        <f>HYPERLINK("https://faoschwarz.com/products/villainous-strategy-board-game", "https://faoschwarz.com/products/villainous-strategy-board-game")</f>
        <v/>
      </c>
      <c r="C4747" t="inlineStr">
        <is>
          <t>Villainous Strategy Board Game</t>
        </is>
      </c>
      <c r="D4747" t="inlineStr">
        <is>
          <t>Ravensburger Disney Villainous: Evil Comes Prepared Strategy Board Game for Age 10 &amp; Up - Stand-Alone &amp; Expansion to The 2019 TOTY Game of The Year Award Winner, 2020 Finalist</t>
        </is>
      </c>
      <c r="E4747" s="2">
        <f>HYPERLINK("https://www.amazon.com/Ravensburger-60001837-Disney-Villainous-Stand-Alone/dp/B07QQHPGV7/ref=sr_1_10?keywords=Villainous+Strategy+Board+Game&amp;qid=1695565992&amp;sr=8-10", "https://www.amazon.com/Ravensburger-60001837-Disney-Villainous-Stand-Alone/dp/B07QQHPGV7/ref=sr_1_10?keywords=Villainous+Strategy+Board+Game&amp;qid=1695565992&amp;sr=8-10")</f>
        <v/>
      </c>
      <c r="F4747" t="inlineStr">
        <is>
          <t>B07QQHPGV7</t>
        </is>
      </c>
      <c r="G4747">
        <f>_xlfn.IMAGE("https://faoschwarz.com/cdn/shop/products/ravensburger-games-villainous-strategy-board-game-28288018251863_1080x.jpg?v=1656250263")</f>
        <v/>
      </c>
      <c r="H4747">
        <f>_xlfn.IMAGE("https://m.media-amazon.com/images/I/916eanRhvzL._AC_UL320_.jpg")</f>
        <v/>
      </c>
      <c r="K4747" t="inlineStr">
        <is>
          <t>45.0</t>
        </is>
      </c>
      <c r="L4747" t="n">
        <v>31.99</v>
      </c>
      <c r="M4747" s="1" t="inlineStr">
        <is>
          <t>-28.91%</t>
        </is>
      </c>
      <c r="N4747" t="n">
        <v>4.8</v>
      </c>
      <c r="O4747" t="n">
        <v>3498</v>
      </c>
      <c r="Q4747" t="inlineStr">
        <is>
          <t>InStock</t>
        </is>
      </c>
      <c r="R4747" t="inlineStr">
        <is>
          <t>undefined</t>
        </is>
      </c>
      <c r="S4747" t="inlineStr">
        <is>
          <t>1565157589079</t>
        </is>
      </c>
    </row>
    <row r="4748" ht="75" customHeight="1">
      <c r="A4748" s="2">
        <f>HYPERLINK("https://faoschwarz.com/products/villainous-strategy-board-game", "https://faoschwarz.com/products/villainous-strategy-board-game")</f>
        <v/>
      </c>
      <c r="B4748" s="2">
        <f>HYPERLINK("https://faoschwarz.com/products/villainous-strategy-board-game", "https://faoschwarz.com/products/villainous-strategy-board-game")</f>
        <v/>
      </c>
      <c r="C4748" t="inlineStr">
        <is>
          <t>Villainous Strategy Board Game</t>
        </is>
      </c>
      <c r="D4748" t="inlineStr">
        <is>
          <t>Star Wars Villainous: Scum and Villainy Strategy Board Game for Ages 10 &amp; Up – The First Star Wars Villainous Expandalone</t>
        </is>
      </c>
      <c r="E4748" s="2">
        <f>HYPERLINK("https://www.amazon.com/Star-Wars-Villainous-Villainy-Expandalone/dp/B0CFMFPZF9/ref=sr_1_5?keywords=Villainous+Strategy+Board+Game&amp;qid=1695565992&amp;sr=8-5", "https://www.amazon.com/Star-Wars-Villainous-Villainy-Expandalone/dp/B0CFMFPZF9/ref=sr_1_5?keywords=Villainous+Strategy+Board+Game&amp;qid=1695565992&amp;sr=8-5")</f>
        <v/>
      </c>
      <c r="F4748" t="inlineStr">
        <is>
          <t>B0CFMFPZF9</t>
        </is>
      </c>
      <c r="G4748">
        <f>_xlfn.IMAGE("https://faoschwarz.com/cdn/shop/products/ravensburger-games-villainous-strategy-board-game-28288018251863_1080x.jpg?v=1656250263")</f>
        <v/>
      </c>
      <c r="H4748">
        <f>_xlfn.IMAGE("https://m.media-amazon.com/images/I/91AbdGlk7mL._AC_UL320_.jpg")</f>
        <v/>
      </c>
      <c r="K4748" t="inlineStr">
        <is>
          <t>45.0</t>
        </is>
      </c>
      <c r="L4748" t="n">
        <v>29.99</v>
      </c>
      <c r="M4748" s="1" t="inlineStr">
        <is>
          <t>-33.36%</t>
        </is>
      </c>
      <c r="N4748" t="n">
        <v>1.5</v>
      </c>
      <c r="O4748" t="n">
        <v>2</v>
      </c>
      <c r="Q4748" t="inlineStr">
        <is>
          <t>InStock</t>
        </is>
      </c>
      <c r="R4748" t="inlineStr">
        <is>
          <t>undefined</t>
        </is>
      </c>
      <c r="S4748" t="inlineStr">
        <is>
          <t>1565157589079</t>
        </is>
      </c>
    </row>
    <row r="4749" ht="75" customHeight="1">
      <c r="A4749" s="2">
        <f>HYPERLINK("https://faoschwarz.com/products/villainous-strategy-board-game", "https://faoschwarz.com/products/villainous-strategy-board-game")</f>
        <v/>
      </c>
      <c r="B4749" s="2">
        <f>HYPERLINK("https://faoschwarz.com/products/villainous-strategy-board-game", "https://faoschwarz.com/products/villainous-strategy-board-game")</f>
        <v/>
      </c>
      <c r="C4749" t="inlineStr">
        <is>
          <t>Villainous Strategy Board Game</t>
        </is>
      </c>
      <c r="D4749" t="inlineStr">
        <is>
          <t>Ravensburger Marvel Villainous: Twisted Ambitions Strategy Board Game for Ages 12 &amp; Up – The Newest Standalone Game in The Marvel Villainous Line</t>
        </is>
      </c>
      <c r="E4749" s="2">
        <f>HYPERLINK("https://www.amazon.com/Ravensburger-Marvel-Villainous-Ambitions-Standalone/dp/B0BZ6CZSLG/ref=sr_1_9?keywords=Villainous+Strategy+Board+Game&amp;qid=1695565992&amp;sr=8-9", "https://www.amazon.com/Ravensburger-Marvel-Villainous-Ambitions-Standalone/dp/B0BZ6CZSLG/ref=sr_1_9?keywords=Villainous+Strategy+Board+Game&amp;qid=1695565992&amp;sr=8-9")</f>
        <v/>
      </c>
      <c r="F4749" t="inlineStr">
        <is>
          <t>B0BZ6CZSLG</t>
        </is>
      </c>
      <c r="G4749">
        <f>_xlfn.IMAGE("https://faoschwarz.com/cdn/shop/products/ravensburger-games-villainous-strategy-board-game-28288018251863_1080x.jpg?v=1656250263")</f>
        <v/>
      </c>
      <c r="H4749">
        <f>_xlfn.IMAGE("https://m.media-amazon.com/images/I/91wQKKKDUsL._AC_UL320_.jpg")</f>
        <v/>
      </c>
      <c r="K4749" t="inlineStr">
        <is>
          <t>45.0</t>
        </is>
      </c>
      <c r="L4749" t="n">
        <v>29.99</v>
      </c>
      <c r="M4749" s="1" t="inlineStr">
        <is>
          <t>-33.36%</t>
        </is>
      </c>
      <c r="N4749" t="n">
        <v>4.6</v>
      </c>
      <c r="O4749" t="n">
        <v>49</v>
      </c>
      <c r="Q4749" t="inlineStr">
        <is>
          <t>InStock</t>
        </is>
      </c>
      <c r="R4749" t="inlineStr">
        <is>
          <t>undefined</t>
        </is>
      </c>
      <c r="S4749" t="inlineStr">
        <is>
          <t>1565157589079</t>
        </is>
      </c>
    </row>
    <row r="4750" ht="75" customHeight="1">
      <c r="A4750" s="2">
        <f>HYPERLINK("https://faoschwarz.com/products/villainous-strategy-board-game", "https://faoschwarz.com/products/villainous-strategy-board-game")</f>
        <v/>
      </c>
      <c r="B4750" s="2">
        <f>HYPERLINK("https://faoschwarz.com/products/villainous-strategy-board-game", "https://faoschwarz.com/products/villainous-strategy-board-game")</f>
        <v/>
      </c>
      <c r="C4750" t="inlineStr">
        <is>
          <t>Villainous Strategy Board Game</t>
        </is>
      </c>
      <c r="D4750" t="inlineStr">
        <is>
          <t>Ravensburger Disney Villainous: Perfectly Wretched Strategy Board Game for Age 10 &amp; Up - Stand-Alone &amp; Expansion to The 2019 Toty Game of The Year Award Winner</t>
        </is>
      </c>
      <c r="E4750" s="2">
        <f>HYPERLINK("https://www.amazon.com/Ravensburger-Disney-Villainous-Perfectly-Stand-Alone/dp/B083XMTCKP/ref=sr_1_8?keywords=Villainous+Strategy+Board+Game&amp;qid=1695565992&amp;sr=8-8", "https://www.amazon.com/Ravensburger-Disney-Villainous-Perfectly-Stand-Alone/dp/B083XMTCKP/ref=sr_1_8?keywords=Villainous+Strategy+Board+Game&amp;qid=1695565992&amp;sr=8-8")</f>
        <v/>
      </c>
      <c r="F4750" t="inlineStr">
        <is>
          <t>B083XMTCKP</t>
        </is>
      </c>
      <c r="G4750">
        <f>_xlfn.IMAGE("https://faoschwarz.com/cdn/shop/products/ravensburger-games-villainous-strategy-board-game-28288018251863_1080x.jpg?v=1656250263")</f>
        <v/>
      </c>
      <c r="H4750">
        <f>_xlfn.IMAGE("https://m.media-amazon.com/images/I/91v8KXCyJBL._AC_UL320_.jpg")</f>
        <v/>
      </c>
      <c r="K4750" t="inlineStr">
        <is>
          <t>45.0</t>
        </is>
      </c>
      <c r="L4750" t="n">
        <v>29.57</v>
      </c>
      <c r="M4750" s="1" t="inlineStr">
        <is>
          <t>-34.29%</t>
        </is>
      </c>
      <c r="N4750" t="n">
        <v>4.9</v>
      </c>
      <c r="O4750" t="n">
        <v>3242</v>
      </c>
      <c r="Q4750" t="inlineStr">
        <is>
          <t>InStock</t>
        </is>
      </c>
      <c r="R4750" t="inlineStr">
        <is>
          <t>undefined</t>
        </is>
      </c>
      <c r="S4750" t="inlineStr">
        <is>
          <t>1565157589079</t>
        </is>
      </c>
    </row>
    <row r="4751" ht="75" customHeight="1">
      <c r="A4751" s="2">
        <f>HYPERLINK("https://faoschwarz.com/products/villainous-strategy-board-game", "https://faoschwarz.com/products/villainous-strategy-board-game")</f>
        <v/>
      </c>
      <c r="B4751" s="2">
        <f>HYPERLINK("https://faoschwarz.com/products/villainous-strategy-board-game", "https://faoschwarz.com/products/villainous-strategy-board-game")</f>
        <v/>
      </c>
      <c r="C4751" t="inlineStr">
        <is>
          <t>Villainous Strategy Board Game</t>
        </is>
      </c>
      <c r="D4751" t="inlineStr">
        <is>
          <t>Ravensburger Disney Villainous: Despicable Plots Strategy Board Game, 2-5 players, for Ages 10 and Up – The Newest Standalone Game in The Award-Winning Line</t>
        </is>
      </c>
      <c r="E4751" s="2">
        <f>HYPERLINK("https://www.amazon.com/Ravensburger-Disney-Villainous-Despicable-Award-Winning/dp/B08VQD7XVZ/ref=sr_1_3?keywords=Villainous+Strategy+Board+Game&amp;qid=1695565992&amp;sr=8-3", "https://www.amazon.com/Ravensburger-Disney-Villainous-Despicable-Award-Winning/dp/B08VQD7XVZ/ref=sr_1_3?keywords=Villainous+Strategy+Board+Game&amp;qid=1695565992&amp;sr=8-3")</f>
        <v/>
      </c>
      <c r="F4751" t="inlineStr">
        <is>
          <t>B08VQD7XVZ</t>
        </is>
      </c>
      <c r="G4751">
        <f>_xlfn.IMAGE("https://faoschwarz.com/cdn/shop/products/ravensburger-games-villainous-strategy-board-game-28288018251863_1080x.jpg?v=1656250263")</f>
        <v/>
      </c>
      <c r="H4751">
        <f>_xlfn.IMAGE("https://m.media-amazon.com/images/I/81fDHzF3YzL._AC_UL320_.jpg")</f>
        <v/>
      </c>
      <c r="K4751" t="inlineStr">
        <is>
          <t>45.0</t>
        </is>
      </c>
      <c r="L4751" t="n">
        <v>22</v>
      </c>
      <c r="M4751" s="1" t="inlineStr">
        <is>
          <t>-51.11%</t>
        </is>
      </c>
      <c r="N4751" t="n">
        <v>4.9</v>
      </c>
      <c r="O4751" t="n">
        <v>2469</v>
      </c>
      <c r="Q4751" t="inlineStr">
        <is>
          <t>InStock</t>
        </is>
      </c>
      <c r="R4751" t="inlineStr">
        <is>
          <t>undefined</t>
        </is>
      </c>
      <c r="S4751" t="inlineStr">
        <is>
          <t>1565157589079</t>
        </is>
      </c>
    </row>
    <row r="4752" ht="75" customHeight="1">
      <c r="A4752" s="2">
        <f>HYPERLINK("https://faoschwarz.com/products/villainous-strategy-board-game", "https://faoschwarz.com/products/villainous-strategy-board-game")</f>
        <v/>
      </c>
      <c r="B4752" s="2">
        <f>HYPERLINK("https://faoschwarz.com/products/villainous-strategy-board-game", "https://faoschwarz.com/products/villainous-strategy-board-game")</f>
        <v/>
      </c>
      <c r="C4752" t="inlineStr">
        <is>
          <t>Villainous Strategy Board Game</t>
        </is>
      </c>
      <c r="D4752" t="inlineStr">
        <is>
          <t>Ravensburger Marvel Villainous: Infinite Power Strategy Board Gamefor 2 players for Ages 12 &amp; Up - The Next Chapter of Villainous</t>
        </is>
      </c>
      <c r="E4752" s="2">
        <f>HYPERLINK("https://www.amazon.com/Ravensburger-Marvel-Villainous-Infinite-Strategy/dp/B086B7QPTB/ref=sr_1_4?keywords=Villainous+Strategy+Board+Game&amp;qid=1695565992&amp;sr=8-4", "https://www.amazon.com/Ravensburger-Marvel-Villainous-Infinite-Strategy/dp/B086B7QPTB/ref=sr_1_4?keywords=Villainous+Strategy+Board+Game&amp;qid=1695565992&amp;sr=8-4")</f>
        <v/>
      </c>
      <c r="F4752" t="inlineStr">
        <is>
          <t>B086B7QPTB</t>
        </is>
      </c>
      <c r="G4752">
        <f>_xlfn.IMAGE("https://faoschwarz.com/cdn/shop/products/ravensburger-games-villainous-strategy-board-game-28288018251863_1080x.jpg?v=1656250263")</f>
        <v/>
      </c>
      <c r="H4752">
        <f>_xlfn.IMAGE("https://m.media-amazon.com/images/I/91F3sNhJ0cL._AC_UL320_.jpg")</f>
        <v/>
      </c>
      <c r="K4752" t="inlineStr">
        <is>
          <t>45.0</t>
        </is>
      </c>
      <c r="L4752" t="n">
        <v>21.99</v>
      </c>
      <c r="M4752" s="1" t="inlineStr">
        <is>
          <t>-51.13%</t>
        </is>
      </c>
      <c r="N4752" t="n">
        <v>4.6</v>
      </c>
      <c r="O4752" t="n">
        <v>4124</v>
      </c>
      <c r="Q4752" t="inlineStr">
        <is>
          <t>InStock</t>
        </is>
      </c>
      <c r="R4752" t="inlineStr">
        <is>
          <t>undefined</t>
        </is>
      </c>
      <c r="S4752" t="inlineStr">
        <is>
          <t>1565157589079</t>
        </is>
      </c>
    </row>
    <row r="4753" ht="75" customHeight="1">
      <c r="A4753" s="2">
        <f>HYPERLINK("https://faoschwarz.com/products/villainous-strategy-board-game", "https://faoschwarz.com/products/villainous-strategy-board-game")</f>
        <v/>
      </c>
      <c r="B4753" s="2">
        <f>HYPERLINK("https://faoschwarz.com/products/villainous-strategy-board-game", "https://faoschwarz.com/products/villainous-strategy-board-game")</f>
        <v/>
      </c>
      <c r="C4753" t="inlineStr">
        <is>
          <t>Villainous Strategy Board Game</t>
        </is>
      </c>
      <c r="D4753" t="inlineStr">
        <is>
          <t>Ravensburger Disney Villainous: Bigger and Badder Strategy Board Game, 2-3 players for Ages 10 &amp; Up – The Newest Standalone Game in The Award-Winning Line</t>
        </is>
      </c>
      <c r="E4753" s="2">
        <f>HYPERLINK("https://www.amazon.com/Ravensburger-Disney-Villainous-Standalone-Award-Winning/dp/B09VR7RZX4/ref=sr_1_2?keywords=Villainous+Strategy+Board+Game&amp;qid=1695565992&amp;sr=8-2", "https://www.amazon.com/Ravensburger-Disney-Villainous-Standalone-Award-Winning/dp/B09VR7RZX4/ref=sr_1_2?keywords=Villainous+Strategy+Board+Game&amp;qid=1695565992&amp;sr=8-2")</f>
        <v/>
      </c>
      <c r="F4753" t="inlineStr">
        <is>
          <t>B09VR7RZX4</t>
        </is>
      </c>
      <c r="G4753">
        <f>_xlfn.IMAGE("https://faoschwarz.com/cdn/shop/products/ravensburger-games-villainous-strategy-board-game-28288018251863_1080x.jpg?v=1656250263")</f>
        <v/>
      </c>
      <c r="H4753">
        <f>_xlfn.IMAGE("https://m.media-amazon.com/images/I/91wChBF9k1L._AC_UL320_.jpg")</f>
        <v/>
      </c>
      <c r="K4753" t="inlineStr">
        <is>
          <t>45.0</t>
        </is>
      </c>
      <c r="L4753" t="n">
        <v>19.99</v>
      </c>
      <c r="M4753" s="1" t="inlineStr">
        <is>
          <t>-55.58%</t>
        </is>
      </c>
      <c r="N4753" t="n">
        <v>4.8</v>
      </c>
      <c r="O4753" t="n">
        <v>625</v>
      </c>
      <c r="Q4753" t="inlineStr">
        <is>
          <t>InStock</t>
        </is>
      </c>
      <c r="R4753" t="inlineStr">
        <is>
          <t>undefined</t>
        </is>
      </c>
      <c r="S4753" t="inlineStr">
        <is>
          <t>1565157589079</t>
        </is>
      </c>
    </row>
    <row r="4754" ht="75" customHeight="1">
      <c r="A4754" s="2">
        <f>HYPERLINK("https://faoschwarz.com/products/virtual-space-ping-pong-game-set", "https://faoschwarz.com/products/virtual-space-ping-pong-game-set")</f>
        <v/>
      </c>
      <c r="B4754" s="2">
        <f>HYPERLINK("https://faoschwarz.com/products/virtual-space-ping-pong-game-set", "https://faoschwarz.com/products/virtual-space-ping-pong-game-set")</f>
        <v/>
      </c>
      <c r="C4754" t="inlineStr">
        <is>
          <t>Virtual Ping Pong Game Set</t>
        </is>
      </c>
      <c r="D4754" t="inlineStr">
        <is>
          <t>Best Choice Products 13-in-1 Combo Game Table Set for Home, Game Room, Friends &amp; Family w/Ping Pong, Foosball, Basketball, Air Hockey, Archery, Chess, Checkers, Shuffleboard, Bowling</t>
        </is>
      </c>
      <c r="E4754" s="2">
        <f>HYPERLINK("https://www.amazon.com/Best-Choice-Products-Basketball-Shuffleboard/dp/B0C4MV23JZ/ref=sr_1_9?keywords=Virtual+Ping+Pong+Game+Set&amp;qid=1695566009&amp;sr=8-9", "https://www.amazon.com/Best-Choice-Products-Basketball-Shuffleboard/dp/B0C4MV23JZ/ref=sr_1_9?keywords=Virtual+Ping+Pong+Game+Set&amp;qid=1695566009&amp;sr=8-9")</f>
        <v/>
      </c>
      <c r="F4754" t="inlineStr">
        <is>
          <t>B0C4MV23JZ</t>
        </is>
      </c>
      <c r="G4754">
        <f>_xlfn.IMAGE("https://faoschwarz.com/cdn/shop/products/sharper-image-games-virtual-space-ping-pong-game-set-14828070404183_1080x.jpg?v=1656219156")</f>
        <v/>
      </c>
      <c r="H4754">
        <f>_xlfn.IMAGE("https://m.media-amazon.com/images/I/81x+Akd7lqL._AC_UL320_.jpg")</f>
        <v/>
      </c>
      <c r="K4754" t="inlineStr">
        <is>
          <t>30.0</t>
        </is>
      </c>
      <c r="L4754" t="n">
        <v>199.99</v>
      </c>
      <c r="M4754" s="1" t="inlineStr">
        <is>
          <t>566.63%</t>
        </is>
      </c>
      <c r="N4754" t="n">
        <v>4</v>
      </c>
      <c r="O4754" t="n">
        <v>19</v>
      </c>
      <c r="Q4754" t="inlineStr">
        <is>
          <t>InStock</t>
        </is>
      </c>
      <c r="R4754" t="inlineStr">
        <is>
          <t>undefined</t>
        </is>
      </c>
      <c r="S4754" t="inlineStr">
        <is>
          <t>4666659045463</t>
        </is>
      </c>
    </row>
    <row r="4755" ht="75" customHeight="1">
      <c r="A4755" s="2">
        <f>HYPERLINK("https://faoschwarz.com/products/virtual-space-ping-pong-game-set", "https://faoschwarz.com/products/virtual-space-ping-pong-game-set")</f>
        <v/>
      </c>
      <c r="B4755" s="2">
        <f>HYPERLINK("https://faoschwarz.com/products/virtual-space-ping-pong-game-set", "https://faoschwarz.com/products/virtual-space-ping-pong-game-set")</f>
        <v/>
      </c>
      <c r="C4755" t="inlineStr">
        <is>
          <t>Virtual Ping Pong Game Set</t>
        </is>
      </c>
      <c r="D4755" t="inlineStr">
        <is>
          <t>Ping Pong Paddles Set - Professional Table Tennis Rackets and Balls, Retractable Net with Posts and Storage Case - Pingpong Paddle and Game Table Accessories</t>
        </is>
      </c>
      <c r="E4755" s="2">
        <f>HYPERLINK("https://www.amazon.com/Ping-Pong-Set-Paddles-Net/dp/B07GG92K1B/ref=sr_1_7?keywords=Virtual+Ping+Pong+Game+Set&amp;qid=1695566009&amp;sr=8-7", "https://www.amazon.com/Ping-Pong-Set-Paddles-Net/dp/B07GG92K1B/ref=sr_1_7?keywords=Virtual+Ping+Pong+Game+Set&amp;qid=1695566009&amp;sr=8-7")</f>
        <v/>
      </c>
      <c r="F4755" t="inlineStr">
        <is>
          <t>B07GG92K1B</t>
        </is>
      </c>
      <c r="G4755">
        <f>_xlfn.IMAGE("https://faoschwarz.com/cdn/shop/products/sharper-image-games-virtual-space-ping-pong-game-set-14828070404183_1080x.jpg?v=1656219156")</f>
        <v/>
      </c>
      <c r="H4755">
        <f>_xlfn.IMAGE("https://m.media-amazon.com/images/I/810e-G5F44L._AC_UL320_.jpg")</f>
        <v/>
      </c>
      <c r="K4755" t="inlineStr">
        <is>
          <t>30.0</t>
        </is>
      </c>
      <c r="L4755" t="n">
        <v>41.82</v>
      </c>
      <c r="M4755" s="1" t="inlineStr">
        <is>
          <t>39.40%</t>
        </is>
      </c>
      <c r="N4755" t="n">
        <v>4.6</v>
      </c>
      <c r="O4755" t="n">
        <v>5021</v>
      </c>
      <c r="Q4755" t="inlineStr">
        <is>
          <t>InStock</t>
        </is>
      </c>
      <c r="R4755" t="inlineStr">
        <is>
          <t>undefined</t>
        </is>
      </c>
      <c r="S4755" t="inlineStr">
        <is>
          <t>4666659045463</t>
        </is>
      </c>
    </row>
    <row r="4756" ht="75" customHeight="1">
      <c r="A4756" s="2">
        <f>HYPERLINK("https://faoschwarz.com/products/virtual-space-ping-pong-game-set", "https://faoschwarz.com/products/virtual-space-ping-pong-game-set")</f>
        <v/>
      </c>
      <c r="B4756" s="2">
        <f>HYPERLINK("https://faoschwarz.com/products/virtual-space-ping-pong-game-set", "https://faoschwarz.com/products/virtual-space-ping-pong-game-set")</f>
        <v/>
      </c>
      <c r="C4756" t="inlineStr">
        <is>
          <t>Virtual Ping Pong Game Set</t>
        </is>
      </c>
      <c r="D4756" t="inlineStr">
        <is>
          <t>FBSPORT Ping Pong Paddle Set, Table Tennis Set with 4 Rackets and 8 Balls, Retractable Net with Storage Bag - Pingpong Paddle Accessories for Indoor/Outdoor Games</t>
        </is>
      </c>
      <c r="E4756" s="2">
        <f>HYPERLINK("https://www.amazon.com/FBSPORT-Paddle-Rackets-Retractable-Storage/dp/B0C6T91W7B/ref=sr_1_4?keywords=Virtual+Ping+Pong+Game+Set&amp;qid=1695566009&amp;sr=8-4", "https://www.amazon.com/FBSPORT-Paddle-Rackets-Retractable-Storage/dp/B0C6T91W7B/ref=sr_1_4?keywords=Virtual+Ping+Pong+Game+Set&amp;qid=1695566009&amp;sr=8-4")</f>
        <v/>
      </c>
      <c r="F4756" t="inlineStr">
        <is>
          <t>B0C6T91W7B</t>
        </is>
      </c>
      <c r="G4756">
        <f>_xlfn.IMAGE("https://faoschwarz.com/cdn/shop/products/sharper-image-games-virtual-space-ping-pong-game-set-14828070404183_1080x.jpg?v=1656219156")</f>
        <v/>
      </c>
      <c r="H4756">
        <f>_xlfn.IMAGE("https://m.media-amazon.com/images/I/71l74x0ewrL._AC_UL320_.jpg")</f>
        <v/>
      </c>
      <c r="K4756" t="inlineStr">
        <is>
          <t>30.0</t>
        </is>
      </c>
      <c r="L4756" t="n">
        <v>35.89</v>
      </c>
      <c r="M4756" s="1" t="inlineStr">
        <is>
          <t>19.63%</t>
        </is>
      </c>
      <c r="N4756" t="n">
        <v>5</v>
      </c>
      <c r="O4756" t="n">
        <v>15</v>
      </c>
      <c r="Q4756" t="inlineStr">
        <is>
          <t>InStock</t>
        </is>
      </c>
      <c r="R4756" t="inlineStr">
        <is>
          <t>undefined</t>
        </is>
      </c>
      <c r="S4756" t="inlineStr">
        <is>
          <t>4666659045463</t>
        </is>
      </c>
    </row>
    <row r="4757" ht="75" customHeight="1">
      <c r="A4757" s="2">
        <f>HYPERLINK("https://faoschwarz.com/products/virtual-space-ping-pong-game-set", "https://faoschwarz.com/products/virtual-space-ping-pong-game-set")</f>
        <v/>
      </c>
      <c r="B4757" s="2">
        <f>HYPERLINK("https://faoschwarz.com/products/virtual-space-ping-pong-game-set", "https://faoschwarz.com/products/virtual-space-ping-pong-game-set")</f>
        <v/>
      </c>
      <c r="C4757" t="inlineStr">
        <is>
          <t>Virtual Ping Pong Game Set</t>
        </is>
      </c>
      <c r="D4757" t="inlineStr">
        <is>
          <t>Ping Pong Paddles Set of 4 – Professional Table Tennis Paddles, 6 Ping Pong Balls, Retractable Ping Pong Net with Clamps and Storage Case - Table Tennis &amp; Game Accessories</t>
        </is>
      </c>
      <c r="E4757" s="2">
        <f>HYPERLINK("https://www.amazon.com/RAAZA-Ping-Pong-Paddles-Set/dp/B0BR8PJ2QR/ref=sr_1_8?keywords=Virtual+Ping+Pong+Game+Set&amp;qid=1695566009&amp;sr=8-8", "https://www.amazon.com/RAAZA-Ping-Pong-Paddles-Set/dp/B0BR8PJ2QR/ref=sr_1_8?keywords=Virtual+Ping+Pong+Game+Set&amp;qid=1695566009&amp;sr=8-8")</f>
        <v/>
      </c>
      <c r="F4757" t="inlineStr">
        <is>
          <t>B0BR8PJ2QR</t>
        </is>
      </c>
      <c r="G4757">
        <f>_xlfn.IMAGE("https://faoschwarz.com/cdn/shop/products/sharper-image-games-virtual-space-ping-pong-game-set-14828070404183_1080x.jpg?v=1656219156")</f>
        <v/>
      </c>
      <c r="H4757">
        <f>_xlfn.IMAGE("https://m.media-amazon.com/images/I/81Oigwf7duL._AC_UL320_.jpg")</f>
        <v/>
      </c>
      <c r="K4757" t="inlineStr">
        <is>
          <t>30.0</t>
        </is>
      </c>
      <c r="L4757" t="n">
        <v>32.99</v>
      </c>
      <c r="M4757" s="1" t="inlineStr">
        <is>
          <t>9.97%</t>
        </is>
      </c>
      <c r="N4757" t="n">
        <v>4.7</v>
      </c>
      <c r="O4757" t="n">
        <v>33</v>
      </c>
      <c r="Q4757" t="inlineStr">
        <is>
          <t>InStock</t>
        </is>
      </c>
      <c r="R4757" t="inlineStr">
        <is>
          <t>undefined</t>
        </is>
      </c>
      <c r="S4757" t="inlineStr">
        <is>
          <t>4666659045463</t>
        </is>
      </c>
    </row>
    <row r="4758" ht="75" customHeight="1">
      <c r="A4758" s="2">
        <f>HYPERLINK("https://faoschwarz.com/products/virtual-space-ping-pong-game-set", "https://faoschwarz.com/products/virtual-space-ping-pong-game-set")</f>
        <v/>
      </c>
      <c r="B4758" s="2">
        <f>HYPERLINK("https://faoschwarz.com/products/virtual-space-ping-pong-game-set", "https://faoschwarz.com/products/virtual-space-ping-pong-game-set")</f>
        <v/>
      </c>
      <c r="C4758" t="inlineStr">
        <is>
          <t>Virtual Ping Pong Game Set</t>
        </is>
      </c>
      <c r="D4758" t="inlineStr">
        <is>
          <t>FBSPORT Ping Pong Paddle Set, Portable Table Tennis Set with Retractable Net, 2 Rackets, 6 Balls and Carry Bag for Children Adult Indoor/Outdoor Games</t>
        </is>
      </c>
      <c r="E4758" s="2">
        <f>HYPERLINK("https://www.amazon.com/FBSPORT-Portable-Retractable-Rackets-Children/dp/B088R1P8QC/ref=sr_1_3?keywords=Virtual+Ping+Pong+Game+Set&amp;qid=1695566009&amp;sr=8-3", "https://www.amazon.com/FBSPORT-Portable-Retractable-Rackets-Children/dp/B088R1P8QC/ref=sr_1_3?keywords=Virtual+Ping+Pong+Game+Set&amp;qid=1695566009&amp;sr=8-3")</f>
        <v/>
      </c>
      <c r="F4758" t="inlineStr">
        <is>
          <t>B088R1P8QC</t>
        </is>
      </c>
      <c r="G4758">
        <f>_xlfn.IMAGE("https://faoschwarz.com/cdn/shop/products/sharper-image-games-virtual-space-ping-pong-game-set-14828070404183_1080x.jpg?v=1656219156")</f>
        <v/>
      </c>
      <c r="H4758">
        <f>_xlfn.IMAGE("https://m.media-amazon.com/images/I/71jVXmrUopL._AC_UL320_.jpg")</f>
        <v/>
      </c>
      <c r="K4758" t="inlineStr">
        <is>
          <t>30.0</t>
        </is>
      </c>
      <c r="L4758" t="n">
        <v>19.99</v>
      </c>
      <c r="M4758" s="1" t="inlineStr">
        <is>
          <t>-33.37%</t>
        </is>
      </c>
      <c r="N4758" t="n">
        <v>4.6</v>
      </c>
      <c r="O4758" t="n">
        <v>1541</v>
      </c>
      <c r="Q4758" t="inlineStr">
        <is>
          <t>InStock</t>
        </is>
      </c>
      <c r="R4758" t="inlineStr">
        <is>
          <t>undefined</t>
        </is>
      </c>
      <c r="S4758" t="inlineStr">
        <is>
          <t>4666659045463</t>
        </is>
      </c>
    </row>
    <row r="4759" ht="75" customHeight="1">
      <c r="A4759" s="2">
        <f>HYPERLINK("https://faoschwarz.com/products/virtual-space-ping-pong-game-set", "https://faoschwarz.com/products/virtual-space-ping-pong-game-set")</f>
        <v/>
      </c>
      <c r="B4759" s="2">
        <f>HYPERLINK("https://faoschwarz.com/products/virtual-space-ping-pong-game-set", "https://faoschwarz.com/products/virtual-space-ping-pong-game-set")</f>
        <v/>
      </c>
      <c r="C4759" t="inlineStr">
        <is>
          <t>Virtual Ping Pong Game Set</t>
        </is>
      </c>
      <c r="D4759" t="inlineStr">
        <is>
          <t>FBSPORT Ping Pong Paddle Set, Portable Table Tennis Set with Retractable Net, 2 Rackets, 6 Balls and Carry Bag for Children Adult Indoor/Outdoor Games</t>
        </is>
      </c>
      <c r="E4759" s="2">
        <f>HYPERLINK("https://www.amazon.com/FBSPORT-Portable-Retractable-Rackets-Children/dp/B088R1P8QC/ref=sr_1_3?keywords=Virtual+Ping+Pong+Game+Set&amp;qid=1695566009&amp;sr=8-3", "https://www.amazon.com/FBSPORT-Portable-Retractable-Rackets-Children/dp/B088R1P8QC/ref=sr_1_3?keywords=Virtual+Ping+Pong+Game+Set&amp;qid=1695566009&amp;sr=8-3")</f>
        <v/>
      </c>
      <c r="F4759" t="inlineStr">
        <is>
          <t>B088R1P8QC</t>
        </is>
      </c>
      <c r="G4759">
        <f>_xlfn.IMAGE("https://faoschwarz.com/cdn/shop/products/sharper-image-games-virtual-space-ping-pong-game-set-14828070404183_1080x.jpg?v=1656219156")</f>
        <v/>
      </c>
      <c r="H4759">
        <f>_xlfn.IMAGE("https://m.media-amazon.com/images/I/71jVXmrUopL._AC_UL320_.jpg")</f>
        <v/>
      </c>
      <c r="K4759" t="inlineStr">
        <is>
          <t>30.0</t>
        </is>
      </c>
      <c r="L4759" t="n">
        <v>19.99</v>
      </c>
      <c r="M4759" s="1" t="inlineStr">
        <is>
          <t>-33.37%</t>
        </is>
      </c>
      <c r="N4759" t="n">
        <v>4.6</v>
      </c>
      <c r="O4759" t="n">
        <v>1541</v>
      </c>
      <c r="Q4759" t="inlineStr">
        <is>
          <t>InStock</t>
        </is>
      </c>
      <c r="R4759" t="inlineStr">
        <is>
          <t>undefined</t>
        </is>
      </c>
      <c r="S4759" t="inlineStr">
        <is>
          <t>4666659045463</t>
        </is>
      </c>
    </row>
    <row r="4760" ht="75" customHeight="1">
      <c r="A4760" s="2">
        <f>HYPERLINK("https://faoschwarz.com/products/welcome-to-new-york-1000-piece-puzzle", "https://faoschwarz.com/products/welcome-to-new-york-1000-piece-puzzle")</f>
        <v/>
      </c>
      <c r="B4760" s="2">
        <f>HYPERLINK("https://faoschwarz.com/products/welcome-to-new-york-1000-piece-puzzle", "https://faoschwarz.com/products/welcome-to-new-york-1000-piece-puzzle")</f>
        <v/>
      </c>
      <c r="C4760" t="inlineStr">
        <is>
          <t>Welcome to New York 1000 Piece Puzzle</t>
        </is>
      </c>
      <c r="D4760" t="inlineStr">
        <is>
          <t>Ravensburger Welcome to New York 1000 Piece Jigsaw Puzzle for Adults – Every Piece is Unique, Softclick Technology Means Pieces Fit Together Perfectly</t>
        </is>
      </c>
      <c r="E4760" s="2">
        <f>HYPERLINK("https://www.amazon.com/Ravensburger-Welcome-Piece-Jigsaw-Puzzle-Adults/dp/B08PQCKP2R/ref=sr_1_1?keywords=Welcome+to+New+York+1000+Piece+Puzzle&amp;qid=1695566004&amp;sr=8-1", "https://www.amazon.com/Ravensburger-Welcome-Piece-Jigsaw-Puzzle-Adults/dp/B08PQCKP2R/ref=sr_1_1?keywords=Welcome+to+New+York+1000+Piece+Puzzle&amp;qid=1695566004&amp;sr=8-1")</f>
        <v/>
      </c>
      <c r="F4760" t="inlineStr">
        <is>
          <t>B08PQCKP2R</t>
        </is>
      </c>
      <c r="G4760">
        <f>_xlfn.IMAGE("https://faoschwarz.com/cdn/shop/files/ravensburger-puzzles-welcome-to-new-york-1000-piece-puzzle-30297380356183_1080x.jpg?v=1684885747")</f>
        <v/>
      </c>
      <c r="H4760">
        <f>_xlfn.IMAGE("https://m.media-amazon.com/images/I/91I-p7UtuEL._AC_UL320_.jpg")</f>
        <v/>
      </c>
      <c r="K4760" t="inlineStr">
        <is>
          <t>25.0</t>
        </is>
      </c>
      <c r="L4760" t="n">
        <v>19.99</v>
      </c>
      <c r="M4760" s="1" t="inlineStr">
        <is>
          <t>-20.04%</t>
        </is>
      </c>
      <c r="N4760" t="n">
        <v>4.6</v>
      </c>
      <c r="O4760" t="n">
        <v>34</v>
      </c>
      <c r="Q4760" t="inlineStr">
        <is>
          <t>InStock</t>
        </is>
      </c>
      <c r="R4760" t="inlineStr">
        <is>
          <t>undefined</t>
        </is>
      </c>
      <c r="S4760" t="inlineStr">
        <is>
          <t>6877966139479</t>
        </is>
      </c>
    </row>
    <row r="4761" ht="75" customHeight="1">
      <c r="A4761" s="2">
        <f>HYPERLINK("https://faoschwarz.com/products/welcome-to-new-york-1000-piece-puzzle", "https://faoschwarz.com/products/welcome-to-new-york-1000-piece-puzzle")</f>
        <v/>
      </c>
      <c r="B4761" s="2">
        <f>HYPERLINK("https://faoschwarz.com/products/welcome-to-new-york-1000-piece-puzzle", "https://faoschwarz.com/products/welcome-to-new-york-1000-piece-puzzle")</f>
        <v/>
      </c>
      <c r="C4761" t="inlineStr">
        <is>
          <t>Welcome to New York 1000 Piece Puzzle</t>
        </is>
      </c>
      <c r="D4761" t="inlineStr">
        <is>
          <t>White Mountain Puzzles New York New York! - 1000 Piece Jigsaw Puzzle</t>
        </is>
      </c>
      <c r="E4761" s="2">
        <f>HYPERLINK("https://www.amazon.com/White-Mountain-Puzzles-New-York/dp/B07P5VYJYL/ref=sr_1_10?keywords=Welcome+to+New+York+1000+Piece+Puzzle&amp;qid=1695566004&amp;sr=8-10", "https://www.amazon.com/White-Mountain-Puzzles-New-York/dp/B07P5VYJYL/ref=sr_1_10?keywords=Welcome+to+New+York+1000+Piece+Puzzle&amp;qid=1695566004&amp;sr=8-10")</f>
        <v/>
      </c>
      <c r="F4761" t="inlineStr">
        <is>
          <t>B07P5VYJYL</t>
        </is>
      </c>
      <c r="G4761">
        <f>_xlfn.IMAGE("https://faoschwarz.com/cdn/shop/files/ravensburger-puzzles-welcome-to-new-york-1000-piece-puzzle-30297380356183_1080x.jpg?v=1684885747")</f>
        <v/>
      </c>
      <c r="H4761">
        <f>_xlfn.IMAGE("https://m.media-amazon.com/images/I/81rsUWVIlQL._AC_UL320_.jpg")</f>
        <v/>
      </c>
      <c r="K4761" t="inlineStr">
        <is>
          <t>25.0</t>
        </is>
      </c>
      <c r="L4761" t="n">
        <v>19.99</v>
      </c>
      <c r="M4761" s="1" t="inlineStr">
        <is>
          <t>-20.04%</t>
        </is>
      </c>
      <c r="N4761" t="n">
        <v>4.5</v>
      </c>
      <c r="O4761" t="n">
        <v>108</v>
      </c>
      <c r="Q4761" t="inlineStr">
        <is>
          <t>InStock</t>
        </is>
      </c>
      <c r="R4761" t="inlineStr">
        <is>
          <t>undefined</t>
        </is>
      </c>
      <c r="S4761" t="inlineStr">
        <is>
          <t>6877966139479</t>
        </is>
      </c>
    </row>
    <row r="4762" ht="75" customHeight="1">
      <c r="A4762" s="2">
        <f>HYPERLINK("https://faoschwarz.com/products/welcome-to-new-york-1000-piece-puzzle", "https://faoschwarz.com/products/welcome-to-new-york-1000-piece-puzzle")</f>
        <v/>
      </c>
      <c r="B4762" s="2">
        <f>HYPERLINK("https://faoschwarz.com/products/welcome-to-new-york-1000-piece-puzzle", "https://faoschwarz.com/products/welcome-to-new-york-1000-piece-puzzle")</f>
        <v/>
      </c>
      <c r="C4762" t="inlineStr">
        <is>
          <t>Welcome to New York 1000 Piece Puzzle</t>
        </is>
      </c>
      <c r="D4762" t="inlineStr">
        <is>
          <t>White Mountain Puzzles - New York Central Park - 1000 Piece Jigsaw Puzzle</t>
        </is>
      </c>
      <c r="E4762" s="2">
        <f>HYPERLINK("https://www.amazon.com/White-Mountain-Puzzles-Central-Jigsaw/dp/B0B7847DKT/ref=sr_1_9?keywords=Welcome+to+New+York+1000+Piece+Puzzle&amp;qid=1695566004&amp;sr=8-9", "https://www.amazon.com/White-Mountain-Puzzles-Central-Jigsaw/dp/B0B7847DKT/ref=sr_1_9?keywords=Welcome+to+New+York+1000+Piece+Puzzle&amp;qid=1695566004&amp;sr=8-9")</f>
        <v/>
      </c>
      <c r="F4762" t="inlineStr">
        <is>
          <t>B0B7847DKT</t>
        </is>
      </c>
      <c r="G4762">
        <f>_xlfn.IMAGE("https://faoschwarz.com/cdn/shop/files/ravensburger-puzzles-welcome-to-new-york-1000-piece-puzzle-30297380356183_1080x.jpg?v=1684885747")</f>
        <v/>
      </c>
      <c r="H4762">
        <f>_xlfn.IMAGE("https://m.media-amazon.com/images/I/81GUe09VudL._AC_UL320_.jpg")</f>
        <v/>
      </c>
      <c r="K4762" t="inlineStr">
        <is>
          <t>25.0</t>
        </is>
      </c>
      <c r="L4762" t="n">
        <v>19.99</v>
      </c>
      <c r="M4762" s="1" t="inlineStr">
        <is>
          <t>-20.04%</t>
        </is>
      </c>
      <c r="N4762" t="n">
        <v>3.5</v>
      </c>
      <c r="O4762" t="n">
        <v>56</v>
      </c>
      <c r="Q4762" t="inlineStr">
        <is>
          <t>InStock</t>
        </is>
      </c>
      <c r="R4762" t="inlineStr">
        <is>
          <t>undefined</t>
        </is>
      </c>
      <c r="S4762" t="inlineStr">
        <is>
          <t>6877966139479</t>
        </is>
      </c>
    </row>
    <row r="4763" ht="75" customHeight="1">
      <c r="A4763" s="2">
        <f>HYPERLINK("https://faoschwarz.com/products/welcome-to-new-york-1000-piece-puzzle", "https://faoschwarz.com/products/welcome-to-new-york-1000-piece-puzzle")</f>
        <v/>
      </c>
      <c r="B4763" s="2">
        <f>HYPERLINK("https://faoschwarz.com/products/welcome-to-new-york-1000-piece-puzzle", "https://faoschwarz.com/products/welcome-to-new-york-1000-piece-puzzle")</f>
        <v/>
      </c>
      <c r="C4763" t="inlineStr">
        <is>
          <t>Welcome to New York 1000 Piece Puzzle</t>
        </is>
      </c>
      <c r="D4763" t="inlineStr">
        <is>
          <t>MasterPieces 1000 Piece Jigsaw Puzzle for Adults, Family, Or Kids - A New York View - 19.25"x26.75"</t>
        </is>
      </c>
      <c r="E4763" s="2">
        <f>HYPERLINK("https://www.amazon.com/Piece-Jigsaw-Puzzle-Adult-Family/dp/B08WRTW2Y2/ref=sr_1_3?keywords=Welcome+to+New+York+1000+Piece+Puzzle&amp;qid=1695566004&amp;sr=8-3", "https://www.amazon.com/Piece-Jigsaw-Puzzle-Adult-Family/dp/B08WRTW2Y2/ref=sr_1_3?keywords=Welcome+to+New+York+1000+Piece+Puzzle&amp;qid=1695566004&amp;sr=8-3")</f>
        <v/>
      </c>
      <c r="F4763" t="inlineStr">
        <is>
          <t>B08WRTW2Y2</t>
        </is>
      </c>
      <c r="G4763">
        <f>_xlfn.IMAGE("https://faoschwarz.com/cdn/shop/files/ravensburger-puzzles-welcome-to-new-york-1000-piece-puzzle-30297380356183_1080x.jpg?v=1684885747")</f>
        <v/>
      </c>
      <c r="H4763">
        <f>_xlfn.IMAGE("https://m.media-amazon.com/images/I/91JnrtDA5qL._AC_UL320_.jpg")</f>
        <v/>
      </c>
      <c r="K4763" t="inlineStr">
        <is>
          <t>25.0</t>
        </is>
      </c>
      <c r="L4763" t="n">
        <v>18.99</v>
      </c>
      <c r="M4763" s="1" t="inlineStr">
        <is>
          <t>-24.04%</t>
        </is>
      </c>
      <c r="N4763" t="n">
        <v>4.7</v>
      </c>
      <c r="O4763" t="n">
        <v>23</v>
      </c>
      <c r="Q4763" t="inlineStr">
        <is>
          <t>InStock</t>
        </is>
      </c>
      <c r="R4763" t="inlineStr">
        <is>
          <t>undefined</t>
        </is>
      </c>
      <c r="S4763" t="inlineStr">
        <is>
          <t>6877966139479</t>
        </is>
      </c>
    </row>
    <row r="4764" ht="75" customHeight="1">
      <c r="A4764" s="2">
        <f>HYPERLINK("https://faoschwarz.com/products/welcome-to-new-york-1000-piece-puzzle", "https://faoschwarz.com/products/welcome-to-new-york-1000-piece-puzzle")</f>
        <v/>
      </c>
      <c r="B4764" s="2">
        <f>HYPERLINK("https://faoschwarz.com/products/welcome-to-new-york-1000-piece-puzzle", "https://faoschwarz.com/products/welcome-to-new-york-1000-piece-puzzle")</f>
        <v/>
      </c>
      <c r="C4764" t="inlineStr">
        <is>
          <t>Welcome to New York 1000 Piece Puzzle</t>
        </is>
      </c>
      <c r="D4764" t="inlineStr">
        <is>
          <t>Galison 1000 Piece New York City Map Jigsaw Puzzle for Adults and Families, NYC Puzzle Features Sights from Around New York City</t>
        </is>
      </c>
      <c r="E4764" s="2">
        <f>HYPERLINK("https://www.amazon.com/Galison-York-City-Piece-Puzzle/dp/073535426X/ref=sr_1_8?keywords=Welcome+to+New+York+1000+Piece+Puzzle&amp;qid=1695566004&amp;sr=8-8", "https://www.amazon.com/Galison-York-City-Piece-Puzzle/dp/073535426X/ref=sr_1_8?keywords=Welcome+to+New+York+1000+Piece+Puzzle&amp;qid=1695566004&amp;sr=8-8")</f>
        <v/>
      </c>
      <c r="F4764" t="inlineStr">
        <is>
          <t>073535426X</t>
        </is>
      </c>
      <c r="G4764">
        <f>_xlfn.IMAGE("https://faoschwarz.com/cdn/shop/files/ravensburger-puzzles-welcome-to-new-york-1000-piece-puzzle-30297380356183_1080x.jpg?v=1684885747")</f>
        <v/>
      </c>
      <c r="H4764">
        <f>_xlfn.IMAGE("https://m.media-amazon.com/images/I/81CFTMEQmCL._AC_UL320_.jpg")</f>
        <v/>
      </c>
      <c r="K4764" t="inlineStr">
        <is>
          <t>25.0</t>
        </is>
      </c>
      <c r="L4764" t="n">
        <v>15.98</v>
      </c>
      <c r="M4764" s="1" t="inlineStr">
        <is>
          <t>-36.08%</t>
        </is>
      </c>
      <c r="N4764" t="n">
        <v>4.7</v>
      </c>
      <c r="O4764" t="n">
        <v>219</v>
      </c>
      <c r="Q4764" t="inlineStr">
        <is>
          <t>InStock</t>
        </is>
      </c>
      <c r="R4764" t="inlineStr">
        <is>
          <t>undefined</t>
        </is>
      </c>
      <c r="S4764" t="inlineStr">
        <is>
          <t>6877966139479</t>
        </is>
      </c>
    </row>
    <row r="4765" ht="75" customHeight="1">
      <c r="A4765" s="2">
        <f>HYPERLINK("https://faoschwarz.com/products/welcome-to-new-york-1000-piece-puzzle", "https://faoschwarz.com/products/welcome-to-new-york-1000-piece-puzzle")</f>
        <v/>
      </c>
      <c r="B4765" s="2">
        <f>HYPERLINK("https://faoschwarz.com/products/welcome-to-new-york-1000-piece-puzzle", "https://faoschwarz.com/products/welcome-to-new-york-1000-piece-puzzle")</f>
        <v/>
      </c>
      <c r="C4765" t="inlineStr">
        <is>
          <t>Welcome to New York 1000 Piece Puzzle</t>
        </is>
      </c>
      <c r="D4765" t="inlineStr">
        <is>
          <t>Bits and Pieces - 1000 Piece Jigsaw Puzzle for Adults - New York City View - 1000 pc Statue of Liberty Skyline Jigsaw by Artist Joseph Burgess</t>
        </is>
      </c>
      <c r="E4765" s="2">
        <f>HYPERLINK("https://www.amazon.com/Bits-Pieces-Liberty-Skyline-Burgess/dp/B00D8L4DKQ/ref=sr_1_6?keywords=Welcome+to+New+York+1000+Piece+Puzzle&amp;qid=1695566004&amp;sr=8-6", "https://www.amazon.com/Bits-Pieces-Liberty-Skyline-Burgess/dp/B00D8L4DKQ/ref=sr_1_6?keywords=Welcome+to+New+York+1000+Piece+Puzzle&amp;qid=1695566004&amp;sr=8-6")</f>
        <v/>
      </c>
      <c r="F4765" t="inlineStr">
        <is>
          <t>B00D8L4DKQ</t>
        </is>
      </c>
      <c r="G4765">
        <f>_xlfn.IMAGE("https://faoschwarz.com/cdn/shop/files/ravensburger-puzzles-welcome-to-new-york-1000-piece-puzzle-30297380356183_1080x.jpg?v=1684885747")</f>
        <v/>
      </c>
      <c r="H4765">
        <f>_xlfn.IMAGE("https://m.media-amazon.com/images/I/81YJugjBZgL._AC_UL320_.jpg")</f>
        <v/>
      </c>
      <c r="K4765" t="inlineStr">
        <is>
          <t>25.0</t>
        </is>
      </c>
      <c r="L4765" t="n">
        <v>13.99</v>
      </c>
      <c r="M4765" s="1" t="inlineStr">
        <is>
          <t>-44.04%</t>
        </is>
      </c>
      <c r="N4765" t="n">
        <v>4.5</v>
      </c>
      <c r="O4765" t="n">
        <v>545</v>
      </c>
      <c r="Q4765" t="inlineStr">
        <is>
          <t>InStock</t>
        </is>
      </c>
      <c r="R4765" t="inlineStr">
        <is>
          <t>undefined</t>
        </is>
      </c>
      <c r="S4765" t="inlineStr">
        <is>
          <t>6877966139479</t>
        </is>
      </c>
    </row>
    <row r="4766" ht="75" customHeight="1">
      <c r="A4766" s="2">
        <f>HYPERLINK("https://faoschwarz.com/products/welcome-to-new-york-1000-piece-puzzle", "https://faoschwarz.com/products/welcome-to-new-york-1000-piece-puzzle")</f>
        <v/>
      </c>
      <c r="B4766" s="2">
        <f>HYPERLINK("https://faoschwarz.com/products/welcome-to-new-york-1000-piece-puzzle", "https://faoschwarz.com/products/welcome-to-new-york-1000-piece-puzzle")</f>
        <v/>
      </c>
      <c r="C4766" t="inlineStr">
        <is>
          <t>Welcome to New York 1000 Piece Puzzle</t>
        </is>
      </c>
      <c r="D4766" t="inlineStr">
        <is>
          <t>Ravensburger Welcome to New York 1000 Piece Jigsaw Puzzle for Adults – Every Piece is Unique, Softclick Technology Means Pieces Fit Together Perfectly</t>
        </is>
      </c>
      <c r="E4766" s="2">
        <f>HYPERLINK("https://www.amazon.com/Ravensburger-Welcome-Piece-Jigsaw-Puzzle-Adults/dp/B08PQCKP2R/ref=sr_1_1?keywords=Welcome+to+New+York+1000+Piece+Puzzle&amp;qid=1695566004&amp;sr=8-1", "https://www.amazon.com/Ravensburger-Welcome-Piece-Jigsaw-Puzzle-Adults/dp/B08PQCKP2R/ref=sr_1_1?keywords=Welcome+to+New+York+1000+Piece+Puzzle&amp;qid=1695566004&amp;sr=8-1")</f>
        <v/>
      </c>
      <c r="F4766" t="inlineStr">
        <is>
          <t>B08PQCKP2R</t>
        </is>
      </c>
      <c r="G4766">
        <f>_xlfn.IMAGE("https://faoschwarz.com/cdn/shop/files/ravensburger-puzzles-welcome-to-new-york-1000-piece-puzzle-30297380356183_1080x.jpg?v=1684885747")</f>
        <v/>
      </c>
      <c r="H4766">
        <f>_xlfn.IMAGE("https://m.media-amazon.com/images/I/91I-p7UtuEL._AC_UL320_.jpg")</f>
        <v/>
      </c>
      <c r="K4766" t="inlineStr">
        <is>
          <t>25.0</t>
        </is>
      </c>
      <c r="L4766" t="n">
        <v>19.99</v>
      </c>
      <c r="M4766" s="1" t="inlineStr">
        <is>
          <t>-20.04%</t>
        </is>
      </c>
      <c r="N4766" t="n">
        <v>4.6</v>
      </c>
      <c r="O4766" t="n">
        <v>34</v>
      </c>
      <c r="Q4766" t="inlineStr">
        <is>
          <t>InStock</t>
        </is>
      </c>
      <c r="R4766" t="inlineStr">
        <is>
          <t>undefined</t>
        </is>
      </c>
      <c r="S4766" t="inlineStr">
        <is>
          <t>6877966139479</t>
        </is>
      </c>
    </row>
    <row r="4767" ht="75" customHeight="1">
      <c r="A4767" s="2">
        <f>HYPERLINK("https://faoschwarz.com/products/welcome-to-new-york-1000-piece-puzzle", "https://faoschwarz.com/products/welcome-to-new-york-1000-piece-puzzle")</f>
        <v/>
      </c>
      <c r="B4767" s="2">
        <f>HYPERLINK("https://faoschwarz.com/products/welcome-to-new-york-1000-piece-puzzle", "https://faoschwarz.com/products/welcome-to-new-york-1000-piece-puzzle")</f>
        <v/>
      </c>
      <c r="C4767" t="inlineStr">
        <is>
          <t>Welcome to New York 1000 Piece Puzzle</t>
        </is>
      </c>
      <c r="D4767" t="inlineStr">
        <is>
          <t>White Mountain Puzzles New York New York! - 1000 Piece Jigsaw Puzzle</t>
        </is>
      </c>
      <c r="E4767" s="2">
        <f>HYPERLINK("https://www.amazon.com/White-Mountain-Puzzles-New-York/dp/B07P5VYJYL/ref=sr_1_10?keywords=Welcome+to+New+York+1000+Piece+Puzzle&amp;qid=1695566004&amp;sr=8-10", "https://www.amazon.com/White-Mountain-Puzzles-New-York/dp/B07P5VYJYL/ref=sr_1_10?keywords=Welcome+to+New+York+1000+Piece+Puzzle&amp;qid=1695566004&amp;sr=8-10")</f>
        <v/>
      </c>
      <c r="F4767" t="inlineStr">
        <is>
          <t>B07P5VYJYL</t>
        </is>
      </c>
      <c r="G4767">
        <f>_xlfn.IMAGE("https://faoschwarz.com/cdn/shop/files/ravensburger-puzzles-welcome-to-new-york-1000-piece-puzzle-30297380356183_1080x.jpg?v=1684885747")</f>
        <v/>
      </c>
      <c r="H4767">
        <f>_xlfn.IMAGE("https://m.media-amazon.com/images/I/81rsUWVIlQL._AC_UL320_.jpg")</f>
        <v/>
      </c>
      <c r="K4767" t="inlineStr">
        <is>
          <t>25.0</t>
        </is>
      </c>
      <c r="L4767" t="n">
        <v>19.99</v>
      </c>
      <c r="M4767" s="1" t="inlineStr">
        <is>
          <t>-20.04%</t>
        </is>
      </c>
      <c r="N4767" t="n">
        <v>4.5</v>
      </c>
      <c r="O4767" t="n">
        <v>108</v>
      </c>
      <c r="Q4767" t="inlineStr">
        <is>
          <t>InStock</t>
        </is>
      </c>
      <c r="R4767" t="inlineStr">
        <is>
          <t>undefined</t>
        </is>
      </c>
      <c r="S4767" t="inlineStr">
        <is>
          <t>6877966139479</t>
        </is>
      </c>
    </row>
    <row r="4768" ht="75" customHeight="1">
      <c r="A4768" s="2">
        <f>HYPERLINK("https://faoschwarz.com/products/welcome-to-new-york-1000-piece-puzzle", "https://faoschwarz.com/products/welcome-to-new-york-1000-piece-puzzle")</f>
        <v/>
      </c>
      <c r="B4768" s="2">
        <f>HYPERLINK("https://faoschwarz.com/products/welcome-to-new-york-1000-piece-puzzle", "https://faoschwarz.com/products/welcome-to-new-york-1000-piece-puzzle")</f>
        <v/>
      </c>
      <c r="C4768" t="inlineStr">
        <is>
          <t>Welcome to New York 1000 Piece Puzzle</t>
        </is>
      </c>
      <c r="D4768" t="inlineStr">
        <is>
          <t>White Mountain Puzzles - New York Central Park - 1000 Piece Jigsaw Puzzle</t>
        </is>
      </c>
      <c r="E4768" s="2">
        <f>HYPERLINK("https://www.amazon.com/White-Mountain-Puzzles-Central-Jigsaw/dp/B0B7847DKT/ref=sr_1_9?keywords=Welcome+to+New+York+1000+Piece+Puzzle&amp;qid=1695566004&amp;sr=8-9", "https://www.amazon.com/White-Mountain-Puzzles-Central-Jigsaw/dp/B0B7847DKT/ref=sr_1_9?keywords=Welcome+to+New+York+1000+Piece+Puzzle&amp;qid=1695566004&amp;sr=8-9")</f>
        <v/>
      </c>
      <c r="F4768" t="inlineStr">
        <is>
          <t>B0B7847DKT</t>
        </is>
      </c>
      <c r="G4768">
        <f>_xlfn.IMAGE("https://faoschwarz.com/cdn/shop/files/ravensburger-puzzles-welcome-to-new-york-1000-piece-puzzle-30297380356183_1080x.jpg?v=1684885747")</f>
        <v/>
      </c>
      <c r="H4768">
        <f>_xlfn.IMAGE("https://m.media-amazon.com/images/I/81GUe09VudL._AC_UL320_.jpg")</f>
        <v/>
      </c>
      <c r="K4768" t="inlineStr">
        <is>
          <t>25.0</t>
        </is>
      </c>
      <c r="L4768" t="n">
        <v>19.99</v>
      </c>
      <c r="M4768" s="1" t="inlineStr">
        <is>
          <t>-20.04%</t>
        </is>
      </c>
      <c r="N4768" t="n">
        <v>3.5</v>
      </c>
      <c r="O4768" t="n">
        <v>56</v>
      </c>
      <c r="Q4768" t="inlineStr">
        <is>
          <t>InStock</t>
        </is>
      </c>
      <c r="R4768" t="inlineStr">
        <is>
          <t>undefined</t>
        </is>
      </c>
      <c r="S4768" t="inlineStr">
        <is>
          <t>6877966139479</t>
        </is>
      </c>
    </row>
    <row r="4769" ht="75" customHeight="1">
      <c r="A4769" s="2">
        <f>HYPERLINK("https://faoschwarz.com/products/welcome-to-new-york-1000-piece-puzzle", "https://faoschwarz.com/products/welcome-to-new-york-1000-piece-puzzle")</f>
        <v/>
      </c>
      <c r="B4769" s="2">
        <f>HYPERLINK("https://faoschwarz.com/products/welcome-to-new-york-1000-piece-puzzle", "https://faoschwarz.com/products/welcome-to-new-york-1000-piece-puzzle")</f>
        <v/>
      </c>
      <c r="C4769" t="inlineStr">
        <is>
          <t>Welcome to New York 1000 Piece Puzzle</t>
        </is>
      </c>
      <c r="D4769" t="inlineStr">
        <is>
          <t>MasterPieces 1000 Piece Jigsaw Puzzle for Adults, Family, Or Kids - A New York View - 19.25"x26.75"</t>
        </is>
      </c>
      <c r="E4769" s="2">
        <f>HYPERLINK("https://www.amazon.com/Piece-Jigsaw-Puzzle-Adult-Family/dp/B08WRTW2Y2/ref=sr_1_3?keywords=Welcome+to+New+York+1000+Piece+Puzzle&amp;qid=1695566004&amp;sr=8-3", "https://www.amazon.com/Piece-Jigsaw-Puzzle-Adult-Family/dp/B08WRTW2Y2/ref=sr_1_3?keywords=Welcome+to+New+York+1000+Piece+Puzzle&amp;qid=1695566004&amp;sr=8-3")</f>
        <v/>
      </c>
      <c r="F4769" t="inlineStr">
        <is>
          <t>B08WRTW2Y2</t>
        </is>
      </c>
      <c r="G4769">
        <f>_xlfn.IMAGE("https://faoschwarz.com/cdn/shop/files/ravensburger-puzzles-welcome-to-new-york-1000-piece-puzzle-30297380356183_1080x.jpg?v=1684885747")</f>
        <v/>
      </c>
      <c r="H4769">
        <f>_xlfn.IMAGE("https://m.media-amazon.com/images/I/91JnrtDA5qL._AC_UL320_.jpg")</f>
        <v/>
      </c>
      <c r="K4769" t="inlineStr">
        <is>
          <t>25.0</t>
        </is>
      </c>
      <c r="L4769" t="n">
        <v>18.99</v>
      </c>
      <c r="M4769" s="1" t="inlineStr">
        <is>
          <t>-24.04%</t>
        </is>
      </c>
      <c r="N4769" t="n">
        <v>4.7</v>
      </c>
      <c r="O4769" t="n">
        <v>23</v>
      </c>
      <c r="Q4769" t="inlineStr">
        <is>
          <t>InStock</t>
        </is>
      </c>
      <c r="R4769" t="inlineStr">
        <is>
          <t>undefined</t>
        </is>
      </c>
      <c r="S4769" t="inlineStr">
        <is>
          <t>6877966139479</t>
        </is>
      </c>
    </row>
    <row r="4770" ht="75" customHeight="1">
      <c r="A4770" s="2">
        <f>HYPERLINK("https://faoschwarz.com/products/welcome-to-new-york-1000-piece-puzzle", "https://faoschwarz.com/products/welcome-to-new-york-1000-piece-puzzle")</f>
        <v/>
      </c>
      <c r="B4770" s="2">
        <f>HYPERLINK("https://faoschwarz.com/products/welcome-to-new-york-1000-piece-puzzle", "https://faoschwarz.com/products/welcome-to-new-york-1000-piece-puzzle")</f>
        <v/>
      </c>
      <c r="C4770" t="inlineStr">
        <is>
          <t>Welcome to New York 1000 Piece Puzzle</t>
        </is>
      </c>
      <c r="D4770" t="inlineStr">
        <is>
          <t>Galison 1000 Piece New York City Map Jigsaw Puzzle for Adults and Families, NYC Puzzle Features Sights from Around New York City</t>
        </is>
      </c>
      <c r="E4770" s="2">
        <f>HYPERLINK("https://www.amazon.com/Galison-York-City-Piece-Puzzle/dp/073535426X/ref=sr_1_8?keywords=Welcome+to+New+York+1000+Piece+Puzzle&amp;qid=1695566004&amp;sr=8-8", "https://www.amazon.com/Galison-York-City-Piece-Puzzle/dp/073535426X/ref=sr_1_8?keywords=Welcome+to+New+York+1000+Piece+Puzzle&amp;qid=1695566004&amp;sr=8-8")</f>
        <v/>
      </c>
      <c r="F4770" t="inlineStr">
        <is>
          <t>073535426X</t>
        </is>
      </c>
      <c r="G4770">
        <f>_xlfn.IMAGE("https://faoschwarz.com/cdn/shop/files/ravensburger-puzzles-welcome-to-new-york-1000-piece-puzzle-30297380356183_1080x.jpg?v=1684885747")</f>
        <v/>
      </c>
      <c r="H4770">
        <f>_xlfn.IMAGE("https://m.media-amazon.com/images/I/81CFTMEQmCL._AC_UL320_.jpg")</f>
        <v/>
      </c>
      <c r="K4770" t="inlineStr">
        <is>
          <t>25.0</t>
        </is>
      </c>
      <c r="L4770" t="n">
        <v>15.98</v>
      </c>
      <c r="M4770" s="1" t="inlineStr">
        <is>
          <t>-36.08%</t>
        </is>
      </c>
      <c r="N4770" t="n">
        <v>4.7</v>
      </c>
      <c r="O4770" t="n">
        <v>219</v>
      </c>
      <c r="Q4770" t="inlineStr">
        <is>
          <t>InStock</t>
        </is>
      </c>
      <c r="R4770" t="inlineStr">
        <is>
          <t>undefined</t>
        </is>
      </c>
      <c r="S4770" t="inlineStr">
        <is>
          <t>6877966139479</t>
        </is>
      </c>
    </row>
    <row r="4771" ht="75" customHeight="1">
      <c r="A4771" s="2">
        <f>HYPERLINK("https://faoschwarz.com/products/welcome-to-new-york-1000-piece-puzzle", "https://faoschwarz.com/products/welcome-to-new-york-1000-piece-puzzle")</f>
        <v/>
      </c>
      <c r="B4771" s="2">
        <f>HYPERLINK("https://faoschwarz.com/products/welcome-to-new-york-1000-piece-puzzle", "https://faoschwarz.com/products/welcome-to-new-york-1000-piece-puzzle")</f>
        <v/>
      </c>
      <c r="C4771" t="inlineStr">
        <is>
          <t>Welcome to New York 1000 Piece Puzzle</t>
        </is>
      </c>
      <c r="D4771" t="inlineStr">
        <is>
          <t>Bits and Pieces - 1000 Piece Jigsaw Puzzle for Adults - New York City View - 1000 pc Statue of Liberty Skyline Jigsaw by Artist Joseph Burgess</t>
        </is>
      </c>
      <c r="E4771" s="2">
        <f>HYPERLINK("https://www.amazon.com/Bits-Pieces-Liberty-Skyline-Burgess/dp/B00D8L4DKQ/ref=sr_1_6?keywords=Welcome+to+New+York+1000+Piece+Puzzle&amp;qid=1695566004&amp;sr=8-6", "https://www.amazon.com/Bits-Pieces-Liberty-Skyline-Burgess/dp/B00D8L4DKQ/ref=sr_1_6?keywords=Welcome+to+New+York+1000+Piece+Puzzle&amp;qid=1695566004&amp;sr=8-6")</f>
        <v/>
      </c>
      <c r="F4771" t="inlineStr">
        <is>
          <t>B00D8L4DKQ</t>
        </is>
      </c>
      <c r="G4771">
        <f>_xlfn.IMAGE("https://faoschwarz.com/cdn/shop/files/ravensburger-puzzles-welcome-to-new-york-1000-piece-puzzle-30297380356183_1080x.jpg?v=1684885747")</f>
        <v/>
      </c>
      <c r="H4771">
        <f>_xlfn.IMAGE("https://m.media-amazon.com/images/I/81YJugjBZgL._AC_UL320_.jpg")</f>
        <v/>
      </c>
      <c r="K4771" t="inlineStr">
        <is>
          <t>25.0</t>
        </is>
      </c>
      <c r="L4771" t="n">
        <v>13.99</v>
      </c>
      <c r="M4771" s="1" t="inlineStr">
        <is>
          <t>-44.04%</t>
        </is>
      </c>
      <c r="N4771" t="n">
        <v>4.5</v>
      </c>
      <c r="O4771" t="n">
        <v>545</v>
      </c>
      <c r="Q4771" t="inlineStr">
        <is>
          <t>InStock</t>
        </is>
      </c>
      <c r="R4771" t="inlineStr">
        <is>
          <t>undefined</t>
        </is>
      </c>
      <c r="S4771" t="inlineStr">
        <is>
          <t>6877966139479</t>
        </is>
      </c>
    </row>
    <row r="4772" ht="75" customHeight="1">
      <c r="A4772" s="2">
        <f>HYPERLINK("https://faoschwarz.com/products/wild-kratts-chris-tonie", "https://faoschwarz.com/products/wild-kratts-chris-tonie")</f>
        <v/>
      </c>
      <c r="B4772" s="2">
        <f>HYPERLINK("https://faoschwarz.com/products/wild-kratts-chris-tonie", "https://faoschwarz.com/products/wild-kratts-chris-tonie")</f>
        <v/>
      </c>
      <c r="C4772" t="inlineStr">
        <is>
          <t>Wild Kratts Chris Tonie</t>
        </is>
      </c>
      <c r="D4772" t="inlineStr">
        <is>
          <t>Wild Kratts 22-Pack Action Figure Set - Officially Licensed, Includes 3" Chris &amp; Martin Kratt, Creature Figurines &amp; Discs - Ages 3+</t>
        </is>
      </c>
      <c r="E4772" s="2">
        <f>HYPERLINK("https://www.amazon.com/Wild-Kratts-Collector-Action-Figure/dp/B0759W7YMG/ref=sr_1_5?keywords=Wild+Kratts+Chris+Tonie&amp;qid=1695565945&amp;sr=8-5", "https://www.amazon.com/Wild-Kratts-Collector-Action-Figure/dp/B0759W7YMG/ref=sr_1_5?keywords=Wild+Kratts+Chris+Tonie&amp;qid=1695565945&amp;sr=8-5")</f>
        <v/>
      </c>
      <c r="F4772" t="inlineStr">
        <is>
          <t>B0759W7YMG</t>
        </is>
      </c>
      <c r="G4772">
        <f>_xlfn.IMAGE("https://faoschwarz.com/cdn/shop/products/tonies-electronics-wild-kratts-chris-tonie-29619301253207_1080x.jpg?v=1665783727")</f>
        <v/>
      </c>
      <c r="H4772">
        <f>_xlfn.IMAGE("https://m.media-amazon.com/images/I/91MY7FJIlUL._AC_UL320_.jpg")</f>
        <v/>
      </c>
      <c r="K4772" t="inlineStr">
        <is>
          <t>20.0</t>
        </is>
      </c>
      <c r="L4772" t="n">
        <v>44.99</v>
      </c>
      <c r="M4772" s="1" t="inlineStr">
        <is>
          <t>124.95%</t>
        </is>
      </c>
      <c r="N4772" t="n">
        <v>4.7</v>
      </c>
      <c r="O4772" t="n">
        <v>1604</v>
      </c>
      <c r="Q4772" t="inlineStr">
        <is>
          <t>InStock</t>
        </is>
      </c>
      <c r="R4772" t="inlineStr">
        <is>
          <t>undefined</t>
        </is>
      </c>
      <c r="S4772" t="inlineStr">
        <is>
          <t>6782940512343</t>
        </is>
      </c>
    </row>
    <row r="4773" ht="75" customHeight="1">
      <c r="A4773" s="2">
        <f>HYPERLINK("https://faoschwarz.com/products/wild-kratts-chris-tonie", "https://faoschwarz.com/products/wild-kratts-chris-tonie")</f>
        <v/>
      </c>
      <c r="B4773" s="2">
        <f>HYPERLINK("https://faoschwarz.com/products/wild-kratts-chris-tonie", "https://faoschwarz.com/products/wild-kratts-chris-tonie")</f>
        <v/>
      </c>
      <c r="C4773" t="inlineStr">
        <is>
          <t>Wild Kratts Chris Tonie</t>
        </is>
      </c>
      <c r="D4773" t="inlineStr">
        <is>
          <t>Wild Kratts Creature Power Suit, Chris - Large 6-8X - Vest, Gloves &amp; 2 Power Discs for Halloween Costume, Pretend Play &amp; Dress Up - Officially Licensed - Gift for Kids</t>
        </is>
      </c>
      <c r="E4773" s="2">
        <f>HYPERLINK("https://www.amazon.com/Wild-Kratts-Creature-Power-Chris/dp/B000YXJK9K/ref=sr_1_3?keywords=Wild+Kratts+Chris+Tonie&amp;qid=1695565945&amp;sr=8-3", "https://www.amazon.com/Wild-Kratts-Creature-Power-Chris/dp/B000YXJK9K/ref=sr_1_3?keywords=Wild+Kratts+Chris+Tonie&amp;qid=1695565945&amp;sr=8-3")</f>
        <v/>
      </c>
      <c r="F4773" t="inlineStr">
        <is>
          <t>B000YXJK9K</t>
        </is>
      </c>
      <c r="G4773">
        <f>_xlfn.IMAGE("https://faoschwarz.com/cdn/shop/products/tonies-electronics-wild-kratts-chris-tonie-29619301253207_1080x.jpg?v=1665783727")</f>
        <v/>
      </c>
      <c r="H4773">
        <f>_xlfn.IMAGE("https://m.media-amazon.com/images/I/91NFrS1D3fL._AC_UL320_.jpg")</f>
        <v/>
      </c>
      <c r="K4773" t="inlineStr">
        <is>
          <t>20.0</t>
        </is>
      </c>
      <c r="L4773" t="n">
        <v>42.99</v>
      </c>
      <c r="M4773" s="1" t="inlineStr">
        <is>
          <t>114.95%</t>
        </is>
      </c>
      <c r="N4773" t="n">
        <v>4.5</v>
      </c>
      <c r="O4773" t="n">
        <v>1203</v>
      </c>
      <c r="Q4773" t="inlineStr">
        <is>
          <t>InStock</t>
        </is>
      </c>
      <c r="R4773" t="inlineStr">
        <is>
          <t>undefined</t>
        </is>
      </c>
      <c r="S4773" t="inlineStr">
        <is>
          <t>6782940512343</t>
        </is>
      </c>
    </row>
    <row r="4774" ht="75" customHeight="1">
      <c r="A4774" s="2">
        <f>HYPERLINK("https://faoschwarz.com/products/wild-kratts-chris-tonie", "https://faoschwarz.com/products/wild-kratts-chris-tonie")</f>
        <v/>
      </c>
      <c r="B4774" s="2">
        <f>HYPERLINK("https://faoschwarz.com/products/wild-kratts-chris-tonie", "https://faoschwarz.com/products/wild-kratts-chris-tonie")</f>
        <v/>
      </c>
      <c r="C4774" t="inlineStr">
        <is>
          <t>Wild Kratts Chris Tonie</t>
        </is>
      </c>
      <c r="D4774" t="inlineStr">
        <is>
          <t>Wild Kratts Chris Kratt Creature Power Disc Holder Set with 20 Discs - Officially Licensed - Figure Toy for Pretend &amp; Dress Up Play - Includes 15 Exclusive Creature Power Discs - Great Gift for Kids</t>
        </is>
      </c>
      <c r="E4774" s="2">
        <f>HYPERLINK("https://www.amazon.com/Wild-Kratts-Creature-Power-Holder/dp/B0759X1JXX/ref=sr_1_6?keywords=Wild+Kratts+Chris+Tonie&amp;qid=1695565945&amp;sr=8-6", "https://www.amazon.com/Wild-Kratts-Creature-Power-Holder/dp/B0759X1JXX/ref=sr_1_6?keywords=Wild+Kratts+Chris+Tonie&amp;qid=1695565945&amp;sr=8-6")</f>
        <v/>
      </c>
      <c r="F4774" t="inlineStr">
        <is>
          <t>B0759X1JXX</t>
        </is>
      </c>
      <c r="G4774">
        <f>_xlfn.IMAGE("https://faoschwarz.com/cdn/shop/products/tonies-electronics-wild-kratts-chris-tonie-29619301253207_1080x.jpg?v=1665783727")</f>
        <v/>
      </c>
      <c r="H4774">
        <f>_xlfn.IMAGE("https://m.media-amazon.com/images/I/81fgJFHyXVL._AC_UL320_.jpg")</f>
        <v/>
      </c>
      <c r="K4774" t="inlineStr">
        <is>
          <t>20.0</t>
        </is>
      </c>
      <c r="L4774" t="n">
        <v>24.99</v>
      </c>
      <c r="M4774" s="1" t="inlineStr">
        <is>
          <t>24.95%</t>
        </is>
      </c>
      <c r="N4774" t="n">
        <v>4.7</v>
      </c>
      <c r="O4774" t="n">
        <v>1660</v>
      </c>
      <c r="Q4774" t="inlineStr">
        <is>
          <t>InStock</t>
        </is>
      </c>
      <c r="R4774" t="inlineStr">
        <is>
          <t>undefined</t>
        </is>
      </c>
      <c r="S4774" t="inlineStr">
        <is>
          <t>6782940512343</t>
        </is>
      </c>
    </row>
    <row r="4775" ht="75" customHeight="1">
      <c r="A4775" s="2">
        <f>HYPERLINK("https://faoschwarz.com/products/wild-kratts-chris-tonie", "https://faoschwarz.com/products/wild-kratts-chris-tonie")</f>
        <v/>
      </c>
      <c r="B4775" s="2">
        <f>HYPERLINK("https://faoschwarz.com/products/wild-kratts-chris-tonie", "https://faoschwarz.com/products/wild-kratts-chris-tonie")</f>
        <v/>
      </c>
      <c r="C4775" t="inlineStr">
        <is>
          <t>Wild Kratts Chris Tonie</t>
        </is>
      </c>
      <c r="D4775" t="inlineStr">
        <is>
          <t>Tonies Martin Audio Play Character from Wild Kratts</t>
        </is>
      </c>
      <c r="E4775" s="2">
        <f>HYPERLINK("https://www.amazon.com/Tonies-Martin-Audio-Character-Kratts/dp/B09QMTRRDX/ref=sr_1_2?keywords=Wild+Kratts+Chris+Tonie&amp;qid=1695565945&amp;sr=8-2", "https://www.amazon.com/Tonies-Martin-Audio-Character-Kratts/dp/B09QMTRRDX/ref=sr_1_2?keywords=Wild+Kratts+Chris+Tonie&amp;qid=1695565945&amp;sr=8-2")</f>
        <v/>
      </c>
      <c r="F4775" t="inlineStr">
        <is>
          <t>B09QMTRRDX</t>
        </is>
      </c>
      <c r="G4775">
        <f>_xlfn.IMAGE("https://faoschwarz.com/cdn/shop/products/tonies-electronics-wild-kratts-chris-tonie-29619301253207_1080x.jpg?v=1665783727")</f>
        <v/>
      </c>
      <c r="H4775">
        <f>_xlfn.IMAGE("https://m.media-amazon.com/images/I/71lQoAG6QdL._AC_UL320_.jpg")</f>
        <v/>
      </c>
      <c r="K4775" t="inlineStr">
        <is>
          <t>20.0</t>
        </is>
      </c>
      <c r="L4775" t="n">
        <v>17.99</v>
      </c>
      <c r="M4775" s="1" t="inlineStr">
        <is>
          <t>-10.05%</t>
        </is>
      </c>
      <c r="N4775" t="n">
        <v>4.9</v>
      </c>
      <c r="O4775" t="n">
        <v>154</v>
      </c>
      <c r="Q4775" t="inlineStr">
        <is>
          <t>InStock</t>
        </is>
      </c>
      <c r="R4775" t="inlineStr">
        <is>
          <t>undefined</t>
        </is>
      </c>
      <c r="S4775" t="inlineStr">
        <is>
          <t>6782940512343</t>
        </is>
      </c>
    </row>
    <row r="4776" ht="75" customHeight="1">
      <c r="A4776" s="2">
        <f>HYPERLINK("https://faoschwarz.com/products/wild-kratts-chris-tonie", "https://faoschwarz.com/products/wild-kratts-chris-tonie")</f>
        <v/>
      </c>
      <c r="B4776" s="2">
        <f>HYPERLINK("https://faoschwarz.com/products/wild-kratts-chris-tonie", "https://faoschwarz.com/products/wild-kratts-chris-tonie")</f>
        <v/>
      </c>
      <c r="C4776" t="inlineStr">
        <is>
          <t>Wild Kratts Chris Tonie</t>
        </is>
      </c>
      <c r="D4776" t="inlineStr">
        <is>
          <t>Tonies Chris Audio Play Character from Wild Kratts</t>
        </is>
      </c>
      <c r="E4776" s="2">
        <f>HYPERLINK("https://www.amazon.com/Tonies-Chris-Audio-Character-Kratts/dp/B09QNB6TLJ/ref=sr_1_1?keywords=Wild+Kratts+Chris+Tonie&amp;qid=1695565945&amp;sr=8-1", "https://www.amazon.com/Tonies-Chris-Audio-Character-Kratts/dp/B09QNB6TLJ/ref=sr_1_1?keywords=Wild+Kratts+Chris+Tonie&amp;qid=1695565945&amp;sr=8-1")</f>
        <v/>
      </c>
      <c r="F4776" t="inlineStr">
        <is>
          <t>B09QNB6TLJ</t>
        </is>
      </c>
      <c r="G4776">
        <f>_xlfn.IMAGE("https://faoschwarz.com/cdn/shop/products/tonies-electronics-wild-kratts-chris-tonie-29619301253207_1080x.jpg?v=1665783727")</f>
        <v/>
      </c>
      <c r="H4776">
        <f>_xlfn.IMAGE("https://m.media-amazon.com/images/I/71l6wSY61vL._AC_UL320_.jpg")</f>
        <v/>
      </c>
      <c r="K4776" t="inlineStr">
        <is>
          <t>20.0</t>
        </is>
      </c>
      <c r="L4776" t="n">
        <v>17.99</v>
      </c>
      <c r="M4776" s="1" t="inlineStr">
        <is>
          <t>-10.05%</t>
        </is>
      </c>
      <c r="N4776" t="n">
        <v>4.9</v>
      </c>
      <c r="O4776" t="n">
        <v>162</v>
      </c>
      <c r="Q4776" t="inlineStr">
        <is>
          <t>InStock</t>
        </is>
      </c>
      <c r="R4776" t="inlineStr">
        <is>
          <t>undefined</t>
        </is>
      </c>
      <c r="S4776" t="inlineStr">
        <is>
          <t>6782940512343</t>
        </is>
      </c>
    </row>
    <row r="4777" ht="75" customHeight="1">
      <c r="A4777" s="2">
        <f>HYPERLINK("https://faoschwarz.com/products/wooden-busy-board", "https://faoschwarz.com/products/wooden-busy-board")</f>
        <v/>
      </c>
      <c r="B4777" s="2">
        <f>HYPERLINK("https://faoschwarz.com/products/wooden-busy-board", "https://faoschwarz.com/products/wooden-busy-board")</f>
        <v/>
      </c>
      <c r="C4777" t="inlineStr">
        <is>
          <t>Wooden Busy Board</t>
        </is>
      </c>
      <c r="D4777" t="inlineStr">
        <is>
          <t>HELLOWOOD Wooden Busy Board for Toddlers 1-3 2-4, Montessori Learning Toy with 19 Eductional Activities, Sensory Activity Board to Develop Fine &amp; Life Motor Skills, Gift for Boy &amp; Girl</t>
        </is>
      </c>
      <c r="E4777" s="2">
        <f>HYPERLINK("https://www.amazon.com/HELLOWOOD-Toddlers-Montessori-Eductional-Activities/dp/B0C2PJ1B4D/ref=sr_1_6?keywords=Wooden+Busy+Board&amp;qid=1695566009&amp;sr=8-6", "https://www.amazon.com/HELLOWOOD-Toddlers-Montessori-Eductional-Activities/dp/B0C2PJ1B4D/ref=sr_1_6?keywords=Wooden+Busy+Board&amp;qid=1695566009&amp;sr=8-6")</f>
        <v/>
      </c>
      <c r="F4777" t="inlineStr">
        <is>
          <t>B0C2PJ1B4D</t>
        </is>
      </c>
      <c r="G4777">
        <f>_xlfn.IMAGE("https://faoschwarz.com/cdn/shop/files/wonder-wise-preschool-wooden-busy-board-30541855588439_1080x.jpg?v=1693426718")</f>
        <v/>
      </c>
      <c r="H4777">
        <f>_xlfn.IMAGE("https://m.media-amazon.com/images/I/81hZwWPujdL._AC_UL320_.jpg")</f>
        <v/>
      </c>
      <c r="K4777" t="inlineStr">
        <is>
          <t>149.0</t>
        </is>
      </c>
      <c r="L4777" t="n">
        <v>33.99</v>
      </c>
      <c r="M4777" s="1" t="inlineStr">
        <is>
          <t>-77.19%</t>
        </is>
      </c>
      <c r="N4777" t="n">
        <v>4.5</v>
      </c>
      <c r="O4777" t="n">
        <v>119</v>
      </c>
      <c r="Q4777" t="inlineStr">
        <is>
          <t>InStock</t>
        </is>
      </c>
      <c r="R4777" t="inlineStr">
        <is>
          <t>undefined</t>
        </is>
      </c>
      <c r="S4777" t="inlineStr">
        <is>
          <t>6896149889111</t>
        </is>
      </c>
    </row>
    <row r="4778" ht="75" customHeight="1">
      <c r="A4778" s="2">
        <f>HYPERLINK("https://faoschwarz.com/products/wooden-busy-board", "https://faoschwarz.com/products/wooden-busy-board")</f>
        <v/>
      </c>
      <c r="B4778" s="2">
        <f>HYPERLINK("https://faoschwarz.com/products/wooden-busy-board", "https://faoschwarz.com/products/wooden-busy-board")</f>
        <v/>
      </c>
      <c r="C4778" t="inlineStr">
        <is>
          <t>Wooden Busy Board</t>
        </is>
      </c>
      <c r="D4778" t="inlineStr">
        <is>
          <t>Smartwo Double-Sided Busy Board, 20+ Montessori Activities Wooden Sensory Toy for Preschool Educational Learning, Train Kid’s Fine Motor, Concentration, and Life Skill Abilities</t>
        </is>
      </c>
      <c r="E4778" s="2">
        <f>HYPERLINK("https://www.amazon.com/Smartwo-Double-Sided-Montessori-Educational-Concentration/dp/B0BB99ND5L/ref=sr_1_8?keywords=Wooden+Busy+Board&amp;qid=1695566009&amp;sr=8-8", "https://www.amazon.com/Smartwo-Double-Sided-Montessori-Educational-Concentration/dp/B0BB99ND5L/ref=sr_1_8?keywords=Wooden+Busy+Board&amp;qid=1695566009&amp;sr=8-8")</f>
        <v/>
      </c>
      <c r="F4778" t="inlineStr">
        <is>
          <t>B0BB99ND5L</t>
        </is>
      </c>
      <c r="G4778">
        <f>_xlfn.IMAGE("https://faoschwarz.com/cdn/shop/files/wonder-wise-preschool-wooden-busy-board-30541855588439_1080x.jpg?v=1693426718")</f>
        <v/>
      </c>
      <c r="H4778">
        <f>_xlfn.IMAGE("https://m.media-amazon.com/images/I/71MaWT27B0L._AC_UL320_.jpg")</f>
        <v/>
      </c>
      <c r="K4778" t="inlineStr">
        <is>
          <t>149.0</t>
        </is>
      </c>
      <c r="L4778" t="n">
        <v>29.99</v>
      </c>
      <c r="M4778" s="1" t="inlineStr">
        <is>
          <t>-79.87%</t>
        </is>
      </c>
      <c r="N4778" t="n">
        <v>4.5</v>
      </c>
      <c r="O4778" t="n">
        <v>204</v>
      </c>
      <c r="Q4778" t="inlineStr">
        <is>
          <t>InStock</t>
        </is>
      </c>
      <c r="R4778" t="inlineStr">
        <is>
          <t>undefined</t>
        </is>
      </c>
      <c r="S4778" t="inlineStr">
        <is>
          <t>6896149889111</t>
        </is>
      </c>
    </row>
    <row r="4779" ht="75" customHeight="1">
      <c r="A4779" s="2">
        <f>HYPERLINK("https://faoschwarz.com/products/wooden-busy-board", "https://faoschwarz.com/products/wooden-busy-board")</f>
        <v/>
      </c>
      <c r="B4779" s="2">
        <f>HYPERLINK("https://faoschwarz.com/products/wooden-busy-board", "https://faoschwarz.com/products/wooden-busy-board")</f>
        <v/>
      </c>
      <c r="C4779" t="inlineStr">
        <is>
          <t>Wooden Busy Board</t>
        </is>
      </c>
      <c r="D4779" t="inlineStr">
        <is>
          <t>NDMUS Montessori Busy Board for Toddler | 12 LED Light Switches Wooden Sensory Board Travel Toy, Baby Road &amp; Airplane Trip Essentials, Christmas &amp; Birthday Gift for 1 2 3 Year Old Boys and Girls</t>
        </is>
      </c>
      <c r="E4779" s="2" t="n"/>
      <c r="F4779" t="inlineStr">
        <is>
          <t>B0C6X5GRMR</t>
        </is>
      </c>
      <c r="G4779">
        <f>_xlfn.IMAGE("https://faoschwarz.com/cdn/shop/files/wonder-wise-preschool-wooden-busy-board-30541855588439_1080x.jpg?v=1693426718")</f>
        <v/>
      </c>
      <c r="H4779">
        <f>_xlfn.IMAGE("https://m.media-amazon.com/images/I/81he436foxL._AC_UL320_.jpg")</f>
        <v/>
      </c>
      <c r="K4779" t="inlineStr">
        <is>
          <t>149.0</t>
        </is>
      </c>
      <c r="L4779" t="n">
        <v>29.99</v>
      </c>
      <c r="M4779" s="1" t="inlineStr">
        <is>
          <t>-79.87%</t>
        </is>
      </c>
      <c r="N4779" t="n">
        <v>4.7</v>
      </c>
      <c r="O4779" t="n">
        <v>38</v>
      </c>
      <c r="Q4779" t="inlineStr">
        <is>
          <t>InStock</t>
        </is>
      </c>
      <c r="R4779" t="inlineStr">
        <is>
          <t>undefined</t>
        </is>
      </c>
      <c r="S4779" t="inlineStr">
        <is>
          <t>6896149889111</t>
        </is>
      </c>
    </row>
    <row r="4780" ht="75" customHeight="1">
      <c r="A4780" s="2">
        <f>HYPERLINK("https://faoschwarz.com/products/wooden-busy-board", "https://faoschwarz.com/products/wooden-busy-board")</f>
        <v/>
      </c>
      <c r="B4780" s="2">
        <f>HYPERLINK("https://faoschwarz.com/products/wooden-busy-board", "https://faoschwarz.com/products/wooden-busy-board")</f>
        <v/>
      </c>
      <c r="C4780" t="inlineStr">
        <is>
          <t>Wooden Busy Board</t>
        </is>
      </c>
      <c r="D4780" t="inlineStr">
        <is>
          <t>Jumble Dream Toddler Busy Board, Wooden Handmade Montessori Busy Board for Motor Learning &amp; Education – Activity Sensory Toys for Autistic &amp; ADHD Children</t>
        </is>
      </c>
      <c r="E4780" s="2">
        <f>HYPERLINK("https://www.amazon.com/Jumble-Dream-Handmade-Montessori-Development/dp/B0B3KQNH5P/ref=sr_1_9?keywords=Wooden+Busy+Board&amp;qid=1695566009&amp;sr=8-9", "https://www.amazon.com/Jumble-Dream-Handmade-Montessori-Development/dp/B0B3KQNH5P/ref=sr_1_9?keywords=Wooden+Busy+Board&amp;qid=1695566009&amp;sr=8-9")</f>
        <v/>
      </c>
      <c r="F4780" t="inlineStr">
        <is>
          <t>B0B3KQNH5P</t>
        </is>
      </c>
      <c r="G4780">
        <f>_xlfn.IMAGE("https://faoschwarz.com/cdn/shop/files/wonder-wise-preschool-wooden-busy-board-30541855588439_1080x.jpg?v=1693426718")</f>
        <v/>
      </c>
      <c r="H4780">
        <f>_xlfn.IMAGE("https://m.media-amazon.com/images/I/81D1+KeBspL._AC_UL320_.jpg")</f>
        <v/>
      </c>
      <c r="K4780" t="inlineStr">
        <is>
          <t>149.0</t>
        </is>
      </c>
      <c r="L4780" t="n">
        <v>29.99</v>
      </c>
      <c r="M4780" s="1" t="inlineStr">
        <is>
          <t>-79.87%</t>
        </is>
      </c>
      <c r="N4780" t="n">
        <v>4.4</v>
      </c>
      <c r="O4780" t="n">
        <v>214</v>
      </c>
      <c r="Q4780" t="inlineStr">
        <is>
          <t>InStock</t>
        </is>
      </c>
      <c r="R4780" t="inlineStr">
        <is>
          <t>undefined</t>
        </is>
      </c>
      <c r="S4780" t="inlineStr">
        <is>
          <t>6896149889111</t>
        </is>
      </c>
    </row>
    <row r="4781" ht="75" customHeight="1">
      <c r="A4781" s="2">
        <f>HYPERLINK("https://faoschwarz.com/products/wooden-busy-board", "https://faoschwarz.com/products/wooden-busy-board")</f>
        <v/>
      </c>
      <c r="B4781" s="2">
        <f>HYPERLINK("https://faoschwarz.com/products/wooden-busy-board", "https://faoschwarz.com/products/wooden-busy-board")</f>
        <v/>
      </c>
      <c r="C4781" t="inlineStr">
        <is>
          <t>Wooden Busy Board</t>
        </is>
      </c>
      <c r="D4781" t="inlineStr">
        <is>
          <t>TINTECUSA LED Busy Board, Wooden Sensory Toys for Toddler, Montessori Music Toy for Airplane, Travel Activity Educational Learning Toy, Busy Light Switch Autism Toys, Birthday Boys Girls Gifts</t>
        </is>
      </c>
      <c r="E4781" s="2">
        <f>HYPERLINK("https://www.amazon.com/TINTECUSA-Montessori-Airplane-Activity-Educational/dp/B0BRCBD886/ref=sr_1_7?keywords=Wooden+Busy+Board&amp;qid=1695566009&amp;sr=8-7", "https://www.amazon.com/TINTECUSA-Montessori-Airplane-Activity-Educational/dp/B0BRCBD886/ref=sr_1_7?keywords=Wooden+Busy+Board&amp;qid=1695566009&amp;sr=8-7")</f>
        <v/>
      </c>
      <c r="F4781" t="inlineStr">
        <is>
          <t>B0BRCBD886</t>
        </is>
      </c>
      <c r="G4781">
        <f>_xlfn.IMAGE("https://faoschwarz.com/cdn/shop/files/wonder-wise-preschool-wooden-busy-board-30541855588439_1080x.jpg?v=1693426718")</f>
        <v/>
      </c>
      <c r="H4781">
        <f>_xlfn.IMAGE("https://m.media-amazon.com/images/I/712mkKc5M1L._AC_UL320_.jpg")</f>
        <v/>
      </c>
      <c r="K4781" t="inlineStr">
        <is>
          <t>149.0</t>
        </is>
      </c>
      <c r="L4781" t="n">
        <v>24.55</v>
      </c>
      <c r="M4781" s="1" t="inlineStr">
        <is>
          <t>-83.52%</t>
        </is>
      </c>
      <c r="N4781" t="n">
        <v>4.4</v>
      </c>
      <c r="O4781" t="n">
        <v>248</v>
      </c>
      <c r="Q4781" t="inlineStr">
        <is>
          <t>InStock</t>
        </is>
      </c>
      <c r="R4781" t="inlineStr">
        <is>
          <t>undefined</t>
        </is>
      </c>
      <c r="S4781" t="inlineStr">
        <is>
          <t>6896149889111</t>
        </is>
      </c>
    </row>
    <row r="4782" ht="75" customHeight="1">
      <c r="A4782" s="2">
        <f>HYPERLINK("https://faoschwarz.com/products/wooden-busy-board", "https://faoschwarz.com/products/wooden-busy-board")</f>
        <v/>
      </c>
      <c r="B4782" s="2">
        <f>HYPERLINK("https://faoschwarz.com/products/wooden-busy-board", "https://faoschwarz.com/products/wooden-busy-board")</f>
        <v/>
      </c>
      <c r="C4782" t="inlineStr">
        <is>
          <t>Wooden Busy Board</t>
        </is>
      </c>
      <c r="D4782" t="inlineStr">
        <is>
          <t>Montessori Busy Board for Toddlers, Wooden Sensory Toys, Preschool Learning Activities for Fine Motor Skills Travel Toy, Basic Life Skills Educational Gifts for 1, 2, 3 Years Old Kids Boys Girls</t>
        </is>
      </c>
      <c r="E4782" s="2">
        <f>HYPERLINK("https://www.amazon.com/Montessori-Toddlers-Preschool-Activities-Educational/dp/B0B84T2S5D/ref=sr_1_5?keywords=Wooden+Busy+Board&amp;qid=1695566009&amp;sr=8-5", "https://www.amazon.com/Montessori-Toddlers-Preschool-Activities-Educational/dp/B0B84T2S5D/ref=sr_1_5?keywords=Wooden+Busy+Board&amp;qid=1695566009&amp;sr=8-5")</f>
        <v/>
      </c>
      <c r="F4782" t="inlineStr">
        <is>
          <t>B0B84T2S5D</t>
        </is>
      </c>
      <c r="G4782">
        <f>_xlfn.IMAGE("https://faoschwarz.com/cdn/shop/files/wonder-wise-preschool-wooden-busy-board-30541855588439_1080x.jpg?v=1693426718")</f>
        <v/>
      </c>
      <c r="H4782">
        <f>_xlfn.IMAGE("https://m.media-amazon.com/images/I/81ksUxgMsaL._AC_UL320_.jpg")</f>
        <v/>
      </c>
      <c r="K4782" t="inlineStr">
        <is>
          <t>149.0</t>
        </is>
      </c>
      <c r="L4782" t="n">
        <v>19.79</v>
      </c>
      <c r="M4782" s="1" t="inlineStr">
        <is>
          <t>-86.72%</t>
        </is>
      </c>
      <c r="N4782" t="n">
        <v>4.5</v>
      </c>
      <c r="O4782" t="n">
        <v>404</v>
      </c>
      <c r="Q4782" t="inlineStr">
        <is>
          <t>InStock</t>
        </is>
      </c>
      <c r="R4782" t="inlineStr">
        <is>
          <t>undefined</t>
        </is>
      </c>
      <c r="S4782" t="inlineStr">
        <is>
          <t>6896149889111</t>
        </is>
      </c>
    </row>
    <row r="4783" ht="75" customHeight="1">
      <c r="A4783" s="2">
        <f>HYPERLINK("https://faoschwarz.com/products/wooden-busy-board", "https://faoschwarz.com/products/wooden-busy-board")</f>
        <v/>
      </c>
      <c r="B4783" s="2">
        <f>HYPERLINK("https://faoschwarz.com/products/wooden-busy-board", "https://faoschwarz.com/products/wooden-busy-board")</f>
        <v/>
      </c>
      <c r="C4783" t="inlineStr">
        <is>
          <t>Wooden Busy Board</t>
        </is>
      </c>
      <c r="D4783" t="inlineStr">
        <is>
          <t>Busy Board with 8 LED Light, Montessori Toys for Toddlers 1 2 3 Year Old, Sensory Toys with Light Switches for Ages 1-3 Kids Boys Girls, Wooden Busy Board for Educational Activities, Ideal Travel Toys</t>
        </is>
      </c>
      <c r="E4783" s="2">
        <f>HYPERLINK("https://www.amazon.com/Montessori-Toddlers-Switches-Educational-Activities/dp/B0BZHXBLH5/ref=sr_1_10?keywords=Wooden+Busy+Board&amp;qid=1695566009&amp;sr=8-10", "https://www.amazon.com/Montessori-Toddlers-Switches-Educational-Activities/dp/B0BZHXBLH5/ref=sr_1_10?keywords=Wooden+Busy+Board&amp;qid=1695566009&amp;sr=8-10")</f>
        <v/>
      </c>
      <c r="F4783" t="inlineStr">
        <is>
          <t>B0BZHXBLH5</t>
        </is>
      </c>
      <c r="G4783">
        <f>_xlfn.IMAGE("https://faoschwarz.com/cdn/shop/files/wonder-wise-preschool-wooden-busy-board-30541855588439_1080x.jpg?v=1693426718")</f>
        <v/>
      </c>
      <c r="H4783">
        <f>_xlfn.IMAGE("https://m.media-amazon.com/images/I/71uB06DbhZL._AC_UL320_.jpg")</f>
        <v/>
      </c>
      <c r="K4783" t="inlineStr">
        <is>
          <t>149.0</t>
        </is>
      </c>
      <c r="L4783" t="n">
        <v>17.99</v>
      </c>
      <c r="M4783" s="1" t="inlineStr">
        <is>
          <t>-87.93%</t>
        </is>
      </c>
      <c r="N4783" t="n">
        <v>4.3</v>
      </c>
      <c r="O4783" t="n">
        <v>198</v>
      </c>
      <c r="Q4783" t="inlineStr">
        <is>
          <t>InStock</t>
        </is>
      </c>
      <c r="R4783" t="inlineStr">
        <is>
          <t>undefined</t>
        </is>
      </c>
      <c r="S4783" t="inlineStr">
        <is>
          <t>6896149889111</t>
        </is>
      </c>
    </row>
    <row r="4784" ht="75" customHeight="1">
      <c r="A4784" s="2">
        <f>HYPERLINK("https://faoschwarz.com/products/wooden-busy-board", "https://faoschwarz.com/products/wooden-busy-board")</f>
        <v/>
      </c>
      <c r="B4784" s="2">
        <f>HYPERLINK("https://faoschwarz.com/products/wooden-busy-board", "https://faoschwarz.com/products/wooden-busy-board")</f>
        <v/>
      </c>
      <c r="C4784" t="inlineStr">
        <is>
          <t>Wooden Busy Board</t>
        </is>
      </c>
      <c r="D4784" t="inlineStr">
        <is>
          <t>Busy Board with 8 LED Light, Montessori Toys for Toddlers 1 2 3 Year Old, Sensory Toys with Light Switches for Ages 1-3 Kids Boys Girls, Wooden Busy Board for Educational Activities, Ideal Travel Toys</t>
        </is>
      </c>
      <c r="E4784" s="2" t="n"/>
      <c r="F4784" t="inlineStr">
        <is>
          <t>B0BZHXBLH5</t>
        </is>
      </c>
      <c r="G4784">
        <f>_xlfn.IMAGE("https://faoschwarz.com/cdn/shop/files/wonder-wise-preschool-wooden-busy-board-30541855588439_1080x.jpg?v=1693426718")</f>
        <v/>
      </c>
      <c r="H4784">
        <f>_xlfn.IMAGE("https://m.media-amazon.com/images/I/71uB06DbhZL._AC_UL320_.jpg")</f>
        <v/>
      </c>
      <c r="K4784" t="inlineStr">
        <is>
          <t>149.0</t>
        </is>
      </c>
      <c r="L4784" t="n">
        <v>17.99</v>
      </c>
      <c r="M4784" s="1" t="inlineStr">
        <is>
          <t>-87.93%</t>
        </is>
      </c>
      <c r="N4784" t="n">
        <v>4.3</v>
      </c>
      <c r="O4784" t="n">
        <v>198</v>
      </c>
      <c r="Q4784" t="inlineStr">
        <is>
          <t>InStock</t>
        </is>
      </c>
      <c r="R4784" t="inlineStr">
        <is>
          <t>undefined</t>
        </is>
      </c>
      <c r="S4784" t="inlineStr">
        <is>
          <t>6896149889111</t>
        </is>
      </c>
    </row>
    <row r="4785" ht="75" customHeight="1">
      <c r="A4785" s="2">
        <f>HYPERLINK("https://faoschwarz.com/products/wooden-busy-board", "https://faoschwarz.com/products/wooden-busy-board")</f>
        <v/>
      </c>
      <c r="B4785" s="2">
        <f>HYPERLINK("https://faoschwarz.com/products/wooden-busy-board", "https://faoschwarz.com/products/wooden-busy-board")</f>
        <v/>
      </c>
      <c r="C4785" t="inlineStr">
        <is>
          <t>Wooden Busy Board</t>
        </is>
      </c>
      <c r="D4785" t="inlineStr">
        <is>
          <t>HELLOWOOD Wooden Busy Board for Toddlers 1-3 2-4, Montessori Learning Toy with 19 Eductional Activities, Sensory Activity Board to Develop Fine &amp; Life Motor Skills, Gift for Boy &amp; Girl</t>
        </is>
      </c>
      <c r="E4785" s="2">
        <f>HYPERLINK("https://www.amazon.com/HELLOWOOD-Toddlers-Montessori-Eductional-Activities/dp/B0C2PJ1B4D/ref=sr_1_6?keywords=Wooden+Busy+Board&amp;qid=1695566009&amp;sr=8-6", "https://www.amazon.com/HELLOWOOD-Toddlers-Montessori-Eductional-Activities/dp/B0C2PJ1B4D/ref=sr_1_6?keywords=Wooden+Busy+Board&amp;qid=1695566009&amp;sr=8-6")</f>
        <v/>
      </c>
      <c r="F4785" t="inlineStr">
        <is>
          <t>B0C2PJ1B4D</t>
        </is>
      </c>
      <c r="G4785">
        <f>_xlfn.IMAGE("https://faoschwarz.com/cdn/shop/files/wonder-wise-preschool-wooden-busy-board-30541855588439_1080x.jpg?v=1693426718")</f>
        <v/>
      </c>
      <c r="H4785">
        <f>_xlfn.IMAGE("https://m.media-amazon.com/images/I/81hZwWPujdL._AC_UL320_.jpg")</f>
        <v/>
      </c>
      <c r="K4785" t="inlineStr">
        <is>
          <t>149.0</t>
        </is>
      </c>
      <c r="L4785" t="n">
        <v>33.99</v>
      </c>
      <c r="M4785" s="1" t="inlineStr">
        <is>
          <t>-77.19%</t>
        </is>
      </c>
      <c r="N4785" t="n">
        <v>4.5</v>
      </c>
      <c r="O4785" t="n">
        <v>119</v>
      </c>
      <c r="Q4785" t="inlineStr">
        <is>
          <t>InStock</t>
        </is>
      </c>
      <c r="R4785" t="inlineStr">
        <is>
          <t>undefined</t>
        </is>
      </c>
      <c r="S4785" t="inlineStr">
        <is>
          <t>6896149889111</t>
        </is>
      </c>
    </row>
    <row r="4786" ht="75" customHeight="1">
      <c r="A4786" s="2">
        <f>HYPERLINK("https://faoschwarz.com/products/wooden-busy-board", "https://faoschwarz.com/products/wooden-busy-board")</f>
        <v/>
      </c>
      <c r="B4786" s="2">
        <f>HYPERLINK("https://faoschwarz.com/products/wooden-busy-board", "https://faoschwarz.com/products/wooden-busy-board")</f>
        <v/>
      </c>
      <c r="C4786" t="inlineStr">
        <is>
          <t>Wooden Busy Board</t>
        </is>
      </c>
      <c r="D4786" t="inlineStr">
        <is>
          <t>Smartwo Double-Sided Busy Board, 20+ Montessori Activities Wooden Sensory Toy for Preschool Educational Learning, Train Kid’s Fine Motor, Concentration, and Life Skill Abilities</t>
        </is>
      </c>
      <c r="E4786" s="2">
        <f>HYPERLINK("https://www.amazon.com/Smartwo-Double-Sided-Montessori-Educational-Concentration/dp/B0BB99ND5L/ref=sr_1_8?keywords=Wooden+Busy+Board&amp;qid=1695566009&amp;sr=8-8", "https://www.amazon.com/Smartwo-Double-Sided-Montessori-Educational-Concentration/dp/B0BB99ND5L/ref=sr_1_8?keywords=Wooden+Busy+Board&amp;qid=1695566009&amp;sr=8-8")</f>
        <v/>
      </c>
      <c r="F4786" t="inlineStr">
        <is>
          <t>B0BB99ND5L</t>
        </is>
      </c>
      <c r="G4786">
        <f>_xlfn.IMAGE("https://faoschwarz.com/cdn/shop/files/wonder-wise-preschool-wooden-busy-board-30541855588439_1080x.jpg?v=1693426718")</f>
        <v/>
      </c>
      <c r="H4786">
        <f>_xlfn.IMAGE("https://m.media-amazon.com/images/I/71MaWT27B0L._AC_UL320_.jpg")</f>
        <v/>
      </c>
      <c r="K4786" t="inlineStr">
        <is>
          <t>149.0</t>
        </is>
      </c>
      <c r="L4786" t="n">
        <v>29.99</v>
      </c>
      <c r="M4786" s="1" t="inlineStr">
        <is>
          <t>-79.87%</t>
        </is>
      </c>
      <c r="N4786" t="n">
        <v>4.5</v>
      </c>
      <c r="O4786" t="n">
        <v>204</v>
      </c>
      <c r="Q4786" t="inlineStr">
        <is>
          <t>InStock</t>
        </is>
      </c>
      <c r="R4786" t="inlineStr">
        <is>
          <t>undefined</t>
        </is>
      </c>
      <c r="S4786" t="inlineStr">
        <is>
          <t>6896149889111</t>
        </is>
      </c>
    </row>
    <row r="4787" ht="75" customHeight="1">
      <c r="A4787" s="2">
        <f>HYPERLINK("https://faoschwarz.com/products/wooden-busy-board", "https://faoschwarz.com/products/wooden-busy-board")</f>
        <v/>
      </c>
      <c r="B4787" s="2">
        <f>HYPERLINK("https://faoschwarz.com/products/wooden-busy-board", "https://faoschwarz.com/products/wooden-busy-board")</f>
        <v/>
      </c>
      <c r="C4787" t="inlineStr">
        <is>
          <t>Wooden Busy Board</t>
        </is>
      </c>
      <c r="D4787" t="inlineStr">
        <is>
          <t>NDMUS Montessori Busy Board for Toddler | 12 LED Light Switches Wooden Sensory Board Travel Toy, Baby Road &amp; Airplane Trip Essentials, Christmas &amp; Birthday Gift for 1 2 3 Year Old Boys and Girls</t>
        </is>
      </c>
      <c r="E4787" s="2" t="n"/>
      <c r="F4787" t="inlineStr">
        <is>
          <t>B0C6X5GRMR</t>
        </is>
      </c>
      <c r="G4787">
        <f>_xlfn.IMAGE("https://faoschwarz.com/cdn/shop/files/wonder-wise-preschool-wooden-busy-board-30541855588439_1080x.jpg?v=1693426718")</f>
        <v/>
      </c>
      <c r="H4787">
        <f>_xlfn.IMAGE("https://m.media-amazon.com/images/I/81he436foxL._AC_UL320_.jpg")</f>
        <v/>
      </c>
      <c r="K4787" t="inlineStr">
        <is>
          <t>149.0</t>
        </is>
      </c>
      <c r="L4787" t="n">
        <v>29.99</v>
      </c>
      <c r="M4787" s="1" t="inlineStr">
        <is>
          <t>-79.87%</t>
        </is>
      </c>
      <c r="N4787" t="n">
        <v>4.7</v>
      </c>
      <c r="O4787" t="n">
        <v>38</v>
      </c>
      <c r="Q4787" t="inlineStr">
        <is>
          <t>InStock</t>
        </is>
      </c>
      <c r="R4787" t="inlineStr">
        <is>
          <t>undefined</t>
        </is>
      </c>
      <c r="S4787" t="inlineStr">
        <is>
          <t>6896149889111</t>
        </is>
      </c>
    </row>
    <row r="4788" ht="75" customHeight="1">
      <c r="A4788" s="2">
        <f>HYPERLINK("https://faoschwarz.com/products/wooden-busy-board", "https://faoschwarz.com/products/wooden-busy-board")</f>
        <v/>
      </c>
      <c r="B4788" s="2">
        <f>HYPERLINK("https://faoschwarz.com/products/wooden-busy-board", "https://faoschwarz.com/products/wooden-busy-board")</f>
        <v/>
      </c>
      <c r="C4788" t="inlineStr">
        <is>
          <t>Wooden Busy Board</t>
        </is>
      </c>
      <c r="D4788" t="inlineStr">
        <is>
          <t>Jumble Dream Toddler Busy Board, Wooden Handmade Montessori Busy Board for Motor Learning &amp; Education – Activity Sensory Toys for Autistic &amp; ADHD Children</t>
        </is>
      </c>
      <c r="E4788" s="2">
        <f>HYPERLINK("https://www.amazon.com/Jumble-Dream-Handmade-Montessori-Development/dp/B0B3KQNH5P/ref=sr_1_9?keywords=Wooden+Busy+Board&amp;qid=1695566009&amp;sr=8-9", "https://www.amazon.com/Jumble-Dream-Handmade-Montessori-Development/dp/B0B3KQNH5P/ref=sr_1_9?keywords=Wooden+Busy+Board&amp;qid=1695566009&amp;sr=8-9")</f>
        <v/>
      </c>
      <c r="F4788" t="inlineStr">
        <is>
          <t>B0B3KQNH5P</t>
        </is>
      </c>
      <c r="G4788">
        <f>_xlfn.IMAGE("https://faoschwarz.com/cdn/shop/files/wonder-wise-preschool-wooden-busy-board-30541855588439_1080x.jpg?v=1693426718")</f>
        <v/>
      </c>
      <c r="H4788">
        <f>_xlfn.IMAGE("https://m.media-amazon.com/images/I/81D1+KeBspL._AC_UL320_.jpg")</f>
        <v/>
      </c>
      <c r="K4788" t="inlineStr">
        <is>
          <t>149.0</t>
        </is>
      </c>
      <c r="L4788" t="n">
        <v>29.99</v>
      </c>
      <c r="M4788" s="1" t="inlineStr">
        <is>
          <t>-79.87%</t>
        </is>
      </c>
      <c r="N4788" t="n">
        <v>4.4</v>
      </c>
      <c r="O4788" t="n">
        <v>214</v>
      </c>
      <c r="Q4788" t="inlineStr">
        <is>
          <t>InStock</t>
        </is>
      </c>
      <c r="R4788" t="inlineStr">
        <is>
          <t>undefined</t>
        </is>
      </c>
      <c r="S4788" t="inlineStr">
        <is>
          <t>6896149889111</t>
        </is>
      </c>
    </row>
    <row r="4789" ht="75" customHeight="1">
      <c r="A4789" s="2">
        <f>HYPERLINK("https://faoschwarz.com/products/wooden-busy-board", "https://faoschwarz.com/products/wooden-busy-board")</f>
        <v/>
      </c>
      <c r="B4789" s="2">
        <f>HYPERLINK("https://faoschwarz.com/products/wooden-busy-board", "https://faoschwarz.com/products/wooden-busy-board")</f>
        <v/>
      </c>
      <c r="C4789" t="inlineStr">
        <is>
          <t>Wooden Busy Board</t>
        </is>
      </c>
      <c r="D4789" t="inlineStr">
        <is>
          <t>TINTECUSA LED Busy Board, Wooden Sensory Toys for Toddler, Montessori Music Toy for Airplane, Travel Activity Educational Learning Toy, Busy Light Switch Autism Toys, Birthday Boys Girls Gifts</t>
        </is>
      </c>
      <c r="E4789" s="2">
        <f>HYPERLINK("https://www.amazon.com/TINTECUSA-Montessori-Airplane-Activity-Educational/dp/B0BRCBD886/ref=sr_1_7?keywords=Wooden+Busy+Board&amp;qid=1695566009&amp;sr=8-7", "https://www.amazon.com/TINTECUSA-Montessori-Airplane-Activity-Educational/dp/B0BRCBD886/ref=sr_1_7?keywords=Wooden+Busy+Board&amp;qid=1695566009&amp;sr=8-7")</f>
        <v/>
      </c>
      <c r="F4789" t="inlineStr">
        <is>
          <t>B0BRCBD886</t>
        </is>
      </c>
      <c r="G4789">
        <f>_xlfn.IMAGE("https://faoschwarz.com/cdn/shop/files/wonder-wise-preschool-wooden-busy-board-30541855588439_1080x.jpg?v=1693426718")</f>
        <v/>
      </c>
      <c r="H4789">
        <f>_xlfn.IMAGE("https://m.media-amazon.com/images/I/712mkKc5M1L._AC_UL320_.jpg")</f>
        <v/>
      </c>
      <c r="K4789" t="inlineStr">
        <is>
          <t>149.0</t>
        </is>
      </c>
      <c r="L4789" t="n">
        <v>24.55</v>
      </c>
      <c r="M4789" s="1" t="inlineStr">
        <is>
          <t>-83.52%</t>
        </is>
      </c>
      <c r="N4789" t="n">
        <v>4.4</v>
      </c>
      <c r="O4789" t="n">
        <v>248</v>
      </c>
      <c r="Q4789" t="inlineStr">
        <is>
          <t>InStock</t>
        </is>
      </c>
      <c r="R4789" t="inlineStr">
        <is>
          <t>undefined</t>
        </is>
      </c>
      <c r="S4789" t="inlineStr">
        <is>
          <t>6896149889111</t>
        </is>
      </c>
    </row>
    <row r="4790" ht="75" customHeight="1">
      <c r="A4790" s="2">
        <f>HYPERLINK("https://faoschwarz.com/products/wooden-busy-board", "https://faoschwarz.com/products/wooden-busy-board")</f>
        <v/>
      </c>
      <c r="B4790" s="2">
        <f>HYPERLINK("https://faoschwarz.com/products/wooden-busy-board", "https://faoschwarz.com/products/wooden-busy-board")</f>
        <v/>
      </c>
      <c r="C4790" t="inlineStr">
        <is>
          <t>Wooden Busy Board</t>
        </is>
      </c>
      <c r="D4790" t="inlineStr">
        <is>
          <t>Montessori Busy Board for Toddlers, Wooden Sensory Toys, Preschool Learning Activities for Fine Motor Skills Travel Toy, Basic Life Skills Educational Gifts for 1, 2, 3 Years Old Kids Boys Girls</t>
        </is>
      </c>
      <c r="E4790" s="2">
        <f>HYPERLINK("https://www.amazon.com/Montessori-Toddlers-Preschool-Activities-Educational/dp/B0B84T2S5D/ref=sr_1_5?keywords=Wooden+Busy+Board&amp;qid=1695566009&amp;sr=8-5", "https://www.amazon.com/Montessori-Toddlers-Preschool-Activities-Educational/dp/B0B84T2S5D/ref=sr_1_5?keywords=Wooden+Busy+Board&amp;qid=1695566009&amp;sr=8-5")</f>
        <v/>
      </c>
      <c r="F4790" t="inlineStr">
        <is>
          <t>B0B84T2S5D</t>
        </is>
      </c>
      <c r="G4790">
        <f>_xlfn.IMAGE("https://faoschwarz.com/cdn/shop/files/wonder-wise-preschool-wooden-busy-board-30541855588439_1080x.jpg?v=1693426718")</f>
        <v/>
      </c>
      <c r="H4790">
        <f>_xlfn.IMAGE("https://m.media-amazon.com/images/I/81ksUxgMsaL._AC_UL320_.jpg")</f>
        <v/>
      </c>
      <c r="K4790" t="inlineStr">
        <is>
          <t>149.0</t>
        </is>
      </c>
      <c r="L4790" t="n">
        <v>19.79</v>
      </c>
      <c r="M4790" s="1" t="inlineStr">
        <is>
          <t>-86.72%</t>
        </is>
      </c>
      <c r="N4790" t="n">
        <v>4.5</v>
      </c>
      <c r="O4790" t="n">
        <v>404</v>
      </c>
      <c r="Q4790" t="inlineStr">
        <is>
          <t>InStock</t>
        </is>
      </c>
      <c r="R4790" t="inlineStr">
        <is>
          <t>undefined</t>
        </is>
      </c>
      <c r="S4790" t="inlineStr">
        <is>
          <t>6896149889111</t>
        </is>
      </c>
    </row>
    <row r="4791" ht="75" customHeight="1">
      <c r="A4791" s="2">
        <f>HYPERLINK("https://faoschwarz.com/products/wooden-busy-board", "https://faoschwarz.com/products/wooden-busy-board")</f>
        <v/>
      </c>
      <c r="B4791" s="2">
        <f>HYPERLINK("https://faoschwarz.com/products/wooden-busy-board", "https://faoschwarz.com/products/wooden-busy-board")</f>
        <v/>
      </c>
      <c r="C4791" t="inlineStr">
        <is>
          <t>Wooden Busy Board</t>
        </is>
      </c>
      <c r="D4791" t="inlineStr">
        <is>
          <t>Busy Board with 8 LED Light, Montessori Toys for Toddlers 1 2 3 Year Old, Sensory Toys with Light Switches for Ages 1-3 Kids Boys Girls, Wooden Busy Board for Educational Activities, Ideal Travel Toys</t>
        </is>
      </c>
      <c r="E4791" s="2">
        <f>HYPERLINK("https://www.amazon.com/Montessori-Toddlers-Switches-Educational-Activities/dp/B0BZHXBLH5/ref=sr_1_10?keywords=Wooden+Busy+Board&amp;qid=1695566009&amp;sr=8-10", "https://www.amazon.com/Montessori-Toddlers-Switches-Educational-Activities/dp/B0BZHXBLH5/ref=sr_1_10?keywords=Wooden+Busy+Board&amp;qid=1695566009&amp;sr=8-10")</f>
        <v/>
      </c>
      <c r="F4791" t="inlineStr">
        <is>
          <t>B0BZHXBLH5</t>
        </is>
      </c>
      <c r="G4791">
        <f>_xlfn.IMAGE("https://faoschwarz.com/cdn/shop/files/wonder-wise-preschool-wooden-busy-board-30541855588439_1080x.jpg?v=1693426718")</f>
        <v/>
      </c>
      <c r="H4791">
        <f>_xlfn.IMAGE("https://m.media-amazon.com/images/I/71uB06DbhZL._AC_UL320_.jpg")</f>
        <v/>
      </c>
      <c r="K4791" t="inlineStr">
        <is>
          <t>149.0</t>
        </is>
      </c>
      <c r="L4791" t="n">
        <v>17.99</v>
      </c>
      <c r="M4791" s="1" t="inlineStr">
        <is>
          <t>-87.93%</t>
        </is>
      </c>
      <c r="N4791" t="n">
        <v>4.3</v>
      </c>
      <c r="O4791" t="n">
        <v>198</v>
      </c>
      <c r="Q4791" t="inlineStr">
        <is>
          <t>InStock</t>
        </is>
      </c>
      <c r="R4791" t="inlineStr">
        <is>
          <t>undefined</t>
        </is>
      </c>
      <c r="S4791" t="inlineStr">
        <is>
          <t>6896149889111</t>
        </is>
      </c>
    </row>
    <row r="4792" ht="75" customHeight="1">
      <c r="A4792" s="2">
        <f>HYPERLINK("https://faoschwarz.com/products/wooden-busy-board", "https://faoschwarz.com/products/wooden-busy-board")</f>
        <v/>
      </c>
      <c r="B4792" s="2">
        <f>HYPERLINK("https://faoschwarz.com/products/wooden-busy-board", "https://faoschwarz.com/products/wooden-busy-board")</f>
        <v/>
      </c>
      <c r="C4792" t="inlineStr">
        <is>
          <t>Wooden Busy Board</t>
        </is>
      </c>
      <c r="D4792" t="inlineStr">
        <is>
          <t>Busy Board with 8 LED Light, Montessori Toys for Toddlers 1 2 3 Year Old, Sensory Toys with Light Switches for Ages 1-3 Kids Boys Girls, Wooden Busy Board for Educational Activities, Ideal Travel Toys</t>
        </is>
      </c>
      <c r="E4792" s="2" t="n"/>
      <c r="F4792" t="inlineStr">
        <is>
          <t>B0BZHXBLH5</t>
        </is>
      </c>
      <c r="G4792">
        <f>_xlfn.IMAGE("https://faoschwarz.com/cdn/shop/files/wonder-wise-preschool-wooden-busy-board-30541855588439_1080x.jpg?v=1693426718")</f>
        <v/>
      </c>
      <c r="H4792">
        <f>_xlfn.IMAGE("https://m.media-amazon.com/images/I/71uB06DbhZL._AC_UL320_.jpg")</f>
        <v/>
      </c>
      <c r="K4792" t="inlineStr">
        <is>
          <t>149.0</t>
        </is>
      </c>
      <c r="L4792" t="n">
        <v>17.99</v>
      </c>
      <c r="M4792" s="1" t="inlineStr">
        <is>
          <t>-87.93%</t>
        </is>
      </c>
      <c r="N4792" t="n">
        <v>4.3</v>
      </c>
      <c r="O4792" t="n">
        <v>198</v>
      </c>
      <c r="Q4792" t="inlineStr">
        <is>
          <t>InStock</t>
        </is>
      </c>
      <c r="R4792" t="inlineStr">
        <is>
          <t>undefined</t>
        </is>
      </c>
      <c r="S4792" t="inlineStr">
        <is>
          <t>6896149889111</t>
        </is>
      </c>
    </row>
    <row r="4793" ht="75" customHeight="1">
      <c r="A4793" s="2">
        <f>HYPERLINK("https://faoschwarz.com/products/wooden-charcuterie-basket", "https://faoschwarz.com/products/wooden-charcuterie-basket")</f>
        <v/>
      </c>
      <c r="B4793" s="2">
        <f>HYPERLINK("https://faoschwarz.com/products/wooden-charcuterie-basket", "https://faoschwarz.com/products/wooden-charcuterie-basket")</f>
        <v/>
      </c>
      <c r="C4793" t="inlineStr">
        <is>
          <t>Wooden Charcuterie Basket</t>
        </is>
      </c>
      <c r="D4793" t="inlineStr">
        <is>
          <t>Slate Serving Set | 8 Pieces - 1 Black Slate 15X7.5 Serving Board with Soapstone, 2 Ceramic Ramekins, 3 Cheese Knives with Wooden Handles and 1 Wire Basket | Charcuterie, Appetizers, Desserts</t>
        </is>
      </c>
      <c r="E4793" s="2">
        <f>HYPERLINK("https://www.amazon.com/Slate-Serving-Set-Pieces-Charcuterie/dp/B0BN31N9KG/ref=sr_1_2?keywords=Wooden+Charcuterie+Basket&amp;qid=1695565923&amp;sr=8-2", "https://www.amazon.com/Slate-Serving-Set-Pieces-Charcuterie/dp/B0BN31N9KG/ref=sr_1_2?keywords=Wooden+Charcuterie+Basket&amp;qid=1695565923&amp;sr=8-2")</f>
        <v/>
      </c>
      <c r="F4793" t="inlineStr">
        <is>
          <t>B0BN31N9KG</t>
        </is>
      </c>
      <c r="G4793">
        <f>_xlfn.IMAGE("https://faoschwarz.com/cdn/shop/products/tender-leaf-toys-preschool-wooden-charcuterie-basket-29384874623063_1080x.jpg?v=1660681562")</f>
        <v/>
      </c>
      <c r="H4793">
        <f>_xlfn.IMAGE("https://m.media-amazon.com/images/I/810RxZQRPYL._AC_UL320_.jpg")</f>
        <v/>
      </c>
      <c r="K4793" t="inlineStr">
        <is>
          <t>28.0</t>
        </is>
      </c>
      <c r="L4793" t="n">
        <v>34.99</v>
      </c>
      <c r="M4793" s="1" t="inlineStr">
        <is>
          <t>24.96%</t>
        </is>
      </c>
      <c r="N4793" t="n">
        <v>5</v>
      </c>
      <c r="O4793" t="n">
        <v>2</v>
      </c>
      <c r="Q4793" t="inlineStr">
        <is>
          <t>InStock</t>
        </is>
      </c>
      <c r="R4793" t="inlineStr">
        <is>
          <t>undefined</t>
        </is>
      </c>
      <c r="S4793" t="inlineStr">
        <is>
          <t>6795568382039</t>
        </is>
      </c>
    </row>
    <row r="4794" ht="75" customHeight="1">
      <c r="A4794" s="2">
        <f>HYPERLINK("https://faoschwarz.com/products/wooden-charcuterie-basket", "https://faoschwarz.com/products/wooden-charcuterie-basket")</f>
        <v/>
      </c>
      <c r="B4794" s="2">
        <f>HYPERLINK("https://faoschwarz.com/products/wooden-charcuterie-basket", "https://faoschwarz.com/products/wooden-charcuterie-basket")</f>
        <v/>
      </c>
      <c r="C4794" t="inlineStr">
        <is>
          <t>Wooden Charcuterie Basket</t>
        </is>
      </c>
      <c r="D4794" t="inlineStr">
        <is>
          <t>BEDDING CRAFT Set of 2 Countertop Wooden Round Fruit Baskets Decorative Coffee Table Tray – A Ideal Match for Ottoman or Side Table Charcuterie Board or Cheese Platter Kitchen General Storage Space</t>
        </is>
      </c>
      <c r="E4794" s="2">
        <f>HYPERLINK("https://www.amazon.com/Decorative-Serving-Ottoman-Charcuterie-Countertop/dp/B08THFWT5L/ref=sr_1_1?keywords=Wooden+Charcuterie+Basket&amp;qid=1695565923&amp;sr=8-1", "https://www.amazon.com/Decorative-Serving-Ottoman-Charcuterie-Countertop/dp/B08THFWT5L/ref=sr_1_1?keywords=Wooden+Charcuterie+Basket&amp;qid=1695565923&amp;sr=8-1")</f>
        <v/>
      </c>
      <c r="F4794" t="inlineStr">
        <is>
          <t>B08THFWT5L</t>
        </is>
      </c>
      <c r="G4794">
        <f>_xlfn.IMAGE("https://faoschwarz.com/cdn/shop/products/tender-leaf-toys-preschool-wooden-charcuterie-basket-29384874623063_1080x.jpg?v=1660681562")</f>
        <v/>
      </c>
      <c r="H4794">
        <f>_xlfn.IMAGE("https://m.media-amazon.com/images/I/81KYzcBHJbL._AC_UL320_.jpg")</f>
        <v/>
      </c>
      <c r="K4794" t="inlineStr">
        <is>
          <t>28.0</t>
        </is>
      </c>
      <c r="L4794" t="n">
        <v>27.99</v>
      </c>
      <c r="M4794" s="1" t="inlineStr">
        <is>
          <t>-0.04%</t>
        </is>
      </c>
      <c r="N4794" t="n">
        <v>4.4</v>
      </c>
      <c r="O4794" t="n">
        <v>175</v>
      </c>
      <c r="Q4794" t="inlineStr">
        <is>
          <t>InStock</t>
        </is>
      </c>
      <c r="R4794" t="inlineStr">
        <is>
          <t>undefined</t>
        </is>
      </c>
      <c r="S4794" t="inlineStr">
        <is>
          <t>6795568382039</t>
        </is>
      </c>
    </row>
    <row r="4795" ht="75" customHeight="1">
      <c r="A4795" s="2">
        <f>HYPERLINK("https://faoschwarz.com/products/wooden-charcuterie-basket", "https://faoschwarz.com/products/wooden-charcuterie-basket")</f>
        <v/>
      </c>
      <c r="B4795" s="2">
        <f>HYPERLINK("https://faoschwarz.com/products/wooden-charcuterie-basket", "https://faoschwarz.com/products/wooden-charcuterie-basket")</f>
        <v/>
      </c>
      <c r="C4795" t="inlineStr">
        <is>
          <t>Wooden Charcuterie Basket</t>
        </is>
      </c>
      <c r="D4795" t="inlineStr">
        <is>
          <t>Decorative Coffee Table Tray, Set of 2 White, Wooden Round Serving Tray for Living Room, Wood Ottoman or Side Table, Charcuterie Board Cheese Platter, Fruit Baskets, White Distress, 12x12x1.5</t>
        </is>
      </c>
      <c r="E4795" s="2">
        <f>HYPERLINK("https://www.amazon.com/Winlay-Decorative-Charcuterie-Distress-12x12x1-5/dp/B0B1MJWVQ7/ref=sr_1_8?keywords=Wooden+Charcuterie+Basket&amp;qid=1695565923&amp;sr=8-8", "https://www.amazon.com/Winlay-Decorative-Charcuterie-Distress-12x12x1-5/dp/B0B1MJWVQ7/ref=sr_1_8?keywords=Wooden+Charcuterie+Basket&amp;qid=1695565923&amp;sr=8-8")</f>
        <v/>
      </c>
      <c r="F4795" t="inlineStr">
        <is>
          <t>B0B1MJWVQ7</t>
        </is>
      </c>
      <c r="G4795">
        <f>_xlfn.IMAGE("https://faoschwarz.com/cdn/shop/products/tender-leaf-toys-preschool-wooden-charcuterie-basket-29384874623063_1080x.jpg?v=1660681562")</f>
        <v/>
      </c>
      <c r="H4795">
        <f>_xlfn.IMAGE("https://m.media-amazon.com/images/I/81gifYf10LL._AC_UL320_.jpg")</f>
        <v/>
      </c>
      <c r="K4795" t="inlineStr">
        <is>
          <t>28.0</t>
        </is>
      </c>
      <c r="L4795" t="n">
        <v>26.99</v>
      </c>
      <c r="M4795" s="1" t="inlineStr">
        <is>
          <t>-3.61%</t>
        </is>
      </c>
      <c r="N4795" t="n">
        <v>4.5</v>
      </c>
      <c r="O4795" t="n">
        <v>13</v>
      </c>
      <c r="Q4795" t="inlineStr">
        <is>
          <t>InStock</t>
        </is>
      </c>
      <c r="R4795" t="inlineStr">
        <is>
          <t>undefined</t>
        </is>
      </c>
      <c r="S4795" t="inlineStr">
        <is>
          <t>6795568382039</t>
        </is>
      </c>
    </row>
    <row r="4796" ht="75" customHeight="1">
      <c r="A4796" s="2">
        <f>HYPERLINK("https://faoschwarz.com/products/wooden-dollhouse-accessories", "https://faoschwarz.com/products/wooden-dollhouse-accessories")</f>
        <v/>
      </c>
      <c r="B4796" s="2">
        <f>HYPERLINK("https://faoschwarz.com/products/wooden-dollhouse-accessories", "https://faoschwarz.com/products/wooden-dollhouse-accessories")</f>
        <v/>
      </c>
      <c r="C4796" t="inlineStr">
        <is>
          <t>Wooden Dollhouse Accessories</t>
        </is>
      </c>
      <c r="D4796" t="inlineStr">
        <is>
          <t>Wooden Toys Dollhouse Furniture Playset,35 Piece Furnitures with Family Dolls,Doll House Accessories Pretend Play Gift for Girls and Boys 3 Year and Up</t>
        </is>
      </c>
      <c r="E4796" s="2" t="n"/>
      <c r="F4796" t="inlineStr">
        <is>
          <t>B0BB1NVC5X</t>
        </is>
      </c>
      <c r="G4796">
        <f>_xlfn.IMAGE("https://faoschwarz.com/cdn/shop/files/wonder-wise-preschool-wooden-dollhouse-accessories-30541860110423_1080x.jpg?v=1693426718")</f>
        <v/>
      </c>
      <c r="H4796">
        <f>_xlfn.IMAGE("https://m.media-amazon.com/images/I/710dJQZJmDL._AC_UL320_.jpg")</f>
        <v/>
      </c>
      <c r="K4796" t="inlineStr">
        <is>
          <t>99.0</t>
        </is>
      </c>
      <c r="L4796" t="n">
        <v>39.99</v>
      </c>
      <c r="M4796" s="1" t="inlineStr">
        <is>
          <t>-59.61%</t>
        </is>
      </c>
      <c r="N4796" t="n">
        <v>4.6</v>
      </c>
      <c r="O4796" t="n">
        <v>49</v>
      </c>
      <c r="Q4796" t="inlineStr">
        <is>
          <t>InStock</t>
        </is>
      </c>
      <c r="R4796" t="inlineStr">
        <is>
          <t>undefined</t>
        </is>
      </c>
      <c r="S4796" t="inlineStr">
        <is>
          <t>6896150085719</t>
        </is>
      </c>
    </row>
    <row r="4797" ht="75" customHeight="1">
      <c r="A4797" s="2">
        <f>HYPERLINK("https://faoschwarz.com/products/wooden-dollhouse-accessories", "https://faoschwarz.com/products/wooden-dollhouse-accessories")</f>
        <v/>
      </c>
      <c r="B4797" s="2">
        <f>HYPERLINK("https://faoschwarz.com/products/wooden-dollhouse-accessories", "https://faoschwarz.com/products/wooden-dollhouse-accessories")</f>
        <v/>
      </c>
      <c r="C4797" t="inlineStr">
        <is>
          <t>Wooden Dollhouse Accessories</t>
        </is>
      </c>
      <c r="D4797" t="inlineStr">
        <is>
          <t>Wooden Dollhouse Furniture Set, 36pcs Furnitures with 4 Family Dolls, Dollhouse Accessories Pretend Play Furniture Toys for Boys Girls &amp; Toddlers 3Y+</t>
        </is>
      </c>
      <c r="E4797" s="2">
        <f>HYPERLINK("https://www.amazon.com/Dollhouse-Furniture-Furnitures-Accessories-Toddlers/dp/B093SRNJTL/ref=sr_1_5?keywords=Wooden+Dollhouse+Accessories&amp;qid=1695565943&amp;sr=8-5", "https://www.amazon.com/Dollhouse-Furniture-Furnitures-Accessories-Toddlers/dp/B093SRNJTL/ref=sr_1_5?keywords=Wooden+Dollhouse+Accessories&amp;qid=1695565943&amp;sr=8-5")</f>
        <v/>
      </c>
      <c r="F4797" t="inlineStr">
        <is>
          <t>B093SRNJTL</t>
        </is>
      </c>
      <c r="G4797">
        <f>_xlfn.IMAGE("https://faoschwarz.com/cdn/shop/files/wonder-wise-preschool-wooden-dollhouse-accessories-30541860110423_1080x.jpg?v=1693426718")</f>
        <v/>
      </c>
      <c r="H4797">
        <f>_xlfn.IMAGE("https://m.media-amazon.com/images/I/71BH0iEONpL._AC_UL320_.jpg")</f>
        <v/>
      </c>
      <c r="K4797" t="inlineStr">
        <is>
          <t>99.0</t>
        </is>
      </c>
      <c r="L4797" t="n">
        <v>37.99</v>
      </c>
      <c r="M4797" s="1" t="inlineStr">
        <is>
          <t>-61.63%</t>
        </is>
      </c>
      <c r="N4797" t="n">
        <v>4.6</v>
      </c>
      <c r="O4797" t="n">
        <v>655</v>
      </c>
      <c r="Q4797" t="inlineStr">
        <is>
          <t>InStock</t>
        </is>
      </c>
      <c r="R4797" t="inlineStr">
        <is>
          <t>undefined</t>
        </is>
      </c>
      <c r="S4797" t="inlineStr">
        <is>
          <t>6896150085719</t>
        </is>
      </c>
    </row>
    <row r="4798" ht="75" customHeight="1">
      <c r="A4798" s="2">
        <f>HYPERLINK("https://faoschwarz.com/products/wooden-dollhouse-accessories", "https://faoschwarz.com/products/wooden-dollhouse-accessories")</f>
        <v/>
      </c>
      <c r="B4798" s="2">
        <f>HYPERLINK("https://faoschwarz.com/products/wooden-dollhouse-accessories", "https://faoschwarz.com/products/wooden-dollhouse-accessories")</f>
        <v/>
      </c>
      <c r="C4798" t="inlineStr">
        <is>
          <t>Wooden Dollhouse Accessories</t>
        </is>
      </c>
      <c r="D4798" t="inlineStr">
        <is>
          <t>Wooden Dollhouse Furniture Set, 36pcs Furnitures with 4 Family Dolls, Dollhouse Accessories Pretend Play Furniture Toys for Boys Girls &amp; Toddlers 3Y+, Pink</t>
        </is>
      </c>
      <c r="E4798" s="2" t="n"/>
      <c r="F4798" t="inlineStr">
        <is>
          <t>B0BWXYFRKN</t>
        </is>
      </c>
      <c r="G4798">
        <f>_xlfn.IMAGE("https://faoschwarz.com/cdn/shop/files/wonder-wise-preschool-wooden-dollhouse-accessories-30541860110423_1080x.jpg?v=1693426718")</f>
        <v/>
      </c>
      <c r="H4798">
        <f>_xlfn.IMAGE("https://m.media-amazon.com/images/I/71-opqK3-kL._AC_UL320_.jpg")</f>
        <v/>
      </c>
      <c r="K4798" t="inlineStr">
        <is>
          <t>99.0</t>
        </is>
      </c>
      <c r="L4798" t="n">
        <v>37.99</v>
      </c>
      <c r="M4798" s="1" t="inlineStr">
        <is>
          <t>-61.63%</t>
        </is>
      </c>
      <c r="N4798" t="n">
        <v>4.6</v>
      </c>
      <c r="O4798" t="n">
        <v>655</v>
      </c>
      <c r="Q4798" t="inlineStr">
        <is>
          <t>InStock</t>
        </is>
      </c>
      <c r="R4798" t="inlineStr">
        <is>
          <t>undefined</t>
        </is>
      </c>
      <c r="S4798" t="inlineStr">
        <is>
          <t>6896150085719</t>
        </is>
      </c>
    </row>
    <row r="4799" ht="75" customHeight="1">
      <c r="A4799" s="2">
        <f>HYPERLINK("https://faoschwarz.com/products/wooden-racing-track", "https://faoschwarz.com/products/wooden-racing-track")</f>
        <v/>
      </c>
      <c r="B4799" s="2">
        <f>HYPERLINK("https://faoschwarz.com/products/wooden-racing-track", "https://faoschwarz.com/products/wooden-racing-track")</f>
        <v/>
      </c>
      <c r="C4799" t="inlineStr">
        <is>
          <t>Wooden Racing Track</t>
        </is>
      </c>
      <c r="D4799" t="inlineStr">
        <is>
          <t>TOWO Pure Wooden Car Ramp - Zig Zag Car Slide Run with 4 Wooden Cars Playsets-Click Clack Track Wooden Car Toys for Toddlers -Racing Car Toys for Kids Boys Girls 2 3 4</t>
        </is>
      </c>
      <c r="E4799" s="2">
        <f>HYPERLINK("https://www.amazon.com/TOWO-Pure-Wooden-Ramp-Playsets-Click/dp/B087QT45X5/ref=sr_1_4?keywords=Wooden+Racing+Track&amp;qid=1695565919&amp;sr=8-4", "https://www.amazon.com/TOWO-Pure-Wooden-Ramp-Playsets-Click/dp/B087QT45X5/ref=sr_1_4?keywords=Wooden+Racing+Track&amp;qid=1695565919&amp;sr=8-4")</f>
        <v/>
      </c>
      <c r="F4799" t="inlineStr">
        <is>
          <t>B087QT45X5</t>
        </is>
      </c>
      <c r="G4799">
        <f>_xlfn.IMAGE("https://faoschwarz.com/cdn/shop/files/wonder-wise-preschool-wooden-racing-track-30541860307031_1080x.jpg?v=1693426720")</f>
        <v/>
      </c>
      <c r="H4799">
        <f>_xlfn.IMAGE("https://m.media-amazon.com/images/I/812OuLdCcjL._AC_UL320_.jpg")</f>
        <v/>
      </c>
      <c r="K4799" t="inlineStr">
        <is>
          <t>109.0</t>
        </is>
      </c>
      <c r="L4799" t="n">
        <v>27.99</v>
      </c>
      <c r="M4799" s="1" t="inlineStr">
        <is>
          <t>-74.32%</t>
        </is>
      </c>
      <c r="N4799" t="n">
        <v>4.4</v>
      </c>
      <c r="O4799" t="n">
        <v>2010</v>
      </c>
      <c r="Q4799" t="inlineStr">
        <is>
          <t>InStock</t>
        </is>
      </c>
      <c r="R4799" t="inlineStr">
        <is>
          <t>undefined</t>
        </is>
      </c>
      <c r="S4799" t="inlineStr">
        <is>
          <t>6896150118487</t>
        </is>
      </c>
    </row>
    <row r="4800" ht="75" customHeight="1">
      <c r="A4800" s="2">
        <f>HYPERLINK("https://faoschwarz.com/products/wooden-shape-sorter", "https://faoschwarz.com/products/wooden-shape-sorter")</f>
        <v/>
      </c>
      <c r="B4800" s="2">
        <f>HYPERLINK("https://faoschwarz.com/products/wooden-shape-sorter", "https://faoschwarz.com/products/wooden-shape-sorter")</f>
        <v/>
      </c>
      <c r="C4800" t="inlineStr">
        <is>
          <t>Wooden Shape Sorter</t>
        </is>
      </c>
      <c r="D4800" t="inlineStr">
        <is>
          <t>PairPear Educational Toys Set 3 in 1 - Wooden Toys Shape Sorter Cubes - Activity Stacking Toys - Animal Todder Puzzles - Classic Learning Toys Gift for Baby 1 Year Old and Up.</t>
        </is>
      </c>
      <c r="E4800" s="2">
        <f>HYPERLINK("https://www.amazon.com/PairPear-Educational-Toys-Set-Activity/dp/B0C49FZRNF/ref=sr_1_6?keywords=Wooden+Shape+Sorter&amp;qid=1695565913&amp;sr=8-6", "https://www.amazon.com/PairPear-Educational-Toys-Set-Activity/dp/B0C49FZRNF/ref=sr_1_6?keywords=Wooden+Shape+Sorter&amp;qid=1695565913&amp;sr=8-6")</f>
        <v/>
      </c>
      <c r="F4800" t="inlineStr">
        <is>
          <t>B0C49FZRNF</t>
        </is>
      </c>
      <c r="G4800">
        <f>_xlfn.IMAGE("https://faoschwarz.com/cdn/shop/files/wonder-wise-preschool-wooden-shape-sorter-30541865549911_1080x.jpg?v=1693426722")</f>
        <v/>
      </c>
      <c r="H4800">
        <f>_xlfn.IMAGE("https://m.media-amazon.com/images/I/61KTiANlOfL._AC_UL320_.jpg")</f>
        <v/>
      </c>
      <c r="K4800" t="inlineStr">
        <is>
          <t>59.0</t>
        </is>
      </c>
      <c r="L4800" t="n">
        <v>24.49</v>
      </c>
      <c r="M4800" s="1" t="inlineStr">
        <is>
          <t>-58.49%</t>
        </is>
      </c>
      <c r="N4800" t="n">
        <v>5</v>
      </c>
      <c r="O4800" t="n">
        <v>6</v>
      </c>
      <c r="Q4800" t="inlineStr">
        <is>
          <t>InStock</t>
        </is>
      </c>
      <c r="R4800" t="inlineStr">
        <is>
          <t>undefined</t>
        </is>
      </c>
      <c r="S4800" t="inlineStr">
        <is>
          <t>6896150380631</t>
        </is>
      </c>
    </row>
    <row r="4801" ht="75" customHeight="1">
      <c r="A4801" s="2">
        <f>HYPERLINK("https://faoschwarz.com/products/wooden-shape-sorter", "https://faoschwarz.com/products/wooden-shape-sorter")</f>
        <v/>
      </c>
      <c r="B4801" s="2">
        <f>HYPERLINK("https://faoschwarz.com/products/wooden-shape-sorter", "https://faoschwarz.com/products/wooden-shape-sorter")</f>
        <v/>
      </c>
      <c r="C4801" t="inlineStr">
        <is>
          <t>Wooden Shape Sorter</t>
        </is>
      </c>
      <c r="D4801" t="inlineStr">
        <is>
          <t>HELLOWOOD Montessori Toys for 1+ Year Old, Wooden Sorter Cube with 8pcs Rattling Shapes, Developmental Learning Toy Gifts for Baby Girls Boys 6-12-18 Months, Gift Packaging</t>
        </is>
      </c>
      <c r="E4801" s="2">
        <f>HYPERLINK("https://www.amazon.com/HELLOWOOD-Montessori-Rattling-Developmental-Packaging/dp/B0BCK85TTT/ref=sr_1_3?keywords=Wooden+Shape+Sorter&amp;qid=1695565913&amp;sr=8-3", "https://www.amazon.com/HELLOWOOD-Montessori-Rattling-Developmental-Packaging/dp/B0BCK85TTT/ref=sr_1_3?keywords=Wooden+Shape+Sorter&amp;qid=1695565913&amp;sr=8-3")</f>
        <v/>
      </c>
      <c r="F4801" t="inlineStr">
        <is>
          <t>B0BCK85TTT</t>
        </is>
      </c>
      <c r="G4801">
        <f>_xlfn.IMAGE("https://faoschwarz.com/cdn/shop/files/wonder-wise-preschool-wooden-shape-sorter-30541865549911_1080x.jpg?v=1693426722")</f>
        <v/>
      </c>
      <c r="H4801">
        <f>_xlfn.IMAGE("https://m.media-amazon.com/images/I/71vbbQPJLdL._AC_UL320_.jpg")</f>
        <v/>
      </c>
      <c r="K4801" t="inlineStr">
        <is>
          <t>59.0</t>
        </is>
      </c>
      <c r="L4801" t="n">
        <v>21.99</v>
      </c>
      <c r="M4801" s="1" t="inlineStr">
        <is>
          <t>-62.73%</t>
        </is>
      </c>
      <c r="N4801" t="n">
        <v>4.7</v>
      </c>
      <c r="O4801" t="n">
        <v>433</v>
      </c>
      <c r="Q4801" t="inlineStr">
        <is>
          <t>InStock</t>
        </is>
      </c>
      <c r="R4801" t="inlineStr">
        <is>
          <t>undefined</t>
        </is>
      </c>
      <c r="S4801" t="inlineStr">
        <is>
          <t>6896150380631</t>
        </is>
      </c>
    </row>
    <row r="4802" ht="75" customHeight="1">
      <c r="A4802" s="2">
        <f>HYPERLINK("https://faoschwarz.com/products/wooden-shape-sorter", "https://faoschwarz.com/products/wooden-shape-sorter")</f>
        <v/>
      </c>
      <c r="B4802" s="2">
        <f>HYPERLINK("https://faoschwarz.com/products/wooden-shape-sorter", "https://faoschwarz.com/products/wooden-shape-sorter")</f>
        <v/>
      </c>
      <c r="C4802" t="inlineStr">
        <is>
          <t>Wooden Shape Sorter</t>
        </is>
      </c>
      <c r="D4802" t="inlineStr">
        <is>
          <t>Winique Wooden Shape Sorter Toys for Toddlers 1-3 Years Old, Montessori Toys for 1 Year Old Baby Girls &amp; Boys, Activity Cube with 8pcs Geometric Shape Blocks and Gift Box for Christmas</t>
        </is>
      </c>
      <c r="E4802" s="2">
        <f>HYPERLINK("https://www.amazon.com/Winique-Toddlers-Montessori-Geometric-Christmas/dp/B0BHS152V7/ref=sr_1_10?keywords=Wooden+Shape+Sorter&amp;qid=1695565913&amp;sr=8-10", "https://www.amazon.com/Winique-Toddlers-Montessori-Geometric-Christmas/dp/B0BHS152V7/ref=sr_1_10?keywords=Wooden+Shape+Sorter&amp;qid=1695565913&amp;sr=8-10")</f>
        <v/>
      </c>
      <c r="F4802" t="inlineStr">
        <is>
          <t>B0BHS152V7</t>
        </is>
      </c>
      <c r="G4802">
        <f>_xlfn.IMAGE("https://faoschwarz.com/cdn/shop/files/wonder-wise-preschool-wooden-shape-sorter-30541865549911_1080x.jpg?v=1693426722")</f>
        <v/>
      </c>
      <c r="H4802">
        <f>_xlfn.IMAGE("https://m.media-amazon.com/images/I/81ogn9v8qDL._AC_UL320_.jpg")</f>
        <v/>
      </c>
      <c r="K4802" t="inlineStr">
        <is>
          <t>59.0</t>
        </is>
      </c>
      <c r="L4802" t="n">
        <v>21.99</v>
      </c>
      <c r="M4802" s="1" t="inlineStr">
        <is>
          <t>-62.73%</t>
        </is>
      </c>
      <c r="N4802" t="n">
        <v>4.4</v>
      </c>
      <c r="O4802" t="n">
        <v>102</v>
      </c>
      <c r="Q4802" t="inlineStr">
        <is>
          <t>InStock</t>
        </is>
      </c>
      <c r="R4802" t="inlineStr">
        <is>
          <t>undefined</t>
        </is>
      </c>
      <c r="S4802" t="inlineStr">
        <is>
          <t>6896150380631</t>
        </is>
      </c>
    </row>
    <row r="4803" ht="75" customHeight="1">
      <c r="A4803" s="2">
        <f>HYPERLINK("https://faoschwarz.com/products/wooden-shape-sorter", "https://faoschwarz.com/products/wooden-shape-sorter")</f>
        <v/>
      </c>
      <c r="B4803" s="2">
        <f>HYPERLINK("https://faoschwarz.com/products/wooden-shape-sorter", "https://faoschwarz.com/products/wooden-shape-sorter")</f>
        <v/>
      </c>
      <c r="C4803" t="inlineStr">
        <is>
          <t>Wooden Shape Sorter</t>
        </is>
      </c>
      <c r="D4803" t="inlineStr">
        <is>
          <t>Bimi Boo Wooden Sorting Box for Toddlers - Shape Sorter for Kids Ages 2+ - Sorting Cube with Noise Reduce Silicone Pad - (4 Colors, 4 Shapes, 8 Pieces)</t>
        </is>
      </c>
      <c r="E4803" s="2">
        <f>HYPERLINK("https://www.amazon.com/Bimi-Boo-Toddlers-Geometric-Sorting/dp/B07DVJHVKZ/ref=sr_1_7?keywords=Wooden+Shape+Sorter&amp;qid=1695565913&amp;sr=8-7", "https://www.amazon.com/Bimi-Boo-Toddlers-Geometric-Sorting/dp/B07DVJHVKZ/ref=sr_1_7?keywords=Wooden+Shape+Sorter&amp;qid=1695565913&amp;sr=8-7")</f>
        <v/>
      </c>
      <c r="F4803" t="inlineStr">
        <is>
          <t>B07DVJHVKZ</t>
        </is>
      </c>
      <c r="G4803">
        <f>_xlfn.IMAGE("https://faoschwarz.com/cdn/shop/files/wonder-wise-preschool-wooden-shape-sorter-30541865549911_1080x.jpg?v=1693426722")</f>
        <v/>
      </c>
      <c r="H4803">
        <f>_xlfn.IMAGE("https://m.media-amazon.com/images/I/71AUAoiEJrL._AC_UL320_.jpg")</f>
        <v/>
      </c>
      <c r="K4803" t="inlineStr">
        <is>
          <t>59.0</t>
        </is>
      </c>
      <c r="L4803" t="n">
        <v>21.84</v>
      </c>
      <c r="M4803" s="1" t="inlineStr">
        <is>
          <t>-62.98%</t>
        </is>
      </c>
      <c r="N4803" t="n">
        <v>4.6</v>
      </c>
      <c r="O4803" t="n">
        <v>122</v>
      </c>
      <c r="Q4803" t="inlineStr">
        <is>
          <t>InStock</t>
        </is>
      </c>
      <c r="R4803" t="inlineStr">
        <is>
          <t>undefined</t>
        </is>
      </c>
      <c r="S4803" t="inlineStr">
        <is>
          <t>6896150380631</t>
        </is>
      </c>
    </row>
    <row r="4804" ht="75" customHeight="1">
      <c r="A4804" s="2">
        <f>HYPERLINK("https://faoschwarz.com/products/wooden-shape-sorter", "https://faoschwarz.com/products/wooden-shape-sorter")</f>
        <v/>
      </c>
      <c r="B4804" s="2">
        <f>HYPERLINK("https://faoschwarz.com/products/wooden-shape-sorter", "https://faoschwarz.com/products/wooden-shape-sorter")</f>
        <v/>
      </c>
      <c r="C4804" t="inlineStr">
        <is>
          <t>Wooden Shape Sorter</t>
        </is>
      </c>
      <c r="D4804" t="inlineStr">
        <is>
          <t>Melissa &amp; Doug Match and Roll Shape Sorter - Classic Wooden Toy</t>
        </is>
      </c>
      <c r="E4804" s="2">
        <f>HYPERLINK("https://www.amazon.com/Melissa-Doug-Shape-Sorter-Developmental-Construction/dp/B00VKMAMUA/ref=sr_1_2?keywords=Wooden+Shape+Sorter&amp;qid=1695565913&amp;sr=8-2", "https://www.amazon.com/Melissa-Doug-Shape-Sorter-Developmental-Construction/dp/B00VKMAMUA/ref=sr_1_2?keywords=Wooden+Shape+Sorter&amp;qid=1695565913&amp;sr=8-2")</f>
        <v/>
      </c>
      <c r="F4804" t="inlineStr">
        <is>
          <t>B00VKMAMUA</t>
        </is>
      </c>
      <c r="G4804">
        <f>_xlfn.IMAGE("https://faoschwarz.com/cdn/shop/files/wonder-wise-preschool-wooden-shape-sorter-30541865549911_1080x.jpg?v=1693426722")</f>
        <v/>
      </c>
      <c r="H4804">
        <f>_xlfn.IMAGE("https://m.media-amazon.com/images/I/61TV7T-sxKL._AC_UL320_.jpg")</f>
        <v/>
      </c>
      <c r="K4804" t="inlineStr">
        <is>
          <t>59.0</t>
        </is>
      </c>
      <c r="L4804" t="n">
        <v>19.99</v>
      </c>
      <c r="M4804" s="1" t="inlineStr">
        <is>
          <t>-66.12%</t>
        </is>
      </c>
      <c r="N4804" t="n">
        <v>4.8</v>
      </c>
      <c r="O4804" t="n">
        <v>2539</v>
      </c>
      <c r="Q4804" t="inlineStr">
        <is>
          <t>InStock</t>
        </is>
      </c>
      <c r="R4804" t="inlineStr">
        <is>
          <t>undefined</t>
        </is>
      </c>
      <c r="S4804" t="inlineStr">
        <is>
          <t>6896150380631</t>
        </is>
      </c>
    </row>
    <row r="4805" ht="75" customHeight="1">
      <c r="A4805" s="2">
        <f>HYPERLINK("https://faoschwarz.com/products/wooden-shape-sorter", "https://faoschwarz.com/products/wooden-shape-sorter")</f>
        <v/>
      </c>
      <c r="B4805" s="2">
        <f>HYPERLINK("https://faoschwarz.com/products/wooden-shape-sorter", "https://faoschwarz.com/products/wooden-shape-sorter")</f>
        <v/>
      </c>
      <c r="C4805" t="inlineStr">
        <is>
          <t>Wooden Shape Sorter</t>
        </is>
      </c>
      <c r="D4805" t="inlineStr">
        <is>
          <t>Adena Montessori Toys for 2 Year Old Wooden Shape Sorter Color Matching Toys-Learning Sorting Toys for Toddlers,Fine Motor Skill Toys,Early Educational Toy Gift for 1 2 3 Year Old Boy Girl(10 Shapes)</t>
        </is>
      </c>
      <c r="E4805" s="2">
        <f>HYPERLINK("https://www.amazon.com/Adena-Montessori-Matching-Toys-Learning-Educational/dp/B0BQ2CXHKP/ref=sr_1_8?keywords=Wooden+Shape+Sorter&amp;qid=1695565913&amp;sr=8-8", "https://www.amazon.com/Adena-Montessori-Matching-Toys-Learning-Educational/dp/B0BQ2CXHKP/ref=sr_1_8?keywords=Wooden+Shape+Sorter&amp;qid=1695565913&amp;sr=8-8")</f>
        <v/>
      </c>
      <c r="F4805" t="inlineStr">
        <is>
          <t>B0BQ2CXHKP</t>
        </is>
      </c>
      <c r="G4805">
        <f>_xlfn.IMAGE("https://faoschwarz.com/cdn/shop/files/wonder-wise-preschool-wooden-shape-sorter-30541865549911_1080x.jpg?v=1693426722")</f>
        <v/>
      </c>
      <c r="H4805">
        <f>_xlfn.IMAGE("https://m.media-amazon.com/images/I/713M7838ikL._AC_UL320_.jpg")</f>
        <v/>
      </c>
      <c r="K4805" t="inlineStr">
        <is>
          <t>59.0</t>
        </is>
      </c>
      <c r="L4805" t="n">
        <v>19.16</v>
      </c>
      <c r="M4805" s="1" t="inlineStr">
        <is>
          <t>-67.53%</t>
        </is>
      </c>
      <c r="N4805" t="n">
        <v>4.8</v>
      </c>
      <c r="O4805" t="n">
        <v>19</v>
      </c>
      <c r="Q4805" t="inlineStr">
        <is>
          <t>InStock</t>
        </is>
      </c>
      <c r="R4805" t="inlineStr">
        <is>
          <t>undefined</t>
        </is>
      </c>
      <c r="S4805" t="inlineStr">
        <is>
          <t>6896150380631</t>
        </is>
      </c>
    </row>
    <row r="4806" ht="75" customHeight="1">
      <c r="A4806" s="2">
        <f>HYPERLINK("https://faoschwarz.com/products/wooden-shape-sorter", "https://faoschwarz.com/products/wooden-shape-sorter")</f>
        <v/>
      </c>
      <c r="B4806" s="2">
        <f>HYPERLINK("https://faoschwarz.com/products/wooden-shape-sorter", "https://faoschwarz.com/products/wooden-shape-sorter")</f>
        <v/>
      </c>
      <c r="C4806" t="inlineStr">
        <is>
          <t>Wooden Shape Sorter</t>
        </is>
      </c>
      <c r="D4806" t="inlineStr">
        <is>
          <t>Amazon Basics Wooden Shape Sorter and Rainbow Stacker Classic Toy Set-Sorting Play For Infants Age 12M+, Multicolor</t>
        </is>
      </c>
      <c r="E4806" s="2">
        <f>HYPERLINK("https://www.amazon.com/Amazon-Basics-Rainbow-Stacker-Classic/dp/B08P5KKWBQ/ref=sr_1_5?keywords=Wooden+Shape+Sorter&amp;qid=1695565913&amp;sr=8-5", "https://www.amazon.com/Amazon-Basics-Rainbow-Stacker-Classic/dp/B08P5KKWBQ/ref=sr_1_5?keywords=Wooden+Shape+Sorter&amp;qid=1695565913&amp;sr=8-5")</f>
        <v/>
      </c>
      <c r="F4806" t="inlineStr">
        <is>
          <t>B08P5KKWBQ</t>
        </is>
      </c>
      <c r="G4806">
        <f>_xlfn.IMAGE("https://faoschwarz.com/cdn/shop/files/wonder-wise-preschool-wooden-shape-sorter-30541865549911_1080x.jpg?v=1693426722")</f>
        <v/>
      </c>
      <c r="H4806">
        <f>_xlfn.IMAGE("https://m.media-amazon.com/images/I/71QggCTzVpL._AC_UL320_.jpg")</f>
        <v/>
      </c>
      <c r="K4806" t="inlineStr">
        <is>
          <t>59.0</t>
        </is>
      </c>
      <c r="L4806" t="n">
        <v>18.97</v>
      </c>
      <c r="M4806" s="1" t="inlineStr">
        <is>
          <t>-67.85%</t>
        </is>
      </c>
      <c r="N4806" t="n">
        <v>4.7</v>
      </c>
      <c r="O4806" t="n">
        <v>1351</v>
      </c>
      <c r="Q4806" t="inlineStr">
        <is>
          <t>InStock</t>
        </is>
      </c>
      <c r="R4806" t="inlineStr">
        <is>
          <t>undefined</t>
        </is>
      </c>
      <c r="S4806" t="inlineStr">
        <is>
          <t>6896150380631</t>
        </is>
      </c>
    </row>
    <row r="4807" ht="75" customHeight="1">
      <c r="A4807" s="2">
        <f>HYPERLINK("https://faoschwarz.com/products/wooden-shape-sorter", "https://faoschwarz.com/products/wooden-shape-sorter")</f>
        <v/>
      </c>
      <c r="B4807" s="2">
        <f>HYPERLINK("https://faoschwarz.com/products/wooden-shape-sorter", "https://faoschwarz.com/products/wooden-shape-sorter")</f>
        <v/>
      </c>
      <c r="C4807" t="inlineStr">
        <is>
          <t>Wooden Shape Sorter</t>
        </is>
      </c>
      <c r="D4807" t="inlineStr">
        <is>
          <t>Montessori Toys for 1 2 Years Old, Wooden Montessori Shape Sorter Toys with Wooden Animal Shape Sorting,Gifts for 6-12-18 Months Baby, Boy,Girls,Toddlers,Developmental Learning Toys for Kids</t>
        </is>
      </c>
      <c r="E4807" s="2">
        <f>HYPERLINK("https://www.amazon.com/Montessori-Sorting-Toddlers-Developmental-Learning/dp/B0C748P9V2/ref=sr_1_4?keywords=Wooden+Shape+Sorter&amp;qid=1695565913&amp;sr=8-4", "https://www.amazon.com/Montessori-Sorting-Toddlers-Developmental-Learning/dp/B0C748P9V2/ref=sr_1_4?keywords=Wooden+Shape+Sorter&amp;qid=1695565913&amp;sr=8-4")</f>
        <v/>
      </c>
      <c r="F4807" t="inlineStr">
        <is>
          <t>B0C748P9V2</t>
        </is>
      </c>
      <c r="G4807">
        <f>_xlfn.IMAGE("https://faoschwarz.com/cdn/shop/files/wonder-wise-preschool-wooden-shape-sorter-30541865549911_1080x.jpg?v=1693426722")</f>
        <v/>
      </c>
      <c r="H4807">
        <f>_xlfn.IMAGE("https://m.media-amazon.com/images/I/71RSWx7oR6L._AC_UL320_.jpg")</f>
        <v/>
      </c>
      <c r="K4807" t="inlineStr">
        <is>
          <t>59.0</t>
        </is>
      </c>
      <c r="L4807" t="n">
        <v>16.99</v>
      </c>
      <c r="M4807" s="1" t="inlineStr">
        <is>
          <t>-71.20%</t>
        </is>
      </c>
      <c r="N4807" t="n">
        <v>4.6</v>
      </c>
      <c r="O4807" t="n">
        <v>7</v>
      </c>
      <c r="Q4807" t="inlineStr">
        <is>
          <t>InStock</t>
        </is>
      </c>
      <c r="R4807" t="inlineStr">
        <is>
          <t>undefined</t>
        </is>
      </c>
      <c r="S4807" t="inlineStr">
        <is>
          <t>6896150380631</t>
        </is>
      </c>
    </row>
    <row r="4808" ht="75" customHeight="1">
      <c r="A4808" s="2">
        <f>HYPERLINK("https://faoschwarz.com/products/wooden-shape-sorter", "https://faoschwarz.com/products/wooden-shape-sorter")</f>
        <v/>
      </c>
      <c r="B4808" s="2">
        <f>HYPERLINK("https://faoschwarz.com/products/wooden-shape-sorter", "https://faoschwarz.com/products/wooden-shape-sorter")</f>
        <v/>
      </c>
      <c r="C4808" t="inlineStr">
        <is>
          <t>Wooden Shape Sorter</t>
        </is>
      </c>
      <c r="D4808" t="inlineStr">
        <is>
          <t>Melissa &amp; Doug Shape-Sorting Wooden Dump Truck Toy With 9 Colorful Shapes and 2 Play Figures - Vehicle /Shape Sorter Toys For Toddlers Ages 2+</t>
        </is>
      </c>
      <c r="E4808" s="2">
        <f>HYPERLINK("https://www.amazon.com/Melissa-Doug-Shape-Sorting-Craftsmanship-Colorful/dp/B012WE829M/ref=sr_1_9?keywords=Wooden+Shape+Sorter&amp;qid=1695565913&amp;sr=8-9", "https://www.amazon.com/Melissa-Doug-Shape-Sorting-Craftsmanship-Colorful/dp/B012WE829M/ref=sr_1_9?keywords=Wooden+Shape+Sorter&amp;qid=1695565913&amp;sr=8-9")</f>
        <v/>
      </c>
      <c r="F4808" t="inlineStr">
        <is>
          <t>B012WE829M</t>
        </is>
      </c>
      <c r="G4808">
        <f>_xlfn.IMAGE("https://faoschwarz.com/cdn/shop/files/wonder-wise-preschool-wooden-shape-sorter-30541865549911_1080x.jpg?v=1693426722")</f>
        <v/>
      </c>
      <c r="H4808">
        <f>_xlfn.IMAGE("https://m.media-amazon.com/images/I/61bvroJKfjL._AC_UL320_.jpg")</f>
        <v/>
      </c>
      <c r="K4808" t="inlineStr">
        <is>
          <t>59.0</t>
        </is>
      </c>
      <c r="L4808" t="n">
        <v>14.99</v>
      </c>
      <c r="M4808" s="1" t="inlineStr">
        <is>
          <t>-74.59%</t>
        </is>
      </c>
      <c r="N4808" t="n">
        <v>4.8</v>
      </c>
      <c r="O4808" t="n">
        <v>4944</v>
      </c>
      <c r="Q4808" t="inlineStr">
        <is>
          <t>InStock</t>
        </is>
      </c>
      <c r="R4808" t="inlineStr">
        <is>
          <t>undefined</t>
        </is>
      </c>
      <c r="S4808" t="inlineStr">
        <is>
          <t>6896150380631</t>
        </is>
      </c>
    </row>
    <row r="4809" ht="75" customHeight="1">
      <c r="A4809" s="2">
        <f>HYPERLINK("https://faoschwarz.com/products/wooden-shape-sorter", "https://faoschwarz.com/products/wooden-shape-sorter")</f>
        <v/>
      </c>
      <c r="B4809" s="2">
        <f>HYPERLINK("https://faoschwarz.com/products/wooden-shape-sorter", "https://faoschwarz.com/products/wooden-shape-sorter")</f>
        <v/>
      </c>
      <c r="C4809" t="inlineStr">
        <is>
          <t>Wooden Shape Sorter</t>
        </is>
      </c>
      <c r="D4809" t="inlineStr">
        <is>
          <t>Melissa &amp; Doug Shape Sorting Cube - Classic Wooden Toy With 12 Shapes - Kids Shape Sorter Toys For Toddlers Ages 2+</t>
        </is>
      </c>
      <c r="E4809" s="2">
        <f>HYPERLINK("https://www.amazon.com/Melissa-Doug-Shape-Sorting-Cube/dp/B00005RF5G/ref=sr_1_1?keywords=Wooden+Shape+Sorter&amp;qid=1695565913&amp;sr=8-1", "https://www.amazon.com/Melissa-Doug-Shape-Sorting-Cube/dp/B00005RF5G/ref=sr_1_1?keywords=Wooden+Shape+Sorter&amp;qid=1695565913&amp;sr=8-1")</f>
        <v/>
      </c>
      <c r="F4809" t="inlineStr">
        <is>
          <t>B00005RF5G</t>
        </is>
      </c>
      <c r="G4809">
        <f>_xlfn.IMAGE("https://faoschwarz.com/cdn/shop/files/wonder-wise-preschool-wooden-shape-sorter-30541865549911_1080x.jpg?v=1693426722")</f>
        <v/>
      </c>
      <c r="H4809">
        <f>_xlfn.IMAGE("https://m.media-amazon.com/images/I/71W0K0nMd5L._AC_UL320_.jpg")</f>
        <v/>
      </c>
      <c r="K4809" t="inlineStr">
        <is>
          <t>59.0</t>
        </is>
      </c>
      <c r="L4809" t="n">
        <v>12.39</v>
      </c>
      <c r="M4809" s="1" t="inlineStr">
        <is>
          <t>-79.00%</t>
        </is>
      </c>
      <c r="N4809" t="n">
        <v>4.6</v>
      </c>
      <c r="O4809" t="n">
        <v>24397</v>
      </c>
      <c r="Q4809" t="inlineStr">
        <is>
          <t>InStock</t>
        </is>
      </c>
      <c r="R4809" t="inlineStr">
        <is>
          <t>undefined</t>
        </is>
      </c>
      <c r="S4809" t="inlineStr">
        <is>
          <t>6896150380631</t>
        </is>
      </c>
    </row>
    <row r="4810" ht="75" customHeight="1">
      <c r="A4810" s="2">
        <f>HYPERLINK("https://faoschwarz.com/products/wooden-tabletop-stove", "https://faoschwarz.com/products/wooden-tabletop-stove")</f>
        <v/>
      </c>
      <c r="B4810" s="2">
        <f>HYPERLINK("https://faoschwarz.com/products/wooden-tabletop-stove", "https://faoschwarz.com/products/wooden-tabletop-stove")</f>
        <v/>
      </c>
      <c r="C4810" t="inlineStr">
        <is>
          <t>Wooden Tabletop Stove</t>
        </is>
      </c>
      <c r="D4810" t="inlineStr">
        <is>
          <t>Hape Fun Fan Fryer | Wooden Tabletop Stove with Fan, Kitchen Playset for Preschoolers, Includes Salt and Pepper Shakers, Six Recipes and More, (Model: E3164), L: 6.9, W: 2.8, H: 6.9 inch</t>
        </is>
      </c>
      <c r="E4810" s="2">
        <f>HYPERLINK("https://www.amazon.com/Hape-Tabletop-Kitchen-Playset-Preschoolers/dp/B0837KQXBG/ref=sr_1_1?keywords=Wooden+Tabletop+Stove&amp;qid=1695565929&amp;sr=8-1", "https://www.amazon.com/Hape-Tabletop-Kitchen-Playset-Preschoolers/dp/B0837KQXBG/ref=sr_1_1?keywords=Wooden+Tabletop+Stove&amp;qid=1695565929&amp;sr=8-1")</f>
        <v/>
      </c>
      <c r="F4810" t="inlineStr">
        <is>
          <t>B0837KQXBG</t>
        </is>
      </c>
      <c r="G4810">
        <f>_xlfn.IMAGE("https://faoschwarz.com/cdn/shop/products/fao-schwarz-preschool-wooden-tabletop-stove-6798134902871_1080x.jpg?v=1656201304")</f>
        <v/>
      </c>
      <c r="H4810">
        <f>_xlfn.IMAGE("https://m.media-amazon.com/images/I/51NmLaqfJKL._AC_UY218_.jpg")</f>
        <v/>
      </c>
      <c r="K4810" t="inlineStr">
        <is>
          <t>32.0</t>
        </is>
      </c>
      <c r="L4810" t="n">
        <v>19.05</v>
      </c>
      <c r="M4810" s="1" t="inlineStr">
        <is>
          <t>-40.47%</t>
        </is>
      </c>
      <c r="N4810" t="n">
        <v>4.6</v>
      </c>
      <c r="O4810" t="n">
        <v>81</v>
      </c>
      <c r="Q4810" t="inlineStr">
        <is>
          <t>InStock</t>
        </is>
      </c>
      <c r="R4810" t="inlineStr">
        <is>
          <t>64.0</t>
        </is>
      </c>
      <c r="S4810" t="inlineStr">
        <is>
          <t>1398237298775</t>
        </is>
      </c>
    </row>
    <row r="4811" ht="75" customHeight="1">
      <c r="A4811" s="2">
        <f>HYPERLINK("https://faoschwarz.com/products/wood-vanity-and-makeup-play-set", "https://faoschwarz.com/products/wood-vanity-and-makeup-play-set")</f>
        <v/>
      </c>
      <c r="B4811" s="2">
        <f>HYPERLINK("https://faoschwarz.com/products/wood-vanity-and-makeup-play-set", "https://faoschwarz.com/products/wood-vanity-and-makeup-play-set")</f>
        <v/>
      </c>
      <c r="C4811" t="inlineStr">
        <is>
          <t>Wood Vanity and Makeup Play Set</t>
        </is>
      </c>
      <c r="D4811" t="inlineStr">
        <is>
          <t>Teamson Kids Pretend Play Kids Vanity, Table and Chair Vanity Set with Mirror Makeup Dressing Table, with Drawer Fashion Polka Dot Prints Gisele Vanity Set, Pink White</t>
        </is>
      </c>
      <c r="E4811" s="2">
        <f>HYPERLINK("https://www.amazon.com/Teamson-Kids-TD-11670F-Fashion-Prints/dp/B01M59PN2K/ref=sr_1_8?keywords=Wood+Vanity+and+Makeup+Play+Set&amp;qid=1695565920&amp;sr=8-8", "https://www.amazon.com/Teamson-Kids-TD-11670F-Fashion-Prints/dp/B01M59PN2K/ref=sr_1_8?keywords=Wood+Vanity+and+Makeup+Play+Set&amp;qid=1695565920&amp;sr=8-8")</f>
        <v/>
      </c>
      <c r="F4811" t="inlineStr">
        <is>
          <t>B01M59PN2K</t>
        </is>
      </c>
      <c r="G4811">
        <f>_xlfn.IMAGE("https://faoschwarz.com/cdn/shop/products/fao-schwarz-preschool-wood-vanity-and-makeup-play-set-28562257543255_1080x.jpg?v=1656051095")</f>
        <v/>
      </c>
      <c r="H4811">
        <f>_xlfn.IMAGE("https://m.media-amazon.com/images/I/61JkkVT3G+L._AC_UL320_.jpg")</f>
        <v/>
      </c>
      <c r="K4811" t="inlineStr">
        <is>
          <t>60.0</t>
        </is>
      </c>
      <c r="L4811" t="n">
        <v>103.98</v>
      </c>
      <c r="M4811" s="1" t="inlineStr">
        <is>
          <t>73.30%</t>
        </is>
      </c>
      <c r="N4811" t="n">
        <v>4.6</v>
      </c>
      <c r="O4811" t="n">
        <v>2832</v>
      </c>
      <c r="Q4811" t="inlineStr">
        <is>
          <t>InStock</t>
        </is>
      </c>
      <c r="R4811" t="inlineStr">
        <is>
          <t>undefined</t>
        </is>
      </c>
      <c r="S4811" t="inlineStr">
        <is>
          <t>6644282425431</t>
        </is>
      </c>
    </row>
    <row r="4812" ht="75" customHeight="1">
      <c r="A4812" s="2">
        <f>HYPERLINK("https://faoschwarz.com/products/wood-vanity-and-makeup-play-set", "https://faoschwarz.com/products/wood-vanity-and-makeup-play-set")</f>
        <v/>
      </c>
      <c r="B4812" s="2">
        <f>HYPERLINK("https://faoschwarz.com/products/wood-vanity-and-makeup-play-set", "https://faoschwarz.com/products/wood-vanity-and-makeup-play-set")</f>
        <v/>
      </c>
      <c r="C4812" t="inlineStr">
        <is>
          <t>Wood Vanity and Makeup Play Set</t>
        </is>
      </c>
      <c r="D4812" t="inlineStr">
        <is>
          <t>UTEX Pretend Play Kids Vanity Table and Chair Vanity Set with Mirror Makeup Dressing Table with Drawer，Play Vanity Set,White</t>
        </is>
      </c>
      <c r="E4812" s="2">
        <f>HYPERLINK("https://www.amazon.com/UTEX-Pretend-Vanity-Dressing-Drawer%EF%BC%8CPlay/dp/B08K384BP7/ref=sr_1_9?keywords=Wood+Vanity+and+Makeup+Play+Set&amp;qid=1695565920&amp;sr=8-9", "https://www.amazon.com/UTEX-Pretend-Vanity-Dressing-Drawer%EF%BC%8CPlay/dp/B08K384BP7/ref=sr_1_9?keywords=Wood+Vanity+and+Makeup+Play+Set&amp;qid=1695565920&amp;sr=8-9")</f>
        <v/>
      </c>
      <c r="F4812" t="inlineStr">
        <is>
          <t>B08K384BP7</t>
        </is>
      </c>
      <c r="G4812">
        <f>_xlfn.IMAGE("https://faoschwarz.com/cdn/shop/products/fao-schwarz-preschool-wood-vanity-and-makeup-play-set-28562257543255_1080x.jpg?v=1656051095")</f>
        <v/>
      </c>
      <c r="H4812">
        <f>_xlfn.IMAGE("https://m.media-amazon.com/images/I/81zJVWxqVoL._AC_UL320_.jpg")</f>
        <v/>
      </c>
      <c r="K4812" t="inlineStr">
        <is>
          <t>60.0</t>
        </is>
      </c>
      <c r="L4812" t="n">
        <v>99.59</v>
      </c>
      <c r="M4812" s="1" t="inlineStr">
        <is>
          <t>65.98%</t>
        </is>
      </c>
      <c r="N4812" t="n">
        <v>4.5</v>
      </c>
      <c r="O4812" t="n">
        <v>577</v>
      </c>
      <c r="Q4812" t="inlineStr">
        <is>
          <t>InStock</t>
        </is>
      </c>
      <c r="R4812" t="inlineStr">
        <is>
          <t>undefined</t>
        </is>
      </c>
      <c r="S4812" t="inlineStr">
        <is>
          <t>6644282425431</t>
        </is>
      </c>
    </row>
    <row r="4813" ht="75" customHeight="1">
      <c r="A4813" s="2">
        <f>HYPERLINK("https://faoschwarz.com/products/wood-vanity-and-makeup-play-set", "https://faoschwarz.com/products/wood-vanity-and-makeup-play-set")</f>
        <v/>
      </c>
      <c r="B4813" s="2">
        <f>HYPERLINK("https://faoschwarz.com/products/wood-vanity-and-makeup-play-set", "https://faoschwarz.com/products/wood-vanity-and-makeup-play-set")</f>
        <v/>
      </c>
      <c r="C4813" t="inlineStr">
        <is>
          <t>Wood Vanity and Makeup Play Set</t>
        </is>
      </c>
      <c r="D4813" t="inlineStr">
        <is>
          <t>Melissa &amp; Doug Wooden Beauty Salon Play Set With Accessories (18 pcs) - Pretend Hair Salon, Toddler Makeup Vanity, Fashion Role For Kids Ages 3+</t>
        </is>
      </c>
      <c r="E4813" s="2">
        <f>HYPERLINK("https://www.amazon.com/Melissa-Doug-Wooden-Beauty-Accessories/dp/B06XTJ76X2/ref=sr_1_1?keywords=Wood+Vanity+and+Makeup+Play+Set&amp;qid=1695565920&amp;sr=8-1", "https://www.amazon.com/Melissa-Doug-Wooden-Beauty-Accessories/dp/B06XTJ76X2/ref=sr_1_1?keywords=Wood+Vanity+and+Makeup+Play+Set&amp;qid=1695565920&amp;sr=8-1")</f>
        <v/>
      </c>
      <c r="F4813" t="inlineStr">
        <is>
          <t>B06XTJ76X2</t>
        </is>
      </c>
      <c r="G4813">
        <f>_xlfn.IMAGE("https://faoschwarz.com/cdn/shop/products/fao-schwarz-preschool-wood-vanity-and-makeup-play-set-28562257543255_1080x.jpg?v=1656051095")</f>
        <v/>
      </c>
      <c r="H4813">
        <f>_xlfn.IMAGE("https://m.media-amazon.com/images/I/61iXI4wknYL._AC_UL320_.jpg")</f>
        <v/>
      </c>
      <c r="K4813" t="inlineStr">
        <is>
          <t>60.0</t>
        </is>
      </c>
      <c r="L4813" t="n">
        <v>54.08</v>
      </c>
      <c r="M4813" s="1" t="inlineStr">
        <is>
          <t>-9.87%</t>
        </is>
      </c>
      <c r="N4813" t="n">
        <v>4.8</v>
      </c>
      <c r="O4813" t="n">
        <v>4894</v>
      </c>
      <c r="Q4813" t="inlineStr">
        <is>
          <t>InStock</t>
        </is>
      </c>
      <c r="R4813" t="inlineStr">
        <is>
          <t>undefined</t>
        </is>
      </c>
      <c r="S4813" t="inlineStr">
        <is>
          <t>6644282425431</t>
        </is>
      </c>
    </row>
    <row r="4814" ht="75" customHeight="1">
      <c r="A4814" s="2">
        <f>HYPERLINK("https://faoschwarz.com/products/wood-vanity-and-makeup-play-set", "https://faoschwarz.com/products/wood-vanity-and-makeup-play-set")</f>
        <v/>
      </c>
      <c r="B4814" s="2">
        <f>HYPERLINK("https://faoschwarz.com/products/wood-vanity-and-makeup-play-set", "https://faoschwarz.com/products/wood-vanity-and-makeup-play-set")</f>
        <v/>
      </c>
      <c r="C4814" t="inlineStr">
        <is>
          <t>Wood Vanity and Makeup Play Set</t>
        </is>
      </c>
      <c r="D4814" t="inlineStr">
        <is>
          <t>TUKELER Wooden Makeup Toy Set with Mirror&amp;Table, Toddler Makeup Vanity,Portable Pretend Beauty Salon Play Set, Nontoxic Paint, Great Gift for Girls Ages 3+</t>
        </is>
      </c>
      <c r="E4814" s="2">
        <f>HYPERLINK("https://www.amazon.com/TUKELER-Toddler-Portable-Pretend-Nontoxic/dp/B0BZV1PZWN/ref=sr_1_3?keywords=Wood+Vanity+and+Makeup+Play+Set&amp;qid=1695565920&amp;sr=8-3", "https://www.amazon.com/TUKELER-Toddler-Portable-Pretend-Nontoxic/dp/B0BZV1PZWN/ref=sr_1_3?keywords=Wood+Vanity+and+Makeup+Play+Set&amp;qid=1695565920&amp;sr=8-3")</f>
        <v/>
      </c>
      <c r="F4814" t="inlineStr">
        <is>
          <t>B0BZV1PZWN</t>
        </is>
      </c>
      <c r="G4814">
        <f>_xlfn.IMAGE("https://faoschwarz.com/cdn/shop/products/fao-schwarz-preschool-wood-vanity-and-makeup-play-set-28562257543255_1080x.jpg?v=1656051095")</f>
        <v/>
      </c>
      <c r="H4814">
        <f>_xlfn.IMAGE("https://m.media-amazon.com/images/I/61+MCjvUlKL._AC_UL320_.jpg")</f>
        <v/>
      </c>
      <c r="K4814" t="inlineStr">
        <is>
          <t>60.0</t>
        </is>
      </c>
      <c r="L4814" t="n">
        <v>46.99</v>
      </c>
      <c r="M4814" s="1" t="inlineStr">
        <is>
          <t>-21.68%</t>
        </is>
      </c>
      <c r="N4814" t="n">
        <v>4.5</v>
      </c>
      <c r="O4814" t="n">
        <v>15</v>
      </c>
      <c r="Q4814" t="inlineStr">
        <is>
          <t>InStock</t>
        </is>
      </c>
      <c r="R4814" t="inlineStr">
        <is>
          <t>undefined</t>
        </is>
      </c>
      <c r="S4814" t="inlineStr">
        <is>
          <t>6644282425431</t>
        </is>
      </c>
    </row>
    <row r="4815" ht="75" customHeight="1">
      <c r="A4815" s="2">
        <f>HYPERLINK("https://faoschwarz.com/products/wood-vanity-and-makeup-play-set", "https://faoschwarz.com/products/wood-vanity-and-makeup-play-set")</f>
        <v/>
      </c>
      <c r="B4815" s="2">
        <f>HYPERLINK("https://faoschwarz.com/products/wood-vanity-and-makeup-play-set", "https://faoschwarz.com/products/wood-vanity-and-makeup-play-set")</f>
        <v/>
      </c>
      <c r="C4815" t="inlineStr">
        <is>
          <t>Wood Vanity and Makeup Play Set</t>
        </is>
      </c>
      <c r="D4815" t="inlineStr">
        <is>
          <t>TOOKYLAND Toddler Princess Vanity Play Toy Set, Kids Toy Vanity Wooden Makeup Table for Little Girl - with Makeup Accessories and Mirror</t>
        </is>
      </c>
      <c r="E4815" s="2">
        <f>HYPERLINK("https://www.amazon.com/TOOKYLAND-Toddler-Princess-Vanity-Wooden/dp/B09VZ6K7FK/ref=sr_1_5?keywords=Wood+Vanity+and+Makeup+Play+Set&amp;qid=1695565920&amp;sr=8-5", "https://www.amazon.com/TOOKYLAND-Toddler-Princess-Vanity-Wooden/dp/B09VZ6K7FK/ref=sr_1_5?keywords=Wood+Vanity+and+Makeup+Play+Set&amp;qid=1695565920&amp;sr=8-5")</f>
        <v/>
      </c>
      <c r="F4815" t="inlineStr">
        <is>
          <t>B09VZ6K7FK</t>
        </is>
      </c>
      <c r="G4815">
        <f>_xlfn.IMAGE("https://faoschwarz.com/cdn/shop/products/fao-schwarz-preschool-wood-vanity-and-makeup-play-set-28562257543255_1080x.jpg?v=1656051095")</f>
        <v/>
      </c>
      <c r="H4815">
        <f>_xlfn.IMAGE("https://m.media-amazon.com/images/I/61qirBFCBFL._AC_UL320_.jpg")</f>
        <v/>
      </c>
      <c r="K4815" t="inlineStr">
        <is>
          <t>60.0</t>
        </is>
      </c>
      <c r="L4815" t="n">
        <v>42.99</v>
      </c>
      <c r="M4815" s="1" t="inlineStr">
        <is>
          <t>-28.35%</t>
        </is>
      </c>
      <c r="N4815" t="n">
        <v>4.8</v>
      </c>
      <c r="O4815" t="n">
        <v>6</v>
      </c>
      <c r="Q4815" t="inlineStr">
        <is>
          <t>InStock</t>
        </is>
      </c>
      <c r="R4815" t="inlineStr">
        <is>
          <t>undefined</t>
        </is>
      </c>
      <c r="S4815" t="inlineStr">
        <is>
          <t>6644282425431</t>
        </is>
      </c>
    </row>
    <row r="4816" ht="75" customHeight="1">
      <c r="A4816" s="2">
        <f>HYPERLINK("https://faoschwarz.com/products/wood-vanity-and-makeup-play-set", "https://faoschwarz.com/products/wood-vanity-and-makeup-play-set")</f>
        <v/>
      </c>
      <c r="B4816" s="2">
        <f>HYPERLINK("https://faoschwarz.com/products/wood-vanity-and-makeup-play-set", "https://faoschwarz.com/products/wood-vanity-and-makeup-play-set")</f>
        <v/>
      </c>
      <c r="C4816" t="inlineStr">
        <is>
          <t>Wood Vanity and Makeup Play Set</t>
        </is>
      </c>
      <c r="D4816" t="inlineStr">
        <is>
          <t>Teamson Kids Little Dreamer Wooden Rainbow Play Tabletop Vanity with Mirror and Drawer Plus 8 Pretend Cosmetic Makeup Accessories, Pink, includes Small Parts</t>
        </is>
      </c>
      <c r="E4816" s="2">
        <f>HYPERLINK("https://www.amazon.com/Teamson-Kids-Tabletop-Cosmetic-Accessories/dp/B09MLRQHL6/ref=sr_1_2?keywords=Wood+Vanity+and+Makeup+Play+Set&amp;qid=1695565920&amp;sr=8-2", "https://www.amazon.com/Teamson-Kids-Tabletop-Cosmetic-Accessories/dp/B09MLRQHL6/ref=sr_1_2?keywords=Wood+Vanity+and+Makeup+Play+Set&amp;qid=1695565920&amp;sr=8-2")</f>
        <v/>
      </c>
      <c r="F4816" t="inlineStr">
        <is>
          <t>B09MLRQHL6</t>
        </is>
      </c>
      <c r="G4816">
        <f>_xlfn.IMAGE("https://faoschwarz.com/cdn/shop/products/fao-schwarz-preschool-wood-vanity-and-makeup-play-set-28562257543255_1080x.jpg?v=1656051095")</f>
        <v/>
      </c>
      <c r="H4816">
        <f>_xlfn.IMAGE("https://m.media-amazon.com/images/I/61lVJ3-tblL._AC_UL320_.jpg")</f>
        <v/>
      </c>
      <c r="K4816" t="inlineStr">
        <is>
          <t>60.0</t>
        </is>
      </c>
      <c r="L4816" t="n">
        <v>42.95</v>
      </c>
      <c r="M4816" s="1" t="inlineStr">
        <is>
          <t>-28.42%</t>
        </is>
      </c>
      <c r="N4816" t="n">
        <v>4.3</v>
      </c>
      <c r="O4816" t="n">
        <v>9</v>
      </c>
      <c r="Q4816" t="inlineStr">
        <is>
          <t>InStock</t>
        </is>
      </c>
      <c r="R4816" t="inlineStr">
        <is>
          <t>undefined</t>
        </is>
      </c>
      <c r="S4816" t="inlineStr">
        <is>
          <t>6644282425431</t>
        </is>
      </c>
    </row>
    <row r="4817" ht="75" customHeight="1">
      <c r="A4817" s="2">
        <f>HYPERLINK("https://faoschwarz.com/products/wood-vanity-and-makeup-play-set", "https://faoschwarz.com/products/wood-vanity-and-makeup-play-set")</f>
        <v/>
      </c>
      <c r="B4817" s="2">
        <f>HYPERLINK("https://faoschwarz.com/products/wood-vanity-and-makeup-play-set", "https://faoschwarz.com/products/wood-vanity-and-makeup-play-set")</f>
        <v/>
      </c>
      <c r="C4817" t="inlineStr">
        <is>
          <t>Wood Vanity and Makeup Play Set</t>
        </is>
      </c>
      <c r="D4817" t="inlineStr">
        <is>
          <t>Emorefun Wooden Makeup Toys Pretend Play Makeup Kit Beautiful Vanity Salon for Girls Makeup Sets for Girls, Christmas Birthday Gift for 4 5 6 7 Years Old Kids</t>
        </is>
      </c>
      <c r="E4817" s="2">
        <f>HYPERLINK("https://www.amazon.com/Emorefun-Pretend-Beautiful-Christmas-Birthday/dp/B09DK2NV9J/ref=sr_1_4?keywords=Wood+Vanity+and+Makeup+Play+Set&amp;qid=1695565920&amp;sr=8-4", "https://www.amazon.com/Emorefun-Pretend-Beautiful-Christmas-Birthday/dp/B09DK2NV9J/ref=sr_1_4?keywords=Wood+Vanity+and+Makeup+Play+Set&amp;qid=1695565920&amp;sr=8-4")</f>
        <v/>
      </c>
      <c r="F4817" t="inlineStr">
        <is>
          <t>B09DK2NV9J</t>
        </is>
      </c>
      <c r="G4817">
        <f>_xlfn.IMAGE("https://faoschwarz.com/cdn/shop/products/fao-schwarz-preschool-wood-vanity-and-makeup-play-set-28562257543255_1080x.jpg?v=1656051095")</f>
        <v/>
      </c>
      <c r="H4817">
        <f>_xlfn.IMAGE("https://m.media-amazon.com/images/I/613aiB6LiGL._AC_UL320_.jpg")</f>
        <v/>
      </c>
      <c r="K4817" t="inlineStr">
        <is>
          <t>60.0</t>
        </is>
      </c>
      <c r="L4817" t="n">
        <v>25.99</v>
      </c>
      <c r="M4817" s="1" t="inlineStr">
        <is>
          <t>-56.68%</t>
        </is>
      </c>
      <c r="N4817" t="n">
        <v>4.7</v>
      </c>
      <c r="O4817" t="n">
        <v>79</v>
      </c>
      <c r="Q4817" t="inlineStr">
        <is>
          <t>InStock</t>
        </is>
      </c>
      <c r="R4817" t="inlineStr">
        <is>
          <t>undefined</t>
        </is>
      </c>
      <c r="S4817" t="inlineStr">
        <is>
          <t>6644282425431</t>
        </is>
      </c>
    </row>
    <row r="4818" ht="75" customHeight="1">
      <c r="A4818" s="2">
        <f>HYPERLINK("https://faoschwarz.com/products/yahtzee-vintage-bookshelf-edition", "https://faoschwarz.com/products/yahtzee-vintage-bookshelf-edition")</f>
        <v/>
      </c>
      <c r="B4818" s="2">
        <f>HYPERLINK("https://faoschwarz.com/products/yahtzee-vintage-bookshelf-edition", "https://faoschwarz.com/products/yahtzee-vintage-bookshelf-edition")</f>
        <v/>
      </c>
      <c r="C4818" t="inlineStr">
        <is>
          <t>Yahtzee Vintage Bookshelf Edition</t>
        </is>
      </c>
      <c r="D4818" t="inlineStr">
        <is>
          <t>WS Game Company The Game of Life Vintage Bookshelf Edition</t>
        </is>
      </c>
      <c r="E4818" s="2">
        <f>HYPERLINK("https://www.amazon.com/Winning-Solutions-Linen-Vintage-Board/dp/B075SDMMMT/ref=sr_1_7?keywords=Yahtzee+Vintage+Bookshelf+Edition&amp;qid=1695566011&amp;sr=8-7", "https://www.amazon.com/Winning-Solutions-Linen-Vintage-Board/dp/B075SDMMMT/ref=sr_1_7?keywords=Yahtzee+Vintage+Bookshelf+Edition&amp;qid=1695566011&amp;sr=8-7")</f>
        <v/>
      </c>
      <c r="F4818" t="inlineStr">
        <is>
          <t>B075SDMMMT</t>
        </is>
      </c>
      <c r="G4818">
        <f>_xlfn.IMAGE("https://faoschwarz.com/cdn/shop/products/ws-game-company-games-yahtzee-vintage-bookshelf-edition-28874162470999_1080x.jpg?v=1655988963")</f>
        <v/>
      </c>
      <c r="H4818">
        <f>_xlfn.IMAGE("https://m.media-amazon.com/images/I/91GMf7H9POL._AC_UL320_.jpg")</f>
        <v/>
      </c>
      <c r="K4818" t="inlineStr">
        <is>
          <t>40.0</t>
        </is>
      </c>
      <c r="L4818" t="n">
        <v>44.99</v>
      </c>
      <c r="M4818" s="1" t="inlineStr">
        <is>
          <t>12.48%</t>
        </is>
      </c>
      <c r="N4818" t="n">
        <v>4.7</v>
      </c>
      <c r="O4818" t="n">
        <v>49</v>
      </c>
      <c r="Q4818" t="inlineStr">
        <is>
          <t>InStock</t>
        </is>
      </c>
      <c r="R4818" t="inlineStr">
        <is>
          <t>undefined</t>
        </is>
      </c>
      <c r="S4818" t="inlineStr">
        <is>
          <t>6715353202775</t>
        </is>
      </c>
    </row>
    <row r="4819" ht="75" customHeight="1">
      <c r="A4819" s="2">
        <f>HYPERLINK("https://faoschwarz.com/products/yahtzee-vintage-bookshelf-edition", "https://faoschwarz.com/products/yahtzee-vintage-bookshelf-edition")</f>
        <v/>
      </c>
      <c r="B4819" s="2">
        <f>HYPERLINK("https://faoschwarz.com/products/yahtzee-vintage-bookshelf-edition", "https://faoschwarz.com/products/yahtzee-vintage-bookshelf-edition")</f>
        <v/>
      </c>
      <c r="C4819" t="inlineStr">
        <is>
          <t>Yahtzee Vintage Bookshelf Edition</t>
        </is>
      </c>
      <c r="D4819" t="inlineStr">
        <is>
          <t>WS Game Company Taboo Vintage Bookshelf Edition</t>
        </is>
      </c>
      <c r="E4819" s="2">
        <f>HYPERLINK("https://www.amazon.com/WS-Game-Company-Vintage-Bookshelf/dp/B0C4D26SDW/ref=sr_1_2?keywords=Yahtzee+Vintage+Bookshelf+Edition&amp;qid=1695566011&amp;sr=8-2", "https://www.amazon.com/WS-Game-Company-Vintage-Bookshelf/dp/B0C4D26SDW/ref=sr_1_2?keywords=Yahtzee+Vintage+Bookshelf+Edition&amp;qid=1695566011&amp;sr=8-2")</f>
        <v/>
      </c>
      <c r="F4819" t="inlineStr">
        <is>
          <t>B0C4D26SDW</t>
        </is>
      </c>
      <c r="G4819">
        <f>_xlfn.IMAGE("https://faoschwarz.com/cdn/shop/products/ws-game-company-games-yahtzee-vintage-bookshelf-edition-28874162470999_1080x.jpg?v=1655988963")</f>
        <v/>
      </c>
      <c r="H4819">
        <f>_xlfn.IMAGE("https://m.media-amazon.com/images/I/71w+AQ-OvDL._AC_UL320_.jpg")</f>
        <v/>
      </c>
      <c r="K4819" t="inlineStr">
        <is>
          <t>40.0</t>
        </is>
      </c>
      <c r="L4819" t="n">
        <v>39.99</v>
      </c>
      <c r="M4819" s="1" t="inlineStr">
        <is>
          <t>-0.02%</t>
        </is>
      </c>
      <c r="N4819" t="n">
        <v>5</v>
      </c>
      <c r="O4819" t="n">
        <v>7</v>
      </c>
      <c r="Q4819" t="inlineStr">
        <is>
          <t>InStock</t>
        </is>
      </c>
      <c r="R4819" t="inlineStr">
        <is>
          <t>undefined</t>
        </is>
      </c>
      <c r="S4819" t="inlineStr">
        <is>
          <t>6715353202775</t>
        </is>
      </c>
    </row>
    <row r="4820" ht="75" customHeight="1">
      <c r="A4820" s="2">
        <f>HYPERLINK("https://faoschwarz.com/products/yahtzee-vintage-bookshelf-edition", "https://faoschwarz.com/products/yahtzee-vintage-bookshelf-edition")</f>
        <v/>
      </c>
      <c r="B4820" s="2">
        <f>HYPERLINK("https://faoschwarz.com/products/yahtzee-vintage-bookshelf-edition", "https://faoschwarz.com/products/yahtzee-vintage-bookshelf-edition")</f>
        <v/>
      </c>
      <c r="C4820" t="inlineStr">
        <is>
          <t>Yahtzee Vintage Bookshelf Edition</t>
        </is>
      </c>
      <c r="D4820" t="inlineStr">
        <is>
          <t>WS Game Company Clue Vintage Bookshelf Edition</t>
        </is>
      </c>
      <c r="E4820" s="2">
        <f>HYPERLINK("https://www.amazon.com/Clue-Linen-Book-Vintage-Board/dp/B01CPTT716/ref=sr_1_10?keywords=Yahtzee+Vintage+Bookshelf+Edition&amp;qid=1695566011&amp;sr=8-10", "https://www.amazon.com/Clue-Linen-Book-Vintage-Board/dp/B01CPTT716/ref=sr_1_10?keywords=Yahtzee+Vintage+Bookshelf+Edition&amp;qid=1695566011&amp;sr=8-10")</f>
        <v/>
      </c>
      <c r="F4820" t="inlineStr">
        <is>
          <t>B01CPTT716</t>
        </is>
      </c>
      <c r="G4820">
        <f>_xlfn.IMAGE("https://faoschwarz.com/cdn/shop/products/ws-game-company-games-yahtzee-vintage-bookshelf-edition-28874162470999_1080x.jpg?v=1655988963")</f>
        <v/>
      </c>
      <c r="H4820">
        <f>_xlfn.IMAGE("https://m.media-amazon.com/images/I/81MHz0qbqQL._AC_UL320_.jpg")</f>
        <v/>
      </c>
      <c r="K4820" t="inlineStr">
        <is>
          <t>40.0</t>
        </is>
      </c>
      <c r="L4820" t="n">
        <v>39.99</v>
      </c>
      <c r="M4820" s="1" t="inlineStr">
        <is>
          <t>-0.02%</t>
        </is>
      </c>
      <c r="N4820" t="n">
        <v>4.8</v>
      </c>
      <c r="O4820" t="n">
        <v>711</v>
      </c>
      <c r="Q4820" t="inlineStr">
        <is>
          <t>InStock</t>
        </is>
      </c>
      <c r="R4820" t="inlineStr">
        <is>
          <t>undefined</t>
        </is>
      </c>
      <c r="S4820" t="inlineStr">
        <is>
          <t>6715353202775</t>
        </is>
      </c>
    </row>
    <row r="4821" ht="75" customHeight="1">
      <c r="A4821" s="2">
        <f>HYPERLINK("https://faoschwarz.com/products/yahtzee-vintage-bookshelf-edition", "https://faoschwarz.com/products/yahtzee-vintage-bookshelf-edition")</f>
        <v/>
      </c>
      <c r="B4821" s="2">
        <f>HYPERLINK("https://faoschwarz.com/products/yahtzee-vintage-bookshelf-edition", "https://faoschwarz.com/products/yahtzee-vintage-bookshelf-edition")</f>
        <v/>
      </c>
      <c r="C4821" t="inlineStr">
        <is>
          <t>Yahtzee Vintage Bookshelf Edition</t>
        </is>
      </c>
      <c r="D4821" t="inlineStr">
        <is>
          <t>WS Game Company Sorry! Vintage Bookshelf Edition</t>
        </is>
      </c>
      <c r="E4821" s="2">
        <f>HYPERLINK("https://www.amazon.com/WS-Game-Company-Vintage-Bookshelf/dp/B09N21R993/ref=sr_1_6?keywords=Yahtzee+Vintage+Bookshelf+Edition&amp;qid=1695566011&amp;sr=8-6", "https://www.amazon.com/WS-Game-Company-Vintage-Bookshelf/dp/B09N21R993/ref=sr_1_6?keywords=Yahtzee+Vintage+Bookshelf+Edition&amp;qid=1695566011&amp;sr=8-6")</f>
        <v/>
      </c>
      <c r="F4821" t="inlineStr">
        <is>
          <t>B09N21R993</t>
        </is>
      </c>
      <c r="G4821">
        <f>_xlfn.IMAGE("https://faoschwarz.com/cdn/shop/products/ws-game-company-games-yahtzee-vintage-bookshelf-edition-28874162470999_1080x.jpg?v=1655988963")</f>
        <v/>
      </c>
      <c r="H4821">
        <f>_xlfn.IMAGE("https://m.media-amazon.com/images/I/81K6S3Yn+HL._AC_UL320_.jpg")</f>
        <v/>
      </c>
      <c r="K4821" t="inlineStr">
        <is>
          <t>40.0</t>
        </is>
      </c>
      <c r="L4821" t="n">
        <v>35</v>
      </c>
      <c r="M4821" s="1" t="inlineStr">
        <is>
          <t>-12.50%</t>
        </is>
      </c>
      <c r="N4821" t="n">
        <v>4.9</v>
      </c>
      <c r="O4821" t="n">
        <v>184</v>
      </c>
      <c r="Q4821" t="inlineStr">
        <is>
          <t>InStock</t>
        </is>
      </c>
      <c r="R4821" t="inlineStr">
        <is>
          <t>undefined</t>
        </is>
      </c>
      <c r="S4821" t="inlineStr">
        <is>
          <t>6715353202775</t>
        </is>
      </c>
    </row>
    <row r="4822" ht="75" customHeight="1">
      <c r="A4822" s="2">
        <f>HYPERLINK("https://faoschwarz.com/products/yahtzee-vintage-bookshelf-edition", "https://faoschwarz.com/products/yahtzee-vintage-bookshelf-edition")</f>
        <v/>
      </c>
      <c r="B4822" s="2">
        <f>HYPERLINK("https://faoschwarz.com/products/yahtzee-vintage-bookshelf-edition", "https://faoschwarz.com/products/yahtzee-vintage-bookshelf-edition")</f>
        <v/>
      </c>
      <c r="C4822" t="inlineStr">
        <is>
          <t>Yahtzee Vintage Bookshelf Edition</t>
        </is>
      </c>
      <c r="D4822" t="inlineStr">
        <is>
          <t>Yahtzee Vintage Bookshelf Edition</t>
        </is>
      </c>
      <c r="E4822" s="2">
        <f>HYPERLINK("https://www.amazon.com/Winning-Solutions-Yahtzee-Linen-Vintage/dp/B075SCWZND/ref=sr_1_1?keywords=Yahtzee+Vintage+Bookshelf+Edition&amp;qid=1695566011&amp;sr=8-1", "https://www.amazon.com/Winning-Solutions-Yahtzee-Linen-Vintage/dp/B075SCWZND/ref=sr_1_1?keywords=Yahtzee+Vintage+Bookshelf+Edition&amp;qid=1695566011&amp;sr=8-1")</f>
        <v/>
      </c>
      <c r="F4822" t="inlineStr">
        <is>
          <t>B075SCWZND</t>
        </is>
      </c>
      <c r="G4822">
        <f>_xlfn.IMAGE("https://faoschwarz.com/cdn/shop/products/ws-game-company-games-yahtzee-vintage-bookshelf-edition-28874162470999_1080x.jpg?v=1655988963")</f>
        <v/>
      </c>
      <c r="H4822">
        <f>_xlfn.IMAGE("https://m.media-amazon.com/images/I/518FvCklg1L._AC_UL320_.jpg")</f>
        <v/>
      </c>
      <c r="K4822" t="inlineStr">
        <is>
          <t>40.0</t>
        </is>
      </c>
      <c r="L4822" t="n">
        <v>35</v>
      </c>
      <c r="M4822" s="1" t="inlineStr">
        <is>
          <t>-12.50%</t>
        </is>
      </c>
      <c r="N4822" t="n">
        <v>4.8</v>
      </c>
      <c r="O4822" t="n">
        <v>585</v>
      </c>
      <c r="Q4822" t="inlineStr">
        <is>
          <t>InStock</t>
        </is>
      </c>
      <c r="R4822" t="inlineStr">
        <is>
          <t>undefined</t>
        </is>
      </c>
      <c r="S4822" t="inlineStr">
        <is>
          <t>6715353202775</t>
        </is>
      </c>
    </row>
    <row r="4823" ht="75" customHeight="1">
      <c r="A4823" s="2">
        <f>HYPERLINK("https://faoschwarz.com/products/yahtzee-vintage-bookshelf-edition", "https://faoschwarz.com/products/yahtzee-vintage-bookshelf-edition")</f>
        <v/>
      </c>
      <c r="B4823" s="2">
        <f>HYPERLINK("https://faoschwarz.com/products/yahtzee-vintage-bookshelf-edition", "https://faoschwarz.com/products/yahtzee-vintage-bookshelf-edition")</f>
        <v/>
      </c>
      <c r="C4823" t="inlineStr">
        <is>
          <t>Yahtzee Vintage Bookshelf Edition</t>
        </is>
      </c>
      <c r="D4823" t="inlineStr">
        <is>
          <t>Scattergories Vintage Bookshelf Edition</t>
        </is>
      </c>
      <c r="E4823" s="2">
        <f>HYPERLINK("https://www.amazon.com/Winning-Solutions-Scattergories-Linen-Vintage/dp/B075SD7T4S/ref=sr_1_9?keywords=Yahtzee+Vintage+Bookshelf+Edition&amp;qid=1695566011&amp;sr=8-9", "https://www.amazon.com/Winning-Solutions-Scattergories-Linen-Vintage/dp/B075SD7T4S/ref=sr_1_9?keywords=Yahtzee+Vintage+Bookshelf+Edition&amp;qid=1695566011&amp;sr=8-9")</f>
        <v/>
      </c>
      <c r="F4823" t="inlineStr">
        <is>
          <t>B075SD7T4S</t>
        </is>
      </c>
      <c r="G4823">
        <f>_xlfn.IMAGE("https://faoschwarz.com/cdn/shop/products/ws-game-company-games-yahtzee-vintage-bookshelf-edition-28874162470999_1080x.jpg?v=1655988963")</f>
        <v/>
      </c>
      <c r="H4823">
        <f>_xlfn.IMAGE("https://m.media-amazon.com/images/I/91EVC5kAH1L._AC_UL320_.jpg")</f>
        <v/>
      </c>
      <c r="K4823" t="inlineStr">
        <is>
          <t>40.0</t>
        </is>
      </c>
      <c r="L4823" t="n">
        <v>34.27</v>
      </c>
      <c r="M4823" s="1" t="inlineStr">
        <is>
          <t>-14.32%</t>
        </is>
      </c>
      <c r="N4823" t="n">
        <v>4.8</v>
      </c>
      <c r="O4823" t="n">
        <v>391</v>
      </c>
      <c r="Q4823" t="inlineStr">
        <is>
          <t>InStock</t>
        </is>
      </c>
      <c r="R4823" t="inlineStr">
        <is>
          <t>undefined</t>
        </is>
      </c>
      <c r="S4823" t="inlineStr">
        <is>
          <t>6715353202775</t>
        </is>
      </c>
    </row>
    <row r="4824" ht="75" customHeight="1">
      <c r="A4824" s="2">
        <f>HYPERLINK("https://faoschwarz.com/products/yahtzee-vintage-bookshelf-edition", "https://faoschwarz.com/products/yahtzee-vintage-bookshelf-edition")</f>
        <v/>
      </c>
      <c r="B4824" s="2">
        <f>HYPERLINK("https://faoschwarz.com/products/yahtzee-vintage-bookshelf-edition", "https://faoschwarz.com/products/yahtzee-vintage-bookshelf-edition")</f>
        <v/>
      </c>
      <c r="C4824" t="inlineStr">
        <is>
          <t>Yahtzee Vintage Bookshelf Edition</t>
        </is>
      </c>
      <c r="D4824" t="inlineStr">
        <is>
          <t>WS Game Company Sorry! Vintage Bookshelf Edition</t>
        </is>
      </c>
      <c r="E4824" s="2">
        <f>HYPERLINK("https://www.amazon.com/WS-Game-Company-Vintage-Bookshelf/dp/B09N21R993/ref=sr_1_6?keywords=Yahtzee+Vintage+Bookshelf+Edition&amp;qid=1695566011&amp;sr=8-6", "https://www.amazon.com/WS-Game-Company-Vintage-Bookshelf/dp/B09N21R993/ref=sr_1_6?keywords=Yahtzee+Vintage+Bookshelf+Edition&amp;qid=1695566011&amp;sr=8-6")</f>
        <v/>
      </c>
      <c r="F4824" t="inlineStr">
        <is>
          <t>B09N21R993</t>
        </is>
      </c>
      <c r="G4824">
        <f>_xlfn.IMAGE("https://faoschwarz.com/cdn/shop/products/ws-game-company-games-yahtzee-vintage-bookshelf-edition-28874162470999_1080x.jpg?v=1655988963")</f>
        <v/>
      </c>
      <c r="H4824">
        <f>_xlfn.IMAGE("https://m.media-amazon.com/images/I/81K6S3Yn+HL._AC_UL320_.jpg")</f>
        <v/>
      </c>
      <c r="K4824" t="inlineStr">
        <is>
          <t>40.0</t>
        </is>
      </c>
      <c r="L4824" t="n">
        <v>35</v>
      </c>
      <c r="M4824" s="1" t="inlineStr">
        <is>
          <t>-12.50%</t>
        </is>
      </c>
      <c r="N4824" t="n">
        <v>4.9</v>
      </c>
      <c r="O4824" t="n">
        <v>184</v>
      </c>
      <c r="Q4824" t="inlineStr">
        <is>
          <t>InStock</t>
        </is>
      </c>
      <c r="R4824" t="inlineStr">
        <is>
          <t>undefined</t>
        </is>
      </c>
      <c r="S4824" t="inlineStr">
        <is>
          <t>6715353202775</t>
        </is>
      </c>
    </row>
    <row r="4825" ht="75" customHeight="1">
      <c r="A4825" s="2">
        <f>HYPERLINK("https://faoschwarz.com/products/yahtzee-vintage-bookshelf-edition", "https://faoschwarz.com/products/yahtzee-vintage-bookshelf-edition")</f>
        <v/>
      </c>
      <c r="B4825" s="2">
        <f>HYPERLINK("https://faoschwarz.com/products/yahtzee-vintage-bookshelf-edition", "https://faoschwarz.com/products/yahtzee-vintage-bookshelf-edition")</f>
        <v/>
      </c>
      <c r="C4825" t="inlineStr">
        <is>
          <t>Yahtzee Vintage Bookshelf Edition</t>
        </is>
      </c>
      <c r="D4825" t="inlineStr">
        <is>
          <t>Yahtzee Vintage Bookshelf Edition</t>
        </is>
      </c>
      <c r="E4825" s="2">
        <f>HYPERLINK("https://www.amazon.com/Winning-Solutions-Yahtzee-Linen-Vintage/dp/B075SCWZND/ref=sr_1_1?keywords=Yahtzee+Vintage+Bookshelf+Edition&amp;qid=1695566011&amp;sr=8-1", "https://www.amazon.com/Winning-Solutions-Yahtzee-Linen-Vintage/dp/B075SCWZND/ref=sr_1_1?keywords=Yahtzee+Vintage+Bookshelf+Edition&amp;qid=1695566011&amp;sr=8-1")</f>
        <v/>
      </c>
      <c r="F4825" t="inlineStr">
        <is>
          <t>B075SCWZND</t>
        </is>
      </c>
      <c r="G4825">
        <f>_xlfn.IMAGE("https://faoschwarz.com/cdn/shop/products/ws-game-company-games-yahtzee-vintage-bookshelf-edition-28874162470999_1080x.jpg?v=1655988963")</f>
        <v/>
      </c>
      <c r="H4825">
        <f>_xlfn.IMAGE("https://m.media-amazon.com/images/I/518FvCklg1L._AC_UL320_.jpg")</f>
        <v/>
      </c>
      <c r="K4825" t="inlineStr">
        <is>
          <t>40.0</t>
        </is>
      </c>
      <c r="L4825" t="n">
        <v>35</v>
      </c>
      <c r="M4825" s="1" t="inlineStr">
        <is>
          <t>-12.50%</t>
        </is>
      </c>
      <c r="N4825" t="n">
        <v>4.8</v>
      </c>
      <c r="O4825" t="n">
        <v>585</v>
      </c>
      <c r="Q4825" t="inlineStr">
        <is>
          <t>InStock</t>
        </is>
      </c>
      <c r="R4825" t="inlineStr">
        <is>
          <t>undefined</t>
        </is>
      </c>
      <c r="S4825" t="inlineStr">
        <is>
          <t>6715353202775</t>
        </is>
      </c>
    </row>
    <row r="4826" ht="75" customHeight="1">
      <c r="A4826" s="2">
        <f>HYPERLINK("https://faoschwarz.com/products/yahtzee-vintage-bookshelf-edition", "https://faoschwarz.com/products/yahtzee-vintage-bookshelf-edition")</f>
        <v/>
      </c>
      <c r="B4826" s="2">
        <f>HYPERLINK("https://faoschwarz.com/products/yahtzee-vintage-bookshelf-edition", "https://faoschwarz.com/products/yahtzee-vintage-bookshelf-edition")</f>
        <v/>
      </c>
      <c r="C4826" t="inlineStr">
        <is>
          <t>Yahtzee Vintage Bookshelf Edition</t>
        </is>
      </c>
      <c r="D4826" t="inlineStr">
        <is>
          <t>Scattergories Vintage Bookshelf Edition</t>
        </is>
      </c>
      <c r="E4826" s="2">
        <f>HYPERLINK("https://www.amazon.com/Winning-Solutions-Scattergories-Linen-Vintage/dp/B075SD7T4S/ref=sr_1_9?keywords=Yahtzee+Vintage+Bookshelf+Edition&amp;qid=1695566011&amp;sr=8-9", "https://www.amazon.com/Winning-Solutions-Scattergories-Linen-Vintage/dp/B075SD7T4S/ref=sr_1_9?keywords=Yahtzee+Vintage+Bookshelf+Edition&amp;qid=1695566011&amp;sr=8-9")</f>
        <v/>
      </c>
      <c r="F4826" t="inlineStr">
        <is>
          <t>B075SD7T4S</t>
        </is>
      </c>
      <c r="G4826">
        <f>_xlfn.IMAGE("https://faoschwarz.com/cdn/shop/products/ws-game-company-games-yahtzee-vintage-bookshelf-edition-28874162470999_1080x.jpg?v=1655988963")</f>
        <v/>
      </c>
      <c r="H4826">
        <f>_xlfn.IMAGE("https://m.media-amazon.com/images/I/91EVC5kAH1L._AC_UL320_.jpg")</f>
        <v/>
      </c>
      <c r="K4826" t="inlineStr">
        <is>
          <t>40.0</t>
        </is>
      </c>
      <c r="L4826" t="n">
        <v>34.27</v>
      </c>
      <c r="M4826" s="1" t="inlineStr">
        <is>
          <t>-14.32%</t>
        </is>
      </c>
      <c r="N4826" t="n">
        <v>4.8</v>
      </c>
      <c r="O4826" t="n">
        <v>391</v>
      </c>
      <c r="Q4826" t="inlineStr">
        <is>
          <t>InStock</t>
        </is>
      </c>
      <c r="R4826" t="inlineStr">
        <is>
          <t>undefined</t>
        </is>
      </c>
      <c r="S4826" t="inlineStr">
        <is>
          <t>6715353202775</t>
        </is>
      </c>
    </row>
    <row r="4827" ht="75" customHeight="1">
      <c r="A4827" s="2">
        <f>HYPERLINK("https://www.cafepress.com/+_wall_clock,152563131", "https://www.cafepress.com/+_wall_clock,152563131")</f>
        <v/>
      </c>
      <c r="B4827" s="2">
        <f>HYPERLINK("https://www.cafepress.com/+_wall_clock,152563131", "https://www.cafepress.com/+_wall_clock,152563131")</f>
        <v/>
      </c>
      <c r="C4827" t="inlineStr">
        <is>
          <t>Wall Clocks Wall Clock</t>
        </is>
      </c>
      <c r="D4827" t="inlineStr">
        <is>
          <t>17 Inch Large Digital Wall Clock with Remote Control, Automatic Brightness Dimmer Digital Wall Clock Large Display with Day/Date/Temperature, Snooze, Count Up &amp; Down Timer for Living Room, Office, Gym</t>
        </is>
      </c>
      <c r="E4827" s="2">
        <f>HYPERLINK("https://www.amazon.com/Digital-Control-Automatic-Brightness-Temperature/dp/B0B9G7SLX5/ref=sr_1_1?keywords=Wall+Clocks+Wall+Clock&amp;qid=1695565341&amp;sr=8-1", "https://www.amazon.com/Digital-Control-Automatic-Brightness-Temperature/dp/B0B9G7SLX5/ref=sr_1_1?keywords=Wall+Clocks+Wall+Clock&amp;qid=1695565341&amp;sr=8-1")</f>
        <v/>
      </c>
      <c r="F4827" t="inlineStr">
        <is>
          <t>B0B9G7SLX5</t>
        </is>
      </c>
      <c r="H4827">
        <f>_xlfn.IMAGE("https://m.media-amazon.com/images/I/61ojl-pQBaL._AC_UL320_.jpg")</f>
        <v/>
      </c>
      <c r="K4827" t="inlineStr">
        <is>
          <t>39.99</t>
        </is>
      </c>
      <c r="L4827" t="n">
        <v>39.99</v>
      </c>
      <c r="M4827" s="1" t="inlineStr">
        <is>
          <t>0.00%</t>
        </is>
      </c>
      <c r="N4827" t="n">
        <v>4.6</v>
      </c>
      <c r="O4827" t="n">
        <v>103</v>
      </c>
      <c r="Q4827" t="inlineStr">
        <is>
          <t>InStock</t>
        </is>
      </c>
      <c r="R4827" t="inlineStr">
        <is>
          <t>52.99</t>
        </is>
      </c>
      <c r="S4827" t="inlineStr">
        <is>
          <t>152563131</t>
        </is>
      </c>
    </row>
    <row r="4828" ht="75" customHeight="1">
      <c r="A4828" s="2">
        <f>HYPERLINK("https://www.cafepress.com/+_wall_clock,152563131", "https://www.cafepress.com/+_wall_clock,152563131")</f>
        <v/>
      </c>
      <c r="B4828" s="2">
        <f>HYPERLINK("https://www.cafepress.com/+_wall_clock,152563131", "https://www.cafepress.com/+_wall_clock,152563131")</f>
        <v/>
      </c>
      <c r="C4828" t="inlineStr">
        <is>
          <t>Wall Clocks Wall Clock</t>
        </is>
      </c>
      <c r="D4828" t="inlineStr">
        <is>
          <t>Mosewa Wall Clock 14 Inch Wall Clocks Battery Operated Silent Non-Ticking, Simple Modern Wood Clock Decorative for Bedroom, Living Room, Kitchen, Home Office (Gray)</t>
        </is>
      </c>
      <c r="E4828" s="2">
        <f>HYPERLINK("https://www.amazon.com/Mosewa-Battery-Operated-Non-Ticking-Decorative/dp/B0B5MLHZ2M/ref=sr_1_7?keywords=Wall+Clocks+Wall+Clock&amp;qid=1695565341&amp;sr=8-7", "https://www.amazon.com/Mosewa-Battery-Operated-Non-Ticking-Decorative/dp/B0B5MLHZ2M/ref=sr_1_7?keywords=Wall+Clocks+Wall+Clock&amp;qid=1695565341&amp;sr=8-7")</f>
        <v/>
      </c>
      <c r="F4828" t="inlineStr">
        <is>
          <t>B0B5MLHZ2M</t>
        </is>
      </c>
      <c r="H4828">
        <f>_xlfn.IMAGE("https://m.media-amazon.com/images/I/512j17mOJ+L._AC_UL320_.jpg")</f>
        <v/>
      </c>
      <c r="K4828" t="inlineStr">
        <is>
          <t>39.99</t>
        </is>
      </c>
      <c r="L4828" t="n">
        <v>27.97</v>
      </c>
      <c r="M4828" s="1" t="inlineStr">
        <is>
          <t>-30.06%</t>
        </is>
      </c>
      <c r="N4828" t="n">
        <v>4.5</v>
      </c>
      <c r="O4828" t="n">
        <v>4220</v>
      </c>
      <c r="Q4828" t="inlineStr">
        <is>
          <t>InStock</t>
        </is>
      </c>
      <c r="R4828" t="inlineStr">
        <is>
          <t>52.99</t>
        </is>
      </c>
      <c r="S4828" t="inlineStr">
        <is>
          <t>152563131</t>
        </is>
      </c>
    </row>
    <row r="4829" ht="75" customHeight="1">
      <c r="A4829" s="2">
        <f>HYPERLINK("https://www.cafepress.com/+_wall_clock,152563131", "https://www.cafepress.com/+_wall_clock,152563131")</f>
        <v/>
      </c>
      <c r="B4829" s="2">
        <f>HYPERLINK("https://www.cafepress.com/+_wall_clock,152563131", "https://www.cafepress.com/+_wall_clock,152563131")</f>
        <v/>
      </c>
      <c r="C4829" t="inlineStr">
        <is>
          <t>Wall Clocks Wall Clock</t>
        </is>
      </c>
      <c r="D4829" t="inlineStr">
        <is>
          <t>KECYET 14 Inch Wall Clock Silent Non Ticking Wall Clocks Battery Operated, Large Country Style Rustic Vintage Clock Decorative for Kitchen Farmhouse Office Living Room Bathroom (Grey)</t>
        </is>
      </c>
      <c r="E4829" s="2">
        <f>HYPERLINK("https://www.amazon.com/KECYET-Operated-Decorative-Farmhouse-Bathroom/dp/B0BZRC4F6S/ref=sr_1_9?keywords=Wall+Clocks+Wall+Clock&amp;qid=1695565341&amp;sr=8-9", "https://www.amazon.com/KECYET-Operated-Decorative-Farmhouse-Bathroom/dp/B0BZRC4F6S/ref=sr_1_9?keywords=Wall+Clocks+Wall+Clock&amp;qid=1695565341&amp;sr=8-9")</f>
        <v/>
      </c>
      <c r="F4829" t="inlineStr">
        <is>
          <t>B0BZRC4F6S</t>
        </is>
      </c>
      <c r="H4829">
        <f>_xlfn.IMAGE("https://m.media-amazon.com/images/I/81y9ZbtB-RL._AC_UL320_.jpg")</f>
        <v/>
      </c>
      <c r="K4829" t="inlineStr">
        <is>
          <t>39.99</t>
        </is>
      </c>
      <c r="L4829" t="n">
        <v>24.97</v>
      </c>
      <c r="M4829" s="1" t="inlineStr">
        <is>
          <t>-37.56%</t>
        </is>
      </c>
      <c r="N4829" t="n">
        <v>4.4</v>
      </c>
      <c r="O4829" t="n">
        <v>4596</v>
      </c>
      <c r="Q4829" t="inlineStr">
        <is>
          <t>InStock</t>
        </is>
      </c>
      <c r="R4829" t="inlineStr">
        <is>
          <t>52.99</t>
        </is>
      </c>
      <c r="S4829" t="inlineStr">
        <is>
          <t>152563131</t>
        </is>
      </c>
    </row>
    <row r="4830" ht="75" customHeight="1">
      <c r="A4830" s="2">
        <f>HYPERLINK("https://www.cafepress.com/+_wall_clock,152563131", "https://www.cafepress.com/+_wall_clock,152563131")</f>
        <v/>
      </c>
      <c r="B4830" s="2">
        <f>HYPERLINK("https://www.cafepress.com/+_wall_clock,152563131", "https://www.cafepress.com/+_wall_clock,152563131")</f>
        <v/>
      </c>
      <c r="C4830" t="inlineStr">
        <is>
          <t>Wall Clocks Wall Clock</t>
        </is>
      </c>
      <c r="D4830" t="inlineStr">
        <is>
          <t>HYLANDA Wall Clock 12 Inch, Grey Wall Clocks Battery Operated Silent Non Ticking, Vintage Rustic Wooden Clocks Decorative for Kitchen Bathroom, Living Room, Bedrooms, Dining Room, Office (12")</t>
        </is>
      </c>
      <c r="E4830" s="2">
        <f>HYPERLINK("https://www.amazon.com/HYLANDA-Operated-Decorative-Bathroom-Bedrooms/dp/B0C2C1GKVN/ref=sr_1_8?keywords=Wall+Clocks+Wall+Clock&amp;qid=1695565341&amp;sr=8-8", "https://www.amazon.com/HYLANDA-Operated-Decorative-Bathroom-Bedrooms/dp/B0C2C1GKVN/ref=sr_1_8?keywords=Wall+Clocks+Wall+Clock&amp;qid=1695565341&amp;sr=8-8")</f>
        <v/>
      </c>
      <c r="F4830" t="inlineStr">
        <is>
          <t>B0C2C1GKVN</t>
        </is>
      </c>
      <c r="H4830">
        <f>_xlfn.IMAGE("https://m.media-amazon.com/images/I/81kNQXXuUkL._AC_UL320_.jpg")</f>
        <v/>
      </c>
      <c r="K4830" t="inlineStr">
        <is>
          <t>39.99</t>
        </is>
      </c>
      <c r="L4830" t="n">
        <v>20.97</v>
      </c>
      <c r="M4830" s="1" t="inlineStr">
        <is>
          <t>-47.56%</t>
        </is>
      </c>
      <c r="N4830" t="n">
        <v>4.4</v>
      </c>
      <c r="O4830" t="n">
        <v>1737</v>
      </c>
      <c r="Q4830" t="inlineStr">
        <is>
          <t>InStock</t>
        </is>
      </c>
      <c r="R4830" t="inlineStr">
        <is>
          <t>52.99</t>
        </is>
      </c>
      <c r="S4830" t="inlineStr">
        <is>
          <t>152563131</t>
        </is>
      </c>
    </row>
    <row r="4831" ht="75" customHeight="1">
      <c r="A4831" s="2">
        <f>HYPERLINK("https://www.cafepress.com/+_wall_clock,152563131", "https://www.cafepress.com/+_wall_clock,152563131")</f>
        <v/>
      </c>
      <c r="B4831" s="2">
        <f>HYPERLINK("https://www.cafepress.com/+_wall_clock,152563131", "https://www.cafepress.com/+_wall_clock,152563131")</f>
        <v/>
      </c>
      <c r="C4831" t="inlineStr">
        <is>
          <t>Wall Clocks Wall Clock</t>
        </is>
      </c>
      <c r="D4831" t="inlineStr">
        <is>
          <t>KECYET Wall Clock Vintage, 12 Inch Wall Clocks Battery Operated, Retro Wall Clocks Silent Non Ticking Decorative for Kitchen Living Room Office Bathroom Farmhouse(Light Bronze)</t>
        </is>
      </c>
      <c r="E4831" s="2">
        <f>HYPERLINK("https://www.amazon.com/KECYET-Battery-Operated-12-Vintage-Bathroom/dp/B0BPFF3HFN/ref=sr_1_6?keywords=Wall+Clocks+Wall+Clock&amp;qid=1695565341&amp;sr=8-6", "https://www.amazon.com/KECYET-Battery-Operated-12-Vintage-Bathroom/dp/B0BPFF3HFN/ref=sr_1_6?keywords=Wall+Clocks+Wall+Clock&amp;qid=1695565341&amp;sr=8-6")</f>
        <v/>
      </c>
      <c r="F4831" t="inlineStr">
        <is>
          <t>B0BPFF3HFN</t>
        </is>
      </c>
      <c r="H4831">
        <f>_xlfn.IMAGE("https://m.media-amazon.com/images/I/71a7Ozk1hEL._AC_UL320_.jpg")</f>
        <v/>
      </c>
      <c r="K4831" t="inlineStr">
        <is>
          <t>39.99</t>
        </is>
      </c>
      <c r="L4831" t="n">
        <v>17.99</v>
      </c>
      <c r="M4831" s="1" t="inlineStr">
        <is>
          <t>-55.01%</t>
        </is>
      </c>
      <c r="N4831" t="n">
        <v>4.6</v>
      </c>
      <c r="O4831" t="n">
        <v>1081</v>
      </c>
      <c r="Q4831" t="inlineStr">
        <is>
          <t>InStock</t>
        </is>
      </c>
      <c r="R4831" t="inlineStr">
        <is>
          <t>52.99</t>
        </is>
      </c>
      <c r="S4831" t="inlineStr">
        <is>
          <t>152563131</t>
        </is>
      </c>
    </row>
    <row r="4832" ht="75" customHeight="1">
      <c r="A4832" s="2">
        <f>HYPERLINK("https://www.cafepress.com/+_wall_clock,152563131", "https://www.cafepress.com/+_wall_clock,152563131")</f>
        <v/>
      </c>
      <c r="B4832" s="2">
        <f>HYPERLINK("https://www.cafepress.com/+_wall_clock,152563131", "https://www.cafepress.com/+_wall_clock,152563131")</f>
        <v/>
      </c>
      <c r="C4832" t="inlineStr">
        <is>
          <t>Wall Clocks Wall Clock</t>
        </is>
      </c>
      <c r="D4832" t="inlineStr">
        <is>
          <t>Plumeet Retro Wall Clock, 12'' Non Ticking Classic Silent Vintage Wall Clocks Decorative Kitchen Living Room Bedroom - Battery Operated</t>
        </is>
      </c>
      <c r="E4832" s="2">
        <f>HYPERLINK("https://www.amazon.com/Plumeet-Ticking-Classic-Vintage-Decorative/dp/B0BXKWTDRW/ref=sr_1_3?keywords=Wall+Clocks+Wall+Clock&amp;qid=1695565341&amp;sr=8-3", "https://www.amazon.com/Plumeet-Ticking-Classic-Vintage-Decorative/dp/B0BXKWTDRW/ref=sr_1_3?keywords=Wall+Clocks+Wall+Clock&amp;qid=1695565341&amp;sr=8-3")</f>
        <v/>
      </c>
      <c r="F4832" t="inlineStr">
        <is>
          <t>B0BXKWTDRW</t>
        </is>
      </c>
      <c r="H4832">
        <f>_xlfn.IMAGE("https://m.media-amazon.com/images/I/811-k8Y3cEL._AC_UL320_.jpg")</f>
        <v/>
      </c>
      <c r="K4832" t="inlineStr">
        <is>
          <t>39.99</t>
        </is>
      </c>
      <c r="L4832" t="n">
        <v>14.99</v>
      </c>
      <c r="M4832" s="1" t="inlineStr">
        <is>
          <t>-62.52%</t>
        </is>
      </c>
      <c r="N4832" t="n">
        <v>4.4</v>
      </c>
      <c r="O4832" t="n">
        <v>283</v>
      </c>
      <c r="Q4832" t="inlineStr">
        <is>
          <t>InStock</t>
        </is>
      </c>
      <c r="R4832" t="inlineStr">
        <is>
          <t>52.99</t>
        </is>
      </c>
      <c r="S4832" t="inlineStr">
        <is>
          <t>152563131</t>
        </is>
      </c>
    </row>
    <row r="4833" ht="75" customHeight="1">
      <c r="A4833" s="2">
        <f>HYPERLINK("https://www.cafepress.com/+_wall_clock,152563131", "https://www.cafepress.com/+_wall_clock,152563131")</f>
        <v/>
      </c>
      <c r="B4833" s="2">
        <f>HYPERLINK("https://www.cafepress.com/+_wall_clock,152563131", "https://www.cafepress.com/+_wall_clock,152563131")</f>
        <v/>
      </c>
      <c r="C4833" t="inlineStr">
        <is>
          <t>Wall Clocks Wall Clock</t>
        </is>
      </c>
      <c r="D4833" t="inlineStr">
        <is>
          <t>DIYZON Retro Wall Clock, 12'' Vintage Silent Non Ticking Classic Clocks, Easy to Read, Quality Quartz Clock Battery Operated, Decorative Bedroom, Kitchen, Office</t>
        </is>
      </c>
      <c r="E4833" s="2">
        <f>HYPERLINK("https://www.amazon.com/DIYZON-Vintage-Ticking-Operated-Decorative/dp/B0BLV6B48F/ref=sr_1_10?keywords=Wall+Clocks+Wall+Clock&amp;qid=1695565341&amp;sr=8-10", "https://www.amazon.com/DIYZON-Vintage-Ticking-Operated-Decorative/dp/B0BLV6B48F/ref=sr_1_10?keywords=Wall+Clocks+Wall+Clock&amp;qid=1695565341&amp;sr=8-10")</f>
        <v/>
      </c>
      <c r="F4833" t="inlineStr">
        <is>
          <t>B0BLV6B48F</t>
        </is>
      </c>
      <c r="H4833">
        <f>_xlfn.IMAGE("https://m.media-amazon.com/images/I/71ZdMTx4fML._AC_UL320_.jpg")</f>
        <v/>
      </c>
      <c r="K4833" t="inlineStr">
        <is>
          <t>39.99</t>
        </is>
      </c>
      <c r="L4833" t="n">
        <v>13.99</v>
      </c>
      <c r="M4833" s="1" t="inlineStr">
        <is>
          <t>-65.02%</t>
        </is>
      </c>
      <c r="N4833" t="n">
        <v>4.7</v>
      </c>
      <c r="O4833" t="n">
        <v>91</v>
      </c>
      <c r="Q4833" t="inlineStr">
        <is>
          <t>InStock</t>
        </is>
      </c>
      <c r="R4833" t="inlineStr">
        <is>
          <t>52.99</t>
        </is>
      </c>
      <c r="S4833" t="inlineStr">
        <is>
          <t>152563131</t>
        </is>
      </c>
    </row>
    <row r="4834" ht="75" customHeight="1">
      <c r="A4834" s="2">
        <f>HYPERLINK("https://www.cafepress.com/+_wall_clock,152563131", "https://www.cafepress.com/+_wall_clock,152563131")</f>
        <v/>
      </c>
      <c r="B4834" s="2">
        <f>HYPERLINK("https://www.cafepress.com/+_wall_clock,152563131", "https://www.cafepress.com/+_wall_clock,152563131")</f>
        <v/>
      </c>
      <c r="C4834" t="inlineStr">
        <is>
          <t>Wall Clocks Wall Clock</t>
        </is>
      </c>
      <c r="D4834" t="inlineStr">
        <is>
          <t>QPEUIM Wall Clock 12 Inch Wall Clocks Non-Ticking Battery Operated with Stereoscopic Dial Ultra-Quiet Movement Quartz for Office Classroom School Home Living Room Bedroom Kitchen</t>
        </is>
      </c>
      <c r="E4834" s="2">
        <f>HYPERLINK("https://www.amazon.com/Operated-Stereoscopic-Ultra-Quiet-Classroom-QPEUIM/dp/B09T3C86VB/ref=sr_1_4?keywords=Wall+Clocks+Wall+Clock&amp;qid=1695565341&amp;sr=8-4", "https://www.amazon.com/Operated-Stereoscopic-Ultra-Quiet-Classroom-QPEUIM/dp/B09T3C86VB/ref=sr_1_4?keywords=Wall+Clocks+Wall+Clock&amp;qid=1695565341&amp;sr=8-4")</f>
        <v/>
      </c>
      <c r="F4834" t="inlineStr">
        <is>
          <t>B09T3C86VB</t>
        </is>
      </c>
      <c r="H4834">
        <f>_xlfn.IMAGE("https://m.media-amazon.com/images/I/71J93sGGzUL._AC_UL320_.jpg")</f>
        <v/>
      </c>
      <c r="K4834" t="inlineStr">
        <is>
          <t>39.99</t>
        </is>
      </c>
      <c r="L4834" t="n">
        <v>13.98</v>
      </c>
      <c r="M4834" s="1" t="inlineStr">
        <is>
          <t>-65.04%</t>
        </is>
      </c>
      <c r="N4834" t="n">
        <v>4.6</v>
      </c>
      <c r="O4834" t="n">
        <v>692</v>
      </c>
      <c r="Q4834" t="inlineStr">
        <is>
          <t>InStock</t>
        </is>
      </c>
      <c r="R4834" t="inlineStr">
        <is>
          <t>52.99</t>
        </is>
      </c>
      <c r="S4834" t="inlineStr">
        <is>
          <t>152563131</t>
        </is>
      </c>
    </row>
    <row r="4835" ht="75" customHeight="1">
      <c r="A4835" s="2">
        <f>HYPERLINK("https://www.cafepress.com/+_wall_clock,152563131", "https://www.cafepress.com/+_wall_clock,152563131")</f>
        <v/>
      </c>
      <c r="B4835" s="2">
        <f>HYPERLINK("https://www.cafepress.com/+_wall_clock,152563131", "https://www.cafepress.com/+_wall_clock,152563131")</f>
        <v/>
      </c>
      <c r="C4835" t="inlineStr">
        <is>
          <t>Wall Clocks Wall Clock</t>
        </is>
      </c>
      <c r="D4835" t="inlineStr">
        <is>
          <t>10 Inch Wall Clock Silent Non-Ticking Battery Operated,Modern Wall Clocks 3D Numbers Easy to Read Quartz Analog Clock for Bedroom Home School Office Decor (Aqua)</t>
        </is>
      </c>
      <c r="E4835" s="2">
        <f>HYPERLINK("https://www.amazon.com/Non-Ticking-Battery-Operated-Numbers-Bedroom/dp/B0BPCHKPB3/ref=sr_1_2?keywords=Wall+Clocks+Wall+Clock&amp;qid=1695565341&amp;sr=8-2", "https://www.amazon.com/Non-Ticking-Battery-Operated-Numbers-Bedroom/dp/B0BPCHKPB3/ref=sr_1_2?keywords=Wall+Clocks+Wall+Clock&amp;qid=1695565341&amp;sr=8-2")</f>
        <v/>
      </c>
      <c r="F4835" t="inlineStr">
        <is>
          <t>B0BPCHKPB3</t>
        </is>
      </c>
      <c r="H4835">
        <f>_xlfn.IMAGE("https://m.media-amazon.com/images/I/6127cqd35FL._AC_UL320_.jpg")</f>
        <v/>
      </c>
      <c r="K4835" t="inlineStr">
        <is>
          <t>39.99</t>
        </is>
      </c>
      <c r="L4835" t="n">
        <v>9.99</v>
      </c>
      <c r="M4835" s="1" t="inlineStr">
        <is>
          <t>-75.02%</t>
        </is>
      </c>
      <c r="N4835" t="n">
        <v>4.6</v>
      </c>
      <c r="O4835" t="n">
        <v>1382</v>
      </c>
      <c r="Q4835" t="inlineStr">
        <is>
          <t>InStock</t>
        </is>
      </c>
      <c r="R4835" t="inlineStr">
        <is>
          <t>52.99</t>
        </is>
      </c>
      <c r="S4835" t="inlineStr">
        <is>
          <t>152563131</t>
        </is>
      </c>
    </row>
    <row r="4836" ht="75" customHeight="1">
      <c r="A4836" s="2">
        <f>HYPERLINK("https://www.cafepress.com/+_wall_clock,152563131", "https://www.cafepress.com/+_wall_clock,152563131")</f>
        <v/>
      </c>
      <c r="B4836" s="2">
        <f>HYPERLINK("https://www.cafepress.com/+_wall_clock,152563131", "https://www.cafepress.com/+_wall_clock,152563131")</f>
        <v/>
      </c>
      <c r="C4836" t="inlineStr">
        <is>
          <t>Wall Clocks Wall Clock</t>
        </is>
      </c>
      <c r="D4836" t="inlineStr">
        <is>
          <t>Lumuasky Red Wall Clocks 12 Inch Non-Ticking Battery Operated Quartz Analog Silent Movement Large Decorative Clock for Living Room Kitchen Bedroom Office Decor</t>
        </is>
      </c>
      <c r="E4836" s="2">
        <f>HYPERLINK("https://www.amazon.com/Lumuasky-Non-Ticking-Operated-Movement-Decorative/dp/B0BXKDYXLQ/ref=sr_1_5?keywords=Wall+Clocks+Wall+Clock&amp;qid=1695565341&amp;sr=8-5", "https://www.amazon.com/Lumuasky-Non-Ticking-Operated-Movement-Decorative/dp/B0BXKDYXLQ/ref=sr_1_5?keywords=Wall+Clocks+Wall+Clock&amp;qid=1695565341&amp;sr=8-5")</f>
        <v/>
      </c>
      <c r="F4836" t="inlineStr">
        <is>
          <t>B0BXKDYXLQ</t>
        </is>
      </c>
      <c r="H4836">
        <f>_xlfn.IMAGE("https://m.media-amazon.com/images/I/816zvRuyxxL._AC_UL320_.jpg")</f>
        <v/>
      </c>
      <c r="K4836" t="inlineStr">
        <is>
          <t>39.99</t>
        </is>
      </c>
      <c r="L4836" t="n">
        <v>6.99</v>
      </c>
      <c r="M4836" s="1" t="inlineStr">
        <is>
          <t>-82.52%</t>
        </is>
      </c>
      <c r="N4836" t="n">
        <v>4.5</v>
      </c>
      <c r="O4836" t="n">
        <v>1409</v>
      </c>
      <c r="Q4836" t="inlineStr">
        <is>
          <t>InStock</t>
        </is>
      </c>
      <c r="R4836" t="inlineStr">
        <is>
          <t>52.99</t>
        </is>
      </c>
      <c r="S4836" t="inlineStr">
        <is>
          <t>152563131</t>
        </is>
      </c>
    </row>
    <row r="4837" ht="75" customHeight="1">
      <c r="A4837" s="2">
        <f>HYPERLINK("https://www.cafepress.com/+05curlyribbonbggreenlgt_tote_bag,1072204231", "https://www.cafepress.com/+05curlyribbonbggreenlgt_tote_bag,1072204231")</f>
        <v/>
      </c>
      <c r="B4837" s="2">
        <f>HYPERLINK("https://www.cafepress.com/+05curlyribbonbggreenlgt_tote_bag,1072204231", "https://www.cafepress.com/+05curlyribbonbggreenlgt_tote_bag,1072204231")</f>
        <v/>
      </c>
      <c r="C4837" t="inlineStr">
        <is>
          <t>Canvas Tote Bags 05_CurlyRibbon_BG_GreenLGT Tote Bag</t>
        </is>
      </c>
      <c r="D4837" t="inlineStr">
        <is>
          <t>Lily queen Women Canvas Tote Handbags Casual Shoulder Work Bag Crossbody</t>
        </is>
      </c>
      <c r="E4837" s="2">
        <f>HYPERLINK("https://www.amazon.com/Lily-queen-Handbags-Shoulder-Crossbody/dp/B0C4S18SQ3/ref=sr_1_10?keywords=Canvas+Tote+Bags+05_CurlyRibbon_BG_GreenLGT+Tote+Bag&amp;qid=1695565310&amp;sr=8-10", "https://www.amazon.com/Lily-queen-Handbags-Shoulder-Crossbody/dp/B0C4S18SQ3/ref=sr_1_10?keywords=Canvas+Tote+Bags+05_CurlyRibbon_BG_GreenLGT+Tote+Bag&amp;qid=1695565310&amp;sr=8-10")</f>
        <v/>
      </c>
      <c r="F4837" t="inlineStr">
        <is>
          <t>B0C4S18SQ3</t>
        </is>
      </c>
      <c r="H4837">
        <f>_xlfn.IMAGE("https://m.media-amazon.com/images/I/71XxO++LONL._AC_UL320_.jpg")</f>
        <v/>
      </c>
      <c r="K4837" t="inlineStr">
        <is>
          <t>12.99</t>
        </is>
      </c>
      <c r="L4837" t="n">
        <v>21.99</v>
      </c>
      <c r="M4837" s="1" t="inlineStr">
        <is>
          <t>69.28%</t>
        </is>
      </c>
      <c r="N4837" t="n">
        <v>4.6</v>
      </c>
      <c r="O4837" t="n">
        <v>8069</v>
      </c>
      <c r="Q4837" t="inlineStr">
        <is>
          <t>undefined</t>
        </is>
      </c>
      <c r="R4837" t="inlineStr">
        <is>
          <t>18.99</t>
        </is>
      </c>
      <c r="S4837" t="inlineStr">
        <is>
          <t>1072204231</t>
        </is>
      </c>
    </row>
    <row r="4838" ht="75" customHeight="1">
      <c r="A4838" s="2">
        <f>HYPERLINK("https://www.cafepress.com/+05curlyribbonbggreenlgt_tote_bag,1072204231", "https://www.cafepress.com/+05curlyribbonbggreenlgt_tote_bag,1072204231")</f>
        <v/>
      </c>
      <c r="B4838" s="2">
        <f>HYPERLINK("https://www.cafepress.com/+05curlyribbonbggreenlgt_tote_bag,1072204231", "https://www.cafepress.com/+05curlyribbonbggreenlgt_tote_bag,1072204231")</f>
        <v/>
      </c>
      <c r="C4838" t="inlineStr">
        <is>
          <t>Canvas Tote Bags 05_CurlyRibbon_BG_GreenLGT Tote Bag</t>
        </is>
      </c>
      <c r="D4838" t="inlineStr">
        <is>
          <t>Kimoli Canvas Tote Bag with Inner Pocket Aesthetic Reusable Grocery Shopping Bags Shoulder Bag Book Tote Gifts</t>
        </is>
      </c>
      <c r="E4838" s="2">
        <f>HYPERLINK("https://www.amazon.com/Kimoli-Aesthetic-Shopping-Shoulder-Reusable/dp/B0CBRWWWGV/ref=sr_1_9?keywords=Canvas+Tote+Bags+05_CurlyRibbon_BG_GreenLGT+Tote+Bag&amp;qid=1695565310&amp;sr=8-9", "https://www.amazon.com/Kimoli-Aesthetic-Shopping-Shoulder-Reusable/dp/B0CBRWWWGV/ref=sr_1_9?keywords=Canvas+Tote+Bags+05_CurlyRibbon_BG_GreenLGT+Tote+Bag&amp;qid=1695565310&amp;sr=8-9")</f>
        <v/>
      </c>
      <c r="F4838" t="inlineStr">
        <is>
          <t>B0CBRWWWGV</t>
        </is>
      </c>
      <c r="H4838">
        <f>_xlfn.IMAGE("https://m.media-amazon.com/images/I/61l4lHJNzKL._AC_UL320_.jpg")</f>
        <v/>
      </c>
      <c r="K4838" t="inlineStr">
        <is>
          <t>12.99</t>
        </is>
      </c>
      <c r="L4838" t="n">
        <v>9.949999999999999</v>
      </c>
      <c r="M4838" s="1" t="inlineStr">
        <is>
          <t>-23.40%</t>
        </is>
      </c>
      <c r="N4838" t="n">
        <v>4.7</v>
      </c>
      <c r="O4838" t="n">
        <v>241</v>
      </c>
      <c r="Q4838" t="inlineStr">
        <is>
          <t>undefined</t>
        </is>
      </c>
      <c r="R4838" t="inlineStr">
        <is>
          <t>18.99</t>
        </is>
      </c>
      <c r="S4838" t="inlineStr">
        <is>
          <t>1072204231</t>
        </is>
      </c>
    </row>
    <row r="4839" ht="75" customHeight="1">
      <c r="A4839" s="2">
        <f>HYPERLINK("https://www.cafepress.com/+05curlyribbonbggreenlgt_tote_bag,1072204231", "https://www.cafepress.com/+05curlyribbonbggreenlgt_tote_bag,1072204231")</f>
        <v/>
      </c>
      <c r="B4839" s="2">
        <f>HYPERLINK("https://www.cafepress.com/+05curlyribbonbggreenlgt_tote_bag,1072204231", "https://www.cafepress.com/+05curlyribbonbggreenlgt_tote_bag,1072204231")</f>
        <v/>
      </c>
      <c r="C4839" t="inlineStr">
        <is>
          <t>Canvas Tote Bags 05_CurlyRibbon_BG_GreenLGT Tote Bag</t>
        </is>
      </c>
      <c r="D4839" t="inlineStr">
        <is>
          <t>Kimoli Canvas Aesthetic Tote Bag for Women Beach Bag Shopping Bags Shoulder Bag Reusable Grocery Bags</t>
        </is>
      </c>
      <c r="E4839" s="2">
        <f>HYPERLINK("https://www.amazon.com/Kimoli-Aesthetic-Shopping-Shoulder-Reusable/dp/B0C7VG5Z7P/ref=sr_1_7?keywords=Canvas+Tote+Bags+05_CurlyRibbon_BG_GreenLGT+Tote+Bag&amp;qid=1695565310&amp;sr=8-7", "https://www.amazon.com/Kimoli-Aesthetic-Shopping-Shoulder-Reusable/dp/B0C7VG5Z7P/ref=sr_1_7?keywords=Canvas+Tote+Bags+05_CurlyRibbon_BG_GreenLGT+Tote+Bag&amp;qid=1695565310&amp;sr=8-7")</f>
        <v/>
      </c>
      <c r="F4839" t="inlineStr">
        <is>
          <t>B0C7VG5Z7P</t>
        </is>
      </c>
      <c r="H4839">
        <f>_xlfn.IMAGE("https://m.media-amazon.com/images/I/61Xfl2n-xBL._AC_UL320_.jpg")</f>
        <v/>
      </c>
      <c r="K4839" t="inlineStr">
        <is>
          <t>12.99</t>
        </is>
      </c>
      <c r="L4839" t="n">
        <v>9.949999999999999</v>
      </c>
      <c r="M4839" s="1" t="inlineStr">
        <is>
          <t>-23.40%</t>
        </is>
      </c>
      <c r="N4839" t="n">
        <v>4.7</v>
      </c>
      <c r="O4839" t="n">
        <v>640</v>
      </c>
      <c r="Q4839" t="inlineStr">
        <is>
          <t>undefined</t>
        </is>
      </c>
      <c r="R4839" t="inlineStr">
        <is>
          <t>18.99</t>
        </is>
      </c>
      <c r="S4839" t="inlineStr">
        <is>
          <t>1072204231</t>
        </is>
      </c>
    </row>
    <row r="4840" ht="75" customHeight="1">
      <c r="A4840" s="2">
        <f>HYPERLINK("https://www.cafepress.com/+05curlyribbonbggreenlgt_tote_bag,1072204231", "https://www.cafepress.com/+05curlyribbonbggreenlgt_tote_bag,1072204231")</f>
        <v/>
      </c>
      <c r="B4840" s="2">
        <f>HYPERLINK("https://www.cafepress.com/+05curlyribbonbggreenlgt_tote_bag,1072204231", "https://www.cafepress.com/+05curlyribbonbggreenlgt_tote_bag,1072204231")</f>
        <v/>
      </c>
      <c r="C4840" t="inlineStr">
        <is>
          <t>Canvas Tote Bags 05_CurlyRibbon_BG_GreenLGT Tote Bag</t>
        </is>
      </c>
      <c r="D4840" t="inlineStr">
        <is>
          <t>OPG Canvas Bag for Women, Cute Tote Bags with Interior Pocket,Reusable Grocery Bags for Shopping, Beach, College</t>
        </is>
      </c>
      <c r="E4840" s="2">
        <f>HYPERLINK("https://www.amazon.com/OPG-Interior-Reusable-Grocery-Shopping/dp/B0BWRJL7GN/ref=sr_1_5?keywords=Canvas+Tote+Bags+05_CurlyRibbon_BG_GreenLGT+Tote+Bag&amp;qid=1695565310&amp;sr=8-5", "https://www.amazon.com/OPG-Interior-Reusable-Grocery-Shopping/dp/B0BWRJL7GN/ref=sr_1_5?keywords=Canvas+Tote+Bags+05_CurlyRibbon_BG_GreenLGT+Tote+Bag&amp;qid=1695565310&amp;sr=8-5")</f>
        <v/>
      </c>
      <c r="F4840" t="inlineStr">
        <is>
          <t>B0BWRJL7GN</t>
        </is>
      </c>
      <c r="H4840">
        <f>_xlfn.IMAGE("https://m.media-amazon.com/images/I/6191oEPYMqL._AC_UL320_.jpg")</f>
        <v/>
      </c>
      <c r="K4840" t="inlineStr">
        <is>
          <t>12.99</t>
        </is>
      </c>
      <c r="L4840" t="n">
        <v>9.890000000000001</v>
      </c>
      <c r="M4840" s="1" t="inlineStr">
        <is>
          <t>-23.86%</t>
        </is>
      </c>
      <c r="N4840" t="n">
        <v>3.5</v>
      </c>
      <c r="O4840" t="n">
        <v>2</v>
      </c>
      <c r="Q4840" t="inlineStr">
        <is>
          <t>undefined</t>
        </is>
      </c>
      <c r="R4840" t="inlineStr">
        <is>
          <t>18.99</t>
        </is>
      </c>
      <c r="S4840" t="inlineStr">
        <is>
          <t>1072204231</t>
        </is>
      </c>
    </row>
    <row r="4841" ht="75" customHeight="1">
      <c r="A4841" s="2">
        <f>HYPERLINK("https://www.cafepress.com/+14x6print_3_aluminum_license_plate,1179498751", "https://www.cafepress.com/+14x6print_3_aluminum_license_plate,1179498751")</f>
        <v/>
      </c>
      <c r="B4841" s="2">
        <f>HYPERLINK("https://www.cafepress.com/+14x6print_3_aluminum_license_plate,1179498751", "https://www.cafepress.com/+14x6print_3_aluminum_license_plate,1179498751")</f>
        <v/>
      </c>
      <c r="C4841" t="inlineStr">
        <is>
          <t>Aluminum License Plates 14x6_print 3 Aluminum License Plate</t>
        </is>
      </c>
      <c r="D4841" t="inlineStr">
        <is>
          <t>American Flag License Plate Black Front Flag License Plates Aluminum 3D Pfenk Embossed License Plate US License Plate with Screws Caps(Size:6x12inch)</t>
        </is>
      </c>
      <c r="E4841" s="2">
        <f>HYPERLINK("https://www.amazon.com/American-License-Plates-Aluminum-Embossed/dp/B0C6KDZ266/ref=sr_1_4?keywords=Aluminum+License+Plates+14x6_print+3+Aluminum+License+Plate&amp;qid=1695565341&amp;sr=8-4", "https://www.amazon.com/American-License-Plates-Aluminum-Embossed/dp/B0C6KDZ266/ref=sr_1_4?keywords=Aluminum+License+Plates+14x6_print+3+Aluminum+License+Plate&amp;qid=1695565341&amp;sr=8-4")</f>
        <v/>
      </c>
      <c r="F4841" t="inlineStr">
        <is>
          <t>B0C6KDZ266</t>
        </is>
      </c>
      <c r="H4841">
        <f>_xlfn.IMAGE("https://m.media-amazon.com/images/I/61Ksw29xp+L._AC_UL320_.jpg")</f>
        <v/>
      </c>
      <c r="K4841" t="inlineStr">
        <is>
          <t>20.99</t>
        </is>
      </c>
      <c r="L4841" t="n">
        <v>19.99</v>
      </c>
      <c r="M4841" s="1" t="inlineStr">
        <is>
          <t>-4.76%</t>
        </is>
      </c>
      <c r="N4841" t="n">
        <v>4</v>
      </c>
      <c r="O4841" t="n">
        <v>2</v>
      </c>
      <c r="Q4841" t="inlineStr">
        <is>
          <t>InStock</t>
        </is>
      </c>
      <c r="R4841" t="inlineStr">
        <is>
          <t>31.99</t>
        </is>
      </c>
      <c r="S4841" t="inlineStr">
        <is>
          <t>1179498751</t>
        </is>
      </c>
    </row>
    <row r="4842" ht="75" customHeight="1">
      <c r="A4842" s="2">
        <f>HYPERLINK("https://www.cafepress.com/+14x6print_3_aluminum_license_plate,1179498751", "https://www.cafepress.com/+14x6print_3_aluminum_license_plate,1179498751")</f>
        <v/>
      </c>
      <c r="B4842" s="2">
        <f>HYPERLINK("https://www.cafepress.com/+14x6print_3_aluminum_license_plate,1179498751", "https://www.cafepress.com/+14x6print_3_aluminum_license_plate,1179498751")</f>
        <v/>
      </c>
      <c r="C4842" t="inlineStr">
        <is>
          <t>Aluminum License Plates 14x6_print 3 Aluminum License Plate</t>
        </is>
      </c>
      <c r="D4842" t="inlineStr">
        <is>
          <t>Custom California License Plate, Personalized License Plates for Car, 6x12 Inch, Rust-Free Fade Resistant Aluminum, USA Made by My Sign Center</t>
        </is>
      </c>
      <c r="E4842" s="2">
        <f>HYPERLINK("https://www.amazon.com/California-Personalized-My-Sign-Center/dp/B0C79YZ23P/ref=sr_1_1?keywords=Aluminum+License+Plates+14x6_print+3+Aluminum+License+Plate&amp;qid=1695565341&amp;sr=8-1", "https://www.amazon.com/California-Personalized-My-Sign-Center/dp/B0C79YZ23P/ref=sr_1_1?keywords=Aluminum+License+Plates+14x6_print+3+Aluminum+License+Plate&amp;qid=1695565341&amp;sr=8-1")</f>
        <v/>
      </c>
      <c r="F4842" t="inlineStr">
        <is>
          <t>B0C79YZ23P</t>
        </is>
      </c>
      <c r="H4842">
        <f>_xlfn.IMAGE("https://m.media-amazon.com/images/I/71rT6OQ93DL._AC_UL320_.jpg")</f>
        <v/>
      </c>
      <c r="K4842" t="inlineStr">
        <is>
          <t>20.99</t>
        </is>
      </c>
      <c r="L4842" t="n">
        <v>14.95</v>
      </c>
      <c r="M4842" s="1" t="inlineStr">
        <is>
          <t>-28.78%</t>
        </is>
      </c>
      <c r="N4842" t="n">
        <v>4.7</v>
      </c>
      <c r="O4842" t="n">
        <v>734</v>
      </c>
      <c r="Q4842" t="inlineStr">
        <is>
          <t>InStock</t>
        </is>
      </c>
      <c r="R4842" t="inlineStr">
        <is>
          <t>31.99</t>
        </is>
      </c>
      <c r="S4842" t="inlineStr">
        <is>
          <t>1179498751</t>
        </is>
      </c>
    </row>
    <row r="4843" ht="75" customHeight="1">
      <c r="A4843" s="2">
        <f>HYPERLINK("https://www.cafepress.com/+14x6print_3_aluminum_license_plate,1179498751", "https://www.cafepress.com/+14x6print_3_aluminum_license_plate,1179498751")</f>
        <v/>
      </c>
      <c r="B4843" s="2">
        <f>HYPERLINK("https://www.cafepress.com/+14x6print_3_aluminum_license_plate,1179498751", "https://www.cafepress.com/+14x6print_3_aluminum_license_plate,1179498751")</f>
        <v/>
      </c>
      <c r="C4843" t="inlineStr">
        <is>
          <t>Aluminum License Plates 14x6_print 3 Aluminum License Plate</t>
        </is>
      </c>
      <c r="D4843" t="inlineStr">
        <is>
          <t>SINKAA Personalized Car License Plate, Choose from All 50 States, 12 x 6 inches Custom License Plates for Front Car Bumper, Vehicle Car Tags, Truck, 3 Sizes, Thick .040 Aluminum</t>
        </is>
      </c>
      <c r="E4843" s="2">
        <f>HYPERLINK("https://www.amazon.com/SINKAA-Personalized-License-Plate-Aluminum/dp/B0C8TFTB53/ref=sr_1_5?keywords=Aluminum+License+Plates+14x6_print+3+Aluminum+License+Plate&amp;qid=1695565341&amp;sr=8-5", "https://www.amazon.com/SINKAA-Personalized-License-Plate-Aluminum/dp/B0C8TFTB53/ref=sr_1_5?keywords=Aluminum+License+Plates+14x6_print+3+Aluminum+License+Plate&amp;qid=1695565341&amp;sr=8-5")</f>
        <v/>
      </c>
      <c r="F4843" t="inlineStr">
        <is>
          <t>B0C8TFTB53</t>
        </is>
      </c>
      <c r="H4843">
        <f>_xlfn.IMAGE("https://m.media-amazon.com/images/I/71WJSnvOuyL._AC_UL320_.jpg")</f>
        <v/>
      </c>
      <c r="K4843" t="inlineStr">
        <is>
          <t>20.99</t>
        </is>
      </c>
      <c r="L4843" t="n">
        <v>13.99</v>
      </c>
      <c r="M4843" s="1" t="inlineStr">
        <is>
          <t>-33.35%</t>
        </is>
      </c>
      <c r="N4843" t="n">
        <v>5</v>
      </c>
      <c r="O4843" t="n">
        <v>2</v>
      </c>
      <c r="Q4843" t="inlineStr">
        <is>
          <t>InStock</t>
        </is>
      </c>
      <c r="R4843" t="inlineStr">
        <is>
          <t>31.99</t>
        </is>
      </c>
      <c r="S4843" t="inlineStr">
        <is>
          <t>1179498751</t>
        </is>
      </c>
    </row>
    <row r="4844" ht="75" customHeight="1">
      <c r="A4844" s="2">
        <f>HYPERLINK("https://www.cafepress.com/+14x6print_3_aluminum_license_plate,1179498751", "https://www.cafepress.com/+14x6print_3_aluminum_license_plate,1179498751")</f>
        <v/>
      </c>
      <c r="B4844" s="2">
        <f>HYPERLINK("https://www.cafepress.com/+14x6print_3_aluminum_license_plate,1179498751", "https://www.cafepress.com/+14x6print_3_aluminum_license_plate,1179498751")</f>
        <v/>
      </c>
      <c r="C4844" t="inlineStr">
        <is>
          <t>Aluminum License Plates 14x6_print 3 Aluminum License Plate</t>
        </is>
      </c>
      <c r="D4844" t="inlineStr">
        <is>
          <t>American Flag License Plate, Black Front Flag License Plates with 4 Holes,Custom Novelty Vintage Aluminum Metal 3D Embossed US License Plate Tag with Screws Caps, 6 * 12 inch</t>
        </is>
      </c>
      <c r="E4844" s="2">
        <f>HYPERLINK("https://www.amazon.com/American-License-Novelty-Aluminum-Embossed/dp/B0BQTZJG3J/ref=sr_1_6?keywords=Aluminum+License+Plates+14x6_print+3+Aluminum+License+Plate&amp;qid=1695565341&amp;sr=8-6", "https://www.amazon.com/American-License-Novelty-Aluminum-Embossed/dp/B0BQTZJG3J/ref=sr_1_6?keywords=Aluminum+License+Plates+14x6_print+3+Aluminum+License+Plate&amp;qid=1695565341&amp;sr=8-6")</f>
        <v/>
      </c>
      <c r="F4844" t="inlineStr">
        <is>
          <t>B0BQTZJG3J</t>
        </is>
      </c>
      <c r="H4844">
        <f>_xlfn.IMAGE("https://m.media-amazon.com/images/I/51dyGw4k5KL._AC_UL320_.jpg")</f>
        <v/>
      </c>
      <c r="K4844" t="inlineStr">
        <is>
          <t>20.99</t>
        </is>
      </c>
      <c r="L4844" t="n">
        <v>13.69</v>
      </c>
      <c r="M4844" s="1" t="inlineStr">
        <is>
          <t>-34.78%</t>
        </is>
      </c>
      <c r="N4844" t="n">
        <v>4.8</v>
      </c>
      <c r="O4844" t="n">
        <v>23</v>
      </c>
      <c r="Q4844" t="inlineStr">
        <is>
          <t>InStock</t>
        </is>
      </c>
      <c r="R4844" t="inlineStr">
        <is>
          <t>31.99</t>
        </is>
      </c>
      <c r="S4844" t="inlineStr">
        <is>
          <t>1179498751</t>
        </is>
      </c>
    </row>
    <row r="4845" ht="75" customHeight="1">
      <c r="A4845" s="2">
        <f>HYPERLINK("https://www.cafepress.com/+14x6print_3_aluminum_license_plate,1179498751", "https://www.cafepress.com/+14x6print_3_aluminum_license_plate,1179498751")</f>
        <v/>
      </c>
      <c r="B4845" s="2">
        <f>HYPERLINK("https://www.cafepress.com/+14x6print_3_aluminum_license_plate,1179498751", "https://www.cafepress.com/+14x6print_3_aluminum_license_plate,1179498751")</f>
        <v/>
      </c>
      <c r="C4845" t="inlineStr">
        <is>
          <t>Aluminum License Plates 14x6_print 3 Aluminum License Plate</t>
        </is>
      </c>
      <c r="D4845" t="inlineStr">
        <is>
          <t>American Flag License Plate, Aluminum 3D Metal Embossed License Plate, Vanity Novelty Lisense Plates Designs for Front of Car Tag- Patriotic Embossed License Plate Gift (6 x 12 inch) Black+Red</t>
        </is>
      </c>
      <c r="E4845" s="2">
        <f>HYPERLINK("https://www.amazon.com/American-License-Aluminum-Embossed-Patriotic/dp/B0C6K9SWJ4/ref=sr_1_3?keywords=Aluminum+License+Plates+14x6_print+3+Aluminum+License+Plate&amp;qid=1695565341&amp;sr=8-3", "https://www.amazon.com/American-License-Aluminum-Embossed-Patriotic/dp/B0C6K9SWJ4/ref=sr_1_3?keywords=Aluminum+License+Plates+14x6_print+3+Aluminum+License+Plate&amp;qid=1695565341&amp;sr=8-3")</f>
        <v/>
      </c>
      <c r="F4845" t="inlineStr">
        <is>
          <t>B0C6K9SWJ4</t>
        </is>
      </c>
      <c r="H4845">
        <f>_xlfn.IMAGE("https://m.media-amazon.com/images/I/71SM+5Rp8hL._AC_UL320_.jpg")</f>
        <v/>
      </c>
      <c r="K4845" t="inlineStr">
        <is>
          <t>20.99</t>
        </is>
      </c>
      <c r="L4845" t="n">
        <v>9.99</v>
      </c>
      <c r="M4845" s="1" t="inlineStr">
        <is>
          <t>-52.41%</t>
        </is>
      </c>
      <c r="N4845" t="n">
        <v>5</v>
      </c>
      <c r="O4845" t="n">
        <v>4</v>
      </c>
      <c r="Q4845" t="inlineStr">
        <is>
          <t>InStock</t>
        </is>
      </c>
      <c r="R4845" t="inlineStr">
        <is>
          <t>31.99</t>
        </is>
      </c>
      <c r="S4845" t="inlineStr">
        <is>
          <t>1179498751</t>
        </is>
      </c>
    </row>
    <row r="4846" ht="75" customHeight="1">
      <c r="A4846" s="2">
        <f>HYPERLINK("https://www.cafepress.com/+autumn_blessings_tote_bag,1271519220", "https://www.cafepress.com/+autumn_blessings_tote_bag,1271519220")</f>
        <v/>
      </c>
      <c r="B4846" s="2">
        <f>HYPERLINK("https://www.cafepress.com/+autumn_blessings_tote_bag,1271519220", "https://www.cafepress.com/+autumn_blessings_tote_bag,1271519220")</f>
        <v/>
      </c>
      <c r="C4846" t="inlineStr">
        <is>
          <t>Canvas Tote Bags Autumn Blessings Tote Bag</t>
        </is>
      </c>
      <c r="D4846" t="inlineStr">
        <is>
          <t>Fun Express Small Religious Reusable Tote Bags (set of 12 canvas totes)</t>
        </is>
      </c>
      <c r="E4846" s="2">
        <f>HYPERLINK("https://www.amazon.com/Fun-Express-Religious-Apparel-Accessories/dp/B07N4BPFCM/ref=sr_1_9?keywords=Canvas+Tote+Bags+Autumn+Blessings+Tote+Bag&amp;qid=1695565317&amp;sr=8-9", "https://www.amazon.com/Fun-Express-Religious-Apparel-Accessories/dp/B07N4BPFCM/ref=sr_1_9?keywords=Canvas+Tote+Bags+Autumn+Blessings+Tote+Bag&amp;qid=1695565317&amp;sr=8-9")</f>
        <v/>
      </c>
      <c r="F4846" t="inlineStr">
        <is>
          <t>B07N4BPFCM</t>
        </is>
      </c>
      <c r="H4846">
        <f>_xlfn.IMAGE("https://m.media-amazon.com/images/I/717grYQcQaL._AC_UL320_.jpg")</f>
        <v/>
      </c>
      <c r="K4846" t="inlineStr">
        <is>
          <t>12.99</t>
        </is>
      </c>
      <c r="L4846" t="n">
        <v>23.6</v>
      </c>
      <c r="M4846" s="1" t="inlineStr">
        <is>
          <t>81.68%</t>
        </is>
      </c>
      <c r="N4846" t="n">
        <v>4</v>
      </c>
      <c r="O4846" t="n">
        <v>22</v>
      </c>
      <c r="Q4846" t="inlineStr">
        <is>
          <t>undefined</t>
        </is>
      </c>
      <c r="R4846" t="inlineStr">
        <is>
          <t>18.99</t>
        </is>
      </c>
      <c r="S4846" t="inlineStr">
        <is>
          <t>1271519220</t>
        </is>
      </c>
    </row>
    <row r="4847" ht="75" customHeight="1">
      <c r="A4847" s="2">
        <f>HYPERLINK("https://www.cafepress.com/+autumn_blessings_tote_bag,1271519220", "https://www.cafepress.com/+autumn_blessings_tote_bag,1271519220")</f>
        <v/>
      </c>
      <c r="B4847" s="2">
        <f>HYPERLINK("https://www.cafepress.com/+autumn_blessings_tote_bag,1271519220", "https://www.cafepress.com/+autumn_blessings_tote_bag,1271519220")</f>
        <v/>
      </c>
      <c r="C4847" t="inlineStr">
        <is>
          <t>Canvas Tote Bags Autumn Blessings Tote Bag</t>
        </is>
      </c>
      <c r="D4847" t="inlineStr">
        <is>
          <t>Briarwood Lane Checkered Pumpkins Autumn Canvas Tote Bag Fall 14.5" x 15"</t>
        </is>
      </c>
      <c r="E4847" s="2">
        <f>HYPERLINK("https://www.amazon.com/Checkered-Pumpkins-Autumn-Briarwood-Lane/dp/B09FR3M4HN/ref=sr_1_6?keywords=Canvas+Tote+Bags+Autumn+Blessings+Tote+Bag&amp;qid=1695565317&amp;sr=8-6", "https://www.amazon.com/Checkered-Pumpkins-Autumn-Briarwood-Lane/dp/B09FR3M4HN/ref=sr_1_6?keywords=Canvas+Tote+Bags+Autumn+Blessings+Tote+Bag&amp;qid=1695565317&amp;sr=8-6")</f>
        <v/>
      </c>
      <c r="F4847" t="inlineStr">
        <is>
          <t>B09FR3M4HN</t>
        </is>
      </c>
      <c r="H4847">
        <f>_xlfn.IMAGE("https://m.media-amazon.com/images/I/61hO4ypYBPL._AC_UL320_.jpg")</f>
        <v/>
      </c>
      <c r="K4847" t="inlineStr">
        <is>
          <t>12.99</t>
        </is>
      </c>
      <c r="L4847" t="n">
        <v>15.99</v>
      </c>
      <c r="M4847" s="1" t="inlineStr">
        <is>
          <t>23.09%</t>
        </is>
      </c>
      <c r="N4847" t="n">
        <v>4.6</v>
      </c>
      <c r="O4847" t="n">
        <v>14</v>
      </c>
      <c r="Q4847" t="inlineStr">
        <is>
          <t>undefined</t>
        </is>
      </c>
      <c r="R4847" t="inlineStr">
        <is>
          <t>18.99</t>
        </is>
      </c>
      <c r="S4847" t="inlineStr">
        <is>
          <t>1271519220</t>
        </is>
      </c>
    </row>
    <row r="4848" ht="75" customHeight="1">
      <c r="A4848" s="2">
        <f>HYPERLINK("https://www.cafepress.com/+autumn_leaves_tote_bag,1431431206", "https://www.cafepress.com/+autumn_leaves_tote_bag,1431431206")</f>
        <v/>
      </c>
      <c r="B4848" s="2">
        <f>HYPERLINK("https://www.cafepress.com/+autumn_leaves_tote_bag,1431431206", "https://www.cafepress.com/+autumn_leaves_tote_bag,1431431206")</f>
        <v/>
      </c>
      <c r="C4848" t="inlineStr">
        <is>
          <t>Canvas Tote Bags Autumn Leaves Tote Bag</t>
        </is>
      </c>
      <c r="D4848" t="inlineStr">
        <is>
          <t>Beautiful Turkey Autumn Leaves Print Extra Large Canvas Shoulder Tote Top Storage Handle Bag for Gym Beach Weekender Travel Reusable Grocery Shopping</t>
        </is>
      </c>
      <c r="E4848" s="2">
        <f>HYPERLINK("https://www.amazon.com/ZzWwR-Beautiful-Shoulder-Weekender-Reusable/dp/B07WKWNCTG/ref=sr_1_5?keywords=Canvas+Tote+Bags+Autumn+Leaves+Tote+Bag&amp;qid=1695565337&amp;sr=8-5", "https://www.amazon.com/ZzWwR-Beautiful-Shoulder-Weekender-Reusable/dp/B07WKWNCTG/ref=sr_1_5?keywords=Canvas+Tote+Bags+Autumn+Leaves+Tote+Bag&amp;qid=1695565337&amp;sr=8-5")</f>
        <v/>
      </c>
      <c r="F4848" t="inlineStr">
        <is>
          <t>B07WKWNCTG</t>
        </is>
      </c>
      <c r="H4848">
        <f>_xlfn.IMAGE("https://m.media-amazon.com/images/I/61pvoT0VSyL._AC_UL320_.jpg")</f>
        <v/>
      </c>
      <c r="K4848" t="inlineStr">
        <is>
          <t>12.99</t>
        </is>
      </c>
      <c r="L4848" t="n">
        <v>15.99</v>
      </c>
      <c r="M4848" s="1" t="inlineStr">
        <is>
          <t>23.09%</t>
        </is>
      </c>
      <c r="N4848" t="n">
        <v>4.6</v>
      </c>
      <c r="O4848" t="n">
        <v>105</v>
      </c>
      <c r="Q4848" t="inlineStr">
        <is>
          <t>undefined</t>
        </is>
      </c>
      <c r="R4848" t="inlineStr">
        <is>
          <t>18.99</t>
        </is>
      </c>
      <c r="S4848" t="inlineStr">
        <is>
          <t>1431431206</t>
        </is>
      </c>
    </row>
    <row r="4849" ht="75" customHeight="1">
      <c r="A4849" s="2">
        <f>HYPERLINK("https://www.cafepress.com/+autumn_leaves_tote_bag,1431431206", "https://www.cafepress.com/+autumn_leaves_tote_bag,1431431206")</f>
        <v/>
      </c>
      <c r="B4849" s="2">
        <f>HYPERLINK("https://www.cafepress.com/+autumn_leaves_tote_bag,1431431206", "https://www.cafepress.com/+autumn_leaves_tote_bag,1431431206")</f>
        <v/>
      </c>
      <c r="C4849" t="inlineStr">
        <is>
          <t>Canvas Tote Bags Autumn Leaves Tote Bag</t>
        </is>
      </c>
      <c r="D4849" t="inlineStr">
        <is>
          <t>Autumn Maple Leaves Extra Large Grocery Bag Fall Forest Reusable Canvas Tote Bag Casual Beach Shopping Tote Heavy Duty Washable Shoulder Bags Handbag with Handle</t>
        </is>
      </c>
      <c r="E4849" s="2">
        <f>HYPERLINK("https://www.amazon.com/Constellation-Reusable-Shopping-Washable-Shoulder/dp/B07XQ6M5F8/ref=sr_1_3?keywords=Canvas+Tote+Bags+Autumn+Leaves+Tote+Bag&amp;qid=1695565337&amp;sr=8-3", "https://www.amazon.com/Constellation-Reusable-Shopping-Washable-Shoulder/dp/B07XQ6M5F8/ref=sr_1_3?keywords=Canvas+Tote+Bags+Autumn+Leaves+Tote+Bag&amp;qid=1695565337&amp;sr=8-3")</f>
        <v/>
      </c>
      <c r="F4849" t="inlineStr">
        <is>
          <t>B07XQ6M5F8</t>
        </is>
      </c>
      <c r="H4849">
        <f>_xlfn.IMAGE("https://m.media-amazon.com/images/I/61bSHGWgy2L._AC_UL320_.jpg")</f>
        <v/>
      </c>
      <c r="K4849" t="inlineStr">
        <is>
          <t>12.99</t>
        </is>
      </c>
      <c r="L4849" t="n">
        <v>15.98</v>
      </c>
      <c r="M4849" s="1" t="inlineStr">
        <is>
          <t>23.02%</t>
        </is>
      </c>
      <c r="N4849" t="n">
        <v>4.7</v>
      </c>
      <c r="O4849" t="n">
        <v>641</v>
      </c>
      <c r="Q4849" t="inlineStr">
        <is>
          <t>undefined</t>
        </is>
      </c>
      <c r="R4849" t="inlineStr">
        <is>
          <t>18.99</t>
        </is>
      </c>
      <c r="S4849" t="inlineStr">
        <is>
          <t>1431431206</t>
        </is>
      </c>
    </row>
    <row r="4850" ht="75" customHeight="1">
      <c r="A4850" s="2">
        <f>HYPERLINK("https://www.cafepress.com/+autumn_sunset_twin_duvet_cover,888941379", "https://www.cafepress.com/+autumn_sunset_twin_duvet_cover,888941379")</f>
        <v/>
      </c>
      <c r="B4850" s="2">
        <f>HYPERLINK("https://www.cafepress.com/+autumn_sunset_twin_duvet_cover,888941379", "https://www.cafepress.com/+autumn_sunset_twin_duvet_cover,888941379")</f>
        <v/>
      </c>
      <c r="C4850" t="inlineStr">
        <is>
          <t>Twin Duvet Covers Autumn Sunset Twin Duvet Cover</t>
        </is>
      </c>
      <c r="D4850" t="inlineStr">
        <is>
          <t>Ambesonne Beach Duvet Cover Set, Baltic Sea Coast Autumn Sunset View Boulders on Water Tourism Theme Picture, Decorative 2 Piece Bedding Set with 1 Pillow Sham, Twin Size, Blue Lilac</t>
        </is>
      </c>
      <c r="E4850" s="2">
        <f>HYPERLINK("https://www.amazon.com/Ambesonne-Boulders-Tourism-Picture-Decorative/dp/B073QM6RF8/ref=sr_1_1?keywords=Twin+Duvet+Covers+Autumn+Sunset+Twin+Duvet+Cover&amp;qid=1695565329&amp;sr=8-1", "https://www.amazon.com/Ambesonne-Boulders-Tourism-Picture-Decorative/dp/B073QM6RF8/ref=sr_1_1?keywords=Twin+Duvet+Covers+Autumn+Sunset+Twin+Duvet+Cover&amp;qid=1695565329&amp;sr=8-1")</f>
        <v/>
      </c>
      <c r="F4850" t="inlineStr">
        <is>
          <t>B073QM6RF8</t>
        </is>
      </c>
      <c r="H4850">
        <f>_xlfn.IMAGE("https://m.media-amazon.com/images/I/81sY37qeaGL._AC_UL320_.jpg")</f>
        <v/>
      </c>
      <c r="K4850" t="inlineStr">
        <is>
          <t>161.99</t>
        </is>
      </c>
      <c r="L4850" t="n">
        <v>59.95</v>
      </c>
      <c r="M4850" s="1" t="inlineStr">
        <is>
          <t>-62.99%</t>
        </is>
      </c>
      <c r="N4850" t="n">
        <v>4.3</v>
      </c>
      <c r="O4850" t="n">
        <v>294</v>
      </c>
      <c r="Q4850" t="inlineStr">
        <is>
          <t>InStock</t>
        </is>
      </c>
      <c r="R4850" t="inlineStr">
        <is>
          <t>214.99</t>
        </is>
      </c>
      <c r="S4850" t="inlineStr">
        <is>
          <t>888941379</t>
        </is>
      </c>
    </row>
    <row r="4851" ht="75" customHeight="1">
      <c r="A4851" s="2">
        <f>HYPERLINK("https://www.cafepress.com/+autumn_sunset_twin_duvet_cover,888941379", "https://www.cafepress.com/+autumn_sunset_twin_duvet_cover,888941379")</f>
        <v/>
      </c>
      <c r="B4851" s="2">
        <f>HYPERLINK("https://www.cafepress.com/+autumn_sunset_twin_duvet_cover,888941379", "https://www.cafepress.com/+autumn_sunset_twin_duvet_cover,888941379")</f>
        <v/>
      </c>
      <c r="C4851" t="inlineStr">
        <is>
          <t>Twin Duvet Covers Autumn Sunset Twin Duvet Cover</t>
        </is>
      </c>
      <c r="D4851" t="inlineStr">
        <is>
          <t>Erosebridal 3D Branch Comforter Cover Sunset Duvet Cover Gothic Nature Plant Bedding Set Spring Autumn Theme Botanical Quilt Cover, Green Bedroom Decorative 2Pcs Twin Size</t>
        </is>
      </c>
      <c r="E4851" s="2">
        <f>HYPERLINK("https://www.amazon.com/Erosebridal-Comforter-Botanical-Decorative-Resistant/dp/B08DXW4KM1/ref=sr_1_8?keywords=Twin+Duvet+Covers+Autumn+Sunset+Twin+Duvet+Cover&amp;qid=1695565329&amp;sr=8-8", "https://www.amazon.com/Erosebridal-Comforter-Botanical-Decorative-Resistant/dp/B08DXW4KM1/ref=sr_1_8?keywords=Twin+Duvet+Covers+Autumn+Sunset+Twin+Duvet+Cover&amp;qid=1695565329&amp;sr=8-8")</f>
        <v/>
      </c>
      <c r="F4851" t="inlineStr">
        <is>
          <t>B08DXW4KM1</t>
        </is>
      </c>
      <c r="H4851">
        <f>_xlfn.IMAGE("https://m.media-amazon.com/images/I/81iUQ-6zchL._AC_UL320_.jpg")</f>
        <v/>
      </c>
      <c r="K4851" t="inlineStr">
        <is>
          <t>161.99</t>
        </is>
      </c>
      <c r="L4851" t="n">
        <v>35.99</v>
      </c>
      <c r="M4851" s="1" t="inlineStr">
        <is>
          <t>-77.78%</t>
        </is>
      </c>
      <c r="N4851" t="n">
        <v>2</v>
      </c>
      <c r="O4851" t="n">
        <v>1</v>
      </c>
      <c r="Q4851" t="inlineStr">
        <is>
          <t>InStock</t>
        </is>
      </c>
      <c r="R4851" t="inlineStr">
        <is>
          <t>214.99</t>
        </is>
      </c>
      <c r="S4851" t="inlineStr">
        <is>
          <t>888941379</t>
        </is>
      </c>
    </row>
    <row r="4852" ht="75" customHeight="1">
      <c r="A4852" s="2">
        <f>HYPERLINK("https://www.cafepress.com/+autumn_tile_coaster,1294228413", "https://www.cafepress.com/+autumn_tile_coaster,1294228413")</f>
        <v/>
      </c>
      <c r="B4852" s="2">
        <f>HYPERLINK("https://www.cafepress.com/+autumn_tile_coaster,1294228413", "https://www.cafepress.com/+autumn_tile_coaster,1294228413")</f>
        <v/>
      </c>
      <c r="C4852" t="inlineStr">
        <is>
          <t>Coasters Autumn Tile Coaster</t>
        </is>
      </c>
      <c r="D4852" t="inlineStr">
        <is>
          <t>3dRose cst_12681_3 Autumn Leaf-Ceramic Tile Coasters, Set of 4</t>
        </is>
      </c>
      <c r="E4852" s="2">
        <f>HYPERLINK("https://www.amazon.com/3dRose-cst_12681_3-Autumn-Leaf-Ceramic-Coasters/dp/B004PXGJCG/ref=sr_1_1?keywords=Coasters+Autumn+Tile+Coaster&amp;qid=1695565308&amp;sr=8-1", "https://www.amazon.com/3dRose-cst_12681_3-Autumn-Leaf-Ceramic-Coasters/dp/B004PXGJCG/ref=sr_1_1?keywords=Coasters+Autumn+Tile+Coaster&amp;qid=1695565308&amp;sr=8-1")</f>
        <v/>
      </c>
      <c r="F4852" t="inlineStr">
        <is>
          <t>B004PXGJCG</t>
        </is>
      </c>
      <c r="H4852">
        <f>_xlfn.IMAGE("https://m.media-amazon.com/images/I/71OJPURXtNL._AC_UL320_.jpg")</f>
        <v/>
      </c>
      <c r="K4852" t="inlineStr">
        <is>
          <t>8.99</t>
        </is>
      </c>
      <c r="L4852" t="n">
        <v>30.61</v>
      </c>
      <c r="M4852" s="1" t="inlineStr">
        <is>
          <t>240.49%</t>
        </is>
      </c>
      <c r="N4852" t="n">
        <v>4.7</v>
      </c>
      <c r="O4852" t="n">
        <v>2</v>
      </c>
      <c r="Q4852" t="inlineStr">
        <is>
          <t>InStock</t>
        </is>
      </c>
      <c r="R4852" t="inlineStr">
        <is>
          <t>12.99</t>
        </is>
      </c>
      <c r="S4852" t="inlineStr">
        <is>
          <t>1294228413</t>
        </is>
      </c>
    </row>
    <row r="4853" ht="75" customHeight="1">
      <c r="A4853" s="2">
        <f>HYPERLINK("https://www.cafepress.com/+autumn_tile_coaster,1294228413", "https://www.cafepress.com/+autumn_tile_coaster,1294228413")</f>
        <v/>
      </c>
      <c r="B4853" s="2">
        <f>HYPERLINK("https://www.cafepress.com/+autumn_tile_coaster,1294228413", "https://www.cafepress.com/+autumn_tile_coaster,1294228413")</f>
        <v/>
      </c>
      <c r="C4853" t="inlineStr">
        <is>
          <t>Coasters Autumn Tile Coaster</t>
        </is>
      </c>
      <c r="D4853" t="inlineStr">
        <is>
          <t>3dRose Autumn Season Red And Colorful Trees And Leaves Set Of 4 Ceramic Tile Coasters</t>
        </is>
      </c>
      <c r="E4853" s="2">
        <f>HYPERLINK("https://www.amazon.com/3dRose-CST_255614_3-Colorful-Ceramic-Coasters/dp/B071JWNLN6/ref=sr_1_7?keywords=Coasters+Autumn+Tile+Coaster&amp;qid=1695565308&amp;sr=8-7", "https://www.amazon.com/3dRose-CST_255614_3-Colorful-Ceramic-Coasters/dp/B071JWNLN6/ref=sr_1_7?keywords=Coasters+Autumn+Tile+Coaster&amp;qid=1695565308&amp;sr=8-7")</f>
        <v/>
      </c>
      <c r="F4853" t="inlineStr">
        <is>
          <t>B071JWNLN6</t>
        </is>
      </c>
      <c r="H4853">
        <f>_xlfn.IMAGE("https://m.media-amazon.com/images/I/71vGkUVSBiL._AC_UL320_.jpg")</f>
        <v/>
      </c>
      <c r="K4853" t="inlineStr">
        <is>
          <t>8.99</t>
        </is>
      </c>
      <c r="L4853" t="n">
        <v>30.49</v>
      </c>
      <c r="M4853" s="1" t="inlineStr">
        <is>
          <t>239.15%</t>
        </is>
      </c>
      <c r="N4853" t="n">
        <v>2</v>
      </c>
      <c r="O4853" t="n">
        <v>1</v>
      </c>
      <c r="Q4853" t="inlineStr">
        <is>
          <t>InStock</t>
        </is>
      </c>
      <c r="R4853" t="inlineStr">
        <is>
          <t>12.99</t>
        </is>
      </c>
      <c r="S4853" t="inlineStr">
        <is>
          <t>1294228413</t>
        </is>
      </c>
    </row>
    <row r="4854" ht="75" customHeight="1">
      <c r="A4854" s="2">
        <f>HYPERLINK("https://www.cafepress.com/+autumn_tile_coaster,1294228413", "https://www.cafepress.com/+autumn_tile_coaster,1294228413")</f>
        <v/>
      </c>
      <c r="B4854" s="2">
        <f>HYPERLINK("https://www.cafepress.com/+autumn_tile_coaster,1294228413", "https://www.cafepress.com/+autumn_tile_coaster,1294228413")</f>
        <v/>
      </c>
      <c r="C4854" t="inlineStr">
        <is>
          <t>Coasters Autumn Tile Coaster</t>
        </is>
      </c>
      <c r="D4854" t="inlineStr">
        <is>
          <t>3dRose CST_11657_3 Glowing JackoLantern and Autumn Leaves on Halloween Night in Ceramic Tile Coasters, Black, Set of 4</t>
        </is>
      </c>
      <c r="E4854" s="2">
        <f>HYPERLINK("https://www.amazon.com/3dRose-cst_11657_3-Jackolantern-Halloween-Coasters/dp/B004PX0V0M/ref=sr_1_6?keywords=Coasters+Autumn+Tile+Coaster&amp;qid=1695565308&amp;sr=8-6", "https://www.amazon.com/3dRose-cst_11657_3-Jackolantern-Halloween-Coasters/dp/B004PX0V0M/ref=sr_1_6?keywords=Coasters+Autumn+Tile+Coaster&amp;qid=1695565308&amp;sr=8-6")</f>
        <v/>
      </c>
      <c r="F4854" t="inlineStr">
        <is>
          <t>B004PX0V0M</t>
        </is>
      </c>
      <c r="H4854">
        <f>_xlfn.IMAGE("https://m.media-amazon.com/images/I/61ULyqDRmIL._AC_UL320_.jpg")</f>
        <v/>
      </c>
      <c r="K4854" t="inlineStr">
        <is>
          <t>8.99</t>
        </is>
      </c>
      <c r="L4854" t="n">
        <v>29.05</v>
      </c>
      <c r="M4854" s="1" t="inlineStr">
        <is>
          <t>223.14%</t>
        </is>
      </c>
      <c r="N4854" t="n">
        <v>5</v>
      </c>
      <c r="O4854" t="n">
        <v>1</v>
      </c>
      <c r="Q4854" t="inlineStr">
        <is>
          <t>InStock</t>
        </is>
      </c>
      <c r="R4854" t="inlineStr">
        <is>
          <t>12.99</t>
        </is>
      </c>
      <c r="S4854" t="inlineStr">
        <is>
          <t>1294228413</t>
        </is>
      </c>
    </row>
    <row r="4855" ht="75" customHeight="1">
      <c r="A4855" s="2">
        <f>HYPERLINK("https://www.cafepress.com/+autumn_tile_coaster,1294228413", "https://www.cafepress.com/+autumn_tile_coaster,1294228413")</f>
        <v/>
      </c>
      <c r="B4855" s="2">
        <f>HYPERLINK("https://www.cafepress.com/+autumn_tile_coaster,1294228413", "https://www.cafepress.com/+autumn_tile_coaster,1294228413")</f>
        <v/>
      </c>
      <c r="C4855" t="inlineStr">
        <is>
          <t>Coasters Autumn Tile Coaster</t>
        </is>
      </c>
      <c r="D4855" t="inlineStr">
        <is>
          <t>Ambesonne Autumn Coaster Set of 4, Watercolor Fall Season Landscape with Leaves Flying in Breeze Bicycle, Square Hardboard Gloss Coasters, Standard Size, White Orange</t>
        </is>
      </c>
      <c r="E4855" s="2">
        <f>HYPERLINK("https://www.amazon.com/Ambesonne-Watercolor-Landscape-Hardboard-Coasters/dp/B07N6FQWRJ/ref=sr_1_5?keywords=Coasters+Autumn+Tile+Coaster&amp;qid=1695565308&amp;sr=8-5", "https://www.amazon.com/Ambesonne-Watercolor-Landscape-Hardboard-Coasters/dp/B07N6FQWRJ/ref=sr_1_5?keywords=Coasters+Autumn+Tile+Coaster&amp;qid=1695565308&amp;sr=8-5")</f>
        <v/>
      </c>
      <c r="F4855" t="inlineStr">
        <is>
          <t>B07N6FQWRJ</t>
        </is>
      </c>
      <c r="H4855">
        <f>_xlfn.IMAGE("https://m.media-amazon.com/images/I/81O0DPL+Y+L._AC_UL320_.jpg")</f>
        <v/>
      </c>
      <c r="K4855" t="inlineStr">
        <is>
          <t>8.99</t>
        </is>
      </c>
      <c r="L4855" t="n">
        <v>19.95</v>
      </c>
      <c r="M4855" s="1" t="inlineStr">
        <is>
          <t>121.91%</t>
        </is>
      </c>
      <c r="N4855" t="n">
        <v>3.7</v>
      </c>
      <c r="O4855" t="n">
        <v>22</v>
      </c>
      <c r="Q4855" t="inlineStr">
        <is>
          <t>InStock</t>
        </is>
      </c>
      <c r="R4855" t="inlineStr">
        <is>
          <t>12.99</t>
        </is>
      </c>
      <c r="S4855" t="inlineStr">
        <is>
          <t>1294228413</t>
        </is>
      </c>
    </row>
    <row r="4856" ht="75" customHeight="1">
      <c r="A4856" s="2">
        <f>HYPERLINK("https://www.cafepress.com/+autumn_tile_coaster,1294228413", "https://www.cafepress.com/+autumn_tile_coaster,1294228413")</f>
        <v/>
      </c>
      <c r="B4856" s="2">
        <f>HYPERLINK("https://www.cafepress.com/+autumn_tile_coaster,1294228413", "https://www.cafepress.com/+autumn_tile_coaster,1294228413")</f>
        <v/>
      </c>
      <c r="C4856" t="inlineStr">
        <is>
          <t>Coasters Autumn Tile Coaster</t>
        </is>
      </c>
      <c r="D4856" t="inlineStr">
        <is>
          <t>CoasterStone Set-November Leaves-Autumn Themed Absorbent Drink Coasters, Large 4.25 Inch Width, Fall Decor</t>
        </is>
      </c>
      <c r="E4856" s="2">
        <f>HYPERLINK("https://www.amazon.com/CoasterStone-AS984-Coaster-Set-Multicolored/dp/B07P9S24P9/ref=sr_1_9?keywords=Coasters+Autumn+Tile+Coaster&amp;qid=1695565308&amp;sr=8-9", "https://www.amazon.com/CoasterStone-AS984-Coaster-Set-Multicolored/dp/B07P9S24P9/ref=sr_1_9?keywords=Coasters+Autumn+Tile+Coaster&amp;qid=1695565308&amp;sr=8-9")</f>
        <v/>
      </c>
      <c r="F4856" t="inlineStr">
        <is>
          <t>B07P9S24P9</t>
        </is>
      </c>
      <c r="H4856">
        <f>_xlfn.IMAGE("https://m.media-amazon.com/images/I/A1boOLIpdgL._AC_UL320_.jpg")</f>
        <v/>
      </c>
      <c r="K4856" t="inlineStr">
        <is>
          <t>8.99</t>
        </is>
      </c>
      <c r="L4856" t="n">
        <v>17.75</v>
      </c>
      <c r="M4856" s="1" t="inlineStr">
        <is>
          <t>97.44%</t>
        </is>
      </c>
      <c r="N4856" t="n">
        <v>4.9</v>
      </c>
      <c r="O4856" t="n">
        <v>180</v>
      </c>
      <c r="Q4856" t="inlineStr">
        <is>
          <t>InStock</t>
        </is>
      </c>
      <c r="R4856" t="inlineStr">
        <is>
          <t>12.99</t>
        </is>
      </c>
      <c r="S4856" t="inlineStr">
        <is>
          <t>1294228413</t>
        </is>
      </c>
    </row>
    <row r="4857" ht="75" customHeight="1">
      <c r="A4857" s="2">
        <f>HYPERLINK("https://www.cafepress.com/+autumn_tile_coaster,1294228413", "https://www.cafepress.com/+autumn_tile_coaster,1294228413")</f>
        <v/>
      </c>
      <c r="B4857" s="2">
        <f>HYPERLINK("https://www.cafepress.com/+autumn_tile_coaster,1294228413", "https://www.cafepress.com/+autumn_tile_coaster,1294228413")</f>
        <v/>
      </c>
      <c r="C4857" t="inlineStr">
        <is>
          <t>Coasters Autumn Tile Coaster</t>
        </is>
      </c>
      <c r="D4857" t="inlineStr">
        <is>
          <t>Set of 8 Ceramic Coasters for Drinks with Cork Base and Iron Holder, Mediterranean Tile Designs (4 Inches)</t>
        </is>
      </c>
      <c r="E4857" s="2">
        <f>HYPERLINK("https://www.amazon.com/Mediterranean-Ceramic-Coasters-Cork-Colors/dp/B09C1C81B1/ref=sr_1_10?keywords=Coasters+Autumn+Tile+Coaster&amp;qid=1695565308&amp;sr=8-10", "https://www.amazon.com/Mediterranean-Ceramic-Coasters-Cork-Colors/dp/B09C1C81B1/ref=sr_1_10?keywords=Coasters+Autumn+Tile+Coaster&amp;qid=1695565308&amp;sr=8-10")</f>
        <v/>
      </c>
      <c r="F4857" t="inlineStr">
        <is>
          <t>B09C1C81B1</t>
        </is>
      </c>
      <c r="H4857">
        <f>_xlfn.IMAGE("https://m.media-amazon.com/images/I/81A8riLoArL._AC_UL320_.jpg")</f>
        <v/>
      </c>
      <c r="K4857" t="inlineStr">
        <is>
          <t>8.99</t>
        </is>
      </c>
      <c r="L4857" t="n">
        <v>9.09</v>
      </c>
      <c r="M4857" s="1" t="inlineStr">
        <is>
          <t>1.11%</t>
        </is>
      </c>
      <c r="N4857" t="n">
        <v>5</v>
      </c>
      <c r="O4857" t="n">
        <v>2</v>
      </c>
      <c r="Q4857" t="inlineStr">
        <is>
          <t>InStock</t>
        </is>
      </c>
      <c r="R4857" t="inlineStr">
        <is>
          <t>12.99</t>
        </is>
      </c>
      <c r="S4857" t="inlineStr">
        <is>
          <t>1294228413</t>
        </is>
      </c>
    </row>
    <row r="4858" ht="75" customHeight="1">
      <c r="A4858" s="2">
        <f>HYPERLINK("https://www.cafepress.com/+autumnprint_long_sleeve_pajamas,1142010738", "https://www.cafepress.com/+autumnprint_long_sleeve_pajamas,1142010738")</f>
        <v/>
      </c>
      <c r="B4858" s="2">
        <f>HYPERLINK("https://www.cafepress.com/+autumnprint_long_sleeve_pajamas,1142010738", "https://www.cafepress.com/+autumnprint_long_sleeve_pajamas,1142010738")</f>
        <v/>
      </c>
      <c r="C4858" t="inlineStr">
        <is>
          <t>Men's Long Sleeve Pajama Sets autumnPrint Men's Long Sleeve Pajamas</t>
        </is>
      </c>
      <c r="D4858" t="inlineStr">
        <is>
          <t>COLORFULLEAF Men's 100% Cotton Pajama Set Long Sleeve Button Down Sleepwear with Pockets</t>
        </is>
      </c>
      <c r="E4858" s="2">
        <f>HYPERLINK("https://www.amazon.com/COLORFULLEAF-Cotton-Sleepwear-Pajamas-Classic/dp/B08RNDLYRN/ref=sr_1_1?keywords=Mens+Long+Sleeve+Pajama+Sets+autumnPrint+Mens+Long+Sleeve+Pajamas&amp;qid=1695565327&amp;sr=8-1", "https://www.amazon.com/COLORFULLEAF-Cotton-Sleepwear-Pajamas-Classic/dp/B08RNDLYRN/ref=sr_1_1?keywords=Mens+Long+Sleeve+Pajama+Sets+autumnPrint+Mens+Long+Sleeve+Pajamas&amp;qid=1695565327&amp;sr=8-1")</f>
        <v/>
      </c>
      <c r="F4858" t="inlineStr">
        <is>
          <t>B08RNDLYRN</t>
        </is>
      </c>
      <c r="H4858">
        <f>_xlfn.IMAGE("https://m.media-amazon.com/images/I/41Xm4vilcUL._AC_UL320_.jpg")</f>
        <v/>
      </c>
      <c r="K4858" t="inlineStr">
        <is>
          <t>49.99</t>
        </is>
      </c>
      <c r="L4858" t="n">
        <v>45.99</v>
      </c>
      <c r="M4858" s="1" t="inlineStr">
        <is>
          <t>-8.00%</t>
        </is>
      </c>
      <c r="N4858" t="n">
        <v>4.6</v>
      </c>
      <c r="O4858" t="n">
        <v>217</v>
      </c>
      <c r="Q4858" t="inlineStr">
        <is>
          <t>undefined</t>
        </is>
      </c>
      <c r="R4858" t="inlineStr">
        <is>
          <t>75.99</t>
        </is>
      </c>
      <c r="S4858" t="inlineStr">
        <is>
          <t>1142010738</t>
        </is>
      </c>
    </row>
    <row r="4859" ht="75" customHeight="1">
      <c r="A4859" s="2">
        <f>HYPERLINK("https://www.cafepress.com/+autumnprint_long_sleeve_pajamas,1142010738", "https://www.cafepress.com/+autumnprint_long_sleeve_pajamas,1142010738")</f>
        <v/>
      </c>
      <c r="B4859" s="2">
        <f>HYPERLINK("https://www.cafepress.com/+autumnprint_long_sleeve_pajamas,1142010738", "https://www.cafepress.com/+autumnprint_long_sleeve_pajamas,1142010738")</f>
        <v/>
      </c>
      <c r="C4859" t="inlineStr">
        <is>
          <t>Men's Long Sleeve Pajama Sets autumnPrint Men's Long Sleeve Pajamas</t>
        </is>
      </c>
      <c r="D4859" t="inlineStr">
        <is>
          <t>GLOBAL Pajamas for Men Pj Set 100% Cotton Pajama Long Sleeve/Pants Plaids Loungewear sets</t>
        </is>
      </c>
      <c r="E4859" s="2">
        <f>HYPERLINK("https://www.amazon.com/GLOBAL-Pajamas-Cotton-Pajama-Loungewear/dp/B08BPFCXWH/ref=sr_1_2?keywords=Mens+Long+Sleeve+Pajama+Sets+autumnPrint+Mens+Long+Sleeve+Pajamas&amp;qid=1695565327&amp;sr=8-2", "https://www.amazon.com/GLOBAL-Pajamas-Cotton-Pajama-Loungewear/dp/B08BPFCXWH/ref=sr_1_2?keywords=Mens+Long+Sleeve+Pajama+Sets+autumnPrint+Mens+Long+Sleeve+Pajamas&amp;qid=1695565327&amp;sr=8-2")</f>
        <v/>
      </c>
      <c r="F4859" t="inlineStr">
        <is>
          <t>B08BPFCXWH</t>
        </is>
      </c>
      <c r="H4859">
        <f>_xlfn.IMAGE("https://m.media-amazon.com/images/I/81enxG+E1eL._AC_UL320_.jpg")</f>
        <v/>
      </c>
      <c r="K4859" t="inlineStr">
        <is>
          <t>49.99</t>
        </is>
      </c>
      <c r="L4859" t="n">
        <v>23.99</v>
      </c>
      <c r="M4859" s="1" t="inlineStr">
        <is>
          <t>-52.01%</t>
        </is>
      </c>
      <c r="N4859" t="n">
        <v>4.4</v>
      </c>
      <c r="O4859" t="n">
        <v>581</v>
      </c>
      <c r="Q4859" t="inlineStr">
        <is>
          <t>undefined</t>
        </is>
      </c>
      <c r="R4859" t="inlineStr">
        <is>
          <t>75.99</t>
        </is>
      </c>
      <c r="S4859" t="inlineStr">
        <is>
          <t>1142010738</t>
        </is>
      </c>
    </row>
    <row r="4860" ht="75" customHeight="1">
      <c r="A4860" s="2">
        <f>HYPERLINK("https://www.cafepress.com/+candy_tote_bag,33484565", "https://www.cafepress.com/+candy_tote_bag,33484565")</f>
        <v/>
      </c>
      <c r="B4860" s="2">
        <f>HYPERLINK("https://www.cafepress.com/+candy_tote_bag,33484565", "https://www.cafepress.com/+candy_tote_bag,33484565")</f>
        <v/>
      </c>
      <c r="C4860" t="inlineStr">
        <is>
          <t>Canvas Tote Bags CANDY - Tote Bag</t>
        </is>
      </c>
      <c r="D4860" t="inlineStr">
        <is>
          <t>Kate Spade New York Canvas Tote Bag with Interior Pocket</t>
        </is>
      </c>
      <c r="E4860" s="2">
        <f>HYPERLINK("https://www.amazon.com/Kate-Spade-New-York-Interior/dp/B075TGWGWG/ref=sr_1_3?keywords=Canvas+Tote+Bags+CANDY+-+Tote+Bag&amp;qid=1695565381&amp;sr=8-3", "https://www.amazon.com/Kate-Spade-New-York-Interior/dp/B075TGWGWG/ref=sr_1_3?keywords=Canvas+Tote+Bags+CANDY+-+Tote+Bag&amp;qid=1695565381&amp;sr=8-3")</f>
        <v/>
      </c>
      <c r="F4860" t="inlineStr">
        <is>
          <t>B075TGWGWG</t>
        </is>
      </c>
      <c r="H4860">
        <f>_xlfn.IMAGE("https://m.media-amazon.com/images/I/61wOposx+2L._AC_UL320_.jpg")</f>
        <v/>
      </c>
      <c r="K4860" t="inlineStr">
        <is>
          <t>15.99</t>
        </is>
      </c>
      <c r="L4860" t="n">
        <v>26.95</v>
      </c>
      <c r="M4860" s="1" t="inlineStr">
        <is>
          <t>68.54%</t>
        </is>
      </c>
      <c r="N4860" t="n">
        <v>4.7</v>
      </c>
      <c r="O4860" t="n">
        <v>3838</v>
      </c>
      <c r="Q4860" t="inlineStr">
        <is>
          <t>undefined</t>
        </is>
      </c>
      <c r="R4860" t="inlineStr">
        <is>
          <t>21.99</t>
        </is>
      </c>
      <c r="S4860" t="inlineStr">
        <is>
          <t>33484565</t>
        </is>
      </c>
    </row>
    <row r="4861" ht="75" customHeight="1">
      <c r="A4861" s="2">
        <f>HYPERLINK("https://www.cafepress.com/+candy_tote_bag,33484565", "https://www.cafepress.com/+candy_tote_bag,33484565")</f>
        <v/>
      </c>
      <c r="B4861" s="2">
        <f>HYPERLINK("https://www.cafepress.com/+candy_tote_bag,33484565", "https://www.cafepress.com/+candy_tote_bag,33484565")</f>
        <v/>
      </c>
      <c r="C4861" t="inlineStr">
        <is>
          <t>Canvas Tote Bags CANDY - Tote Bag</t>
        </is>
      </c>
      <c r="D4861" t="inlineStr">
        <is>
          <t>4 Pieces Halloween Treat Bag 14 x 17 Inch Large Halloween Canvas Tote Bag Reusable Trick or Treat Candy Bag Grocery Shopping Bag for Halloween Party or Daily Supplies</t>
        </is>
      </c>
      <c r="E4861" s="2">
        <f>HYPERLINK("https://www.amazon.com/Halloween-Reusable-Grocery-Shopping-Supplies/dp/B094DJ5LC7/ref=sr_1_7?keywords=Canvas+Tote+Bags+CANDY+-+Tote+Bag&amp;qid=1695565381&amp;sr=8-7", "https://www.amazon.com/Halloween-Reusable-Grocery-Shopping-Supplies/dp/B094DJ5LC7/ref=sr_1_7?keywords=Canvas+Tote+Bags+CANDY+-+Tote+Bag&amp;qid=1695565381&amp;sr=8-7")</f>
        <v/>
      </c>
      <c r="F4861" t="inlineStr">
        <is>
          <t>B094DJ5LC7</t>
        </is>
      </c>
      <c r="H4861">
        <f>_xlfn.IMAGE("https://m.media-amazon.com/images/I/714abWtQr4S._AC_UL320_.jpg")</f>
        <v/>
      </c>
      <c r="K4861" t="inlineStr">
        <is>
          <t>15.99</t>
        </is>
      </c>
      <c r="L4861" t="n">
        <v>17.99</v>
      </c>
      <c r="M4861" s="1" t="inlineStr">
        <is>
          <t>12.51%</t>
        </is>
      </c>
      <c r="N4861" t="n">
        <v>4.5</v>
      </c>
      <c r="O4861" t="n">
        <v>20</v>
      </c>
      <c r="Q4861" t="inlineStr">
        <is>
          <t>undefined</t>
        </is>
      </c>
      <c r="R4861" t="inlineStr">
        <is>
          <t>21.99</t>
        </is>
      </c>
      <c r="S4861" t="inlineStr">
        <is>
          <t>33484565</t>
        </is>
      </c>
    </row>
    <row r="4862" ht="75" customHeight="1">
      <c r="A4862" s="2">
        <f>HYPERLINK("https://www.cafepress.com/+candy_tote_bag,33484565", "https://www.cafepress.com/+candy_tote_bag,33484565")</f>
        <v/>
      </c>
      <c r="B4862" s="2">
        <f>HYPERLINK("https://www.cafepress.com/+candy_tote_bag,33484565", "https://www.cafepress.com/+candy_tote_bag,33484565")</f>
        <v/>
      </c>
      <c r="C4862" t="inlineStr">
        <is>
          <t>Canvas Tote Bags CANDY - Tote Bag</t>
        </is>
      </c>
      <c r="D4862" t="inlineStr">
        <is>
          <t>3 Pieces 15.7 x 13.4 Inch Halloween Candy Tote Bags Large Trick or Treat Canvas Tote Bags Reusable Grocery Shopping Goodie Bags Heavy Duty Canvas Handbags for Halloween Party Shopping</t>
        </is>
      </c>
      <c r="E4862" s="2">
        <f>HYPERLINK("https://www.amazon.com/Halloween-Reusable-Grocery-Shopping-Handbags/dp/B096BF8TCL/ref=sr_1_8?keywords=Canvas+Tote+Bags+CANDY+-+Tote+Bag&amp;qid=1695565381&amp;sr=8-8", "https://www.amazon.com/Halloween-Reusable-Grocery-Shopping-Handbags/dp/B096BF8TCL/ref=sr_1_8?keywords=Canvas+Tote+Bags+CANDY+-+Tote+Bag&amp;qid=1695565381&amp;sr=8-8")</f>
        <v/>
      </c>
      <c r="F4862" t="inlineStr">
        <is>
          <t>B096BF8TCL</t>
        </is>
      </c>
      <c r="H4862">
        <f>_xlfn.IMAGE("https://m.media-amazon.com/images/I/81-eLZoHrsS._AC_UL320_.jpg")</f>
        <v/>
      </c>
      <c r="K4862" t="inlineStr">
        <is>
          <t>15.99</t>
        </is>
      </c>
      <c r="L4862" t="n">
        <v>16.99</v>
      </c>
      <c r="M4862" s="1" t="inlineStr">
        <is>
          <t>6.25%</t>
        </is>
      </c>
      <c r="N4862" t="n">
        <v>4.6</v>
      </c>
      <c r="O4862" t="n">
        <v>25</v>
      </c>
      <c r="Q4862" t="inlineStr">
        <is>
          <t>undefined</t>
        </is>
      </c>
      <c r="R4862" t="inlineStr">
        <is>
          <t>21.99</t>
        </is>
      </c>
      <c r="S4862" t="inlineStr">
        <is>
          <t>33484565</t>
        </is>
      </c>
    </row>
    <row r="4863" ht="75" customHeight="1">
      <c r="A4863" s="2">
        <f>HYPERLINK("https://www.cafepress.com/+candy_tote_bag,33484565", "https://www.cafepress.com/+candy_tote_bag,33484565")</f>
        <v/>
      </c>
      <c r="B4863" s="2">
        <f>HYPERLINK("https://www.cafepress.com/+candy_tote_bag,33484565", "https://www.cafepress.com/+candy_tote_bag,33484565")</f>
        <v/>
      </c>
      <c r="C4863" t="inlineStr">
        <is>
          <t>Canvas Tote Bags CANDY - Tote Bag</t>
        </is>
      </c>
      <c r="D4863" t="inlineStr">
        <is>
          <t>Whaline Halloween Canvas Tote Bags Trick or Treat Tote Candy Bag Reusable Cotton Handbag Grocery Bags for Halloween Party Favor Gift Bags, 2 Pack, 15.7" x 13.4"</t>
        </is>
      </c>
      <c r="E4863" s="2">
        <f>HYPERLINK("https://www.amazon.com/Whaline-Halloween-Reusable-Handbag-Grocery/dp/B08GPH3D33/ref=sr_1_6?keywords=Canvas+Tote+Bags+CANDY+-+Tote+Bag&amp;qid=1695565381&amp;sr=8-6", "https://www.amazon.com/Whaline-Halloween-Reusable-Handbag-Grocery/dp/B08GPH3D33/ref=sr_1_6?keywords=Canvas+Tote+Bags+CANDY+-+Tote+Bag&amp;qid=1695565381&amp;sr=8-6")</f>
        <v/>
      </c>
      <c r="F4863" t="inlineStr">
        <is>
          <t>B08GPH3D33</t>
        </is>
      </c>
      <c r="H4863">
        <f>_xlfn.IMAGE("https://m.media-amazon.com/images/I/7127CfEGU+L._AC_UL320_.jpg")</f>
        <v/>
      </c>
      <c r="K4863" t="inlineStr">
        <is>
          <t>15.99</t>
        </is>
      </c>
      <c r="L4863" t="n">
        <v>13.99</v>
      </c>
      <c r="M4863" s="1" t="inlineStr">
        <is>
          <t>-12.51%</t>
        </is>
      </c>
      <c r="N4863" t="n">
        <v>4.8</v>
      </c>
      <c r="O4863" t="n">
        <v>89</v>
      </c>
      <c r="Q4863" t="inlineStr">
        <is>
          <t>undefined</t>
        </is>
      </c>
      <c r="R4863" t="inlineStr">
        <is>
          <t>21.99</t>
        </is>
      </c>
      <c r="S4863" t="inlineStr">
        <is>
          <t>33484565</t>
        </is>
      </c>
    </row>
    <row r="4864" ht="75" customHeight="1">
      <c r="A4864" s="2">
        <f>HYPERLINK("https://www.cafepress.com/+candy_tote_bag,33484565", "https://www.cafepress.com/+candy_tote_bag,33484565")</f>
        <v/>
      </c>
      <c r="B4864" s="2">
        <f>HYPERLINK("https://www.cafepress.com/+candy_tote_bag,33484565", "https://www.cafepress.com/+candy_tote_bag,33484565")</f>
        <v/>
      </c>
      <c r="C4864" t="inlineStr">
        <is>
          <t>Canvas Tote Bags CANDY - Tote Bag</t>
        </is>
      </c>
      <c r="D4864" t="inlineStr">
        <is>
          <t>2 Pieces Halloween Trick or Treat Tote Bag Reusable Canvas Candy Trick or Treating Bag Large Happy Halloween Pumpkin Bag Ghost Goody Bag for Halloween Party Favor Grocery Shopping, 12.99 x 12.6 Inch</t>
        </is>
      </c>
      <c r="E4864" s="2">
        <f>HYPERLINK("https://www.amazon.com/Halloween-Reusable-Treating-Pumpkin-Shopping/dp/B0B3DTLPW5/ref=sr_1_2?keywords=Canvas+Tote+Bags+CANDY+-+Tote+Bag&amp;qid=1695565381&amp;sr=8-2", "https://www.amazon.com/Halloween-Reusable-Treating-Pumpkin-Shopping/dp/B0B3DTLPW5/ref=sr_1_2?keywords=Canvas+Tote+Bags+CANDY+-+Tote+Bag&amp;qid=1695565381&amp;sr=8-2")</f>
        <v/>
      </c>
      <c r="F4864" t="inlineStr">
        <is>
          <t>B0B3DTLPW5</t>
        </is>
      </c>
      <c r="H4864">
        <f>_xlfn.IMAGE("https://m.media-amazon.com/images/I/81N2FZB61IL._AC_UL320_.jpg")</f>
        <v/>
      </c>
      <c r="K4864" t="inlineStr">
        <is>
          <t>15.99</t>
        </is>
      </c>
      <c r="L4864" t="n">
        <v>11.99</v>
      </c>
      <c r="M4864" s="1" t="inlineStr">
        <is>
          <t>-25.02%</t>
        </is>
      </c>
      <c r="N4864" t="n">
        <v>4.7</v>
      </c>
      <c r="O4864" t="n">
        <v>13</v>
      </c>
      <c r="Q4864" t="inlineStr">
        <is>
          <t>undefined</t>
        </is>
      </c>
      <c r="R4864" t="inlineStr">
        <is>
          <t>21.99</t>
        </is>
      </c>
      <c r="S4864" t="inlineStr">
        <is>
          <t>33484565</t>
        </is>
      </c>
    </row>
    <row r="4865" ht="75" customHeight="1">
      <c r="A4865" s="2">
        <f>HYPERLINK("https://www.cafepress.com/+candy_tote_bag,33484565", "https://www.cafepress.com/+candy_tote_bag,33484565")</f>
        <v/>
      </c>
      <c r="B4865" s="2">
        <f>HYPERLINK("https://www.cafepress.com/+candy_tote_bag,33484565", "https://www.cafepress.com/+candy_tote_bag,33484565")</f>
        <v/>
      </c>
      <c r="C4865" t="inlineStr">
        <is>
          <t>Canvas Tote Bags CANDY - Tote Bag</t>
        </is>
      </c>
      <c r="D4865" t="inlineStr">
        <is>
          <t>Trick or Treat Tote Bags Gifts for Halloween - Witch Canvas Bag Pumpkin Goodie Large Reusable Grocery Unisex Kids Candy Party Favors Gift C1, Beige</t>
        </is>
      </c>
      <c r="E4865" s="2">
        <f>HYPERLINK("https://www.amazon.com/People-Trick-Treat-Gifts-Halloween/dp/B0BBSPZ3Q4/ref=sr_1_9?keywords=Canvas+Tote+Bags+CANDY+-+Tote+Bag&amp;qid=1695565381&amp;sr=8-9", "https://www.amazon.com/People-Trick-Treat-Gifts-Halloween/dp/B0BBSPZ3Q4/ref=sr_1_9?keywords=Canvas+Tote+Bags+CANDY+-+Tote+Bag&amp;qid=1695565381&amp;sr=8-9")</f>
        <v/>
      </c>
      <c r="F4865" t="inlineStr">
        <is>
          <t>B0BBSPZ3Q4</t>
        </is>
      </c>
      <c r="H4865">
        <f>_xlfn.IMAGE("https://m.media-amazon.com/images/I/71yBswgC5eL._AC_UL320_.jpg")</f>
        <v/>
      </c>
      <c r="K4865" t="inlineStr">
        <is>
          <t>15.99</t>
        </is>
      </c>
      <c r="L4865" t="n">
        <v>9.99</v>
      </c>
      <c r="M4865" s="1" t="inlineStr">
        <is>
          <t>-37.52%</t>
        </is>
      </c>
      <c r="N4865" t="n">
        <v>4.7</v>
      </c>
      <c r="O4865" t="n">
        <v>4</v>
      </c>
      <c r="Q4865" t="inlineStr">
        <is>
          <t>undefined</t>
        </is>
      </c>
      <c r="R4865" t="inlineStr">
        <is>
          <t>21.99</t>
        </is>
      </c>
      <c r="S4865" t="inlineStr">
        <is>
          <t>33484565</t>
        </is>
      </c>
    </row>
    <row r="4866" ht="75" customHeight="1">
      <c r="A4866" s="2">
        <f>HYPERLINK("https://www.cafepress.com/+candy_tote_bag,33484565", "https://www.cafepress.com/+candy_tote_bag,33484565")</f>
        <v/>
      </c>
      <c r="B4866" s="2">
        <f>HYPERLINK("https://www.cafepress.com/+candy_tote_bag,33484565", "https://www.cafepress.com/+candy_tote_bag,33484565")</f>
        <v/>
      </c>
      <c r="C4866" t="inlineStr">
        <is>
          <t>Canvas Tote Bags CANDY - Tote Bag</t>
        </is>
      </c>
      <c r="D4866" t="inlineStr">
        <is>
          <t>Halloween Initial Tote Bags Gifts for Boys Girls - 15"x16" - Trick or Treat Letters Canvas Bag - Pumpkin Goodie Bag</t>
        </is>
      </c>
      <c r="E4866" s="2">
        <f>HYPERLINK("https://www.amazon.com/Halloween-Initial-Tote-Gifts-Girls/dp/B0BBPPHL13/ref=sr_1_4?keywords=Canvas+Tote+Bags+CANDY+-+Tote+Bag&amp;qid=1695565381&amp;sr=8-4", "https://www.amazon.com/Halloween-Initial-Tote-Gifts-Girls/dp/B0BBPPHL13/ref=sr_1_4?keywords=Canvas+Tote+Bags+CANDY+-+Tote+Bag&amp;qid=1695565381&amp;sr=8-4")</f>
        <v/>
      </c>
      <c r="F4866" t="inlineStr">
        <is>
          <t>B0BBPPHL13</t>
        </is>
      </c>
      <c r="H4866">
        <f>_xlfn.IMAGE("https://m.media-amazon.com/images/I/71GljjKBRcL._AC_UL320_.jpg")</f>
        <v/>
      </c>
      <c r="K4866" t="inlineStr">
        <is>
          <t>15.99</t>
        </is>
      </c>
      <c r="L4866" t="n">
        <v>9.99</v>
      </c>
      <c r="M4866" s="1" t="inlineStr">
        <is>
          <t>-37.52%</t>
        </is>
      </c>
      <c r="N4866" t="n">
        <v>4.5</v>
      </c>
      <c r="O4866" t="n">
        <v>36</v>
      </c>
      <c r="Q4866" t="inlineStr">
        <is>
          <t>undefined</t>
        </is>
      </c>
      <c r="R4866" t="inlineStr">
        <is>
          <t>21.99</t>
        </is>
      </c>
      <c r="S4866" t="inlineStr">
        <is>
          <t>33484565</t>
        </is>
      </c>
    </row>
    <row r="4867" ht="75" customHeight="1">
      <c r="A4867" s="2">
        <f>HYPERLINK("https://www.cafepress.com/+candy_tote_bag,33484565", "https://www.cafepress.com/+candy_tote_bag,33484565")</f>
        <v/>
      </c>
      <c r="B4867" s="2">
        <f>HYPERLINK("https://www.cafepress.com/+candy_tote_bag,33484565", "https://www.cafepress.com/+candy_tote_bag,33484565")</f>
        <v/>
      </c>
      <c r="C4867" t="inlineStr">
        <is>
          <t>Canvas Tote Bags CANDY - Tote Bag</t>
        </is>
      </c>
      <c r="D4867" t="inlineStr">
        <is>
          <t>Halloween Trick or Treat Candy Bag | Washable Canvas Tote Bag | Drawstring Bag for Halloween Candy | Pumpkin</t>
        </is>
      </c>
      <c r="E4867" s="2">
        <f>HYPERLINK("https://www.amazon.com/Pumpkin-Trick-Treat-Canvas-Bag/dp/B08HZGGTTV/ref=sr_1_5?keywords=Canvas+Tote+Bags+CANDY+-+Tote+Bag&amp;qid=1695565381&amp;sr=8-5", "https://www.amazon.com/Pumpkin-Trick-Treat-Canvas-Bag/dp/B08HZGGTTV/ref=sr_1_5?keywords=Canvas+Tote+Bags+CANDY+-+Tote+Bag&amp;qid=1695565381&amp;sr=8-5")</f>
        <v/>
      </c>
      <c r="F4867" t="inlineStr">
        <is>
          <t>B08HZGGTTV</t>
        </is>
      </c>
      <c r="H4867">
        <f>_xlfn.IMAGE("https://m.media-amazon.com/images/I/81PYtASnbnL._AC_UL320_.jpg")</f>
        <v/>
      </c>
      <c r="K4867" t="inlineStr">
        <is>
          <t>15.99</t>
        </is>
      </c>
      <c r="L4867" t="n">
        <v>9.99</v>
      </c>
      <c r="M4867" s="1" t="inlineStr">
        <is>
          <t>-37.52%</t>
        </is>
      </c>
      <c r="N4867" t="n">
        <v>4.7</v>
      </c>
      <c r="O4867" t="n">
        <v>554</v>
      </c>
      <c r="Q4867" t="inlineStr">
        <is>
          <t>undefined</t>
        </is>
      </c>
      <c r="R4867" t="inlineStr">
        <is>
          <t>21.99</t>
        </is>
      </c>
      <c r="S4867" t="inlineStr">
        <is>
          <t>33484565</t>
        </is>
      </c>
    </row>
    <row r="4868" ht="75" customHeight="1">
      <c r="A4868" s="2">
        <f>HYPERLINK("https://www.cafepress.com/+cheron_twin_duvet_cover,1032846984", "https://www.cafepress.com/+cheron_twin_duvet_cover,1032846984")</f>
        <v/>
      </c>
      <c r="B4868" s="2">
        <f>HYPERLINK("https://www.cafepress.com/+cheron_twin_duvet_cover,1032846984", "https://www.cafepress.com/+cheron_twin_duvet_cover,1032846984")</f>
        <v/>
      </c>
      <c r="C4868" t="inlineStr">
        <is>
          <t>Twin Duvet Covers Cheron Twin Duvet Cover</t>
        </is>
      </c>
      <c r="D4868" t="inlineStr">
        <is>
          <t>Royal Hotel Bedding Gray and White Chevron 2-Piece Twin/Twin XL Duvet Cover Set, 100% Cotton 300 TC</t>
        </is>
      </c>
      <c r="E4868" s="2">
        <f>HYPERLINK("https://www.amazon.com/White-Chevron-2-Piece-Duvet-Cotton/dp/B09VK8FJ9Q/ref=sr_1_9?keywords=twin+duvet+covers+chevron+twin+duvet+cover&amp;qid=1695565345&amp;sr=8-9", "https://www.amazon.com/White-Chevron-2-Piece-Duvet-Cotton/dp/B09VK8FJ9Q/ref=sr_1_9?keywords=twin+duvet+covers+chevron+twin+duvet+cover&amp;qid=1695565345&amp;sr=8-9")</f>
        <v/>
      </c>
      <c r="F4868" t="inlineStr">
        <is>
          <t>B09VK8FJ9Q</t>
        </is>
      </c>
      <c r="H4868">
        <f>_xlfn.IMAGE("https://m.media-amazon.com/images/I/91dwQvyA14L._AC_UL320_.jpg")</f>
        <v/>
      </c>
      <c r="K4868" t="inlineStr">
        <is>
          <t>161.99</t>
        </is>
      </c>
      <c r="L4868" t="n">
        <v>59.99</v>
      </c>
      <c r="M4868" s="1" t="inlineStr">
        <is>
          <t>-62.97%</t>
        </is>
      </c>
      <c r="N4868" t="n">
        <v>4.1</v>
      </c>
      <c r="O4868" t="n">
        <v>18</v>
      </c>
      <c r="Q4868" t="inlineStr">
        <is>
          <t>InStock</t>
        </is>
      </c>
      <c r="R4868" t="inlineStr">
        <is>
          <t>214.99</t>
        </is>
      </c>
      <c r="S4868" t="inlineStr">
        <is>
          <t>1032846984</t>
        </is>
      </c>
    </row>
    <row r="4869" ht="75" customHeight="1">
      <c r="A4869" s="2">
        <f>HYPERLINK("https://www.cafepress.com/+cheron_twin_duvet_cover,1032846984", "https://www.cafepress.com/+cheron_twin_duvet_cover,1032846984")</f>
        <v/>
      </c>
      <c r="B4869" s="2">
        <f>HYPERLINK("https://www.cafepress.com/+cheron_twin_duvet_cover,1032846984", "https://www.cafepress.com/+cheron_twin_duvet_cover,1032846984")</f>
        <v/>
      </c>
      <c r="C4869" t="inlineStr">
        <is>
          <t>Twin Duvet Covers Cheron Twin Duvet Cover</t>
        </is>
      </c>
      <c r="D4869" t="inlineStr">
        <is>
          <t>VClife Cotton Twin Duvet Cover White Grey Blue Stripe Comforter Quilt &amp; Pillow Protector Cover Sets Simple Style Geometry Bedding Sets, 1 Twin Size Duvet Cover 68" x 86" &amp; 2 Pillow Shams 20" x26"</t>
        </is>
      </c>
      <c r="E4869" s="2">
        <f>HYPERLINK("https://www.amazon.com/VClife-Collections-Pillowcases-Breathable-Hypoallergenic/dp/B07WQWDX78/ref=sr_1_7?keywords=twin+duvet+covers+chevron+twin+duvet+cover&amp;qid=1695565345&amp;sr=8-7", "https://www.amazon.com/VClife-Collections-Pillowcases-Breathable-Hypoallergenic/dp/B07WQWDX78/ref=sr_1_7?keywords=twin+duvet+covers+chevron+twin+duvet+cover&amp;qid=1695565345&amp;sr=8-7")</f>
        <v/>
      </c>
      <c r="F4869" t="inlineStr">
        <is>
          <t>B07WQWDX78</t>
        </is>
      </c>
      <c r="H4869">
        <f>_xlfn.IMAGE("https://m.media-amazon.com/images/I/81hHjviQdaL._AC_UL320_.jpg")</f>
        <v/>
      </c>
      <c r="K4869" t="inlineStr">
        <is>
          <t>161.99</t>
        </is>
      </c>
      <c r="L4869" t="n">
        <v>49.99</v>
      </c>
      <c r="M4869" s="1" t="inlineStr">
        <is>
          <t>-69.14%</t>
        </is>
      </c>
      <c r="N4869" t="n">
        <v>4.4</v>
      </c>
      <c r="O4869" t="n">
        <v>3750</v>
      </c>
      <c r="Q4869" t="inlineStr">
        <is>
          <t>InStock</t>
        </is>
      </c>
      <c r="R4869" t="inlineStr">
        <is>
          <t>214.99</t>
        </is>
      </c>
      <c r="S4869" t="inlineStr">
        <is>
          <t>1032846984</t>
        </is>
      </c>
    </row>
    <row r="4870" ht="75" customHeight="1">
      <c r="A4870" s="2">
        <f>HYPERLINK("https://www.cafepress.com/+cheron_twin_duvet_cover,1032846984", "https://www.cafepress.com/+cheron_twin_duvet_cover,1032846984")</f>
        <v/>
      </c>
      <c r="B4870" s="2">
        <f>HYPERLINK("https://www.cafepress.com/+cheron_twin_duvet_cover,1032846984", "https://www.cafepress.com/+cheron_twin_duvet_cover,1032846984")</f>
        <v/>
      </c>
      <c r="C4870" t="inlineStr">
        <is>
          <t>Twin Duvet Covers Cheron Twin Duvet Cover</t>
        </is>
      </c>
      <c r="D4870" t="inlineStr">
        <is>
          <t>Intelligent Design Nadia Duvet Cover Twin/Twin Xl Size - Yellow , Chevron Duvet Cover Set – 4 Piece – Ultra Soft Microfiber Light Weight Bed Comforter Covers</t>
        </is>
      </c>
      <c r="E4870" s="2">
        <f>HYPERLINK("https://www.amazon.com/Intelligent-Design-Nadia-Duvet-Cover/dp/B00NOP25QA/ref=sr_1_2?keywords=twin+duvet+covers+chevron+twin+duvet+cover&amp;qid=1695565345&amp;sr=8-2", "https://www.amazon.com/Intelligent-Design-Nadia-Duvet-Cover/dp/B00NOP25QA/ref=sr_1_2?keywords=twin+duvet+covers+chevron+twin+duvet+cover&amp;qid=1695565345&amp;sr=8-2")</f>
        <v/>
      </c>
      <c r="F4870" t="inlineStr">
        <is>
          <t>B00NOP25QA</t>
        </is>
      </c>
      <c r="H4870">
        <f>_xlfn.IMAGE("https://m.media-amazon.com/images/I/81IDfbzZC3L._AC_UL320_.jpg")</f>
        <v/>
      </c>
      <c r="K4870" t="inlineStr">
        <is>
          <t>161.99</t>
        </is>
      </c>
      <c r="L4870" t="n">
        <v>44.99</v>
      </c>
      <c r="M4870" s="1" t="inlineStr">
        <is>
          <t>-72.23%</t>
        </is>
      </c>
      <c r="N4870" t="n">
        <v>4</v>
      </c>
      <c r="O4870" t="n">
        <v>793</v>
      </c>
      <c r="Q4870" t="inlineStr">
        <is>
          <t>InStock</t>
        </is>
      </c>
      <c r="R4870" t="inlineStr">
        <is>
          <t>214.99</t>
        </is>
      </c>
      <c r="S4870" t="inlineStr">
        <is>
          <t>1032846984</t>
        </is>
      </c>
    </row>
    <row r="4871" ht="75" customHeight="1">
      <c r="A4871" s="2">
        <f>HYPERLINK("https://www.cafepress.com/+cheron_twin_duvet_cover,1032846984", "https://www.cafepress.com/+cheron_twin_duvet_cover,1032846984")</f>
        <v/>
      </c>
      <c r="B4871" s="2">
        <f>HYPERLINK("https://www.cafepress.com/+cheron_twin_duvet_cover,1032846984", "https://www.cafepress.com/+cheron_twin_duvet_cover,1032846984")</f>
        <v/>
      </c>
      <c r="C4871" t="inlineStr">
        <is>
          <t>Twin Duvet Covers Cheron Twin Duvet Cover</t>
        </is>
      </c>
      <c r="D4871" t="inlineStr">
        <is>
          <t>Floral Twin Duvet Cover, Soft Cotton 3 Pieces Floral Bedding Set Twin, Vintage Style Garden Pattern Twin Duvet Cover Cotton Floral, with Zipper Closure, Luxury Soft Breathable Comfy (Floral, Twin)</t>
        </is>
      </c>
      <c r="E4871" s="2">
        <f>HYPERLINK("https://www.amazon.com/Jane-yre-Vintage-Hypoallergenic-Comforter/dp/B07DZT8YVM/ref=sr_1_10?keywords=twin+duvet+covers+chevron+twin+duvet+cover&amp;qid=1695565345&amp;sr=8-10", "https://www.amazon.com/Jane-yre-Vintage-Hypoallergenic-Comforter/dp/B07DZT8YVM/ref=sr_1_10?keywords=twin+duvet+covers+chevron+twin+duvet+cover&amp;qid=1695565345&amp;sr=8-10")</f>
        <v/>
      </c>
      <c r="F4871" t="inlineStr">
        <is>
          <t>B07DZT8YVM</t>
        </is>
      </c>
      <c r="H4871">
        <f>_xlfn.IMAGE("https://m.media-amazon.com/images/I/81EW998FVEL._AC_UL320_.jpg")</f>
        <v/>
      </c>
      <c r="K4871" t="inlineStr">
        <is>
          <t>161.99</t>
        </is>
      </c>
      <c r="L4871" t="n">
        <v>42.99</v>
      </c>
      <c r="M4871" s="1" t="inlineStr">
        <is>
          <t>-73.46%</t>
        </is>
      </c>
      <c r="N4871" t="n">
        <v>4.4</v>
      </c>
      <c r="O4871" t="n">
        <v>494</v>
      </c>
      <c r="Q4871" t="inlineStr">
        <is>
          <t>InStock</t>
        </is>
      </c>
      <c r="R4871" t="inlineStr">
        <is>
          <t>214.99</t>
        </is>
      </c>
      <c r="S4871" t="inlineStr">
        <is>
          <t>1032846984</t>
        </is>
      </c>
    </row>
    <row r="4872" ht="75" customHeight="1">
      <c r="A4872" s="2">
        <f>HYPERLINK("https://www.cafepress.com/+cheron_twin_duvet_cover,1032846984", "https://www.cafepress.com/+cheron_twin_duvet_cover,1032846984")</f>
        <v/>
      </c>
      <c r="B4872" s="2">
        <f>HYPERLINK("https://www.cafepress.com/+cheron_twin_duvet_cover,1032846984", "https://www.cafepress.com/+cheron_twin_duvet_cover,1032846984")</f>
        <v/>
      </c>
      <c r="C4872" t="inlineStr">
        <is>
          <t>Twin Duvet Covers Cheron Twin Duvet Cover</t>
        </is>
      </c>
      <c r="D4872" t="inlineStr">
        <is>
          <t>City Scene Ceres Cotton Duvet Cover Set, Twin, Mint</t>
        </is>
      </c>
      <c r="E4872" s="2">
        <f>HYPERLINK("https://www.amazon.com/City-Scene-Ceres-Cotton-Duvet/dp/B01H7BIN3K/ref=sr_1_8?keywords=twin+duvet+covers+chevron+twin+duvet+cover&amp;qid=1695565345&amp;sr=8-8", "https://www.amazon.com/City-Scene-Ceres-Cotton-Duvet/dp/B01H7BIN3K/ref=sr_1_8?keywords=twin+duvet+covers+chevron+twin+duvet+cover&amp;qid=1695565345&amp;sr=8-8")</f>
        <v/>
      </c>
      <c r="F4872" t="inlineStr">
        <is>
          <t>B01H7BIN3K</t>
        </is>
      </c>
      <c r="H4872">
        <f>_xlfn.IMAGE("https://m.media-amazon.com/images/I/91IlFIXwopL._AC_UL320_.jpg")</f>
        <v/>
      </c>
      <c r="K4872" t="inlineStr">
        <is>
          <t>161.99</t>
        </is>
      </c>
      <c r="L4872" t="n">
        <v>39.99</v>
      </c>
      <c r="M4872" s="1" t="inlineStr">
        <is>
          <t>-75.31%</t>
        </is>
      </c>
      <c r="N4872" t="n">
        <v>4.2</v>
      </c>
      <c r="O4872" t="n">
        <v>42</v>
      </c>
      <c r="Q4872" t="inlineStr">
        <is>
          <t>InStock</t>
        </is>
      </c>
      <c r="R4872" t="inlineStr">
        <is>
          <t>214.99</t>
        </is>
      </c>
      <c r="S4872" t="inlineStr">
        <is>
          <t>1032846984</t>
        </is>
      </c>
    </row>
    <row r="4873" ht="75" customHeight="1">
      <c r="A4873" s="2">
        <f>HYPERLINK("https://www.cafepress.com/+cheron_twin_duvet_cover,1032846984", "https://www.cafepress.com/+cheron_twin_duvet_cover,1032846984")</f>
        <v/>
      </c>
      <c r="B4873" s="2">
        <f>HYPERLINK("https://www.cafepress.com/+cheron_twin_duvet_cover,1032846984", "https://www.cafepress.com/+cheron_twin_duvet_cover,1032846984")</f>
        <v/>
      </c>
      <c r="C4873" t="inlineStr">
        <is>
          <t>Twin Duvet Covers Cheron Twin Duvet Cover</t>
        </is>
      </c>
      <c r="D4873" t="inlineStr">
        <is>
          <t>Mellanni Twin Duvet Cover Set - 3 PC Iconic Collection Bedding Set - Hotel Luxury, Extra Soft &amp; Cooling - 1 Comforter Cover, 1 Sham, 1 Pillow Case - Button Closure and Corner Ties (Twin, Chevron Gray)</t>
        </is>
      </c>
      <c r="E4873" s="2">
        <f>HYPERLINK("https://www.amazon.com/Mellanni-Duvet-Cover-Set-3pcs/dp/B07PP4Q984/ref=sr_1_1?keywords=twin+duvet+covers+chevron+twin+duvet+cover&amp;qid=1695565345&amp;sr=8-1", "https://www.amazon.com/Mellanni-Duvet-Cover-Set-3pcs/dp/B07PP4Q984/ref=sr_1_1?keywords=twin+duvet+covers+chevron+twin+duvet+cover&amp;qid=1695565345&amp;sr=8-1")</f>
        <v/>
      </c>
      <c r="F4873" t="inlineStr">
        <is>
          <t>B07PP4Q984</t>
        </is>
      </c>
      <c r="H4873">
        <f>_xlfn.IMAGE("https://m.media-amazon.com/images/I/81vmJCbUBqL._AC_UL320_.jpg")</f>
        <v/>
      </c>
      <c r="K4873" t="inlineStr">
        <is>
          <t>161.99</t>
        </is>
      </c>
      <c r="L4873" t="n">
        <v>27.97</v>
      </c>
      <c r="M4873" s="1" t="inlineStr">
        <is>
          <t>-82.73%</t>
        </is>
      </c>
      <c r="N4873" t="n">
        <v>4.3</v>
      </c>
      <c r="O4873" t="n">
        <v>4628</v>
      </c>
      <c r="Q4873" t="inlineStr">
        <is>
          <t>InStock</t>
        </is>
      </c>
      <c r="R4873" t="inlineStr">
        <is>
          <t>214.99</t>
        </is>
      </c>
      <c r="S4873" t="inlineStr">
        <is>
          <t>1032846984</t>
        </is>
      </c>
    </row>
    <row r="4874" ht="75" customHeight="1">
      <c r="A4874" s="2">
        <f>HYPERLINK("https://www.cafepress.com/+cheron_twin_duvet_cover,1032846984", "https://www.cafepress.com/+cheron_twin_duvet_cover,1032846984")</f>
        <v/>
      </c>
      <c r="B4874" s="2">
        <f>HYPERLINK("https://www.cafepress.com/+cheron_twin_duvet_cover,1032846984", "https://www.cafepress.com/+cheron_twin_duvet_cover,1032846984")</f>
        <v/>
      </c>
      <c r="C4874" t="inlineStr">
        <is>
          <t>Twin Duvet Covers Cheron Twin Duvet Cover</t>
        </is>
      </c>
      <c r="D4874" t="inlineStr">
        <is>
          <t>LAMEJOR Duvet Cover Set Twin Size Chevron Geometric Style Reversible Luxury Soft Bedding Set Comforter Cover(1 Duvet Cover+2 Pillowcases) Black/White</t>
        </is>
      </c>
      <c r="E4874" s="2">
        <f>HYPERLINK("https://www.amazon.com/LAMEJOR-Geometric-Reversible-Comforter-Pillowcases/dp/B089SPHV3D/ref=sr_1_3?keywords=twin+duvet+covers+chevron+twin+duvet+cover&amp;qid=1695565345&amp;sr=8-3", "https://www.amazon.com/LAMEJOR-Geometric-Reversible-Comforter-Pillowcases/dp/B089SPHV3D/ref=sr_1_3?keywords=twin+duvet+covers+chevron+twin+duvet+cover&amp;qid=1695565345&amp;sr=8-3")</f>
        <v/>
      </c>
      <c r="F4874" t="inlineStr">
        <is>
          <t>B089SPHV3D</t>
        </is>
      </c>
      <c r="H4874">
        <f>_xlfn.IMAGE("https://m.media-amazon.com/images/I/71EpDE7zv7L._AC_UL320_.jpg")</f>
        <v/>
      </c>
      <c r="K4874" t="inlineStr">
        <is>
          <t>161.99</t>
        </is>
      </c>
      <c r="L4874" t="n">
        <v>23.9</v>
      </c>
      <c r="M4874" s="1" t="inlineStr">
        <is>
          <t>-85.25%</t>
        </is>
      </c>
      <c r="N4874" t="n">
        <v>4.3</v>
      </c>
      <c r="O4874" t="n">
        <v>1183</v>
      </c>
      <c r="Q4874" t="inlineStr">
        <is>
          <t>InStock</t>
        </is>
      </c>
      <c r="R4874" t="inlineStr">
        <is>
          <t>214.99</t>
        </is>
      </c>
      <c r="S4874" t="inlineStr">
        <is>
          <t>1032846984</t>
        </is>
      </c>
    </row>
    <row r="4875" ht="75" customHeight="1">
      <c r="A4875" s="2">
        <f>HYPERLINK("https://www.cafepress.com/+cheron_twin_duvet_cover,1032846984", "https://www.cafepress.com/+cheron_twin_duvet_cover,1032846984")</f>
        <v/>
      </c>
      <c r="B4875" s="2">
        <f>HYPERLINK("https://www.cafepress.com/+cheron_twin_duvet_cover,1032846984", "https://www.cafepress.com/+cheron_twin_duvet_cover,1032846984")</f>
        <v/>
      </c>
      <c r="C4875" t="inlineStr">
        <is>
          <t>Twin Duvet Covers Cheron Twin Duvet Cover</t>
        </is>
      </c>
      <c r="D4875" t="inlineStr">
        <is>
          <t>LAMEJOR Duvet Cover Set Twin Size Strawberry/Chevron Pattern Reversible Sweet Bedding Set Comforter Cover (1 Duvet Cover+2 Pillowcases) Pink</t>
        </is>
      </c>
      <c r="E4875" s="2">
        <f>HYPERLINK("https://www.amazon.com/LAMEJOR-Strawberry-Reversible-Comforter-Pillowcases/dp/B0784GP7VX/ref=sr_1_4?keywords=twin+duvet+covers+chevron+twin+duvet+cover&amp;qid=1695565345&amp;sr=8-4", "https://www.amazon.com/LAMEJOR-Strawberry-Reversible-Comforter-Pillowcases/dp/B0784GP7VX/ref=sr_1_4?keywords=twin+duvet+covers+chevron+twin+duvet+cover&amp;qid=1695565345&amp;sr=8-4")</f>
        <v/>
      </c>
      <c r="F4875" t="inlineStr">
        <is>
          <t>B0784GP7VX</t>
        </is>
      </c>
      <c r="H4875">
        <f>_xlfn.IMAGE("https://m.media-amazon.com/images/I/81xMG0N7hbL._AC_UL320_.jpg")</f>
        <v/>
      </c>
      <c r="K4875" t="inlineStr">
        <is>
          <t>161.99</t>
        </is>
      </c>
      <c r="L4875" t="n">
        <v>21.97</v>
      </c>
      <c r="M4875" s="1" t="inlineStr">
        <is>
          <t>-86.44%</t>
        </is>
      </c>
      <c r="N4875" t="n">
        <v>4.3</v>
      </c>
      <c r="O4875" t="n">
        <v>1694</v>
      </c>
      <c r="Q4875" t="inlineStr">
        <is>
          <t>InStock</t>
        </is>
      </c>
      <c r="R4875" t="inlineStr">
        <is>
          <t>214.99</t>
        </is>
      </c>
      <c r="S4875" t="inlineStr">
        <is>
          <t>1032846984</t>
        </is>
      </c>
    </row>
    <row r="4876" ht="75" customHeight="1">
      <c r="A4876" s="2">
        <f>HYPERLINK("https://www.cafepress.com/+cheron_twin_duvet_cover,1032846984", "https://www.cafepress.com/+cheron_twin_duvet_cover,1032846984")</f>
        <v/>
      </c>
      <c r="B4876" s="2">
        <f>HYPERLINK("https://www.cafepress.com/+cheron_twin_duvet_cover,1032846984", "https://www.cafepress.com/+cheron_twin_duvet_cover,1032846984")</f>
        <v/>
      </c>
      <c r="C4876" t="inlineStr">
        <is>
          <t>Twin Duvet Covers Cheron Twin Duvet Cover</t>
        </is>
      </c>
      <c r="D4876" t="inlineStr">
        <is>
          <t>Bedsure Duvet Cover Twin Dorm Bedding - Botanical Duvet Cover Set with Zipper Closure, Grey Bedding Set, 2 Pieces, 1 Reversible Duvet Cover (68"x90") with 8 Corner Ties and 1 Pillow Sham (20"x26")</t>
        </is>
      </c>
      <c r="E4876" s="2">
        <f>HYPERLINK("https://www.amazon.com/Bedsure-Tree-Branch-Duvet-Cover/dp/B073DX4DLR/ref=sr_1_5?keywords=twin+duvet+covers+chevron+twin+duvet+cover&amp;qid=1695565345&amp;sr=8-5", "https://www.amazon.com/Bedsure-Tree-Branch-Duvet-Cover/dp/B073DX4DLR/ref=sr_1_5?keywords=twin+duvet+covers+chevron+twin+duvet+cover&amp;qid=1695565345&amp;sr=8-5")</f>
        <v/>
      </c>
      <c r="F4876" t="inlineStr">
        <is>
          <t>B073DX4DLR</t>
        </is>
      </c>
      <c r="H4876">
        <f>_xlfn.IMAGE("https://m.media-amazon.com/images/I/91NRLdrwrOL._AC_UL320_.jpg")</f>
        <v/>
      </c>
      <c r="K4876" t="inlineStr">
        <is>
          <t>161.99</t>
        </is>
      </c>
      <c r="L4876" t="n">
        <v>21.24</v>
      </c>
      <c r="M4876" s="1" t="inlineStr">
        <is>
          <t>-86.89%</t>
        </is>
      </c>
      <c r="N4876" t="n">
        <v>4.5</v>
      </c>
      <c r="O4876" t="n">
        <v>4532</v>
      </c>
      <c r="Q4876" t="inlineStr">
        <is>
          <t>InStock</t>
        </is>
      </c>
      <c r="R4876" t="inlineStr">
        <is>
          <t>214.99</t>
        </is>
      </c>
      <c r="S4876" t="inlineStr">
        <is>
          <t>1032846984</t>
        </is>
      </c>
    </row>
    <row r="4877" ht="75" customHeight="1">
      <c r="A4877" s="2">
        <f>HYPERLINK("https://www.cafepress.com/+cheron_twin_duvet_cover,1032846984", "https://www.cafepress.com/+cheron_twin_duvet_cover,1032846984")</f>
        <v/>
      </c>
      <c r="B4877" s="2">
        <f>HYPERLINK("https://www.cafepress.com/+cheron_twin_duvet_cover,1032846984", "https://www.cafepress.com/+cheron_twin_duvet_cover,1032846984")</f>
        <v/>
      </c>
      <c r="C4877" t="inlineStr">
        <is>
          <t>Twin Duvet Covers Cheron Twin Duvet Cover</t>
        </is>
      </c>
      <c r="D4877" t="inlineStr">
        <is>
          <t>LAMEJOR Geometric Duvet Cover Set Twin Size Strips/Chevron Pattern 3-Piece Reversible Luxury Soft Bedding Set Comforter Cover (1 Duvet Cover+2 Pillowcases) Black/White</t>
        </is>
      </c>
      <c r="E4877" s="2">
        <f>HYPERLINK("https://www.amazon.com/LAMEJOR-Geometric-Reversible-Comforter-Pillowcases/dp/B08NPPPNHY/ref=sr_1_6?keywords=twin+duvet+covers+chevron+twin+duvet+cover&amp;qid=1695565345&amp;sr=8-6", "https://www.amazon.com/LAMEJOR-Geometric-Reversible-Comforter-Pillowcases/dp/B08NPPPNHY/ref=sr_1_6?keywords=twin+duvet+covers+chevron+twin+duvet+cover&amp;qid=1695565345&amp;sr=8-6")</f>
        <v/>
      </c>
      <c r="F4877" t="inlineStr">
        <is>
          <t>B08NPPPNHY</t>
        </is>
      </c>
      <c r="H4877">
        <f>_xlfn.IMAGE("https://m.media-amazon.com/images/I/91xd0f6VDDL._AC_UL320_.jpg")</f>
        <v/>
      </c>
      <c r="K4877" t="inlineStr">
        <is>
          <t>161.99</t>
        </is>
      </c>
      <c r="L4877" t="n">
        <v>17.97</v>
      </c>
      <c r="M4877" s="1" t="inlineStr">
        <is>
          <t>-88.91%</t>
        </is>
      </c>
      <c r="N4877" t="n">
        <v>4.3</v>
      </c>
      <c r="O4877" t="n">
        <v>1776</v>
      </c>
      <c r="Q4877" t="inlineStr">
        <is>
          <t>InStock</t>
        </is>
      </c>
      <c r="R4877" t="inlineStr">
        <is>
          <t>214.99</t>
        </is>
      </c>
      <c r="S4877" t="inlineStr">
        <is>
          <t>1032846984</t>
        </is>
      </c>
    </row>
    <row r="4878" ht="75" customHeight="1">
      <c r="A4878" s="2">
        <f>HYPERLINK("https://www.cafepress.com/+cheveron_twin_duvet_cover,1032887334", "https://www.cafepress.com/+cheveron_twin_duvet_cover,1032887334")</f>
        <v/>
      </c>
      <c r="B4878" s="2">
        <f>HYPERLINK("https://www.cafepress.com/+cheveron_twin_duvet_cover,1032887334", "https://www.cafepress.com/+cheveron_twin_duvet_cover,1032887334")</f>
        <v/>
      </c>
      <c r="C4878" t="inlineStr">
        <is>
          <t>Twin Duvet Covers Cheveron Twin Duvet Cover</t>
        </is>
      </c>
      <c r="D4878" t="inlineStr">
        <is>
          <t>Intelligent Design Nadia Duvet Casual Vibrant Chevron Design All Season Trendy Comforter Cover Bedding Set with Matching Sham, Decorative Pillow, Twin/Twin XL, Aqua</t>
        </is>
      </c>
      <c r="E4878" s="2">
        <f>HYPERLINK("https://www.amazon.com/Intelligent-Design-ID12-228-Nadia-Duvet/dp/B00NYX5LL8/ref=sr_1_7?keywords=twin+duvet+covers+chevron+twin+duvet+cover&amp;qid=1695565342&amp;sr=8-7", "https://www.amazon.com/Intelligent-Design-ID12-228-Nadia-Duvet/dp/B00NYX5LL8/ref=sr_1_7?keywords=twin+duvet+covers+chevron+twin+duvet+cover&amp;qid=1695565342&amp;sr=8-7")</f>
        <v/>
      </c>
      <c r="F4878" t="inlineStr">
        <is>
          <t>B00NYX5LL8</t>
        </is>
      </c>
      <c r="H4878">
        <f>_xlfn.IMAGE("https://m.media-amazon.com/images/I/81ZIrj1M1BL._AC_UL320_.jpg")</f>
        <v/>
      </c>
      <c r="K4878" t="inlineStr">
        <is>
          <t>161.99</t>
        </is>
      </c>
      <c r="L4878" t="n">
        <v>53.99</v>
      </c>
      <c r="M4878" s="1" t="inlineStr">
        <is>
          <t>-66.67%</t>
        </is>
      </c>
      <c r="N4878" t="n">
        <v>4</v>
      </c>
      <c r="O4878" t="n">
        <v>793</v>
      </c>
      <c r="Q4878" t="inlineStr">
        <is>
          <t>InStock</t>
        </is>
      </c>
      <c r="R4878" t="inlineStr">
        <is>
          <t>214.99</t>
        </is>
      </c>
      <c r="S4878" t="inlineStr">
        <is>
          <t>1032887334</t>
        </is>
      </c>
    </row>
    <row r="4879" ht="75" customHeight="1">
      <c r="A4879" s="2">
        <f>HYPERLINK("https://www.cafepress.com/+cheveron_twin_duvet_cover,1032887334", "https://www.cafepress.com/+cheveron_twin_duvet_cover,1032887334")</f>
        <v/>
      </c>
      <c r="B4879" s="2">
        <f>HYPERLINK("https://www.cafepress.com/+cheveron_twin_duvet_cover,1032887334", "https://www.cafepress.com/+cheveron_twin_duvet_cover,1032887334")</f>
        <v/>
      </c>
      <c r="C4879" t="inlineStr">
        <is>
          <t>Twin Duvet Covers Cheveron Twin Duvet Cover</t>
        </is>
      </c>
      <c r="D4879" t="inlineStr">
        <is>
          <t>Floral Twin Duvet Cover, Soft Cotton 3 Pieces Floral Bedding Set Twin, Vintage Style Garden Pattern Twin Duvet Cover Cotton Floral, with Zipper Closure, Luxury Soft Breathable Comfy (Floral, Twin)</t>
        </is>
      </c>
      <c r="E4879" s="2">
        <f>HYPERLINK("https://www.amazon.com/Jane-yre-Vintage-Hypoallergenic-Comforter/dp/B07DZT8YVM/ref=sr_1_8?keywords=twin+duvet+covers+chevron+twin+duvet+cover&amp;qid=1695565342&amp;sr=8-8", "https://www.amazon.com/Jane-yre-Vintage-Hypoallergenic-Comforter/dp/B07DZT8YVM/ref=sr_1_8?keywords=twin+duvet+covers+chevron+twin+duvet+cover&amp;qid=1695565342&amp;sr=8-8")</f>
        <v/>
      </c>
      <c r="F4879" t="inlineStr">
        <is>
          <t>B07DZT8YVM</t>
        </is>
      </c>
      <c r="H4879">
        <f>_xlfn.IMAGE("https://m.media-amazon.com/images/I/81EW998FVEL._AC_UL320_.jpg")</f>
        <v/>
      </c>
      <c r="K4879" t="inlineStr">
        <is>
          <t>161.99</t>
        </is>
      </c>
      <c r="L4879" t="n">
        <v>42.99</v>
      </c>
      <c r="M4879" s="1" t="inlineStr">
        <is>
          <t>-73.46%</t>
        </is>
      </c>
      <c r="N4879" t="n">
        <v>4.4</v>
      </c>
      <c r="O4879" t="n">
        <v>494</v>
      </c>
      <c r="Q4879" t="inlineStr">
        <is>
          <t>InStock</t>
        </is>
      </c>
      <c r="R4879" t="inlineStr">
        <is>
          <t>214.99</t>
        </is>
      </c>
      <c r="S4879" t="inlineStr">
        <is>
          <t>1032887334</t>
        </is>
      </c>
    </row>
    <row r="4880" ht="75" customHeight="1">
      <c r="A4880" s="2">
        <f>HYPERLINK("https://www.cafepress.com/+cheveron_twin_duvet_cover,1032887334", "https://www.cafepress.com/+cheveron_twin_duvet_cover,1032887334")</f>
        <v/>
      </c>
      <c r="B4880" s="2">
        <f>HYPERLINK("https://www.cafepress.com/+cheveron_twin_duvet_cover,1032887334", "https://www.cafepress.com/+cheveron_twin_duvet_cover,1032887334")</f>
        <v/>
      </c>
      <c r="C4880" t="inlineStr">
        <is>
          <t>Twin Duvet Covers Cheveron Twin Duvet Cover</t>
        </is>
      </c>
      <c r="D4880" t="inlineStr">
        <is>
          <t>Bedsure Twin/Twin XL Duvet Cover Set - Duvet Cover Twin/Twin XL Size, Twin Boho Bedding for All Seasons, 2 Pieces Embroidery Shabby Chic Home Bedding Duvet Cover Set (White, Twin/Twin XL, 68x90'')</t>
        </is>
      </c>
      <c r="E4880" s="2">
        <f>HYPERLINK("https://www.amazon.com/BEDSURE-Twin-Duvet-Cover-Set/dp/B08CXMBG29/ref=sr_1_3?keywords=twin+duvet+covers+chevron+twin+duvet+cover&amp;qid=1695565342&amp;sr=8-3", "https://www.amazon.com/BEDSURE-Twin-Duvet-Cover-Set/dp/B08CXMBG29/ref=sr_1_3?keywords=twin+duvet+covers+chevron+twin+duvet+cover&amp;qid=1695565342&amp;sr=8-3")</f>
        <v/>
      </c>
      <c r="F4880" t="inlineStr">
        <is>
          <t>B08CXMBG29</t>
        </is>
      </c>
      <c r="H4880">
        <f>_xlfn.IMAGE("https://m.media-amazon.com/images/I/81ma+f0t-pL._AC_UL320_.jpg")</f>
        <v/>
      </c>
      <c r="K4880" t="inlineStr">
        <is>
          <t>161.99</t>
        </is>
      </c>
      <c r="L4880" t="n">
        <v>38.69</v>
      </c>
      <c r="M4880" s="1" t="inlineStr">
        <is>
          <t>-76.12%</t>
        </is>
      </c>
      <c r="N4880" t="n">
        <v>4.5</v>
      </c>
      <c r="O4880" t="n">
        <v>11722</v>
      </c>
      <c r="Q4880" t="inlineStr">
        <is>
          <t>InStock</t>
        </is>
      </c>
      <c r="R4880" t="inlineStr">
        <is>
          <t>214.99</t>
        </is>
      </c>
      <c r="S4880" t="inlineStr">
        <is>
          <t>1032887334</t>
        </is>
      </c>
    </row>
    <row r="4881" ht="75" customHeight="1">
      <c r="A4881" s="2">
        <f>HYPERLINK("https://www.cafepress.com/+cheveron_twin_duvet_cover,1032887334", "https://www.cafepress.com/+cheveron_twin_duvet_cover,1032887334")</f>
        <v/>
      </c>
      <c r="B4881" s="2">
        <f>HYPERLINK("https://www.cafepress.com/+cheveron_twin_duvet_cover,1032887334", "https://www.cafepress.com/+cheveron_twin_duvet_cover,1032887334")</f>
        <v/>
      </c>
      <c r="C4881" t="inlineStr">
        <is>
          <t>Twin Duvet Covers Cheveron Twin Duvet Cover</t>
        </is>
      </c>
      <c r="D4881" t="inlineStr">
        <is>
          <t>Mellanni Twin Duvet Cover Set - 3 PC Iconic Collection Bedding Set - Hotel Luxury, Extra Soft &amp; Cooling - 1 Comforter Cover, 1 Sham, 1 Pillow Case - Button Closure and Corner Ties (Twin, Chevron Gray)</t>
        </is>
      </c>
      <c r="E4881" s="2">
        <f>HYPERLINK("https://www.amazon.com/Mellanni-Duvet-Cover-Set-3pcs/dp/B07PP4Q984/ref=sr_1_1?keywords=twin+duvet+covers+chevron+twin+duvet+cover&amp;qid=1695565342&amp;sr=8-1", "https://www.amazon.com/Mellanni-Duvet-Cover-Set-3pcs/dp/B07PP4Q984/ref=sr_1_1?keywords=twin+duvet+covers+chevron+twin+duvet+cover&amp;qid=1695565342&amp;sr=8-1")</f>
        <v/>
      </c>
      <c r="F4881" t="inlineStr">
        <is>
          <t>B07PP4Q984</t>
        </is>
      </c>
      <c r="H4881">
        <f>_xlfn.IMAGE("https://m.media-amazon.com/images/I/81vmJCbUBqL._AC_UL320_.jpg")</f>
        <v/>
      </c>
      <c r="K4881" t="inlineStr">
        <is>
          <t>161.99</t>
        </is>
      </c>
      <c r="L4881" t="n">
        <v>27.97</v>
      </c>
      <c r="M4881" s="1" t="inlineStr">
        <is>
          <t>-82.73%</t>
        </is>
      </c>
      <c r="N4881" t="n">
        <v>4.3</v>
      </c>
      <c r="O4881" t="n">
        <v>4628</v>
      </c>
      <c r="Q4881" t="inlineStr">
        <is>
          <t>InStock</t>
        </is>
      </c>
      <c r="R4881" t="inlineStr">
        <is>
          <t>214.99</t>
        </is>
      </c>
      <c r="S4881" t="inlineStr">
        <is>
          <t>1032887334</t>
        </is>
      </c>
    </row>
    <row r="4882" ht="75" customHeight="1">
      <c r="A4882" s="2">
        <f>HYPERLINK("https://www.cafepress.com/+cheveron_twin_duvet_cover,1032887334", "https://www.cafepress.com/+cheveron_twin_duvet_cover,1032887334")</f>
        <v/>
      </c>
      <c r="B4882" s="2">
        <f>HYPERLINK("https://www.cafepress.com/+cheveron_twin_duvet_cover,1032887334", "https://www.cafepress.com/+cheveron_twin_duvet_cover,1032887334")</f>
        <v/>
      </c>
      <c r="C4882" t="inlineStr">
        <is>
          <t>Twin Duvet Covers Cheveron Twin Duvet Cover</t>
        </is>
      </c>
      <c r="D4882" t="inlineStr">
        <is>
          <t>Floral Duvet Cover Set Navy Blue Twin Comforter Set 68"x90" with 1 Pillow Sham Lightweight Plum Blossom Pattern Bedding Set Hotel Quality (Sketchleaf, Twin)</t>
        </is>
      </c>
      <c r="E4882" s="2">
        <f>HYPERLINK("https://www.amazon.com/GETIANN-Lightweight-Hypoallergenic-Microfiber-Sketchleaf/dp/B07WC6KGLV/ref=sr_1_9?keywords=twin+duvet+covers+chevron+twin+duvet+cover&amp;qid=1695565342&amp;sr=8-9", "https://www.amazon.com/GETIANN-Lightweight-Hypoallergenic-Microfiber-Sketchleaf/dp/B07WC6KGLV/ref=sr_1_9?keywords=twin+duvet+covers+chevron+twin+duvet+cover&amp;qid=1695565342&amp;sr=8-9")</f>
        <v/>
      </c>
      <c r="F4882" t="inlineStr">
        <is>
          <t>B07WC6KGLV</t>
        </is>
      </c>
      <c r="H4882">
        <f>_xlfn.IMAGE("https://m.media-amazon.com/images/I/91cFY7OldzL._AC_UL320_.jpg")</f>
        <v/>
      </c>
      <c r="K4882" t="inlineStr">
        <is>
          <t>161.99</t>
        </is>
      </c>
      <c r="L4882" t="n">
        <v>24.99</v>
      </c>
      <c r="M4882" s="1" t="inlineStr">
        <is>
          <t>-84.57%</t>
        </is>
      </c>
      <c r="N4882" t="n">
        <v>4.3</v>
      </c>
      <c r="O4882" t="n">
        <v>3512</v>
      </c>
      <c r="Q4882" t="inlineStr">
        <is>
          <t>InStock</t>
        </is>
      </c>
      <c r="R4882" t="inlineStr">
        <is>
          <t>214.99</t>
        </is>
      </c>
      <c r="S4882" t="inlineStr">
        <is>
          <t>1032887334</t>
        </is>
      </c>
    </row>
    <row r="4883" ht="75" customHeight="1">
      <c r="A4883" s="2">
        <f>HYPERLINK("https://www.cafepress.com/+cheveron_twin_duvet_cover,1032887334", "https://www.cafepress.com/+cheveron_twin_duvet_cover,1032887334")</f>
        <v/>
      </c>
      <c r="B4883" s="2">
        <f>HYPERLINK("https://www.cafepress.com/+cheveron_twin_duvet_cover,1032887334", "https://www.cafepress.com/+cheveron_twin_duvet_cover,1032887334")</f>
        <v/>
      </c>
      <c r="C4883" t="inlineStr">
        <is>
          <t>Twin Duvet Covers Cheveron Twin Duvet Cover</t>
        </is>
      </c>
      <c r="D4883" t="inlineStr">
        <is>
          <t>Nestl Twin Duvet Cover Set - Soft Double Brushed White Duvet Cover Twin/Twin XL, 2 Piece, with Button Closure, 1 Duvet Cover 68x90 inches and 1 Pillow Sham</t>
        </is>
      </c>
      <c r="E4883" s="2">
        <f>HYPERLINK("https://www.amazon.com/Nestl-Bedding-Duvet-Cover-Piece/dp/B01BI5PCJY/ref=sr_1_5?keywords=twin+duvet+covers+chevron+twin+duvet+cover&amp;qid=1695565342&amp;sr=8-5", "https://www.amazon.com/Nestl-Bedding-Duvet-Cover-Piece/dp/B01BI5PCJY/ref=sr_1_5?keywords=twin+duvet+covers+chevron+twin+duvet+cover&amp;qid=1695565342&amp;sr=8-5")</f>
        <v/>
      </c>
      <c r="F4883" t="inlineStr">
        <is>
          <t>B01BI5PCJY</t>
        </is>
      </c>
      <c r="H4883">
        <f>_xlfn.IMAGE("https://m.media-amazon.com/images/I/71nm-bAFpkL._AC_UL320_.jpg")</f>
        <v/>
      </c>
      <c r="K4883" t="inlineStr">
        <is>
          <t>161.99</t>
        </is>
      </c>
      <c r="L4883" t="n">
        <v>23.99</v>
      </c>
      <c r="M4883" s="1" t="inlineStr">
        <is>
          <t>-85.19%</t>
        </is>
      </c>
      <c r="N4883" t="n">
        <v>4.4</v>
      </c>
      <c r="O4883" t="n">
        <v>89410</v>
      </c>
      <c r="Q4883" t="inlineStr">
        <is>
          <t>InStock</t>
        </is>
      </c>
      <c r="R4883" t="inlineStr">
        <is>
          <t>214.99</t>
        </is>
      </c>
      <c r="S4883" t="inlineStr">
        <is>
          <t>1032887334</t>
        </is>
      </c>
    </row>
    <row r="4884" ht="75" customHeight="1">
      <c r="A4884" s="2">
        <f>HYPERLINK("https://www.cafepress.com/+cheveron_twin_duvet_cover,1032887334", "https://www.cafepress.com/+cheveron_twin_duvet_cover,1032887334")</f>
        <v/>
      </c>
      <c r="B4884" s="2">
        <f>HYPERLINK("https://www.cafepress.com/+cheveron_twin_duvet_cover,1032887334", "https://www.cafepress.com/+cheveron_twin_duvet_cover,1032887334")</f>
        <v/>
      </c>
      <c r="C4884" t="inlineStr">
        <is>
          <t>Twin Duvet Covers Cheveron Twin Duvet Cover</t>
        </is>
      </c>
      <c r="D4884" t="inlineStr">
        <is>
          <t>LAMEJOR Duvet Cover Set Twin Size Chevron Geometric Style Reversible Luxury Soft Bedding Set Comforter Cover(1 Duvet Cover+2 Pillowcases) Black/White</t>
        </is>
      </c>
      <c r="E4884" s="2">
        <f>HYPERLINK("https://www.amazon.com/LAMEJOR-Geometric-Reversible-Comforter-Pillowcases/dp/B089SPHV3D/ref=sr_1_2?keywords=twin+duvet+covers+chevron+twin+duvet+cover&amp;qid=1695565342&amp;sr=8-2", "https://www.amazon.com/LAMEJOR-Geometric-Reversible-Comforter-Pillowcases/dp/B089SPHV3D/ref=sr_1_2?keywords=twin+duvet+covers+chevron+twin+duvet+cover&amp;qid=1695565342&amp;sr=8-2")</f>
        <v/>
      </c>
      <c r="F4884" t="inlineStr">
        <is>
          <t>B089SPHV3D</t>
        </is>
      </c>
      <c r="H4884">
        <f>_xlfn.IMAGE("https://m.media-amazon.com/images/I/71EpDE7zv7L._AC_UL320_.jpg")</f>
        <v/>
      </c>
      <c r="K4884" t="inlineStr">
        <is>
          <t>161.99</t>
        </is>
      </c>
      <c r="L4884" t="n">
        <v>23.9</v>
      </c>
      <c r="M4884" s="1" t="inlineStr">
        <is>
          <t>-85.25%</t>
        </is>
      </c>
      <c r="N4884" t="n">
        <v>4.3</v>
      </c>
      <c r="O4884" t="n">
        <v>1183</v>
      </c>
      <c r="Q4884" t="inlineStr">
        <is>
          <t>InStock</t>
        </is>
      </c>
      <c r="R4884" t="inlineStr">
        <is>
          <t>214.99</t>
        </is>
      </c>
      <c r="S4884" t="inlineStr">
        <is>
          <t>1032887334</t>
        </is>
      </c>
    </row>
    <row r="4885" ht="75" customHeight="1">
      <c r="A4885" s="2">
        <f>HYPERLINK("https://www.cafepress.com/+cheveron_twin_duvet_cover,1032887334", "https://www.cafepress.com/+cheveron_twin_duvet_cover,1032887334")</f>
        <v/>
      </c>
      <c r="B4885" s="2">
        <f>HYPERLINK("https://www.cafepress.com/+cheveron_twin_duvet_cover,1032887334", "https://www.cafepress.com/+cheveron_twin_duvet_cover,1032887334")</f>
        <v/>
      </c>
      <c r="C4885" t="inlineStr">
        <is>
          <t>Twin Duvet Covers Cheveron Twin Duvet Cover</t>
        </is>
      </c>
      <c r="D4885" t="inlineStr">
        <is>
          <t>LAMEJOR Duvet Cover Set Twin Size Strawberry/Chevron Pattern Reversible Sweet Bedding Set Comforter Cover (1 Duvet Cover+2 Pillowcases) Pink</t>
        </is>
      </c>
      <c r="E4885" s="2">
        <f>HYPERLINK("https://www.amazon.com/LAMEJOR-Strawberry-Reversible-Comforter-Pillowcases/dp/B0784GP7VX/ref=sr_1_4?keywords=twin+duvet+covers+chevron+twin+duvet+cover&amp;qid=1695565342&amp;sr=8-4", "https://www.amazon.com/LAMEJOR-Strawberry-Reversible-Comforter-Pillowcases/dp/B0784GP7VX/ref=sr_1_4?keywords=twin+duvet+covers+chevron+twin+duvet+cover&amp;qid=1695565342&amp;sr=8-4")</f>
        <v/>
      </c>
      <c r="F4885" t="inlineStr">
        <is>
          <t>B0784GP7VX</t>
        </is>
      </c>
      <c r="H4885">
        <f>_xlfn.IMAGE("https://m.media-amazon.com/images/I/81xMG0N7hbL._AC_UL320_.jpg")</f>
        <v/>
      </c>
      <c r="K4885" t="inlineStr">
        <is>
          <t>161.99</t>
        </is>
      </c>
      <c r="L4885" t="n">
        <v>21.97</v>
      </c>
      <c r="M4885" s="1" t="inlineStr">
        <is>
          <t>-86.44%</t>
        </is>
      </c>
      <c r="N4885" t="n">
        <v>4.3</v>
      </c>
      <c r="O4885" t="n">
        <v>1694</v>
      </c>
      <c r="Q4885" t="inlineStr">
        <is>
          <t>InStock</t>
        </is>
      </c>
      <c r="R4885" t="inlineStr">
        <is>
          <t>214.99</t>
        </is>
      </c>
      <c r="S4885" t="inlineStr">
        <is>
          <t>1032887334</t>
        </is>
      </c>
    </row>
    <row r="4886" ht="75" customHeight="1">
      <c r="A4886" s="2">
        <f>HYPERLINK("https://www.cafepress.com/+cheveron_twin_duvet_cover,1032887334", "https://www.cafepress.com/+cheveron_twin_duvet_cover,1032887334")</f>
        <v/>
      </c>
      <c r="B4886" s="2">
        <f>HYPERLINK("https://www.cafepress.com/+cheveron_twin_duvet_cover,1032887334", "https://www.cafepress.com/+cheveron_twin_duvet_cover,1032887334")</f>
        <v/>
      </c>
      <c r="C4886" t="inlineStr">
        <is>
          <t>Twin Duvet Covers Cheveron Twin Duvet Cover</t>
        </is>
      </c>
      <c r="D4886" t="inlineStr">
        <is>
          <t>Bedsure Duvet Cover Twin Dorm Bedding - Botanical Duvet Cover Set with Zipper Closure, Grey Bedding Set, 2 Pieces, 1 Reversible Duvet Cover (68"x90") with 8 Corner Ties and 1 Pillow Sham (20"x26")</t>
        </is>
      </c>
      <c r="E4886" s="2">
        <f>HYPERLINK("https://www.amazon.com/Bedsure-Tree-Branch-Duvet-Cover/dp/B073DX4DLR/ref=sr_1_10?keywords=twin+duvet+covers+chevron+twin+duvet+cover&amp;qid=1695565342&amp;sr=8-10", "https://www.amazon.com/Bedsure-Tree-Branch-Duvet-Cover/dp/B073DX4DLR/ref=sr_1_10?keywords=twin+duvet+covers+chevron+twin+duvet+cover&amp;qid=1695565342&amp;sr=8-10")</f>
        <v/>
      </c>
      <c r="F4886" t="inlineStr">
        <is>
          <t>B073DX4DLR</t>
        </is>
      </c>
      <c r="H4886">
        <f>_xlfn.IMAGE("https://m.media-amazon.com/images/I/91NRLdrwrOL._AC_UL320_.jpg")</f>
        <v/>
      </c>
      <c r="K4886" t="inlineStr">
        <is>
          <t>161.99</t>
        </is>
      </c>
      <c r="L4886" t="n">
        <v>21.24</v>
      </c>
      <c r="M4886" s="1" t="inlineStr">
        <is>
          <t>-86.89%</t>
        </is>
      </c>
      <c r="N4886" t="n">
        <v>4.5</v>
      </c>
      <c r="O4886" t="n">
        <v>4532</v>
      </c>
      <c r="Q4886" t="inlineStr">
        <is>
          <t>InStock</t>
        </is>
      </c>
      <c r="R4886" t="inlineStr">
        <is>
          <t>214.99</t>
        </is>
      </c>
      <c r="S4886" t="inlineStr">
        <is>
          <t>1032887334</t>
        </is>
      </c>
    </row>
    <row r="4887" ht="75" customHeight="1">
      <c r="A4887" s="2">
        <f>HYPERLINK("https://www.cafepress.com/+eiffel_tower_grunge_twin_duvet_cover,1012198503", "https://www.cafepress.com/+eiffel_tower_grunge_twin_duvet_cover,1012198503")</f>
        <v/>
      </c>
      <c r="B4887" s="2">
        <f>HYPERLINK("https://www.cafepress.com/+eiffel_tower_grunge_twin_duvet_cover,1012198503", "https://www.cafepress.com/+eiffel_tower_grunge_twin_duvet_cover,1012198503")</f>
        <v/>
      </c>
      <c r="C4887" t="inlineStr">
        <is>
          <t>Eiffel Tower Grunge Twin Duvet Cover</t>
        </is>
      </c>
      <c r="D4887" t="inlineStr">
        <is>
          <t>Ambesonne Kiss Duvet Cover Set, Floral Pariss Landmarks Eiffel Tower Hot Air Balloon Bicycle Romantic Couple, Decorative 2 Piece Bedding Set with 1 Pillow Sham, Twin Size, Ivory Pink</t>
        </is>
      </c>
      <c r="E4887" s="2">
        <f>HYPERLINK("https://www.amazon.com/Ambesonne-Symbols-Landmarks-Romantic-Decorative/dp/B076MCPSHL/ref=sr_1_10?keywords=Eiffel+Tower+Grunge+Twin+Duvet+Cover&amp;qid=1695565325&amp;sr=8-10", "https://www.amazon.com/Ambesonne-Symbols-Landmarks-Romantic-Decorative/dp/B076MCPSHL/ref=sr_1_10?keywords=Eiffel+Tower+Grunge+Twin+Duvet+Cover&amp;qid=1695565325&amp;sr=8-10")</f>
        <v/>
      </c>
      <c r="F4887" t="inlineStr">
        <is>
          <t>B076MCPSHL</t>
        </is>
      </c>
      <c r="H4887">
        <f>_xlfn.IMAGE("https://m.media-amazon.com/images/I/81G7Hv7EDWL._AC_UL320_.jpg")</f>
        <v/>
      </c>
      <c r="K4887" t="inlineStr">
        <is>
          <t>161.99</t>
        </is>
      </c>
      <c r="L4887" t="n">
        <v>44.95</v>
      </c>
      <c r="M4887" s="1" t="inlineStr">
        <is>
          <t>-72.25%</t>
        </is>
      </c>
      <c r="N4887" t="n">
        <v>4.3</v>
      </c>
      <c r="O4887" t="n">
        <v>493</v>
      </c>
      <c r="Q4887" t="inlineStr">
        <is>
          <t>InStock</t>
        </is>
      </c>
      <c r="R4887" t="inlineStr">
        <is>
          <t>214.99</t>
        </is>
      </c>
      <c r="S4887" t="inlineStr">
        <is>
          <t>1012198503</t>
        </is>
      </c>
    </row>
    <row r="4888" ht="75" customHeight="1">
      <c r="A4888" s="2">
        <f>HYPERLINK("https://www.cafepress.com/+eiffel_tower_grunge_twin_duvet_cover,1012198503", "https://www.cafepress.com/+eiffel_tower_grunge_twin_duvet_cover,1012198503")</f>
        <v/>
      </c>
      <c r="B4888" s="2">
        <f>HYPERLINK("https://www.cafepress.com/+eiffel_tower_grunge_twin_duvet_cover,1012198503", "https://www.cafepress.com/+eiffel_tower_grunge_twin_duvet_cover,1012198503")</f>
        <v/>
      </c>
      <c r="C4888" t="inlineStr">
        <is>
          <t>Eiffel Tower Grunge Twin Duvet Cover</t>
        </is>
      </c>
      <c r="D4888" t="inlineStr">
        <is>
          <t>Feelyou Paris Comforter Cover Set Vintage Eiffel Tower Duvet Cover Set French Style Bedding Set 1 Duvet Cover + 1 Pillowcase Twin Size</t>
        </is>
      </c>
      <c r="E4888" s="2">
        <f>HYPERLINK("https://www.amazon.com/feelyou-Comforter-Cityscape-Breathable-Bedspread/dp/B08DK9H47S/ref=sr_1_3?keywords=Eiffel+Tower+Grunge+Twin+Duvet+Cover&amp;qid=1695565325&amp;sr=8-3", "https://www.amazon.com/feelyou-Comforter-Cityscape-Breathable-Bedspread/dp/B08DK9H47S/ref=sr_1_3?keywords=Eiffel+Tower+Grunge+Twin+Duvet+Cover&amp;qid=1695565325&amp;sr=8-3")</f>
        <v/>
      </c>
      <c r="F4888" t="inlineStr">
        <is>
          <t>B08DK9H47S</t>
        </is>
      </c>
      <c r="H4888">
        <f>_xlfn.IMAGE("https://m.media-amazon.com/images/I/81jJTZcOnlL._AC_UL320_.jpg")</f>
        <v/>
      </c>
      <c r="K4888" t="inlineStr">
        <is>
          <t>161.99</t>
        </is>
      </c>
      <c r="L4888" t="n">
        <v>35.99</v>
      </c>
      <c r="M4888" s="1" t="inlineStr">
        <is>
          <t>-77.78%</t>
        </is>
      </c>
      <c r="N4888" t="n">
        <v>4.1</v>
      </c>
      <c r="O4888" t="n">
        <v>145</v>
      </c>
      <c r="Q4888" t="inlineStr">
        <is>
          <t>InStock</t>
        </is>
      </c>
      <c r="R4888" t="inlineStr">
        <is>
          <t>214.99</t>
        </is>
      </c>
      <c r="S4888" t="inlineStr">
        <is>
          <t>1012198503</t>
        </is>
      </c>
    </row>
    <row r="4889" ht="75" customHeight="1">
      <c r="A4889" s="2">
        <f>HYPERLINK("https://www.cafepress.com/+eiffel_tower_grunge_twin_duvet_cover,1012198503", "https://www.cafepress.com/+eiffel_tower_grunge_twin_duvet_cover,1012198503")</f>
        <v/>
      </c>
      <c r="B4889" s="2">
        <f>HYPERLINK("https://www.cafepress.com/+eiffel_tower_grunge_twin_duvet_cover,1012198503", "https://www.cafepress.com/+eiffel_tower_grunge_twin_duvet_cover,1012198503")</f>
        <v/>
      </c>
      <c r="C4889" t="inlineStr">
        <is>
          <t>Eiffel Tower Grunge Twin Duvet Cover</t>
        </is>
      </c>
      <c r="D4889" t="inlineStr">
        <is>
          <t>Eiffel Tower Bedding Set Paris Tower Duvet Cover Set Twin Size French Style Comforter Cover,Kids Boys Girls Adult Women Grey Quilt Cover with 1 Pillow Shams, Eiffel Tower Decor Modern Bedding Soft</t>
        </is>
      </c>
      <c r="E4889" s="2">
        <f>HYPERLINK("https://www.amazon.com/Feelyou-Decorative-Microfiber-Polyester-Comforter/dp/B07RM4XVNS/ref=sr_1_1?keywords=Eiffel+Tower+Grunge+Twin+Duvet+Cover&amp;qid=1695565325&amp;sr=8-1", "https://www.amazon.com/Feelyou-Decorative-Microfiber-Polyester-Comforter/dp/B07RM4XVNS/ref=sr_1_1?keywords=Eiffel+Tower+Grunge+Twin+Duvet+Cover&amp;qid=1695565325&amp;sr=8-1")</f>
        <v/>
      </c>
      <c r="F4889" t="inlineStr">
        <is>
          <t>B07RM4XVNS</t>
        </is>
      </c>
      <c r="H4889">
        <f>_xlfn.IMAGE("https://m.media-amazon.com/images/I/81+in5oGGHL._AC_UL320_.jpg")</f>
        <v/>
      </c>
      <c r="K4889" t="inlineStr">
        <is>
          <t>161.99</t>
        </is>
      </c>
      <c r="L4889" t="n">
        <v>35.99</v>
      </c>
      <c r="M4889" s="1" t="inlineStr">
        <is>
          <t>-77.78%</t>
        </is>
      </c>
      <c r="N4889" t="n">
        <v>4.2</v>
      </c>
      <c r="O4889" t="n">
        <v>2886</v>
      </c>
      <c r="Q4889" t="inlineStr">
        <is>
          <t>InStock</t>
        </is>
      </c>
      <c r="R4889" t="inlineStr">
        <is>
          <t>214.99</t>
        </is>
      </c>
      <c r="S4889" t="inlineStr">
        <is>
          <t>1012198503</t>
        </is>
      </c>
    </row>
    <row r="4890" ht="75" customHeight="1">
      <c r="A4890" s="2">
        <f>HYPERLINK("https://www.cafepress.com/+eiffel_tower_grunge_twin_duvet_cover,1012198503", "https://www.cafepress.com/+eiffel_tower_grunge_twin_duvet_cover,1012198503")</f>
        <v/>
      </c>
      <c r="B4890" s="2">
        <f>HYPERLINK("https://www.cafepress.com/+eiffel_tower_grunge_twin_duvet_cover,1012198503", "https://www.cafepress.com/+eiffel_tower_grunge_twin_duvet_cover,1012198503")</f>
        <v/>
      </c>
      <c r="C4890" t="inlineStr">
        <is>
          <t>Eiffel Tower Grunge Twin Duvet Cover</t>
        </is>
      </c>
      <c r="D4890" t="inlineStr">
        <is>
          <t>Eiffel Tower Couple Duvet Cover Set Twin Size Romantic Theme Decor Adult Women Couple Bedding Set Paris Cityscape Printed Comforter Cover With Zipper Ties 2 Pieces Ultra Soft Simple Bedspread</t>
        </is>
      </c>
      <c r="E4890" s="2">
        <f>HYPERLINK("https://www.amazon.com/Romantic-Bedding-Cityscape-Comforter-Bedspread/dp/B083QTYK7V/ref=sr_1_2?keywords=Eiffel+Tower+Grunge+Twin+Duvet+Cover&amp;qid=1695565325&amp;sr=8-2", "https://www.amazon.com/Romantic-Bedding-Cityscape-Comforter-Bedspread/dp/B083QTYK7V/ref=sr_1_2?keywords=Eiffel+Tower+Grunge+Twin+Duvet+Cover&amp;qid=1695565325&amp;sr=8-2")</f>
        <v/>
      </c>
      <c r="F4890" t="inlineStr">
        <is>
          <t>B083QTYK7V</t>
        </is>
      </c>
      <c r="H4890">
        <f>_xlfn.IMAGE("https://m.media-amazon.com/images/I/811f4mb82OL._AC_UL320_.jpg")</f>
        <v/>
      </c>
      <c r="K4890" t="inlineStr">
        <is>
          <t>161.99</t>
        </is>
      </c>
      <c r="L4890" t="n">
        <v>35.99</v>
      </c>
      <c r="M4890" s="1" t="inlineStr">
        <is>
          <t>-77.78%</t>
        </is>
      </c>
      <c r="N4890" t="n">
        <v>4.2</v>
      </c>
      <c r="O4890" t="n">
        <v>1920</v>
      </c>
      <c r="Q4890" t="inlineStr">
        <is>
          <t>InStock</t>
        </is>
      </c>
      <c r="R4890" t="inlineStr">
        <is>
          <t>214.99</t>
        </is>
      </c>
      <c r="S4890" t="inlineStr">
        <is>
          <t>1012198503</t>
        </is>
      </c>
    </row>
    <row r="4891" ht="75" customHeight="1">
      <c r="A4891" s="2">
        <f>HYPERLINK("https://www.cafepress.com/+eiffel_tower_grunge_twin_duvet_cover,1012198503", "https://www.cafepress.com/+eiffel_tower_grunge_twin_duvet_cover,1012198503")</f>
        <v/>
      </c>
      <c r="B4891" s="2">
        <f>HYPERLINK("https://www.cafepress.com/+eiffel_tower_grunge_twin_duvet_cover,1012198503", "https://www.cafepress.com/+eiffel_tower_grunge_twin_duvet_cover,1012198503")</f>
        <v/>
      </c>
      <c r="C4891" t="inlineStr">
        <is>
          <t>Eiffel Tower Grunge Twin Duvet Cover</t>
        </is>
      </c>
      <c r="D4891" t="inlineStr">
        <is>
          <t>Eiffel Tower Duvet Cover Set Girls Chic Teal Paris Theme Bedding Set for Kids Teens Women Bedroom Decor Paris Cityscape Printed Comforter Cover Microfiber Modern French Style Bedspread Cover Twin</t>
        </is>
      </c>
      <c r="E4891" s="2">
        <f>HYPERLINK("https://www.amazon.com/Cityscape-Comforter-Microfiber-Bedspread-Twin/dp/B08NDXKTQL/ref=sr_1_4?keywords=Eiffel+Tower+Grunge+Twin+Duvet+Cover&amp;qid=1695565325&amp;sr=8-4", "https://www.amazon.com/Cityscape-Comforter-Microfiber-Bedspread-Twin/dp/B08NDXKTQL/ref=sr_1_4?keywords=Eiffel+Tower+Grunge+Twin+Duvet+Cover&amp;qid=1695565325&amp;sr=8-4")</f>
        <v/>
      </c>
      <c r="F4891" t="inlineStr">
        <is>
          <t>B08NDXKTQL</t>
        </is>
      </c>
      <c r="H4891">
        <f>_xlfn.IMAGE("https://m.media-amazon.com/images/I/71OtLYXKgZL._AC_UL320_.jpg")</f>
        <v/>
      </c>
      <c r="K4891" t="inlineStr">
        <is>
          <t>161.99</t>
        </is>
      </c>
      <c r="L4891" t="n">
        <v>35.99</v>
      </c>
      <c r="M4891" s="1" t="inlineStr">
        <is>
          <t>-77.78%</t>
        </is>
      </c>
      <c r="N4891" t="n">
        <v>4.2</v>
      </c>
      <c r="O4891" t="n">
        <v>1895</v>
      </c>
      <c r="Q4891" t="inlineStr">
        <is>
          <t>InStock</t>
        </is>
      </c>
      <c r="R4891" t="inlineStr">
        <is>
          <t>214.99</t>
        </is>
      </c>
      <c r="S4891" t="inlineStr">
        <is>
          <t>1012198503</t>
        </is>
      </c>
    </row>
    <row r="4892" ht="75" customHeight="1">
      <c r="A4892" s="2">
        <f>HYPERLINK("https://www.cafepress.com/+eiffel_tower_grunge_twin_duvet_cover,1012198503", "https://www.cafepress.com/+eiffel_tower_grunge_twin_duvet_cover,1012198503")</f>
        <v/>
      </c>
      <c r="B4892" s="2">
        <f>HYPERLINK("https://www.cafepress.com/+eiffel_tower_grunge_twin_duvet_cover,1012198503", "https://www.cafepress.com/+eiffel_tower_grunge_twin_duvet_cover,1012198503")</f>
        <v/>
      </c>
      <c r="C4892" t="inlineStr">
        <is>
          <t>Eiffel Tower Grunge Twin Duvet Cover</t>
        </is>
      </c>
      <c r="D4892" t="inlineStr">
        <is>
          <t>Feelyou Girls Teens Bedding Set Twin Paris Eiffel Tower Themed Duvet Cover Cityscape Comforter Cover Home Decorative Romantic Couple Kiss Bedspread Cover Pink Floral Ultra Soft Chic Zipper 2 Pcs</t>
        </is>
      </c>
      <c r="E4892" s="2">
        <f>HYPERLINK("https://www.amazon.com/Feelyou-Cityscape-Comforter-Decorative-Bedspread/dp/B0827R4S2T/ref=sr_1_6?keywords=Eiffel+Tower+Grunge+Twin+Duvet+Cover&amp;qid=1695565325&amp;sr=8-6", "https://www.amazon.com/Feelyou-Cityscape-Comforter-Decorative-Bedspread/dp/B0827R4S2T/ref=sr_1_6?keywords=Eiffel+Tower+Grunge+Twin+Duvet+Cover&amp;qid=1695565325&amp;sr=8-6")</f>
        <v/>
      </c>
      <c r="F4892" t="inlineStr">
        <is>
          <t>B0827R4S2T</t>
        </is>
      </c>
      <c r="H4892">
        <f>_xlfn.IMAGE("https://m.media-amazon.com/images/I/711eMb+ur1L._AC_UL320_.jpg")</f>
        <v/>
      </c>
      <c r="K4892" t="inlineStr">
        <is>
          <t>161.99</t>
        </is>
      </c>
      <c r="L4892" t="n">
        <v>35.99</v>
      </c>
      <c r="M4892" s="1" t="inlineStr">
        <is>
          <t>-77.78%</t>
        </is>
      </c>
      <c r="N4892" t="n">
        <v>4.4</v>
      </c>
      <c r="O4892" t="n">
        <v>291</v>
      </c>
      <c r="Q4892" t="inlineStr">
        <is>
          <t>InStock</t>
        </is>
      </c>
      <c r="R4892" t="inlineStr">
        <is>
          <t>214.99</t>
        </is>
      </c>
      <c r="S4892" t="inlineStr">
        <is>
          <t>1012198503</t>
        </is>
      </c>
    </row>
    <row r="4893" ht="75" customHeight="1">
      <c r="A4893" s="2">
        <f>HYPERLINK("https://www.cafepress.com/+eiffel_tower_grunge_twin_duvet_cover,1012198503", "https://www.cafepress.com/+eiffel_tower_grunge_twin_duvet_cover,1012198503")</f>
        <v/>
      </c>
      <c r="B4893" s="2">
        <f>HYPERLINK("https://www.cafepress.com/+eiffel_tower_grunge_twin_duvet_cover,1012198503", "https://www.cafepress.com/+eiffel_tower_grunge_twin_duvet_cover,1012198503")</f>
        <v/>
      </c>
      <c r="C4893" t="inlineStr">
        <is>
          <t>Eiffel Tower Grunge Twin Duvet Cover</t>
        </is>
      </c>
      <c r="D4893" t="inlineStr">
        <is>
          <t>Girls Teens Bedding Set Twin Paris Eiffel Tower Themed Couple Duvet Cover Cityscape Comforter Cover Home Decor Romantic Couple Floral Decor Bedspread Cover Pink Floral Ultra Soft Chic Zipper 2 Pcs</t>
        </is>
      </c>
      <c r="E4893" s="2">
        <f>HYPERLINK("https://www.amazon.com/Bedding-Cityscape-Comforter-Romantic-Bedspread/dp/B083QVR1DJ/ref=sr_1_7?keywords=Eiffel+Tower+Grunge+Twin+Duvet+Cover&amp;qid=1695565325&amp;sr=8-7", "https://www.amazon.com/Bedding-Cityscape-Comforter-Romantic-Bedspread/dp/B083QVR1DJ/ref=sr_1_7?keywords=Eiffel+Tower+Grunge+Twin+Duvet+Cover&amp;qid=1695565325&amp;sr=8-7")</f>
        <v/>
      </c>
      <c r="F4893" t="inlineStr">
        <is>
          <t>B083QVR1DJ</t>
        </is>
      </c>
      <c r="H4893">
        <f>_xlfn.IMAGE("https://m.media-amazon.com/images/I/71HNp-6K87L._AC_UL320_.jpg")</f>
        <v/>
      </c>
      <c r="K4893" t="inlineStr">
        <is>
          <t>161.99</t>
        </is>
      </c>
      <c r="L4893" t="n">
        <v>35.99</v>
      </c>
      <c r="M4893" s="1" t="inlineStr">
        <is>
          <t>-77.78%</t>
        </is>
      </c>
      <c r="N4893" t="n">
        <v>4.3</v>
      </c>
      <c r="O4893" t="n">
        <v>375</v>
      </c>
      <c r="Q4893" t="inlineStr">
        <is>
          <t>InStock</t>
        </is>
      </c>
      <c r="R4893" t="inlineStr">
        <is>
          <t>214.99</t>
        </is>
      </c>
      <c r="S4893" t="inlineStr">
        <is>
          <t>1012198503</t>
        </is>
      </c>
    </row>
    <row r="4894" ht="75" customHeight="1">
      <c r="A4894" s="2">
        <f>HYPERLINK("https://www.cafepress.com/+eiffel_tower_grunge_twin_duvet_cover,1012198503", "https://www.cafepress.com/+eiffel_tower_grunge_twin_duvet_cover,1012198503")</f>
        <v/>
      </c>
      <c r="B4894" s="2">
        <f>HYPERLINK("https://www.cafepress.com/+eiffel_tower_grunge_twin_duvet_cover,1012198503", "https://www.cafepress.com/+eiffel_tower_grunge_twin_duvet_cover,1012198503")</f>
        <v/>
      </c>
      <c r="C4894" t="inlineStr">
        <is>
          <t>Eiffel Tower Grunge Twin Duvet Cover</t>
        </is>
      </c>
      <c r="D4894" t="inlineStr">
        <is>
          <t>Feelyou Eiffel Tower Duvet Cover Set Twin for Kids Girls Cityscape Bedding Set Perfect Day Eiffel Tower Handwriting Sketch Paris Print Comforter Cover Black Blue World Famous City Decorative 2 Pcs</t>
        </is>
      </c>
      <c r="E4894" s="2">
        <f>HYPERLINK("https://www.amazon.com/Feelyou-Cityscape-Handwriting-Comforter-Decorative/dp/B0827QXBYN/ref=sr_1_8?keywords=Eiffel+Tower+Grunge+Twin+Duvet+Cover&amp;qid=1695565325&amp;sr=8-8", "https://www.amazon.com/Feelyou-Cityscape-Handwriting-Comforter-Decorative/dp/B0827QXBYN/ref=sr_1_8?keywords=Eiffel+Tower+Grunge+Twin+Duvet+Cover&amp;qid=1695565325&amp;sr=8-8")</f>
        <v/>
      </c>
      <c r="F4894" t="inlineStr">
        <is>
          <t>B0827QXBYN</t>
        </is>
      </c>
      <c r="H4894">
        <f>_xlfn.IMAGE("https://m.media-amazon.com/images/I/71q6+iRsjvL._AC_UL320_.jpg")</f>
        <v/>
      </c>
      <c r="K4894" t="inlineStr">
        <is>
          <t>161.99</t>
        </is>
      </c>
      <c r="L4894" t="n">
        <v>35.99</v>
      </c>
      <c r="M4894" s="1" t="inlineStr">
        <is>
          <t>-77.78%</t>
        </is>
      </c>
      <c r="N4894" t="n">
        <v>4.1</v>
      </c>
      <c r="O4894" t="n">
        <v>42</v>
      </c>
      <c r="Q4894" t="inlineStr">
        <is>
          <t>InStock</t>
        </is>
      </c>
      <c r="R4894" t="inlineStr">
        <is>
          <t>214.99</t>
        </is>
      </c>
      <c r="S4894" t="inlineStr">
        <is>
          <t>1012198503</t>
        </is>
      </c>
    </row>
    <row r="4895" ht="75" customHeight="1">
      <c r="A4895" s="2">
        <f>HYPERLINK("https://www.cafepress.com/+eiffel_tower_grunge_twin_duvet_cover,1012198503", "https://www.cafepress.com/+eiffel_tower_grunge_twin_duvet_cover,1012198503")</f>
        <v/>
      </c>
      <c r="B4895" s="2">
        <f>HYPERLINK("https://www.cafepress.com/+eiffel_tower_grunge_twin_duvet_cover,1012198503", "https://www.cafepress.com/+eiffel_tower_grunge_twin_duvet_cover,1012198503")</f>
        <v/>
      </c>
      <c r="C4895" t="inlineStr">
        <is>
          <t>Eiffel Tower Grunge Twin Duvet Cover</t>
        </is>
      </c>
      <c r="D4895" t="inlineStr">
        <is>
          <t>Feelyou Eiffel Tower Comforter Cover Set Twin Size Decorative Cityscape Bedding Set Cute Girls Teens Duvet Cover Paris Theme Famous City Scene Bedspread Cover with Zipper Closure Modern Soft</t>
        </is>
      </c>
      <c r="E4895" s="2">
        <f>HYPERLINK("https://www.amazon.com/Feelyou-Comforter-Decorative-Cityscape-Bedspread/dp/B084P7HMDT/ref=sr_1_9?keywords=Eiffel+Tower+Grunge+Twin+Duvet+Cover&amp;qid=1695565325&amp;sr=8-9", "https://www.amazon.com/Feelyou-Comforter-Decorative-Cityscape-Bedspread/dp/B084P7HMDT/ref=sr_1_9?keywords=Eiffel+Tower+Grunge+Twin+Duvet+Cover&amp;qid=1695565325&amp;sr=8-9")</f>
        <v/>
      </c>
      <c r="F4895" t="inlineStr">
        <is>
          <t>B084P7HMDT</t>
        </is>
      </c>
      <c r="H4895">
        <f>_xlfn.IMAGE("https://m.media-amazon.com/images/I/71TV6mSy33L._AC_UL320_.jpg")</f>
        <v/>
      </c>
      <c r="K4895" t="inlineStr">
        <is>
          <t>161.99</t>
        </is>
      </c>
      <c r="L4895" t="n">
        <v>35.99</v>
      </c>
      <c r="M4895" s="1" t="inlineStr">
        <is>
          <t>-77.78%</t>
        </is>
      </c>
      <c r="N4895" t="n">
        <v>4.2</v>
      </c>
      <c r="O4895" t="n">
        <v>1256</v>
      </c>
      <c r="Q4895" t="inlineStr">
        <is>
          <t>InStock</t>
        </is>
      </c>
      <c r="R4895" t="inlineStr">
        <is>
          <t>214.99</t>
        </is>
      </c>
      <c r="S4895" t="inlineStr">
        <is>
          <t>1012198503</t>
        </is>
      </c>
    </row>
    <row r="4896" ht="75" customHeight="1">
      <c r="A4896" s="2">
        <f>HYPERLINK("https://www.cafepress.com/+eiffel_tower_grunge_twin_duvet_cover,1012198503", "https://www.cafepress.com/+eiffel_tower_grunge_twin_duvet_cover,1012198503")</f>
        <v/>
      </c>
      <c r="B4896" s="2">
        <f>HYPERLINK("https://www.cafepress.com/+eiffel_tower_grunge_twin_duvet_cover,1012198503", "https://www.cafepress.com/+eiffel_tower_grunge_twin_duvet_cover,1012198503")</f>
        <v/>
      </c>
      <c r="C4896" t="inlineStr">
        <is>
          <t>Eiffel Tower Grunge Twin Duvet Cover</t>
        </is>
      </c>
      <c r="D4896" t="inlineStr">
        <is>
          <t>Erosebridal Eiffel Tower Duvet Cover Paris France Comforter Cover Cute Beard Cartoon Bedding Set Twin for Kids Boys Girls Children Soft Microfiber Lightweight Grey Check Bedspreads with 1 Pillow Case</t>
        </is>
      </c>
      <c r="E4896" s="2">
        <f>HYPERLINK("https://www.amazon.com/Erosebridal-Comforter-Microfiber-Lightweight-Bedspreads/dp/B08DHJN69H/ref=sr_1_5?keywords=Eiffel+Tower+Grunge+Twin+Duvet+Cover&amp;qid=1695565325&amp;sr=8-5", "https://www.amazon.com/Erosebridal-Comforter-Microfiber-Lightweight-Bedspreads/dp/B08DHJN69H/ref=sr_1_5?keywords=Eiffel+Tower+Grunge+Twin+Duvet+Cover&amp;qid=1695565325&amp;sr=8-5")</f>
        <v/>
      </c>
      <c r="F4896" t="inlineStr">
        <is>
          <t>B08DHJN69H</t>
        </is>
      </c>
      <c r="H4896">
        <f>_xlfn.IMAGE("https://m.media-amazon.com/images/I/611ziK1kdLL._AC_UL320_.jpg")</f>
        <v/>
      </c>
      <c r="K4896" t="inlineStr">
        <is>
          <t>161.99</t>
        </is>
      </c>
      <c r="L4896" t="n">
        <v>26.99</v>
      </c>
      <c r="M4896" s="1" t="inlineStr">
        <is>
          <t>-83.34%</t>
        </is>
      </c>
      <c r="N4896" t="n">
        <v>4</v>
      </c>
      <c r="O4896" t="n">
        <v>749</v>
      </c>
      <c r="Q4896" t="inlineStr">
        <is>
          <t>InStock</t>
        </is>
      </c>
      <c r="R4896" t="inlineStr">
        <is>
          <t>214.99</t>
        </is>
      </c>
      <c r="S4896" t="inlineStr">
        <is>
          <t>1012198503</t>
        </is>
      </c>
    </row>
    <row r="4897" ht="75" customHeight="1">
      <c r="A4897" s="2">
        <f>HYPERLINK("https://www.cafepress.com/+fall_colors_wall_clock,310299305", "https://www.cafepress.com/+fall_colors_wall_clock,310299305")</f>
        <v/>
      </c>
      <c r="B4897" s="2">
        <f>HYPERLINK("https://www.cafepress.com/+fall_colors_wall_clock,310299305", "https://www.cafepress.com/+fall_colors_wall_clock,310299305")</f>
        <v/>
      </c>
      <c r="C4897" t="inlineStr">
        <is>
          <t>Fall Colors Wall Clock</t>
        </is>
      </c>
      <c r="D4897" t="inlineStr">
        <is>
          <t>Naanle 3D Beautiful National Park Waterfall in Autumn Forest Print Round Wall Clock, 9.5 Inch Battery Operated Quartz Analog Quiet Desk Clock for Home,Office,School</t>
        </is>
      </c>
      <c r="E4897" s="2">
        <f>HYPERLINK("https://www.amazon.com/Naanle-Beautiful-National-Waterfall-Operated/dp/B07LBMWQYK/ref=sr_1_6?keywords=Fall+Colors+Wall+Clock&amp;qid=1695565313&amp;sr=8-6", "https://www.amazon.com/Naanle-Beautiful-National-Waterfall-Operated/dp/B07LBMWQYK/ref=sr_1_6?keywords=Fall+Colors+Wall+Clock&amp;qid=1695565313&amp;sr=8-6")</f>
        <v/>
      </c>
      <c r="F4897" t="inlineStr">
        <is>
          <t>B07LBMWQYK</t>
        </is>
      </c>
      <c r="H4897">
        <f>_xlfn.IMAGE("https://m.media-amazon.com/images/I/71m6UH7qKpL._AC_UL320_.jpg")</f>
        <v/>
      </c>
      <c r="K4897" t="inlineStr">
        <is>
          <t>39.99</t>
        </is>
      </c>
      <c r="L4897" t="n">
        <v>23.99</v>
      </c>
      <c r="M4897" s="1" t="inlineStr">
        <is>
          <t>-40.01%</t>
        </is>
      </c>
      <c r="N4897" t="n">
        <v>4.3</v>
      </c>
      <c r="O4897" t="n">
        <v>153</v>
      </c>
      <c r="Q4897" t="inlineStr">
        <is>
          <t>InStock</t>
        </is>
      </c>
      <c r="R4897" t="inlineStr">
        <is>
          <t>52.99</t>
        </is>
      </c>
      <c r="S4897" t="inlineStr">
        <is>
          <t>310299305</t>
        </is>
      </c>
    </row>
    <row r="4898" ht="75" customHeight="1">
      <c r="A4898" s="2">
        <f>HYPERLINK("https://www.cafepress.com/+fall_colors_wall_clock,310299305", "https://www.cafepress.com/+fall_colors_wall_clock,310299305")</f>
        <v/>
      </c>
      <c r="B4898" s="2">
        <f>HYPERLINK("https://www.cafepress.com/+fall_colors_wall_clock,310299305", "https://www.cafepress.com/+fall_colors_wall_clock,310299305")</f>
        <v/>
      </c>
      <c r="C4898" t="inlineStr">
        <is>
          <t>Fall Colors Wall Clock</t>
        </is>
      </c>
      <c r="D4898" t="inlineStr">
        <is>
          <t>Wamika Sunflower Maple Leaves Pumpkin Autumn Fall Flowers Wall Clock Silent Non Ticking Round Decorative,Happy Thanksgiving Day Harvest Give Thanks Clocks 10 Inch Battery Operated Quartz Home Decor</t>
        </is>
      </c>
      <c r="E4898" s="2" t="n"/>
      <c r="F4898" t="inlineStr">
        <is>
          <t>B07Y4GHVSZ</t>
        </is>
      </c>
      <c r="H4898">
        <f>_xlfn.IMAGE("https://m.media-amazon.com/images/I/71JHU2bSErL._AC_UL320_.jpg")</f>
        <v/>
      </c>
      <c r="K4898" t="inlineStr">
        <is>
          <t>39.99</t>
        </is>
      </c>
      <c r="L4898" t="n">
        <v>22.98</v>
      </c>
      <c r="M4898" s="1" t="inlineStr">
        <is>
          <t>-42.54%</t>
        </is>
      </c>
      <c r="N4898" t="n">
        <v>4.3</v>
      </c>
      <c r="O4898" t="n">
        <v>1030</v>
      </c>
      <c r="Q4898" t="inlineStr">
        <is>
          <t>InStock</t>
        </is>
      </c>
      <c r="R4898" t="inlineStr">
        <is>
          <t>52.99</t>
        </is>
      </c>
      <c r="S4898" t="inlineStr">
        <is>
          <t>310299305</t>
        </is>
      </c>
    </row>
    <row r="4899" ht="75" customHeight="1">
      <c r="A4899" s="2">
        <f>HYPERLINK("https://www.cafepress.com/+fall_colors_wall_clock,310299305", "https://www.cafepress.com/+fall_colors_wall_clock,310299305")</f>
        <v/>
      </c>
      <c r="B4899" s="2">
        <f>HYPERLINK("https://www.cafepress.com/+fall_colors_wall_clock,310299305", "https://www.cafepress.com/+fall_colors_wall_clock,310299305")</f>
        <v/>
      </c>
      <c r="C4899" t="inlineStr">
        <is>
          <t>Fall Colors Wall Clock</t>
        </is>
      </c>
      <c r="D4899" t="inlineStr">
        <is>
          <t>Autumn Harvest Pumpkin Wall Clock Fall Thanksgiving Round Clock Silent Non Ticking Decorative 9.5 Inch Battery Operated Quartz Analog Quiet Desk Clock for Kitchen,Home,Office,School</t>
        </is>
      </c>
      <c r="E4899" s="2">
        <f>HYPERLINK("https://www.amazon.com/Vdsrup-Harvest-Thanksgiving-Decorative-Operated/dp/B087RDPSVK/ref=sr_1_8?keywords=Fall+Colors+Wall+Clock&amp;qid=1695565313&amp;sr=8-8", "https://www.amazon.com/Vdsrup-Harvest-Thanksgiving-Decorative-Operated/dp/B087RDPSVK/ref=sr_1_8?keywords=Fall+Colors+Wall+Clock&amp;qid=1695565313&amp;sr=8-8")</f>
        <v/>
      </c>
      <c r="F4899" t="inlineStr">
        <is>
          <t>B087RDPSVK</t>
        </is>
      </c>
      <c r="H4899">
        <f>_xlfn.IMAGE("https://m.media-amazon.com/images/I/71e1xGFg4BL._AC_UL320_.jpg")</f>
        <v/>
      </c>
      <c r="K4899" t="inlineStr">
        <is>
          <t>39.99</t>
        </is>
      </c>
      <c r="L4899" t="n">
        <v>21.99</v>
      </c>
      <c r="M4899" s="1" t="inlineStr">
        <is>
          <t>-45.01%</t>
        </is>
      </c>
      <c r="N4899" t="n">
        <v>4</v>
      </c>
      <c r="O4899" t="n">
        <v>11</v>
      </c>
      <c r="Q4899" t="inlineStr">
        <is>
          <t>InStock</t>
        </is>
      </c>
      <c r="R4899" t="inlineStr">
        <is>
          <t>52.99</t>
        </is>
      </c>
      <c r="S4899" t="inlineStr">
        <is>
          <t>310299305</t>
        </is>
      </c>
    </row>
    <row r="4900" ht="75" customHeight="1">
      <c r="A4900" s="2">
        <f>HYPERLINK("https://www.cafepress.com/+fall_colors_wall_clock,310299305", "https://www.cafepress.com/+fall_colors_wall_clock,310299305")</f>
        <v/>
      </c>
      <c r="B4900" s="2">
        <f>HYPERLINK("https://www.cafepress.com/+fall_colors_wall_clock,310299305", "https://www.cafepress.com/+fall_colors_wall_clock,310299305")</f>
        <v/>
      </c>
      <c r="C4900" t="inlineStr">
        <is>
          <t>Fall Colors Wall Clock</t>
        </is>
      </c>
      <c r="D4900" t="inlineStr">
        <is>
          <t>Fall Pumpkin Maple Leaves Wall Clock Silent Non Ticking Autumn Rustic Decorations Kitchen Bed Bath Room Round Clocks 10 Inch Battery Operated Quartz Analog Quiet Desk Clock</t>
        </is>
      </c>
      <c r="E4900" s="2" t="n"/>
      <c r="F4900" t="inlineStr">
        <is>
          <t>B0CB3319KT</t>
        </is>
      </c>
      <c r="H4900">
        <f>_xlfn.IMAGE("https://m.media-amazon.com/images/I/71Mst43uk5L._AC_UL320_.jpg")</f>
        <v/>
      </c>
      <c r="K4900" t="inlineStr">
        <is>
          <t>39.99</t>
        </is>
      </c>
      <c r="L4900" t="n">
        <v>21.99</v>
      </c>
      <c r="M4900" s="1" t="inlineStr">
        <is>
          <t>-45.01%</t>
        </is>
      </c>
      <c r="N4900" t="n">
        <v>4.2</v>
      </c>
      <c r="O4900" t="n">
        <v>72</v>
      </c>
      <c r="Q4900" t="inlineStr">
        <is>
          <t>InStock</t>
        </is>
      </c>
      <c r="R4900" t="inlineStr">
        <is>
          <t>52.99</t>
        </is>
      </c>
      <c r="S4900" t="inlineStr">
        <is>
          <t>310299305</t>
        </is>
      </c>
    </row>
    <row r="4901" ht="75" customHeight="1">
      <c r="A4901" s="2">
        <f>HYPERLINK("https://www.cafepress.com/+fall_colors_wall_clock,310299305", "https://www.cafepress.com/+fall_colors_wall_clock,310299305")</f>
        <v/>
      </c>
      <c r="B4901" s="2">
        <f>HYPERLINK("https://www.cafepress.com/+fall_colors_wall_clock,310299305", "https://www.cafepress.com/+fall_colors_wall_clock,310299305")</f>
        <v/>
      </c>
      <c r="C4901" t="inlineStr">
        <is>
          <t>Fall Colors Wall Clock</t>
        </is>
      </c>
      <c r="D4901" t="inlineStr">
        <is>
          <t>Bright Fall Leaves Wall Clock Autumn Maple Tree Round Clock Silent Non Ticking Decorative 9.5 Inch Battery Operated Quartz Analog Quiet Desk Clock for Kitchen,Home,Office,School</t>
        </is>
      </c>
      <c r="E4901" s="2">
        <f>HYPERLINK("https://www.amazon.com/Vdsrup-Ticking-Decorative-Battery-Operated/dp/B088YMNJ9X/ref=sr_1_5?keywords=Fall+Colors+Wall+Clock&amp;qid=1695565313&amp;sr=8-5", "https://www.amazon.com/Vdsrup-Ticking-Decorative-Battery-Operated/dp/B088YMNJ9X/ref=sr_1_5?keywords=Fall+Colors+Wall+Clock&amp;qid=1695565313&amp;sr=8-5")</f>
        <v/>
      </c>
      <c r="F4901" t="inlineStr">
        <is>
          <t>B088YMNJ9X</t>
        </is>
      </c>
      <c r="H4901">
        <f>_xlfn.IMAGE("https://m.media-amazon.com/images/I/81ew2lpl4mL._AC_UL320_.jpg")</f>
        <v/>
      </c>
      <c r="K4901" t="inlineStr">
        <is>
          <t>39.99</t>
        </is>
      </c>
      <c r="L4901" t="n">
        <v>21.99</v>
      </c>
      <c r="M4901" s="1" t="inlineStr">
        <is>
          <t>-45.01%</t>
        </is>
      </c>
      <c r="N4901" t="n">
        <v>4.6</v>
      </c>
      <c r="O4901" t="n">
        <v>7</v>
      </c>
      <c r="Q4901" t="inlineStr">
        <is>
          <t>InStock</t>
        </is>
      </c>
      <c r="R4901" t="inlineStr">
        <is>
          <t>52.99</t>
        </is>
      </c>
      <c r="S4901" t="inlineStr">
        <is>
          <t>310299305</t>
        </is>
      </c>
    </row>
    <row r="4902" ht="75" customHeight="1">
      <c r="A4902" s="2">
        <f>HYPERLINK("https://www.cafepress.com/+fall_colors_wall_clock,310299305", "https://www.cafepress.com/+fall_colors_wall_clock,310299305")</f>
        <v/>
      </c>
      <c r="B4902" s="2">
        <f>HYPERLINK("https://www.cafepress.com/+fall_colors_wall_clock,310299305", "https://www.cafepress.com/+fall_colors_wall_clock,310299305")</f>
        <v/>
      </c>
      <c r="C4902" t="inlineStr">
        <is>
          <t>Fall Colors Wall Clock</t>
        </is>
      </c>
      <c r="D4902" t="inlineStr">
        <is>
          <t>Autumn Pumpkin Maple Lraf Wall Clock Silent Non Ticking Fall Harvest Clocks Battery Operated Vintage Desk Clock 10 Inch Quartz Analog Quiet Bedroom Living Room Home Decor</t>
        </is>
      </c>
      <c r="E4902" s="2">
        <f>HYPERLINK("https://www.amazon.com/Pumpkin-Ticking-Harvest-Battery-Operated/dp/B087M6WKHP/ref=sr_1_7?keywords=Fall+Colors+Wall+Clock&amp;qid=1695565313&amp;sr=8-7", "https://www.amazon.com/Pumpkin-Ticking-Harvest-Battery-Operated/dp/B087M6WKHP/ref=sr_1_7?keywords=Fall+Colors+Wall+Clock&amp;qid=1695565313&amp;sr=8-7")</f>
        <v/>
      </c>
      <c r="F4902" t="inlineStr">
        <is>
          <t>B087M6WKHP</t>
        </is>
      </c>
      <c r="H4902">
        <f>_xlfn.IMAGE("https://m.media-amazon.com/images/I/71yqiZ70GlL._AC_UL320_.jpg")</f>
        <v/>
      </c>
      <c r="K4902" t="inlineStr">
        <is>
          <t>39.99</t>
        </is>
      </c>
      <c r="L4902" t="n">
        <v>21.98</v>
      </c>
      <c r="M4902" s="1" t="inlineStr">
        <is>
          <t>-45.04%</t>
        </is>
      </c>
      <c r="N4902" t="n">
        <v>4.3</v>
      </c>
      <c r="O4902" t="n">
        <v>382</v>
      </c>
      <c r="Q4902" t="inlineStr">
        <is>
          <t>InStock</t>
        </is>
      </c>
      <c r="R4902" t="inlineStr">
        <is>
          <t>52.99</t>
        </is>
      </c>
      <c r="S4902" t="inlineStr">
        <is>
          <t>310299305</t>
        </is>
      </c>
    </row>
    <row r="4903" ht="75" customHeight="1">
      <c r="A4903" s="2">
        <f>HYPERLINK("https://www.cafepress.com/+fall_colors_wall_clock,310299305", "https://www.cafepress.com/+fall_colors_wall_clock,310299305")</f>
        <v/>
      </c>
      <c r="B4903" s="2">
        <f>HYPERLINK("https://www.cafepress.com/+fall_colors_wall_clock,310299305", "https://www.cafepress.com/+fall_colors_wall_clock,310299305")</f>
        <v/>
      </c>
      <c r="C4903" t="inlineStr">
        <is>
          <t>Fall Colors Wall Clock</t>
        </is>
      </c>
      <c r="D4903" t="inlineStr">
        <is>
          <t>Cat Fall in Love with Moon Round Wall Clock Silent Non Ticking Battery Operated 9.5 Inch for Student Office School Home Decorative Clock Art</t>
        </is>
      </c>
      <c r="E4903" s="2">
        <f>HYPERLINK("https://www.amazon.com/Dujiea-Ticking-Battery-Operated-Decorative/dp/B07YFY6W4F/ref=sr_1_10?keywords=Fall+Colors+Wall+Clock&amp;qid=1695565313&amp;sr=8-10", "https://www.amazon.com/Dujiea-Ticking-Battery-Operated-Decorative/dp/B07YFY6W4F/ref=sr_1_10?keywords=Fall+Colors+Wall+Clock&amp;qid=1695565313&amp;sr=8-10")</f>
        <v/>
      </c>
      <c r="F4903" t="inlineStr">
        <is>
          <t>B07YFY6W4F</t>
        </is>
      </c>
      <c r="H4903">
        <f>_xlfn.IMAGE("https://m.media-amazon.com/images/I/61r+MFytuAL._AC_UL320_.jpg")</f>
        <v/>
      </c>
      <c r="K4903" t="inlineStr">
        <is>
          <t>39.99</t>
        </is>
      </c>
      <c r="L4903" t="n">
        <v>18.99</v>
      </c>
      <c r="M4903" s="1" t="inlineStr">
        <is>
          <t>-52.51%</t>
        </is>
      </c>
      <c r="N4903" t="n">
        <v>4.1</v>
      </c>
      <c r="O4903" t="n">
        <v>309</v>
      </c>
      <c r="Q4903" t="inlineStr">
        <is>
          <t>InStock</t>
        </is>
      </c>
      <c r="R4903" t="inlineStr">
        <is>
          <t>52.99</t>
        </is>
      </c>
      <c r="S4903" t="inlineStr">
        <is>
          <t>310299305</t>
        </is>
      </c>
    </row>
    <row r="4904" ht="75" customHeight="1">
      <c r="A4904" s="2">
        <f>HYPERLINK("https://www.cafepress.com/+fall_colors_wall_clock,310299305", "https://www.cafepress.com/+fall_colors_wall_clock,310299305")</f>
        <v/>
      </c>
      <c r="B4904" s="2">
        <f>HYPERLINK("https://www.cafepress.com/+fall_colors_wall_clock,310299305", "https://www.cafepress.com/+fall_colors_wall_clock,310299305")</f>
        <v/>
      </c>
      <c r="C4904" t="inlineStr">
        <is>
          <t>Fall Colors Wall Clock</t>
        </is>
      </c>
      <c r="D4904" t="inlineStr">
        <is>
          <t>ArtSocket Wooden Wall Clock Silent Non-Ticking, Autumn Leaves Over Wooden Fall Red Vintage Square Rustic Coastal Wall Clocks Décor for Home Kitchen Living Room Office, Battery Operated(12 Inch)</t>
        </is>
      </c>
      <c r="E4904" s="2" t="n"/>
      <c r="F4904" t="inlineStr">
        <is>
          <t>B095PKFXKK</t>
        </is>
      </c>
      <c r="H4904">
        <f>_xlfn.IMAGE("https://m.media-amazon.com/images/I/81tdDOjTkRS._AC_UL320_.jpg")</f>
        <v/>
      </c>
      <c r="K4904" t="inlineStr">
        <is>
          <t>39.99</t>
        </is>
      </c>
      <c r="L4904" t="n">
        <v>17.99</v>
      </c>
      <c r="M4904" s="1" t="inlineStr">
        <is>
          <t>-55.01%</t>
        </is>
      </c>
      <c r="N4904" t="n">
        <v>4.3</v>
      </c>
      <c r="O4904" t="n">
        <v>552</v>
      </c>
      <c r="Q4904" t="inlineStr">
        <is>
          <t>InStock</t>
        </is>
      </c>
      <c r="R4904" t="inlineStr">
        <is>
          <t>52.99</t>
        </is>
      </c>
      <c r="S4904" t="inlineStr">
        <is>
          <t>310299305</t>
        </is>
      </c>
    </row>
    <row r="4905" ht="75" customHeight="1">
      <c r="A4905" s="2">
        <f>HYPERLINK("https://www.cafepress.com/+fall_leaves_tote_bag,208949045", "https://www.cafepress.com/+fall_leaves_tote_bag,208949045")</f>
        <v/>
      </c>
      <c r="B4905" s="2">
        <f>HYPERLINK("https://www.cafepress.com/+fall_leaves_tote_bag,208949045", "https://www.cafepress.com/+fall_leaves_tote_bag,208949045")</f>
        <v/>
      </c>
      <c r="C4905" t="inlineStr">
        <is>
          <t>Canvas Tote Bags Fall Leaves Tote Bag</t>
        </is>
      </c>
      <c r="D4905" t="inlineStr">
        <is>
          <t>Autumn Maple Leaves Extra Large Grocery Bag Fall Forest Reusable Canvas Tote Bag Casual Beach Shopping Tote Heavy Duty Washable Shoulder Bags Handbag with Handle</t>
        </is>
      </c>
      <c r="E4905" s="2">
        <f>HYPERLINK("https://www.amazon.com/Constellation-Reusable-Shopping-Washable-Shoulder/dp/B07XQ6M5F8/ref=sr_1_3?keywords=Canvas+Tote+Bags+Fall+Leaves+Tote+Bag&amp;qid=1695565316&amp;sr=8-3", "https://www.amazon.com/Constellation-Reusable-Shopping-Washable-Shoulder/dp/B07XQ6M5F8/ref=sr_1_3?keywords=Canvas+Tote+Bags+Fall+Leaves+Tote+Bag&amp;qid=1695565316&amp;sr=8-3")</f>
        <v/>
      </c>
      <c r="F4905" t="inlineStr">
        <is>
          <t>B07XQ6M5F8</t>
        </is>
      </c>
      <c r="H4905">
        <f>_xlfn.IMAGE("https://m.media-amazon.com/images/I/61bSHGWgy2L._AC_UL320_.jpg")</f>
        <v/>
      </c>
      <c r="K4905" t="inlineStr">
        <is>
          <t>12.99</t>
        </is>
      </c>
      <c r="L4905" t="n">
        <v>15.98</v>
      </c>
      <c r="M4905" s="1" t="inlineStr">
        <is>
          <t>23.02%</t>
        </is>
      </c>
      <c r="N4905" t="n">
        <v>4.7</v>
      </c>
      <c r="O4905" t="n">
        <v>641</v>
      </c>
      <c r="Q4905" t="inlineStr">
        <is>
          <t>undefined</t>
        </is>
      </c>
      <c r="R4905" t="inlineStr">
        <is>
          <t>18.99</t>
        </is>
      </c>
      <c r="S4905" t="inlineStr">
        <is>
          <t>208949045</t>
        </is>
      </c>
    </row>
    <row r="4906" ht="75" customHeight="1">
      <c r="A4906" s="2">
        <f>HYPERLINK("https://www.cafepress.com/+frozen_mousepad,1680199922", "https://www.cafepress.com/+frozen_mousepad,1680199922")</f>
        <v/>
      </c>
      <c r="B4906" s="2">
        <f>HYPERLINK("https://www.cafepress.com/+frozen_mousepad,1680199922", "https://www.cafepress.com/+frozen_mousepad,1680199922")</f>
        <v/>
      </c>
      <c r="C4906" t="inlineStr">
        <is>
          <t>Mouse Pads FROZEN Mousepad</t>
        </is>
      </c>
      <c r="D4906" t="inlineStr">
        <is>
          <t>JNKPOAI Disney Mouse Pad.Frozen Animation Mouse Pad.Anna and Esha Printed Mouse Pads.Lovely Olaf Mousepad. (quadratus, Frozen)</t>
        </is>
      </c>
      <c r="E4906" s="2">
        <f>HYPERLINK("https://www.amazon.com/JNKPOAI-Pad-Frozen-Animation-Pads-Lovely-Mousepad/dp/B08HGPHJ63/ref=sr_1_1?keywords=Mouse+Pads+FROZEN+Mousepad&amp;qid=1695565300&amp;sr=8-1", "https://www.amazon.com/JNKPOAI-Pad-Frozen-Animation-Pads-Lovely-Mousepad/dp/B08HGPHJ63/ref=sr_1_1?keywords=Mouse+Pads+FROZEN+Mousepad&amp;qid=1695565300&amp;sr=8-1")</f>
        <v/>
      </c>
      <c r="F4906" t="inlineStr">
        <is>
          <t>B08HGPHJ63</t>
        </is>
      </c>
      <c r="H4906">
        <f>_xlfn.IMAGE("https://m.media-amazon.com/images/I/81MzEtcLA3L._AC_UL320_.jpg")</f>
        <v/>
      </c>
      <c r="K4906" t="inlineStr">
        <is>
          <t>6.99</t>
        </is>
      </c>
      <c r="L4906" t="n">
        <v>9.99</v>
      </c>
      <c r="M4906" s="1" t="inlineStr">
        <is>
          <t>42.92%</t>
        </is>
      </c>
      <c r="N4906" t="n">
        <v>4.6</v>
      </c>
      <c r="O4906" t="n">
        <v>76</v>
      </c>
      <c r="Q4906" t="inlineStr">
        <is>
          <t>InStock</t>
        </is>
      </c>
      <c r="R4906" t="inlineStr">
        <is>
          <t>9.99</t>
        </is>
      </c>
      <c r="S4906" t="inlineStr">
        <is>
          <t>1680199922</t>
        </is>
      </c>
    </row>
    <row r="4907" ht="75" customHeight="1">
      <c r="A4907" s="2">
        <f>HYPERLINK("https://www.cafepress.com/+frozen_mousepad,1680199922", "https://www.cafepress.com/+frozen_mousepad,1680199922")</f>
        <v/>
      </c>
      <c r="B4907" s="2">
        <f>HYPERLINK("https://www.cafepress.com/+frozen_mousepad,1680199922", "https://www.cafepress.com/+frozen_mousepad,1680199922")</f>
        <v/>
      </c>
      <c r="C4907" t="inlineStr">
        <is>
          <t>Mouse Pads FROZEN Mousepad</t>
        </is>
      </c>
      <c r="D4907" t="inlineStr">
        <is>
          <t>YTMYAN Gmaing Mouse Pad Series Anti-Slip Rectangle Mouse Mat for Office Computer Mousepads, Medium, Disney Castle</t>
        </is>
      </c>
      <c r="E4907" s="2">
        <f>HYPERLINK("https://www.amazon.com/Disney-Anti-Slip-Rectangle-Computer-Mousepads/dp/B091SNTTV4/ref=sr_1_9?keywords=Mouse+Pads+FROZEN+Mousepad&amp;qid=1695565300&amp;sr=8-9", "https://www.amazon.com/Disney-Anti-Slip-Rectangle-Computer-Mousepads/dp/B091SNTTV4/ref=sr_1_9?keywords=Mouse+Pads+FROZEN+Mousepad&amp;qid=1695565300&amp;sr=8-9")</f>
        <v/>
      </c>
      <c r="F4907" t="inlineStr">
        <is>
          <t>B091SNTTV4</t>
        </is>
      </c>
      <c r="H4907">
        <f>_xlfn.IMAGE("https://m.media-amazon.com/images/I/71F1uwTxlAL._AC_UL320_.jpg")</f>
        <v/>
      </c>
      <c r="K4907" t="inlineStr">
        <is>
          <t>6.99</t>
        </is>
      </c>
      <c r="L4907" t="n">
        <v>9.99</v>
      </c>
      <c r="M4907" s="1" t="inlineStr">
        <is>
          <t>42.92%</t>
        </is>
      </c>
      <c r="N4907" t="n">
        <v>4.6</v>
      </c>
      <c r="O4907" t="n">
        <v>141</v>
      </c>
      <c r="Q4907" t="inlineStr">
        <is>
          <t>InStock</t>
        </is>
      </c>
      <c r="R4907" t="inlineStr">
        <is>
          <t>9.99</t>
        </is>
      </c>
      <c r="S4907" t="inlineStr">
        <is>
          <t>1680199922</t>
        </is>
      </c>
    </row>
    <row r="4908" ht="75" customHeight="1">
      <c r="A4908" s="2">
        <f>HYPERLINK("https://www.cafepress.com/+frozen_mousepad,1680199922", "https://www.cafepress.com/+frozen_mousepad,1680199922")</f>
        <v/>
      </c>
      <c r="B4908" s="2">
        <f>HYPERLINK("https://www.cafepress.com/+frozen_mousepad,1680199922", "https://www.cafepress.com/+frozen_mousepad,1680199922")</f>
        <v/>
      </c>
      <c r="C4908" t="inlineStr">
        <is>
          <t>Mouse Pads FROZEN Mousepad</t>
        </is>
      </c>
      <c r="D4908" t="inlineStr">
        <is>
          <t>JNKPOAI All Kinds of Mouse Pads Disney Animation Mouse Pad Office Anti-Slip Game Mouse Pad Frozen Mouse Pad (Frozen)</t>
        </is>
      </c>
      <c r="E4908" s="2">
        <f>HYPERLINK("https://www.amazon.com/JNKPOAI-Disney-Animation-Office-Anti-Slip/dp/B08KRVJDMX/ref=sr_1_5?keywords=Mouse+Pads+FROZEN+Mousepad&amp;qid=1695565300&amp;sr=8-5", "https://www.amazon.com/JNKPOAI-Disney-Animation-Office-Anti-Slip/dp/B08KRVJDMX/ref=sr_1_5?keywords=Mouse+Pads+FROZEN+Mousepad&amp;qid=1695565300&amp;sr=8-5")</f>
        <v/>
      </c>
      <c r="F4908" t="inlineStr">
        <is>
          <t>B08KRVJDMX</t>
        </is>
      </c>
      <c r="H4908">
        <f>_xlfn.IMAGE("https://m.media-amazon.com/images/I/81hzd2n80iL._AC_UL320_.jpg")</f>
        <v/>
      </c>
      <c r="K4908" t="inlineStr">
        <is>
          <t>6.99</t>
        </is>
      </c>
      <c r="L4908" t="n">
        <v>9.99</v>
      </c>
      <c r="M4908" s="1" t="inlineStr">
        <is>
          <t>42.92%</t>
        </is>
      </c>
      <c r="N4908" t="n">
        <v>4.8</v>
      </c>
      <c r="O4908" t="n">
        <v>8</v>
      </c>
      <c r="Q4908" t="inlineStr">
        <is>
          <t>InStock</t>
        </is>
      </c>
      <c r="R4908" t="inlineStr">
        <is>
          <t>9.99</t>
        </is>
      </c>
      <c r="S4908" t="inlineStr">
        <is>
          <t>1680199922</t>
        </is>
      </c>
    </row>
    <row r="4909" ht="75" customHeight="1">
      <c r="A4909" s="2">
        <f>HYPERLINK("https://www.cafepress.com/+frozen_mousepad,1680199922", "https://www.cafepress.com/+frozen_mousepad,1680199922")</f>
        <v/>
      </c>
      <c r="B4909" s="2">
        <f>HYPERLINK("https://www.cafepress.com/+frozen_mousepad,1680199922", "https://www.cafepress.com/+frozen_mousepad,1680199922")</f>
        <v/>
      </c>
      <c r="C4909" t="inlineStr">
        <is>
          <t>Mouse Pads FROZEN Mousepad</t>
        </is>
      </c>
      <c r="D4909" t="inlineStr">
        <is>
          <t>Mouse Pad Square Winter Landscape Snowy Fields Frozen, Non-Slip Rubber Base Mousepad Cute Mousemat for Laptop Computer PC Office Home</t>
        </is>
      </c>
      <c r="E4909" s="2">
        <f>HYPERLINK("https://www.amazon.com/Landscape-Non-Slip-Mousepad-Mousemat-Computer/dp/B0946HVH4F/ref=sr_1_8?keywords=Mouse+Pads+FROZEN+Mousepad&amp;qid=1695565300&amp;sr=8-8", "https://www.amazon.com/Landscape-Non-Slip-Mousepad-Mousemat-Computer/dp/B0946HVH4F/ref=sr_1_8?keywords=Mouse+Pads+FROZEN+Mousepad&amp;qid=1695565300&amp;sr=8-8")</f>
        <v/>
      </c>
      <c r="F4909" t="inlineStr">
        <is>
          <t>B0946HVH4F</t>
        </is>
      </c>
      <c r="H4909">
        <f>_xlfn.IMAGE("https://m.media-amazon.com/images/I/71xpMxhvbSS._AC_UL320_.jpg")</f>
        <v/>
      </c>
      <c r="K4909" t="inlineStr">
        <is>
          <t>6.99</t>
        </is>
      </c>
      <c r="L4909" t="n">
        <v>8.99</v>
      </c>
      <c r="M4909" s="1" t="inlineStr">
        <is>
          <t>28.61%</t>
        </is>
      </c>
      <c r="N4909" t="n">
        <v>4.5</v>
      </c>
      <c r="O4909" t="n">
        <v>22</v>
      </c>
      <c r="Q4909" t="inlineStr">
        <is>
          <t>InStock</t>
        </is>
      </c>
      <c r="R4909" t="inlineStr">
        <is>
          <t>9.99</t>
        </is>
      </c>
      <c r="S4909" t="inlineStr">
        <is>
          <t>1680199922</t>
        </is>
      </c>
    </row>
    <row r="4910" ht="75" customHeight="1">
      <c r="A4910" s="2">
        <f>HYPERLINK("https://www.cafepress.com/+frozen_mousepad,1680199922", "https://www.cafepress.com/+frozen_mousepad,1680199922")</f>
        <v/>
      </c>
      <c r="B4910" s="2">
        <f>HYPERLINK("https://www.cafepress.com/+frozen_mousepad,1680199922", "https://www.cafepress.com/+frozen_mousepad,1680199922")</f>
        <v/>
      </c>
      <c r="C4910" t="inlineStr">
        <is>
          <t>Mouse Pads FROZEN Mousepad</t>
        </is>
      </c>
      <c r="D4910" t="inlineStr">
        <is>
          <t>Shuangyi Colorful Bubbles Mousepad Anti-Slip Round Mouse Pads Mouse Pad Mat Mice Mousepad Desktop Mouse pad Laptop Mouse pad Gaming Mouse pad</t>
        </is>
      </c>
      <c r="E4910" s="2">
        <f>HYPERLINK("https://www.amazon.com/Shuangyi-Colorful-Bubbles-Mousepad-Anti-Slip/dp/B088DQM3Q6/ref=sr_1_7?keywords=Mouse+Pads+FROZEN+Mousepad&amp;qid=1695565300&amp;sr=8-7", "https://www.amazon.com/Shuangyi-Colorful-Bubbles-Mousepad-Anti-Slip/dp/B088DQM3Q6/ref=sr_1_7?keywords=Mouse+Pads+FROZEN+Mousepad&amp;qid=1695565300&amp;sr=8-7")</f>
        <v/>
      </c>
      <c r="F4910" t="inlineStr">
        <is>
          <t>B088DQM3Q6</t>
        </is>
      </c>
      <c r="H4910">
        <f>_xlfn.IMAGE("https://m.media-amazon.com/images/I/718b2acr0LL._AC_UL320_.jpg")</f>
        <v/>
      </c>
      <c r="K4910" t="inlineStr">
        <is>
          <t>6.99</t>
        </is>
      </c>
      <c r="L4910" t="n">
        <v>7.99</v>
      </c>
      <c r="M4910" s="1" t="inlineStr">
        <is>
          <t>14.31%</t>
        </is>
      </c>
      <c r="N4910" t="n">
        <v>4.7</v>
      </c>
      <c r="O4910" t="n">
        <v>71</v>
      </c>
      <c r="Q4910" t="inlineStr">
        <is>
          <t>InStock</t>
        </is>
      </c>
      <c r="R4910" t="inlineStr">
        <is>
          <t>9.99</t>
        </is>
      </c>
      <c r="S4910" t="inlineStr">
        <is>
          <t>1680199922</t>
        </is>
      </c>
    </row>
    <row r="4911" ht="75" customHeight="1">
      <c r="A4911" s="2">
        <f>HYPERLINK("https://www.cafepress.com/+gobble_gobble_funny_thanksgiving_tu_round_ornament,1677341826", "https://www.cafepress.com/+gobble_gobble_funny_thanksgiving_tu_round_ornament,1677341826")</f>
        <v/>
      </c>
      <c r="B4911" s="2">
        <f>HYPERLINK("https://www.cafepress.com/+gobble_gobble_funny_thanksgiving_tu_round_ornament,1677341826", "https://www.cafepress.com/+gobble_gobble_funny_thanksgiving_tu_round_ornament,1677341826")</f>
        <v/>
      </c>
      <c r="C4911" t="inlineStr">
        <is>
          <t>Gobble Gobble Funny Thanksgiving Tu Round Ornament</t>
        </is>
      </c>
      <c r="D4911" t="inlineStr">
        <is>
          <t>REWIDPARTY Fall Thanksgiving Tree Ornaments Gobble Till You Wobble Thanksgiving Home Office Tree Decorations Sign Round Plaque Gifts for Turkey 3" Circle Ceramic Ornament with Gold Ribbon &amp; Gift Box</t>
        </is>
      </c>
      <c r="E4911" s="2">
        <f>HYPERLINK("https://www.amazon.com/REWIDPARTY-Thanksgiving-Ornaments-Decorations-Ornament/dp/B0BGHPWDML/ref=sr_1_1?keywords=Gobble+Gobble+Funny+Thanksgiving+Tu+Round+Ornament&amp;qid=1695565300&amp;sr=8-1", "https://www.amazon.com/REWIDPARTY-Thanksgiving-Ornaments-Decorations-Ornament/dp/B0BGHPWDML/ref=sr_1_1?keywords=Gobble+Gobble+Funny+Thanksgiving+Tu+Round+Ornament&amp;qid=1695565300&amp;sr=8-1")</f>
        <v/>
      </c>
      <c r="F4911" t="inlineStr">
        <is>
          <t>B0BGHPWDML</t>
        </is>
      </c>
      <c r="H4911">
        <f>_xlfn.IMAGE("https://m.media-amazon.com/images/I/61y5mo-KNTL._AC_UL320_.jpg")</f>
        <v/>
      </c>
      <c r="K4911" t="inlineStr">
        <is>
          <t>12.99</t>
        </is>
      </c>
      <c r="L4911" t="n">
        <v>11.99</v>
      </c>
      <c r="M4911" s="1" t="inlineStr">
        <is>
          <t>-7.70%</t>
        </is>
      </c>
      <c r="N4911" t="n">
        <v>5</v>
      </c>
      <c r="O4911" t="n">
        <v>7</v>
      </c>
      <c r="Q4911" t="inlineStr">
        <is>
          <t>InStock</t>
        </is>
      </c>
      <c r="R4911" t="inlineStr">
        <is>
          <t>19.99</t>
        </is>
      </c>
      <c r="S4911" t="inlineStr">
        <is>
          <t>1677341826</t>
        </is>
      </c>
    </row>
    <row r="4912" ht="75" customHeight="1">
      <c r="A4912" s="2">
        <f>HYPERLINK("https://www.cafepress.com/+gobble_gobble_funny_thanksgiving_tu_round_ornament,1677341826", "https://www.cafepress.com/+gobble_gobble_funny_thanksgiving_tu_round_ornament,1677341826")</f>
        <v/>
      </c>
      <c r="B4912" s="2">
        <f>HYPERLINK("https://www.cafepress.com/+gobble_gobble_funny_thanksgiving_tu_round_ornament,1677341826", "https://www.cafepress.com/+gobble_gobble_funny_thanksgiving_tu_round_ornament,1677341826")</f>
        <v/>
      </c>
      <c r="C4912" t="inlineStr">
        <is>
          <t>Gobble Gobble Funny Thanksgiving Tu Round Ornament</t>
        </is>
      </c>
      <c r="D4912" t="inlineStr">
        <is>
          <t>8 Pcs Felt Thanksgiving Tree Ornaments Gobble Give Thanks Fall Turkey Door Decor with Rope Autumn Felt Turkey Hanging Decorations for Harvest Theme Party Supplies</t>
        </is>
      </c>
      <c r="E4912" s="2">
        <f>HYPERLINK("https://www.amazon.com/Thanksgiving-Ornaments-Hanging-Decorations-Supplies/dp/B0B6YSR4Z2/ref=sr_1_3?keywords=Gobble+Gobble+Funny+Thanksgiving+Tu+Round+Ornament&amp;qid=1695565300&amp;sr=8-3", "https://www.amazon.com/Thanksgiving-Ornaments-Hanging-Decorations-Supplies/dp/B0B6YSR4Z2/ref=sr_1_3?keywords=Gobble+Gobble+Funny+Thanksgiving+Tu+Round+Ornament&amp;qid=1695565300&amp;sr=8-3")</f>
        <v/>
      </c>
      <c r="F4912" t="inlineStr">
        <is>
          <t>B0B6YSR4Z2</t>
        </is>
      </c>
      <c r="H4912">
        <f>_xlfn.IMAGE("https://m.media-amazon.com/images/I/814DPW4bOXL._AC_UL320_.jpg")</f>
        <v/>
      </c>
      <c r="K4912" t="inlineStr">
        <is>
          <t>12.99</t>
        </is>
      </c>
      <c r="L4912" t="n">
        <v>9.49</v>
      </c>
      <c r="M4912" s="1" t="inlineStr">
        <is>
          <t>-26.94%</t>
        </is>
      </c>
      <c r="N4912" t="n">
        <v>4.4</v>
      </c>
      <c r="O4912" t="n">
        <v>8</v>
      </c>
      <c r="Q4912" t="inlineStr">
        <is>
          <t>InStock</t>
        </is>
      </c>
      <c r="R4912" t="inlineStr">
        <is>
          <t>19.99</t>
        </is>
      </c>
      <c r="S4912" t="inlineStr">
        <is>
          <t>1677341826</t>
        </is>
      </c>
    </row>
    <row r="4913" ht="75" customHeight="1">
      <c r="A4913" s="2">
        <f>HYPERLINK("https://www.cafepress.com/+gobble_gobble_funny_thanksgiving_tu_round_ornament,1677341826", "https://www.cafepress.com/+gobble_gobble_funny_thanksgiving_tu_round_ornament,1677341826")</f>
        <v/>
      </c>
      <c r="B4913" s="2">
        <f>HYPERLINK("https://www.cafepress.com/+gobble_gobble_funny_thanksgiving_tu_round_ornament,1677341826", "https://www.cafepress.com/+gobble_gobble_funny_thanksgiving_tu_round_ornament,1677341826")</f>
        <v/>
      </c>
      <c r="C4913" t="inlineStr">
        <is>
          <t>Gobble Gobble Funny Thanksgiving Tu Round Ornament</t>
        </is>
      </c>
      <c r="D4913" t="inlineStr">
        <is>
          <t>WaaHome Thanksgiving Gifts for Family Friends Women, 3'' Thanksgiving Gobble Turkey Christmas Ornaments for Thanksgiving Christmas Tree Decorations</t>
        </is>
      </c>
      <c r="E4913" s="2">
        <f>HYPERLINK("https://www.amazon.com/WaaHome-Thanksgiving-Christmas-Ornaments-Decorations/dp/B08LBH95PB/ref=sr_1_2?keywords=Gobble+Gobble+Funny+Thanksgiving+Tu+Round+Ornament&amp;qid=1695565300&amp;sr=8-2", "https://www.amazon.com/WaaHome-Thanksgiving-Christmas-Ornaments-Decorations/dp/B08LBH95PB/ref=sr_1_2?keywords=Gobble+Gobble+Funny+Thanksgiving+Tu+Round+Ornament&amp;qid=1695565300&amp;sr=8-2")</f>
        <v/>
      </c>
      <c r="F4913" t="inlineStr">
        <is>
          <t>B08LBH95PB</t>
        </is>
      </c>
      <c r="H4913">
        <f>_xlfn.IMAGE("https://m.media-amazon.com/images/I/61JnyTsQHnL._AC_UL320_.jpg")</f>
        <v/>
      </c>
      <c r="K4913" t="inlineStr">
        <is>
          <t>12.99</t>
        </is>
      </c>
      <c r="L4913" t="n">
        <v>4.99</v>
      </c>
      <c r="M4913" s="1" t="inlineStr">
        <is>
          <t>-61.59%</t>
        </is>
      </c>
      <c r="N4913" t="n">
        <v>4.3</v>
      </c>
      <c r="O4913" t="n">
        <v>40</v>
      </c>
      <c r="Q4913" t="inlineStr">
        <is>
          <t>InStock</t>
        </is>
      </c>
      <c r="R4913" t="inlineStr">
        <is>
          <t>19.99</t>
        </is>
      </c>
      <c r="S4913" t="inlineStr">
        <is>
          <t>1677341826</t>
        </is>
      </c>
    </row>
    <row r="4914" ht="75" customHeight="1">
      <c r="A4914" s="2">
        <f>HYPERLINK("https://www.cafepress.com/+halloween_fun_yard_sign,178263610", "https://www.cafepress.com/+halloween_fun_yard_sign,178263610")</f>
        <v/>
      </c>
      <c r="B4914" s="2">
        <f>HYPERLINK("https://www.cafepress.com/+halloween_fun_yard_sign,178263610", "https://www.cafepress.com/+halloween_fun_yard_sign,178263610")</f>
        <v/>
      </c>
      <c r="C4914" t="inlineStr">
        <is>
          <t>Halloween Fun Yard Sign</t>
        </is>
      </c>
      <c r="D4914" t="inlineStr">
        <is>
          <t>Glitzhome 24"H Set of 3 Halloween Decorations Outdoor Yard Stakes,Metal Ghost Witch Pumpkin Yard Sign or Hanging Decor,Halloween Lawn Decoration Family Friendly Trick or Treat Fun Party Decor</t>
        </is>
      </c>
      <c r="E4914" s="2">
        <f>HYPERLINK("https://www.amazon.com/Glitzhome-Halloween-Decorations-Decoration-Friendly/dp/B0CBMJL1W6/ref=sr_1_5?keywords=Halloween+Fun+Yard+Sign&amp;qid=1695565300&amp;sr=8-5", "https://www.amazon.com/Glitzhome-Halloween-Decorations-Decoration-Friendly/dp/B0CBMJL1W6/ref=sr_1_5?keywords=Halloween+Fun+Yard+Sign&amp;qid=1695565300&amp;sr=8-5")</f>
        <v/>
      </c>
      <c r="F4914" t="inlineStr">
        <is>
          <t>B0CBMJL1W6</t>
        </is>
      </c>
      <c r="H4914">
        <f>_xlfn.IMAGE("https://m.media-amazon.com/images/I/71Uw1ToUolL._AC_UL320_.jpg")</f>
        <v/>
      </c>
      <c r="K4914" t="inlineStr">
        <is>
          <t>19.99</t>
        </is>
      </c>
      <c r="L4914" t="n">
        <v>27.99</v>
      </c>
      <c r="M4914" s="1" t="inlineStr">
        <is>
          <t>40.02%</t>
        </is>
      </c>
      <c r="N4914" t="n">
        <v>5</v>
      </c>
      <c r="O4914" t="n">
        <v>1</v>
      </c>
      <c r="Q4914" t="inlineStr">
        <is>
          <t>InStock</t>
        </is>
      </c>
      <c r="R4914" t="inlineStr">
        <is>
          <t>29.99</t>
        </is>
      </c>
      <c r="S4914" t="inlineStr">
        <is>
          <t>178263610</t>
        </is>
      </c>
    </row>
    <row r="4915" ht="75" customHeight="1">
      <c r="A4915" s="2">
        <f>HYPERLINK("https://www.cafepress.com/+halloween_fun_yard_sign,178263610", "https://www.cafepress.com/+halloween_fun_yard_sign,178263610")</f>
        <v/>
      </c>
      <c r="B4915" s="2">
        <f>HYPERLINK("https://www.cafepress.com/+halloween_fun_yard_sign,178263610", "https://www.cafepress.com/+halloween_fun_yard_sign,178263610")</f>
        <v/>
      </c>
      <c r="C4915" t="inlineStr">
        <is>
          <t>Halloween Fun Yard Sign</t>
        </is>
      </c>
      <c r="D4915" t="inlineStr">
        <is>
          <t>FUN LITTLE TOYS 6 Packs Halloween Yard Signs Reflective Black Cat Halloween Decor Outdoor Halloween Yard Decorations for Garden Backyard Patio</t>
        </is>
      </c>
      <c r="E4915" s="2">
        <f>HYPERLINK("https://www.amazon.com/FUN-LITTLE-TOYS-Reflective-Decorations/dp/B0B17S44L9/ref=sr_1_3?keywords=Halloween+Fun+Yard+Sign&amp;qid=1695565300&amp;sr=8-3", "https://www.amazon.com/FUN-LITTLE-TOYS-Reflective-Decorations/dp/B0B17S44L9/ref=sr_1_3?keywords=Halloween+Fun+Yard+Sign&amp;qid=1695565300&amp;sr=8-3")</f>
        <v/>
      </c>
      <c r="F4915" t="inlineStr">
        <is>
          <t>B0B17S44L9</t>
        </is>
      </c>
      <c r="H4915">
        <f>_xlfn.IMAGE("https://m.media-amazon.com/images/I/81+77kANtBL._AC_UL320_.jpg")</f>
        <v/>
      </c>
      <c r="K4915" t="inlineStr">
        <is>
          <t>19.99</t>
        </is>
      </c>
      <c r="L4915" t="n">
        <v>20.99</v>
      </c>
      <c r="M4915" s="1" t="inlineStr">
        <is>
          <t>5.00%</t>
        </is>
      </c>
      <c r="N4915" t="n">
        <v>3.8</v>
      </c>
      <c r="O4915" t="n">
        <v>10</v>
      </c>
      <c r="Q4915" t="inlineStr">
        <is>
          <t>InStock</t>
        </is>
      </c>
      <c r="R4915" t="inlineStr">
        <is>
          <t>29.99</t>
        </is>
      </c>
      <c r="S4915" t="inlineStr">
        <is>
          <t>178263610</t>
        </is>
      </c>
    </row>
    <row r="4916" ht="75" customHeight="1">
      <c r="A4916" s="2">
        <f>HYPERLINK("https://www.cafepress.com/+halloween_fun_yard_sign,178263610", "https://www.cafepress.com/+halloween_fun_yard_sign,178263610")</f>
        <v/>
      </c>
      <c r="B4916" s="2">
        <f>HYPERLINK("https://www.cafepress.com/+halloween_fun_yard_sign,178263610", "https://www.cafepress.com/+halloween_fun_yard_sign,178263610")</f>
        <v/>
      </c>
      <c r="C4916" t="inlineStr">
        <is>
          <t>Halloween Fun Yard Sign</t>
        </is>
      </c>
      <c r="D4916" t="inlineStr">
        <is>
          <t>Sfozstra Halloween Outdoor Yard Signs, Boo Pumpkins Ghost Signs, Yard Lawn Decorations, Halloween Props, Halloween Decorations, Outdoor Lawn Decorations, Yard Decorations</t>
        </is>
      </c>
      <c r="E4916" s="2">
        <f>HYPERLINK("https://www.amazon.com/Sfozstra-Halloween-Outdoor-Pumpkins-Decorations/dp/B099F3PWXM/ref=sr_1_8?keywords=Halloween+Fun+Yard+Sign&amp;qid=1695565300&amp;sr=8-8", "https://www.amazon.com/Sfozstra-Halloween-Outdoor-Pumpkins-Decorations/dp/B099F3PWXM/ref=sr_1_8?keywords=Halloween+Fun+Yard+Sign&amp;qid=1695565300&amp;sr=8-8")</f>
        <v/>
      </c>
      <c r="F4916" t="inlineStr">
        <is>
          <t>B099F3PWXM</t>
        </is>
      </c>
      <c r="H4916">
        <f>_xlfn.IMAGE("https://m.media-amazon.com/images/I/61oj4lLJL+L._AC_UL320_.jpg")</f>
        <v/>
      </c>
      <c r="K4916" t="inlineStr">
        <is>
          <t>19.99</t>
        </is>
      </c>
      <c r="L4916" t="n">
        <v>19.99</v>
      </c>
      <c r="M4916" s="1" t="inlineStr">
        <is>
          <t>0.00%</t>
        </is>
      </c>
      <c r="N4916" t="n">
        <v>4.2</v>
      </c>
      <c r="O4916" t="n">
        <v>126</v>
      </c>
      <c r="Q4916" t="inlineStr">
        <is>
          <t>InStock</t>
        </is>
      </c>
      <c r="R4916" t="inlineStr">
        <is>
          <t>29.99</t>
        </is>
      </c>
      <c r="S4916" t="inlineStr">
        <is>
          <t>178263610</t>
        </is>
      </c>
    </row>
    <row r="4917" ht="75" customHeight="1">
      <c r="A4917" s="2">
        <f>HYPERLINK("https://www.cafepress.com/+halloween_fun_yard_sign,178263610", "https://www.cafepress.com/+halloween_fun_yard_sign,178263610")</f>
        <v/>
      </c>
      <c r="B4917" s="2">
        <f>HYPERLINK("https://www.cafepress.com/+halloween_fun_yard_sign,178263610", "https://www.cafepress.com/+halloween_fun_yard_sign,178263610")</f>
        <v/>
      </c>
      <c r="C4917" t="inlineStr">
        <is>
          <t>Halloween Fun Yard Sign</t>
        </is>
      </c>
      <c r="D4917" t="inlineStr">
        <is>
          <t>JOYIN 2 Sets Halloween Decorations Outdoor Yard Metal Lawn Stake Signs, Pumpkin Ghost Home Decor, Trick or Treat Props, Homeschooling Fun Party Favor</t>
        </is>
      </c>
      <c r="E4917" s="2">
        <f>HYPERLINK("https://www.amazon.com/JOYIN-Stacked-Halloween-Decorations-Homeschooling/dp/B08CVRPVSG/ref=sr_1_1?keywords=Halloween+Fun+Yard+Sign&amp;qid=1695565300&amp;sr=8-1", "https://www.amazon.com/JOYIN-Stacked-Halloween-Decorations-Homeschooling/dp/B08CVRPVSG/ref=sr_1_1?keywords=Halloween+Fun+Yard+Sign&amp;qid=1695565300&amp;sr=8-1")</f>
        <v/>
      </c>
      <c r="F4917" t="inlineStr">
        <is>
          <t>B08CVRPVSG</t>
        </is>
      </c>
      <c r="H4917">
        <f>_xlfn.IMAGE("https://m.media-amazon.com/images/I/81RBg0KLfhL._AC_UL320_.jpg")</f>
        <v/>
      </c>
      <c r="K4917" t="inlineStr">
        <is>
          <t>19.99</t>
        </is>
      </c>
      <c r="L4917" t="n">
        <v>17.99</v>
      </c>
      <c r="M4917" s="1" t="inlineStr">
        <is>
          <t>-10.01%</t>
        </is>
      </c>
      <c r="N4917" t="n">
        <v>3.8</v>
      </c>
      <c r="O4917" t="n">
        <v>864</v>
      </c>
      <c r="Q4917" t="inlineStr">
        <is>
          <t>InStock</t>
        </is>
      </c>
      <c r="R4917" t="inlineStr">
        <is>
          <t>29.99</t>
        </is>
      </c>
      <c r="S4917" t="inlineStr">
        <is>
          <t>178263610</t>
        </is>
      </c>
    </row>
    <row r="4918" ht="75" customHeight="1">
      <c r="A4918" s="2">
        <f>HYPERLINK("https://www.cafepress.com/+halloween_fun_yard_sign,178263610", "https://www.cafepress.com/+halloween_fun_yard_sign,178263610")</f>
        <v/>
      </c>
      <c r="B4918" s="2">
        <f>HYPERLINK("https://www.cafepress.com/+halloween_fun_yard_sign,178263610", "https://www.cafepress.com/+halloween_fun_yard_sign,178263610")</f>
        <v/>
      </c>
      <c r="C4918" t="inlineStr">
        <is>
          <t>Halloween Fun Yard Sign</t>
        </is>
      </c>
      <c r="D4918" t="inlineStr">
        <is>
          <t>Halloween Decorations Outdoor 9 Pack Yard Signs，Large Pumpkin Ghost Corrugate Yard Stakes Signs for Halloween Lawn Decoration Family Friendly Trick or Treat Party Plastic Decor</t>
        </is>
      </c>
      <c r="E4918" s="2">
        <f>HYPERLINK("https://www.amazon.com/Woochic-Halloween-Decorations-Signs%EF%BC%8CLarge-Decoration/dp/B08CVSY5Y6/ref=sr_1_7?keywords=Halloween+Fun+Yard+Sign&amp;qid=1695565300&amp;sr=8-7", "https://www.amazon.com/Woochic-Halloween-Decorations-Signs%EF%BC%8CLarge-Decoration/dp/B08CVSY5Y6/ref=sr_1_7?keywords=Halloween+Fun+Yard+Sign&amp;qid=1695565300&amp;sr=8-7")</f>
        <v/>
      </c>
      <c r="F4918" t="inlineStr">
        <is>
          <t>B08CVSY5Y6</t>
        </is>
      </c>
      <c r="H4918">
        <f>_xlfn.IMAGE("https://m.media-amazon.com/images/I/81t5ISjs9ZL._AC_UL320_.jpg")</f>
        <v/>
      </c>
      <c r="K4918" t="inlineStr">
        <is>
          <t>19.99</t>
        </is>
      </c>
      <c r="L4918" t="n">
        <v>16.99</v>
      </c>
      <c r="M4918" s="1" t="inlineStr">
        <is>
          <t>-15.01%</t>
        </is>
      </c>
      <c r="N4918" t="n">
        <v>4.4</v>
      </c>
      <c r="O4918" t="n">
        <v>707</v>
      </c>
      <c r="Q4918" t="inlineStr">
        <is>
          <t>InStock</t>
        </is>
      </c>
      <c r="R4918" t="inlineStr">
        <is>
          <t>29.99</t>
        </is>
      </c>
      <c r="S4918" t="inlineStr">
        <is>
          <t>178263610</t>
        </is>
      </c>
    </row>
    <row r="4919" ht="75" customHeight="1">
      <c r="A4919" s="2">
        <f>HYPERLINK("https://www.cafepress.com/+halloween_fun_yard_sign,178263610", "https://www.cafepress.com/+halloween_fun_yard_sign,178263610")</f>
        <v/>
      </c>
      <c r="B4919" s="2">
        <f>HYPERLINK("https://www.cafepress.com/+halloween_fun_yard_sign,178263610", "https://www.cafepress.com/+halloween_fun_yard_sign,178263610")</f>
        <v/>
      </c>
      <c r="C4919" t="inlineStr">
        <is>
          <t>Halloween Fun Yard Sign</t>
        </is>
      </c>
      <c r="D4919" t="inlineStr">
        <is>
          <t>Halloween Decorations Outdoor Cute, Extra Large 8ct Ghost Pumpkins Witch Hat Boo Yard Signs with Stakes, Family Kids Friendly Trick or Treat Party Decor, Plastic Fall Decorations Outside</t>
        </is>
      </c>
      <c r="E4919" s="2">
        <f>HYPERLINK("https://www.amazon.com/Pawliss-Halloween-Decorations-Pumpkins-Corrugate/dp/B094Y2R47F/ref=sr_1_6?keywords=Halloween+Fun+Yard+Sign&amp;qid=1695565300&amp;sr=8-6", "https://www.amazon.com/Pawliss-Halloween-Decorations-Pumpkins-Corrugate/dp/B094Y2R47F/ref=sr_1_6?keywords=Halloween+Fun+Yard+Sign&amp;qid=1695565300&amp;sr=8-6")</f>
        <v/>
      </c>
      <c r="F4919" t="inlineStr">
        <is>
          <t>B094Y2R47F</t>
        </is>
      </c>
      <c r="H4919">
        <f>_xlfn.IMAGE("https://m.media-amazon.com/images/I/71PO7BKSmZL._AC_UL320_.jpg")</f>
        <v/>
      </c>
      <c r="K4919" t="inlineStr">
        <is>
          <t>19.99</t>
        </is>
      </c>
      <c r="L4919" t="n">
        <v>16.99</v>
      </c>
      <c r="M4919" s="1" t="inlineStr">
        <is>
          <t>-15.01%</t>
        </is>
      </c>
      <c r="N4919" t="n">
        <v>4.6</v>
      </c>
      <c r="O4919" t="n">
        <v>1387</v>
      </c>
      <c r="Q4919" t="inlineStr">
        <is>
          <t>InStock</t>
        </is>
      </c>
      <c r="R4919" t="inlineStr">
        <is>
          <t>29.99</t>
        </is>
      </c>
      <c r="S4919" t="inlineStr">
        <is>
          <t>178263610</t>
        </is>
      </c>
    </row>
    <row r="4920" ht="75" customHeight="1">
      <c r="A4920" s="2">
        <f>HYPERLINK("https://www.cafepress.com/+halloween_fun_yard_sign,178263610", "https://www.cafepress.com/+halloween_fun_yard_sign,178263610")</f>
        <v/>
      </c>
      <c r="B4920" s="2">
        <f>HYPERLINK("https://www.cafepress.com/+halloween_fun_yard_sign,178263610", "https://www.cafepress.com/+halloween_fun_yard_sign,178263610")</f>
        <v/>
      </c>
      <c r="C4920" t="inlineStr">
        <is>
          <t>Halloween Fun Yard Sign</t>
        </is>
      </c>
      <c r="D4920" t="inlineStr">
        <is>
          <t>Halloween Yard Sign Outdoor Lawn Decor Boo Halloween Trick or Treat Yard Sign Halloween Lawn Decorations with Stakes for Halloween Decorations Outdoor</t>
        </is>
      </c>
      <c r="E4920" s="2">
        <f>HYPERLINK("https://www.amazon.com/Halloween-Outdoor-Decor-Decorations-Stakes/dp/B095YTS4ML/ref=sr_1_4?keywords=Halloween+Fun+Yard+Sign&amp;qid=1695565300&amp;sr=8-4", "https://www.amazon.com/Halloween-Outdoor-Decor-Decorations-Stakes/dp/B095YTS4ML/ref=sr_1_4?keywords=Halloween+Fun+Yard+Sign&amp;qid=1695565300&amp;sr=8-4")</f>
        <v/>
      </c>
      <c r="F4920" t="inlineStr">
        <is>
          <t>B095YTS4ML</t>
        </is>
      </c>
      <c r="H4920">
        <f>_xlfn.IMAGE("https://m.media-amazon.com/images/I/91PlZ6yh8RS._AC_UL320_.jpg")</f>
        <v/>
      </c>
      <c r="K4920" t="inlineStr">
        <is>
          <t>19.99</t>
        </is>
      </c>
      <c r="L4920" t="n">
        <v>13.99</v>
      </c>
      <c r="M4920" s="1" t="inlineStr">
        <is>
          <t>-30.02%</t>
        </is>
      </c>
      <c r="N4920" t="n">
        <v>4</v>
      </c>
      <c r="O4920" t="n">
        <v>18</v>
      </c>
      <c r="Q4920" t="inlineStr">
        <is>
          <t>InStock</t>
        </is>
      </c>
      <c r="R4920" t="inlineStr">
        <is>
          <t>29.99</t>
        </is>
      </c>
      <c r="S4920" t="inlineStr">
        <is>
          <t>178263610</t>
        </is>
      </c>
    </row>
    <row r="4921" ht="75" customHeight="1">
      <c r="A4921" s="2">
        <f>HYPERLINK("https://www.cafepress.com/+halloween_fun_yard_sign,178263610", "https://www.cafepress.com/+halloween_fun_yard_sign,178263610")</f>
        <v/>
      </c>
      <c r="B4921" s="2">
        <f>HYPERLINK("https://www.cafepress.com/+halloween_fun_yard_sign,178263610", "https://www.cafepress.com/+halloween_fun_yard_sign,178263610")</f>
        <v/>
      </c>
      <c r="C4921" t="inlineStr">
        <is>
          <t>Halloween Fun Yard Sign</t>
        </is>
      </c>
      <c r="D4921" t="inlineStr">
        <is>
          <t>34in Halloween Yard Signs Garden Stakes for Halloween Outdoor Decorations, 2Pcs Large 3-tiered Halloween Pumpkin Ghost Yard Sign for Trick-or-Treat Halloween Party Lawn Decorations</t>
        </is>
      </c>
      <c r="E4921" s="2">
        <f>HYPERLINK("https://www.amazon.com/GameXcel-Vertical-Halloween-Decorations-Outdoor-2PCS/dp/B099YTR2BK/ref=sr_1_9?keywords=Halloween+Fun+Yard+Sign&amp;qid=1695565300&amp;sr=8-9", "https://www.amazon.com/GameXcel-Vertical-Halloween-Decorations-Outdoor-2PCS/dp/B099YTR2BK/ref=sr_1_9?keywords=Halloween+Fun+Yard+Sign&amp;qid=1695565300&amp;sr=8-9")</f>
        <v/>
      </c>
      <c r="F4921" t="inlineStr">
        <is>
          <t>B099YTR2BK</t>
        </is>
      </c>
      <c r="H4921">
        <f>_xlfn.IMAGE("https://m.media-amazon.com/images/I/71q3FnF1YCL._AC_UL320_.jpg")</f>
        <v/>
      </c>
      <c r="K4921" t="inlineStr">
        <is>
          <t>19.99</t>
        </is>
      </c>
      <c r="L4921" t="n">
        <v>13.97</v>
      </c>
      <c r="M4921" s="1" t="inlineStr">
        <is>
          <t>-30.12%</t>
        </is>
      </c>
      <c r="N4921" t="n">
        <v>4</v>
      </c>
      <c r="O4921" t="n">
        <v>117</v>
      </c>
      <c r="Q4921" t="inlineStr">
        <is>
          <t>InStock</t>
        </is>
      </c>
      <c r="R4921" t="inlineStr">
        <is>
          <t>29.99</t>
        </is>
      </c>
      <c r="S4921" t="inlineStr">
        <is>
          <t>178263610</t>
        </is>
      </c>
    </row>
    <row r="4922" ht="75" customHeight="1">
      <c r="A4922" s="2">
        <f>HYPERLINK("https://www.cafepress.com/+halloween_fun_yard_sign,178263610", "https://www.cafepress.com/+halloween_fun_yard_sign,178263610")</f>
        <v/>
      </c>
      <c r="B4922" s="2">
        <f>HYPERLINK("https://www.cafepress.com/+halloween_fun_yard_sign,178263610", "https://www.cafepress.com/+halloween_fun_yard_sign,178263610")</f>
        <v/>
      </c>
      <c r="C4922" t="inlineStr">
        <is>
          <t>Halloween Fun Yard Sign</t>
        </is>
      </c>
      <c r="D4922" t="inlineStr">
        <is>
          <t>Ivenf Halloween Decorations Outdoor, 3ct Black Cat Halloween Decor Yard Signs with Stakes, Fun Silly Cat Silhouette, Corrugated Plastic, Outside Lawn Decorations for Kids Family Home Office Party</t>
        </is>
      </c>
      <c r="E4922" s="2">
        <f>HYPERLINK("https://www.amazon.com/Ivenf-Halloween-Decorations-Silhouette-Corrugated/dp/B0BFH5WGB7/ref=sr_1_2?keywords=Halloween+Fun+Yard+Sign&amp;qid=1695565300&amp;sr=8-2", "https://www.amazon.com/Ivenf-Halloween-Decorations-Silhouette-Corrugated/dp/B0BFH5WGB7/ref=sr_1_2?keywords=Halloween+Fun+Yard+Sign&amp;qid=1695565300&amp;sr=8-2")</f>
        <v/>
      </c>
      <c r="F4922" t="inlineStr">
        <is>
          <t>B0BFH5WGB7</t>
        </is>
      </c>
      <c r="H4922">
        <f>_xlfn.IMAGE("https://m.media-amazon.com/images/I/71u+xKq98SL._AC_UL320_.jpg")</f>
        <v/>
      </c>
      <c r="K4922" t="inlineStr">
        <is>
          <t>19.99</t>
        </is>
      </c>
      <c r="L4922" t="n">
        <v>9.99</v>
      </c>
      <c r="M4922" s="1" t="inlineStr">
        <is>
          <t>-50.03%</t>
        </is>
      </c>
      <c r="N4922" t="n">
        <v>4.2</v>
      </c>
      <c r="O4922" t="n">
        <v>8</v>
      </c>
      <c r="Q4922" t="inlineStr">
        <is>
          <t>InStock</t>
        </is>
      </c>
      <c r="R4922" t="inlineStr">
        <is>
          <t>29.99</t>
        </is>
      </c>
      <c r="S4922" t="inlineStr">
        <is>
          <t>178263610</t>
        </is>
      </c>
    </row>
    <row r="4923" ht="75" customHeight="1">
      <c r="A4923" s="2">
        <f>HYPERLINK("https://www.cafepress.com/+happy_fall_tote_bag,13738156", "https://www.cafepress.com/+happy_fall_tote_bag,13738156")</f>
        <v/>
      </c>
      <c r="B4923" s="2">
        <f>HYPERLINK("https://www.cafepress.com/+happy_fall_tote_bag,13738156", "https://www.cafepress.com/+happy_fall_tote_bag,13738156")</f>
        <v/>
      </c>
      <c r="C4923" t="inlineStr">
        <is>
          <t>Canvas Tote Bags Happy Fall Tote Bag</t>
        </is>
      </c>
      <c r="D4923" t="inlineStr">
        <is>
          <t>CROWNED BEAUTY Fall Canvas Tote Bag with Zipper Pocket Personalized Gift for Women, Pumpkins Beach Bag CT52</t>
        </is>
      </c>
      <c r="E4923" s="2">
        <f>HYPERLINK("https://www.amazon.com/CROWNED-BEAUTY-Personalized-Pumpkins-CT52/dp/B0C7C9RR2T/ref=sr_1_4?keywords=Canvas+Tote+Bags+Happy+Fall+Tote+Bag&amp;qid=1695565337&amp;sr=8-4", "https://www.amazon.com/CROWNED-BEAUTY-Personalized-Pumpkins-CT52/dp/B0C7C9RR2T/ref=sr_1_4?keywords=Canvas+Tote+Bags+Happy+Fall+Tote+Bag&amp;qid=1695565337&amp;sr=8-4")</f>
        <v/>
      </c>
      <c r="F4923" t="inlineStr">
        <is>
          <t>B0C7C9RR2T</t>
        </is>
      </c>
      <c r="H4923">
        <f>_xlfn.IMAGE("https://m.media-amazon.com/images/I/61okEIWm3BL._AC_UL320_.jpg")</f>
        <v/>
      </c>
      <c r="K4923" t="inlineStr">
        <is>
          <t>15.99</t>
        </is>
      </c>
      <c r="L4923" t="n">
        <v>18.99</v>
      </c>
      <c r="M4923" s="1" t="inlineStr">
        <is>
          <t>18.76%</t>
        </is>
      </c>
      <c r="N4923" t="n">
        <v>5</v>
      </c>
      <c r="O4923" t="n">
        <v>1</v>
      </c>
      <c r="Q4923" t="inlineStr">
        <is>
          <t>undefined</t>
        </is>
      </c>
      <c r="R4923" t="inlineStr">
        <is>
          <t>21.99</t>
        </is>
      </c>
      <c r="S4923" t="inlineStr">
        <is>
          <t>13738156</t>
        </is>
      </c>
    </row>
    <row r="4924" ht="75" customHeight="1">
      <c r="A4924" s="2">
        <f>HYPERLINK("https://www.cafepress.com/+happy_fall_tote_bag,13738156", "https://www.cafepress.com/+happy_fall_tote_bag,13738156")</f>
        <v/>
      </c>
      <c r="B4924" s="2">
        <f>HYPERLINK("https://www.cafepress.com/+happy_fall_tote_bag,13738156", "https://www.cafepress.com/+happy_fall_tote_bag,13738156")</f>
        <v/>
      </c>
      <c r="C4924" t="inlineStr">
        <is>
          <t>Canvas Tote Bags Happy Fall Tote Bag</t>
        </is>
      </c>
      <c r="D4924" t="inlineStr">
        <is>
          <t>3 Pack Fall Canvas Tote Bags Sunflower Tote Bag Pumpkins Canvas Bag Reusable Cotton Handbag Grocery Bags for Shopping Market Travel Beach Autumn Theme Harvest Party Favors, 13" x 13"</t>
        </is>
      </c>
      <c r="E4924" s="2">
        <f>HYPERLINK("https://www.amazon.com/Sunflower-Pumpkins-Reusable-Handbag-Shopping/dp/B0B589Y5VL/ref=sr_1_10?keywords=Canvas+Tote+Bags+Happy+Fall+Tote+Bag&amp;qid=1695565337&amp;sr=8-10", "https://www.amazon.com/Sunflower-Pumpkins-Reusable-Handbag-Shopping/dp/B0B589Y5VL/ref=sr_1_10?keywords=Canvas+Tote+Bags+Happy+Fall+Tote+Bag&amp;qid=1695565337&amp;sr=8-10")</f>
        <v/>
      </c>
      <c r="F4924" t="inlineStr">
        <is>
          <t>B0B589Y5VL</t>
        </is>
      </c>
      <c r="H4924">
        <f>_xlfn.IMAGE("https://m.media-amazon.com/images/I/61CgBpjyCIL._AC_UL320_.jpg")</f>
        <v/>
      </c>
      <c r="K4924" t="inlineStr">
        <is>
          <t>15.99</t>
        </is>
      </c>
      <c r="L4924" t="n">
        <v>12.99</v>
      </c>
      <c r="M4924" s="1" t="inlineStr">
        <is>
          <t>-18.76%</t>
        </is>
      </c>
      <c r="N4924" t="n">
        <v>4.5</v>
      </c>
      <c r="O4924" t="n">
        <v>2</v>
      </c>
      <c r="Q4924" t="inlineStr">
        <is>
          <t>undefined</t>
        </is>
      </c>
      <c r="R4924" t="inlineStr">
        <is>
          <t>21.99</t>
        </is>
      </c>
      <c r="S4924" t="inlineStr">
        <is>
          <t>13738156</t>
        </is>
      </c>
    </row>
    <row r="4925" ht="75" customHeight="1">
      <c r="A4925" s="2">
        <f>HYPERLINK("https://www.cafepress.com/+happy_fall_tote_bag,13738156", "https://www.cafepress.com/+happy_fall_tote_bag,13738156")</f>
        <v/>
      </c>
      <c r="B4925" s="2">
        <f>HYPERLINK("https://www.cafepress.com/+happy_fall_tote_bag,13738156", "https://www.cafepress.com/+happy_fall_tote_bag,13738156")</f>
        <v/>
      </c>
      <c r="C4925" t="inlineStr">
        <is>
          <t>Canvas Tote Bags Happy Fall Tote Bag</t>
        </is>
      </c>
      <c r="D4925" t="inlineStr">
        <is>
          <t>Canvas Tote Bag, Fall Tote Shoulder Bag for Women Medium Economical Kitchen Reusable Grocery Shopping Handbag Gift Bag, Suitable for Decoration, Storage, Gift. (Autumn)</t>
        </is>
      </c>
      <c r="E4925" s="2">
        <f>HYPERLINK("https://www.amazon.com/Shoulder-Economical-Reusable-Shopping-Decoration/dp/B0B8T9394C/ref=sr_1_6?keywords=Canvas+Tote+Bags+Happy+Fall+Tote+Bag&amp;qid=1695565337&amp;sr=8-6", "https://www.amazon.com/Shoulder-Economical-Reusable-Shopping-Decoration/dp/B0B8T9394C/ref=sr_1_6?keywords=Canvas+Tote+Bags+Happy+Fall+Tote+Bag&amp;qid=1695565337&amp;sr=8-6")</f>
        <v/>
      </c>
      <c r="F4925" t="inlineStr">
        <is>
          <t>B0B8T9394C</t>
        </is>
      </c>
      <c r="H4925">
        <f>_xlfn.IMAGE("https://m.media-amazon.com/images/I/61av8ALEuqL._AC_UL320_.jpg")</f>
        <v/>
      </c>
      <c r="K4925" t="inlineStr">
        <is>
          <t>15.99</t>
        </is>
      </c>
      <c r="L4925" t="n">
        <v>9.99</v>
      </c>
      <c r="M4925" s="1" t="inlineStr">
        <is>
          <t>-37.52%</t>
        </is>
      </c>
      <c r="N4925" t="n">
        <v>4.9</v>
      </c>
      <c r="O4925" t="n">
        <v>14</v>
      </c>
      <c r="Q4925" t="inlineStr">
        <is>
          <t>undefined</t>
        </is>
      </c>
      <c r="R4925" t="inlineStr">
        <is>
          <t>21.99</t>
        </is>
      </c>
      <c r="S4925" t="inlineStr">
        <is>
          <t>13738156</t>
        </is>
      </c>
    </row>
    <row r="4926" ht="75" customHeight="1">
      <c r="A4926" s="2">
        <f>HYPERLINK("https://www.cafepress.com/+happy_thanksgiving_turkey_holiday_apron,8265778", "https://www.cafepress.com/+happy_thanksgiving_turkey_holiday_apron,8265778")</f>
        <v/>
      </c>
      <c r="B4926" s="2">
        <f>HYPERLINK("https://www.cafepress.com/+happy_thanksgiving_turkey_holiday_apron,8265778", "https://www.cafepress.com/+happy_thanksgiving_turkey_holiday_apron,8265778")</f>
        <v/>
      </c>
      <c r="C4926" t="inlineStr">
        <is>
          <t>Happy Thanksgiving Turkey Holiday Apron</t>
        </is>
      </c>
      <c r="D4926" t="inlineStr">
        <is>
          <t>Official Turkey Carver – Adult Size Apron – Thanksgiving Holiday Cute Funny</t>
        </is>
      </c>
      <c r="E4926" s="2">
        <f>HYPERLINK("https://www.amazon.com/Official-Turkey-Carver-Thanksgiving-Holiday/dp/B01M3WTQR0/ref=sr_1_5?keywords=Happy+Thanksgiving+Turkey+Holiday+Apron&amp;qid=1695565304&amp;sr=8-5", "https://www.amazon.com/Official-Turkey-Carver-Thanksgiving-Holiday/dp/B01M3WTQR0/ref=sr_1_5?keywords=Happy+Thanksgiving+Turkey+Holiday+Apron&amp;qid=1695565304&amp;sr=8-5")</f>
        <v/>
      </c>
      <c r="F4926" t="inlineStr">
        <is>
          <t>B01M3WTQR0</t>
        </is>
      </c>
      <c r="H4926">
        <f>_xlfn.IMAGE("https://m.media-amazon.com/images/I/419TBWfwXrL._AC_UL320_.jpg")</f>
        <v/>
      </c>
      <c r="K4926" t="inlineStr">
        <is>
          <t>39.99</t>
        </is>
      </c>
      <c r="L4926" t="n">
        <v>19.99</v>
      </c>
      <c r="M4926" s="1" t="inlineStr">
        <is>
          <t>-50.01%</t>
        </is>
      </c>
      <c r="N4926" t="n">
        <v>5</v>
      </c>
      <c r="O4926" t="n">
        <v>1</v>
      </c>
      <c r="Q4926" t="inlineStr">
        <is>
          <t>undefined</t>
        </is>
      </c>
      <c r="R4926" t="inlineStr">
        <is>
          <t>56.99</t>
        </is>
      </c>
      <c r="S4926" t="inlineStr">
        <is>
          <t>8265778</t>
        </is>
      </c>
    </row>
    <row r="4927" ht="75" customHeight="1">
      <c r="A4927" s="2">
        <f>HYPERLINK("https://www.cafepress.com/+happy_thanksgiving_turkey_holiday_apron,8265778", "https://www.cafepress.com/+happy_thanksgiving_turkey_holiday_apron,8265778")</f>
        <v/>
      </c>
      <c r="B4927" s="2">
        <f>HYPERLINK("https://www.cafepress.com/+happy_thanksgiving_turkey_holiday_apron,8265778", "https://www.cafepress.com/+happy_thanksgiving_turkey_holiday_apron,8265778")</f>
        <v/>
      </c>
      <c r="C4927" t="inlineStr">
        <is>
          <t>Happy Thanksgiving Turkey Holiday Apron</t>
        </is>
      </c>
      <c r="D4927" t="inlineStr">
        <is>
          <t>Sevenstars Happy Thanksgiving Apron Turkey Cooking Apron Autumn Harvest Baking Aprons for Holiday Party Celebration, Adjustable Neck Strap, Waterproof, Long Ties</t>
        </is>
      </c>
      <c r="E4927" s="2" t="n"/>
      <c r="F4927" t="inlineStr">
        <is>
          <t>B07RQ67YJ2</t>
        </is>
      </c>
      <c r="H4927">
        <f>_xlfn.IMAGE("https://m.media-amazon.com/images/I/61kRrrRdI8L._AC_UL320_.jpg")</f>
        <v/>
      </c>
      <c r="K4927" t="inlineStr">
        <is>
          <t>39.99</t>
        </is>
      </c>
      <c r="L4927" t="n">
        <v>16.51</v>
      </c>
      <c r="M4927" s="1" t="inlineStr">
        <is>
          <t>-58.71%</t>
        </is>
      </c>
      <c r="N4927" t="n">
        <v>4.4</v>
      </c>
      <c r="O4927" t="n">
        <v>22</v>
      </c>
      <c r="Q4927" t="inlineStr">
        <is>
          <t>undefined</t>
        </is>
      </c>
      <c r="R4927" t="inlineStr">
        <is>
          <t>56.99</t>
        </is>
      </c>
      <c r="S4927" t="inlineStr">
        <is>
          <t>8265778</t>
        </is>
      </c>
    </row>
    <row r="4928" ht="75" customHeight="1">
      <c r="A4928" s="2">
        <f>HYPERLINK("https://www.cafepress.com/+happy_thanksgiving_turkey_holiday_apron,8265778", "https://www.cafepress.com/+happy_thanksgiving_turkey_holiday_apron,8265778")</f>
        <v/>
      </c>
      <c r="B4928" s="2">
        <f>HYPERLINK("https://www.cafepress.com/+happy_thanksgiving_turkey_holiday_apron,8265778", "https://www.cafepress.com/+happy_thanksgiving_turkey_holiday_apron,8265778")</f>
        <v/>
      </c>
      <c r="C4928" t="inlineStr">
        <is>
          <t>Happy Thanksgiving Turkey Holiday Apron</t>
        </is>
      </c>
      <c r="D4928" t="inlineStr">
        <is>
          <t>Sevenstars Happy Thanksgiving Apron Turkey Cooking Apron Autumn Harvest Baking Aprons for Holiday Party Celebration, Adjustable Neck Strap, Waterproof, Long Ties</t>
        </is>
      </c>
      <c r="E4928" s="2">
        <f>HYPERLINK("https://www.amazon.com/Sevenstars-Thanksgiving-Celebration-Adjustable-Waterproof/dp/B07RQ67YJ2/ref=sr_1_3?keywords=Happy+Thanksgiving+Turkey+Holiday+Apron&amp;qid=1695565304&amp;sr=8-3", "https://www.amazon.com/Sevenstars-Thanksgiving-Celebration-Adjustable-Waterproof/dp/B07RQ67YJ2/ref=sr_1_3?keywords=Happy+Thanksgiving+Turkey+Holiday+Apron&amp;qid=1695565304&amp;sr=8-3")</f>
        <v/>
      </c>
      <c r="F4928" t="inlineStr">
        <is>
          <t>B07RQ67YJ2</t>
        </is>
      </c>
      <c r="H4928">
        <f>_xlfn.IMAGE("https://m.media-amazon.com/images/I/61kRrrRdI8L._AC_UL320_.jpg")</f>
        <v/>
      </c>
      <c r="K4928" t="inlineStr">
        <is>
          <t>39.99</t>
        </is>
      </c>
      <c r="L4928" t="n">
        <v>16.51</v>
      </c>
      <c r="M4928" s="1" t="inlineStr">
        <is>
          <t>-58.71%</t>
        </is>
      </c>
      <c r="N4928" t="n">
        <v>4.4</v>
      </c>
      <c r="O4928" t="n">
        <v>22</v>
      </c>
      <c r="Q4928" t="inlineStr">
        <is>
          <t>undefined</t>
        </is>
      </c>
      <c r="R4928" t="inlineStr">
        <is>
          <t>56.99</t>
        </is>
      </c>
      <c r="S4928" t="inlineStr">
        <is>
          <t>8265778</t>
        </is>
      </c>
    </row>
    <row r="4929" ht="75" customHeight="1">
      <c r="A4929" s="2">
        <f>HYPERLINK("https://www.cafepress.com/+happy_thanksgiving_turkey_holiday_apron,8265778", "https://www.cafepress.com/+happy_thanksgiving_turkey_holiday_apron,8265778")</f>
        <v/>
      </c>
      <c r="B4929" s="2">
        <f>HYPERLINK("https://www.cafepress.com/+happy_thanksgiving_turkey_holiday_apron,8265778", "https://www.cafepress.com/+happy_thanksgiving_turkey_holiday_apron,8265778")</f>
        <v/>
      </c>
      <c r="C4929" t="inlineStr">
        <is>
          <t>Happy Thanksgiving Turkey Holiday Apron</t>
        </is>
      </c>
      <c r="D4929" t="inlineStr">
        <is>
          <t>Kichlep Holiday Celebration Aprons for Thanksgiving, Home Kitchen Cooking Grilling Apron Bib Funny Turkey Apron</t>
        </is>
      </c>
      <c r="E4929" s="2">
        <f>HYPERLINK("https://www.amazon.com/Thanksgiving-Kitchen-Adjustable-Waterproof-Grilling/dp/B0BBTVDWGJ/ref=sr_1_2?keywords=Happy+Thanksgiving+Turkey+Holiday+Apron&amp;qid=1695565304&amp;sr=8-2", "https://www.amazon.com/Thanksgiving-Kitchen-Adjustable-Waterproof-Grilling/dp/B0BBTVDWGJ/ref=sr_1_2?keywords=Happy+Thanksgiving+Turkey+Holiday+Apron&amp;qid=1695565304&amp;sr=8-2")</f>
        <v/>
      </c>
      <c r="F4929" t="inlineStr">
        <is>
          <t>B0BBTVDWGJ</t>
        </is>
      </c>
      <c r="H4929">
        <f>_xlfn.IMAGE("https://m.media-amazon.com/images/I/61XijD19cnL._AC_UL320_.jpg")</f>
        <v/>
      </c>
      <c r="K4929" t="inlineStr">
        <is>
          <t>39.99</t>
        </is>
      </c>
      <c r="L4929" t="n">
        <v>12.99</v>
      </c>
      <c r="M4929" s="1" t="inlineStr">
        <is>
          <t>-67.52%</t>
        </is>
      </c>
      <c r="N4929" t="n">
        <v>4.5</v>
      </c>
      <c r="O4929" t="n">
        <v>9</v>
      </c>
      <c r="Q4929" t="inlineStr">
        <is>
          <t>undefined</t>
        </is>
      </c>
      <c r="R4929" t="inlineStr">
        <is>
          <t>56.99</t>
        </is>
      </c>
      <c r="S4929" t="inlineStr">
        <is>
          <t>8265778</t>
        </is>
      </c>
    </row>
    <row r="4930" ht="75" customHeight="1">
      <c r="A4930" s="2">
        <f>HYPERLINK("https://www.cafepress.com/+maple_tree_in_fall_shower_curtain,857647940", "https://www.cafepress.com/+maple_tree_in_fall_shower_curtain,857647940")</f>
        <v/>
      </c>
      <c r="B4930" s="2">
        <f>HYPERLINK("https://www.cafepress.com/+maple_tree_in_fall_shower_curtain,857647940", "https://www.cafepress.com/+maple_tree_in_fall_shower_curtain,857647940")</f>
        <v/>
      </c>
      <c r="C4930" t="inlineStr">
        <is>
          <t>Maple Tree in Fall Shower Curtain</t>
        </is>
      </c>
      <c r="D4930" t="inlineStr">
        <is>
          <t>Ambesonne Fall Shower Curtain, Silhouettes of Maple Tree Leaves in Pastel Colors Classical Shady Nature Graphic Image, Cloth Fabric Bathroom Decor Set with Hooks, 69" W x 75" L, Off White Multicolor</t>
        </is>
      </c>
      <c r="E4930" s="2">
        <f>HYPERLINK("https://www.amazon.com/Ambesonne-Decorations-Silhouettes-Classical-Bathroom/dp/B06XB1XXVD/ref=sr_1_3?keywords=Maple+Tree+in+Fall+Shower+Curtain&amp;qid=1695565324&amp;sr=8-3", "https://www.amazon.com/Ambesonne-Decorations-Silhouettes-Classical-Bathroom/dp/B06XB1XXVD/ref=sr_1_3?keywords=Maple+Tree+in+Fall+Shower+Curtain&amp;qid=1695565324&amp;sr=8-3")</f>
        <v/>
      </c>
      <c r="F4930" t="inlineStr">
        <is>
          <t>B06XB1XXVD</t>
        </is>
      </c>
      <c r="H4930">
        <f>_xlfn.IMAGE("https://m.media-amazon.com/images/I/71bjmW-G2iL._AC_UL320_.jpg")</f>
        <v/>
      </c>
      <c r="K4930" t="inlineStr">
        <is>
          <t>62.99</t>
        </is>
      </c>
      <c r="L4930" t="n">
        <v>24.95</v>
      </c>
      <c r="M4930" s="1" t="inlineStr">
        <is>
          <t>-60.39%</t>
        </is>
      </c>
      <c r="N4930" t="n">
        <v>4.5</v>
      </c>
      <c r="O4930" t="n">
        <v>463</v>
      </c>
      <c r="Q4930" t="inlineStr">
        <is>
          <t>InStock</t>
        </is>
      </c>
      <c r="R4930" t="inlineStr">
        <is>
          <t>83.99</t>
        </is>
      </c>
      <c r="S4930" t="inlineStr">
        <is>
          <t>857647940</t>
        </is>
      </c>
    </row>
    <row r="4931" ht="75" customHeight="1">
      <c r="A4931" s="2">
        <f>HYPERLINK("https://www.cafepress.com/+maple_tree_in_fall_shower_curtain,857647940", "https://www.cafepress.com/+maple_tree_in_fall_shower_curtain,857647940")</f>
        <v/>
      </c>
      <c r="B4931" s="2">
        <f>HYPERLINK("https://www.cafepress.com/+maple_tree_in_fall_shower_curtain,857647940", "https://www.cafepress.com/+maple_tree_in_fall_shower_curtain,857647940")</f>
        <v/>
      </c>
      <c r="C4931" t="inlineStr">
        <is>
          <t>Maple Tree in Fall Shower Curtain</t>
        </is>
      </c>
      <c r="D4931" t="inlineStr">
        <is>
          <t>LB Fall Season Maple Leaf Shower Curtain Falling Faded Leaves Red Cardinal Bird with Brown Tree Shower Curtain for Autumn Bathroom Shower Curtain Set 72x72 Inch Polyester Fabric with 12 Hooks</t>
        </is>
      </c>
      <c r="E4931" s="2">
        <f>HYPERLINK("https://www.amazon.com/LB-Curtain-Cardinal-Bathroom-Polyester/dp/B08BJNDNJV/ref=sr_1_8?keywords=Maple+Tree+in+Fall+Shower+Curtain&amp;qid=1695565324&amp;sr=8-8", "https://www.amazon.com/LB-Curtain-Cardinal-Bathroom-Polyester/dp/B08BJNDNJV/ref=sr_1_8?keywords=Maple+Tree+in+Fall+Shower+Curtain&amp;qid=1695565324&amp;sr=8-8")</f>
        <v/>
      </c>
      <c r="F4931" t="inlineStr">
        <is>
          <t>B08BJNDNJV</t>
        </is>
      </c>
      <c r="H4931">
        <f>_xlfn.IMAGE("https://m.media-amazon.com/images/I/81KIJEZdbAL._AC_UL320_.jpg")</f>
        <v/>
      </c>
      <c r="K4931" t="inlineStr">
        <is>
          <t>62.99</t>
        </is>
      </c>
      <c r="L4931" t="n">
        <v>19.99</v>
      </c>
      <c r="M4931" s="1" t="inlineStr">
        <is>
          <t>-68.26%</t>
        </is>
      </c>
      <c r="N4931" t="n">
        <v>4.5</v>
      </c>
      <c r="O4931" t="n">
        <v>73</v>
      </c>
      <c r="Q4931" t="inlineStr">
        <is>
          <t>InStock</t>
        </is>
      </c>
      <c r="R4931" t="inlineStr">
        <is>
          <t>83.99</t>
        </is>
      </c>
      <c r="S4931" t="inlineStr">
        <is>
          <t>857647940</t>
        </is>
      </c>
    </row>
    <row r="4932" ht="75" customHeight="1">
      <c r="A4932" s="2">
        <f>HYPERLINK("https://www.cafepress.com/+maple_tree_in_fall_shower_curtain,857647940", "https://www.cafepress.com/+maple_tree_in_fall_shower_curtain,857647940")</f>
        <v/>
      </c>
      <c r="B4932" s="2">
        <f>HYPERLINK("https://www.cafepress.com/+maple_tree_in_fall_shower_curtain,857647940", "https://www.cafepress.com/+maple_tree_in_fall_shower_curtain,857647940")</f>
        <v/>
      </c>
      <c r="C4932" t="inlineStr">
        <is>
          <t>Maple Tree in Fall Shower Curtain</t>
        </is>
      </c>
      <c r="D4932" t="inlineStr">
        <is>
          <t>Fall Shower Curtain, Rustic Farm Nature Wooden Tree Autumn Maple Leaf Shower Curtain, Fall Road Full with Autumn Foliage Fabric Shower Curtains, Gold Fall Leaves Bathroom Decoration, 69X70in, Orange</t>
        </is>
      </c>
      <c r="E4932" s="2">
        <f>HYPERLINK("https://www.amazon.com/Polyester-Curtains-Bathroom-Accessories-Included/dp/B07Y77TKRG/ref=sr_1_2?keywords=Maple+Tree+in+Fall+Shower+Curtain&amp;qid=1695565324&amp;sr=8-2", "https://www.amazon.com/Polyester-Curtains-Bathroom-Accessories-Included/dp/B07Y77TKRG/ref=sr_1_2?keywords=Maple+Tree+in+Fall+Shower+Curtain&amp;qid=1695565324&amp;sr=8-2")</f>
        <v/>
      </c>
      <c r="F4932" t="inlineStr">
        <is>
          <t>B07Y77TKRG</t>
        </is>
      </c>
      <c r="H4932">
        <f>_xlfn.IMAGE("https://m.media-amazon.com/images/I/81XsY0WTu9L._AC_UL320_.jpg")</f>
        <v/>
      </c>
      <c r="K4932" t="inlineStr">
        <is>
          <t>62.99</t>
        </is>
      </c>
      <c r="L4932" t="n">
        <v>19.99</v>
      </c>
      <c r="M4932" s="1" t="inlineStr">
        <is>
          <t>-68.26%</t>
        </is>
      </c>
      <c r="N4932" t="n">
        <v>4.7</v>
      </c>
      <c r="O4932" t="n">
        <v>190</v>
      </c>
      <c r="Q4932" t="inlineStr">
        <is>
          <t>InStock</t>
        </is>
      </c>
      <c r="R4932" t="inlineStr">
        <is>
          <t>83.99</t>
        </is>
      </c>
      <c r="S4932" t="inlineStr">
        <is>
          <t>857647940</t>
        </is>
      </c>
    </row>
    <row r="4933" ht="75" customHeight="1">
      <c r="A4933" s="2">
        <f>HYPERLINK("https://www.cafepress.com/+maple_tree_in_fall_shower_curtain,857647940", "https://www.cafepress.com/+maple_tree_in_fall_shower_curtain,857647940")</f>
        <v/>
      </c>
      <c r="B4933" s="2">
        <f>HYPERLINK("https://www.cafepress.com/+maple_tree_in_fall_shower_curtain,857647940", "https://www.cafepress.com/+maple_tree_in_fall_shower_curtain,857647940")</f>
        <v/>
      </c>
      <c r="C4933" t="inlineStr">
        <is>
          <t>Maple Tree in Fall Shower Curtain</t>
        </is>
      </c>
      <c r="D4933" t="inlineStr">
        <is>
          <t>YSATNSFT Maple Leaf Shower Curtain Autumn Maple Tree Fall Falling Maple Leaves Season Woodland Orange Yellow Concise White Fabric Bathroom Decor Set with Hooks,(70" WX70 H)</t>
        </is>
      </c>
      <c r="E4933" s="2">
        <f>HYPERLINK("https://www.amazon.com/YSATNSFT-Curtain-Falling-Woodland-Bathroom/dp/B097SY3MK8/ref=sr_1_1?keywords=Maple+Tree+in+Fall+Shower+Curtain&amp;qid=1695565324&amp;sr=8-1", "https://www.amazon.com/YSATNSFT-Curtain-Falling-Woodland-Bathroom/dp/B097SY3MK8/ref=sr_1_1?keywords=Maple+Tree+in+Fall+Shower+Curtain&amp;qid=1695565324&amp;sr=8-1")</f>
        <v/>
      </c>
      <c r="F4933" t="inlineStr">
        <is>
          <t>B097SY3MK8</t>
        </is>
      </c>
      <c r="H4933">
        <f>_xlfn.IMAGE("https://m.media-amazon.com/images/I/61qb8ooXXNL._AC_UL320_.jpg")</f>
        <v/>
      </c>
      <c r="K4933" t="inlineStr">
        <is>
          <t>62.99</t>
        </is>
      </c>
      <c r="L4933" t="n">
        <v>19.99</v>
      </c>
      <c r="M4933" s="1" t="inlineStr">
        <is>
          <t>-68.26%</t>
        </is>
      </c>
      <c r="N4933" t="n">
        <v>4.6</v>
      </c>
      <c r="O4933" t="n">
        <v>7</v>
      </c>
      <c r="Q4933" t="inlineStr">
        <is>
          <t>InStock</t>
        </is>
      </c>
      <c r="R4933" t="inlineStr">
        <is>
          <t>83.99</t>
        </is>
      </c>
      <c r="S4933" t="inlineStr">
        <is>
          <t>857647940</t>
        </is>
      </c>
    </row>
    <row r="4934" ht="75" customHeight="1">
      <c r="A4934" s="2">
        <f>HYPERLINK("https://www.cafepress.com/+maple_tree_in_fall_shower_curtain,857647940", "https://www.cafepress.com/+maple_tree_in_fall_shower_curtain,857647940")</f>
        <v/>
      </c>
      <c r="B4934" s="2">
        <f>HYPERLINK("https://www.cafepress.com/+maple_tree_in_fall_shower_curtain,857647940", "https://www.cafepress.com/+maple_tree_in_fall_shower_curtain,857647940")</f>
        <v/>
      </c>
      <c r="C4934" t="inlineStr">
        <is>
          <t>Maple Tree in Fall Shower Curtain</t>
        </is>
      </c>
      <c r="D4934" t="inlineStr">
        <is>
          <t>Ambesonne Fall Shower Curtain, Image of Canadian Maple Tree Leaves in Autumn Season Soft Reflection Effects, Cloth Fabric Bathroom Decor Set with Hooks, 69" W x 70" L, Orange White</t>
        </is>
      </c>
      <c r="E4934" s="2">
        <f>HYPERLINK("https://www.amazon.com/Ambesonne-Decorations-Canadian-Reflection-Bathroom/dp/B06XB5517F/ref=sr_1_4?keywords=Maple+Tree+in+Fall+Shower+Curtain&amp;qid=1695565324&amp;sr=8-4", "https://www.amazon.com/Ambesonne-Decorations-Canadian-Reflection-Bathroom/dp/B06XB5517F/ref=sr_1_4?keywords=Maple+Tree+in+Fall+Shower+Curtain&amp;qid=1695565324&amp;sr=8-4")</f>
        <v/>
      </c>
      <c r="F4934" t="inlineStr">
        <is>
          <t>B06XB5517F</t>
        </is>
      </c>
      <c r="H4934">
        <f>_xlfn.IMAGE("https://m.media-amazon.com/images/I/91fqxFmO0LL._AC_UL320_.jpg")</f>
        <v/>
      </c>
      <c r="K4934" t="inlineStr">
        <is>
          <t>62.99</t>
        </is>
      </c>
      <c r="L4934" t="n">
        <v>18.7</v>
      </c>
      <c r="M4934" s="1" t="inlineStr">
        <is>
          <t>-70.31%</t>
        </is>
      </c>
      <c r="N4934" t="n">
        <v>4.4</v>
      </c>
      <c r="O4934" t="n">
        <v>462</v>
      </c>
      <c r="Q4934" t="inlineStr">
        <is>
          <t>InStock</t>
        </is>
      </c>
      <c r="R4934" t="inlineStr">
        <is>
          <t>83.99</t>
        </is>
      </c>
      <c r="S4934" t="inlineStr">
        <is>
          <t>857647940</t>
        </is>
      </c>
    </row>
    <row r="4935" ht="75" customHeight="1">
      <c r="A4935" s="2">
        <f>HYPERLINK("https://www.cafepress.com/+maple_tree_in_fall_shower_curtain,857647940", "https://www.cafepress.com/+maple_tree_in_fall_shower_curtain,857647940")</f>
        <v/>
      </c>
      <c r="B4935" s="2">
        <f>HYPERLINK("https://www.cafepress.com/+maple_tree_in_fall_shower_curtain,857647940", "https://www.cafepress.com/+maple_tree_in_fall_shower_curtain,857647940")</f>
        <v/>
      </c>
      <c r="C4935" t="inlineStr">
        <is>
          <t>Maple Tree in Fall Shower Curtain</t>
        </is>
      </c>
      <c r="D4935" t="inlineStr">
        <is>
          <t>iTapnoom Autumn Forest Nature Shower Curtain Set for Bathroom, Fall Season Red Yellow Tree Maple Leaves Decorative Fabric Bathtub, Thanksgiving Harvest Accessories with Hooks, 72X72 inch</t>
        </is>
      </c>
      <c r="E4935" s="2">
        <f>HYPERLINK("https://www.amazon.com/Bathroom-Decorative-Curtains-Thanksgiving-Accessories/dp/B09C4K1QWD/ref=sr_1_5?keywords=Maple+Tree+in+Fall+Shower+Curtain&amp;qid=1695565324&amp;sr=8-5", "https://www.amazon.com/Bathroom-Decorative-Curtains-Thanksgiving-Accessories/dp/B09C4K1QWD/ref=sr_1_5?keywords=Maple+Tree+in+Fall+Shower+Curtain&amp;qid=1695565324&amp;sr=8-5")</f>
        <v/>
      </c>
      <c r="F4935" t="inlineStr">
        <is>
          <t>B09C4K1QWD</t>
        </is>
      </c>
      <c r="H4935">
        <f>_xlfn.IMAGE("https://m.media-amazon.com/images/I/81YqOnpceGL._AC_UL320_.jpg")</f>
        <v/>
      </c>
      <c r="K4935" t="inlineStr">
        <is>
          <t>62.99</t>
        </is>
      </c>
      <c r="L4935" t="n">
        <v>16.99</v>
      </c>
      <c r="M4935" s="1" t="inlineStr">
        <is>
          <t>-73.03%</t>
        </is>
      </c>
      <c r="N4935" t="n">
        <v>3.6</v>
      </c>
      <c r="O4935" t="n">
        <v>5</v>
      </c>
      <c r="Q4935" t="inlineStr">
        <is>
          <t>InStock</t>
        </is>
      </c>
      <c r="R4935" t="inlineStr">
        <is>
          <t>83.99</t>
        </is>
      </c>
      <c r="S4935" t="inlineStr">
        <is>
          <t>857647940</t>
        </is>
      </c>
    </row>
    <row r="4936" ht="75" customHeight="1">
      <c r="A4936" s="2">
        <f>HYPERLINK("https://www.cafepress.com/+maple_tree_in_fall_shower_curtain,857647940", "https://www.cafepress.com/+maple_tree_in_fall_shower_curtain,857647940")</f>
        <v/>
      </c>
      <c r="B4936" s="2">
        <f>HYPERLINK("https://www.cafepress.com/+maple_tree_in_fall_shower_curtain,857647940", "https://www.cafepress.com/+maple_tree_in_fall_shower_curtain,857647940")</f>
        <v/>
      </c>
      <c r="C4936" t="inlineStr">
        <is>
          <t>Maple Tree in Fall Shower Curtain</t>
        </is>
      </c>
      <c r="D4936" t="inlineStr">
        <is>
          <t>JAWO Fall Shower Curtain for Bathroom, Rustic Autumn Pumpkins Maple Tree Leaves Cute Gnome Bathroom Decor Shower Curtains Set, Farmhouse Waterproof Fabric Seasonal Bath Curtains with Hooks…</t>
        </is>
      </c>
      <c r="E4936" s="2">
        <f>HYPERLINK("https://www.amazon.com/Bathroom-Pumpkins-Curtains-Farmhouse-Waterproof/dp/B099JMY1SG/ref=sr_1_7?keywords=Maple+Tree+in+Fall+Shower+Curtain&amp;qid=1695565324&amp;sr=8-7", "https://www.amazon.com/Bathroom-Pumpkins-Curtains-Farmhouse-Waterproof/dp/B099JMY1SG/ref=sr_1_7?keywords=Maple+Tree+in+Fall+Shower+Curtain&amp;qid=1695565324&amp;sr=8-7")</f>
        <v/>
      </c>
      <c r="F4936" t="inlineStr">
        <is>
          <t>B099JMY1SG</t>
        </is>
      </c>
      <c r="H4936">
        <f>_xlfn.IMAGE("https://m.media-amazon.com/images/I/814+tt4RsKL._AC_UL320_.jpg")</f>
        <v/>
      </c>
      <c r="K4936" t="inlineStr">
        <is>
          <t>62.99</t>
        </is>
      </c>
      <c r="L4936" t="n">
        <v>16.99</v>
      </c>
      <c r="M4936" s="1" t="inlineStr">
        <is>
          <t>-73.03%</t>
        </is>
      </c>
      <c r="N4936" t="n">
        <v>4.7</v>
      </c>
      <c r="O4936" t="n">
        <v>61</v>
      </c>
      <c r="Q4936" t="inlineStr">
        <is>
          <t>InStock</t>
        </is>
      </c>
      <c r="R4936" t="inlineStr">
        <is>
          <t>83.99</t>
        </is>
      </c>
      <c r="S4936" t="inlineStr">
        <is>
          <t>857647940</t>
        </is>
      </c>
    </row>
    <row r="4937" ht="75" customHeight="1">
      <c r="A4937" s="2">
        <f>HYPERLINK("https://www.cafepress.com/+maple_tree_in_fall_shower_curtain,857647940", "https://www.cafepress.com/+maple_tree_in_fall_shower_curtain,857647940")</f>
        <v/>
      </c>
      <c r="B4937" s="2">
        <f>HYPERLINK("https://www.cafepress.com/+maple_tree_in_fall_shower_curtain,857647940", "https://www.cafepress.com/+maple_tree_in_fall_shower_curtain,857647940")</f>
        <v/>
      </c>
      <c r="C4937" t="inlineStr">
        <is>
          <t>Maple Tree in Fall Shower Curtain</t>
        </is>
      </c>
      <c r="D4937" t="inlineStr">
        <is>
          <t>AUEEA Fall Gnome Shower Curtain Watercolor Pumpkin by Maple Tree Shower Curtains Autumn Harvest Scenery Waterproof Fabric Shower Curtain Set for Bathroom with 12pcs Hooks,70x70 inches</t>
        </is>
      </c>
      <c r="E4937" s="2">
        <f>HYPERLINK("https://www.amazon.com/AUEEA-Watercolor-Curtains-Waterproof-Bathroom/dp/B0B4HB87ZG/ref=sr_1_9?keywords=Maple+Tree+in+Fall+Shower+Curtain&amp;qid=1695565324&amp;sr=8-9", "https://www.amazon.com/AUEEA-Watercolor-Curtains-Waterproof-Bathroom/dp/B0B4HB87ZG/ref=sr_1_9?keywords=Maple+Tree+in+Fall+Shower+Curtain&amp;qid=1695565324&amp;sr=8-9")</f>
        <v/>
      </c>
      <c r="F4937" t="inlineStr">
        <is>
          <t>B0B4HB87ZG</t>
        </is>
      </c>
      <c r="H4937">
        <f>_xlfn.IMAGE("https://m.media-amazon.com/images/I/81ognyXL85L._AC_UL320_.jpg")</f>
        <v/>
      </c>
      <c r="K4937" t="inlineStr">
        <is>
          <t>62.99</t>
        </is>
      </c>
      <c r="L4937" t="n">
        <v>15.89</v>
      </c>
      <c r="M4937" s="1" t="inlineStr">
        <is>
          <t>-74.77%</t>
        </is>
      </c>
      <c r="N4937" t="n">
        <v>4.3</v>
      </c>
      <c r="O4937" t="n">
        <v>17</v>
      </c>
      <c r="Q4937" t="inlineStr">
        <is>
          <t>InStock</t>
        </is>
      </c>
      <c r="R4937" t="inlineStr">
        <is>
          <t>83.99</t>
        </is>
      </c>
      <c r="S4937" t="inlineStr">
        <is>
          <t>857647940</t>
        </is>
      </c>
    </row>
    <row r="4938" ht="75" customHeight="1">
      <c r="A4938" s="2">
        <f>HYPERLINK("https://www.cafepress.com/+maple_tree_in_fall_shower_curtain,857647940", "https://www.cafepress.com/+maple_tree_in_fall_shower_curtain,857647940")</f>
        <v/>
      </c>
      <c r="B4938" s="2">
        <f>HYPERLINK("https://www.cafepress.com/+maple_tree_in_fall_shower_curtain,857647940", "https://www.cafepress.com/+maple_tree_in_fall_shower_curtain,857647940")</f>
        <v/>
      </c>
      <c r="C4938" t="inlineStr">
        <is>
          <t>Maple Tree in Fall Shower Curtain</t>
        </is>
      </c>
      <c r="D4938" t="inlineStr">
        <is>
          <t>NYMB Autumn Shower Curtain, Maple Trees Fall Leaves and Wooden Bridge Lake Sunset Nature Landscape, Fall Themed Shower Curtains for Bathroom Decor Sets with Hooks, 69X70 in</t>
        </is>
      </c>
      <c r="E4938" s="2">
        <f>HYPERLINK("https://www.amazon.com/NYMB-Curtain-Landscape-Curtains-Bathroom/dp/B07TJH19KP/ref=sr_1_6?keywords=Maple+Tree+in+Fall+Shower+Curtain&amp;qid=1695565324&amp;sr=8-6", "https://www.amazon.com/NYMB-Curtain-Landscape-Curtains-Bathroom/dp/B07TJH19KP/ref=sr_1_6?keywords=Maple+Tree+in+Fall+Shower+Curtain&amp;qid=1695565324&amp;sr=8-6")</f>
        <v/>
      </c>
      <c r="F4938" t="inlineStr">
        <is>
          <t>B07TJH19KP</t>
        </is>
      </c>
      <c r="H4938">
        <f>_xlfn.IMAGE("https://m.media-amazon.com/images/I/71NYItFqiZL._AC_UL320_.jpg")</f>
        <v/>
      </c>
      <c r="K4938" t="inlineStr">
        <is>
          <t>62.99</t>
        </is>
      </c>
      <c r="L4938" t="n">
        <v>13.99</v>
      </c>
      <c r="M4938" s="1" t="inlineStr">
        <is>
          <t>-77.79%</t>
        </is>
      </c>
      <c r="N4938" t="n">
        <v>4.3</v>
      </c>
      <c r="O4938" t="n">
        <v>150</v>
      </c>
      <c r="Q4938" t="inlineStr">
        <is>
          <t>InStock</t>
        </is>
      </c>
      <c r="R4938" t="inlineStr">
        <is>
          <t>83.99</t>
        </is>
      </c>
      <c r="S4938" t="inlineStr">
        <is>
          <t>857647940</t>
        </is>
      </c>
    </row>
    <row r="4939" ht="75" customHeight="1">
      <c r="A4939" s="2">
        <f>HYPERLINK("https://www.cafepress.com/+maple_tree_in_fall_shower_curtain,857647940", "https://www.cafepress.com/+maple_tree_in_fall_shower_curtain,857647940")</f>
        <v/>
      </c>
      <c r="B4939" s="2">
        <f>HYPERLINK("https://www.cafepress.com/+maple_tree_in_fall_shower_curtain,857647940", "https://www.cafepress.com/+maple_tree_in_fall_shower_curtain,857647940")</f>
        <v/>
      </c>
      <c r="C4939" t="inlineStr">
        <is>
          <t>Maple Tree in Fall Shower Curtain</t>
        </is>
      </c>
      <c r="D4939" t="inlineStr">
        <is>
          <t>YUYASM Fall Shower Curtain Fabric Autumn Pumpkin Harvest Maple Tree Leaves Thanksgiving Rustic Farmhouse Country Orange Decor Bathroom Bath Curtains with Plastic Hooks 70x70 Inch</t>
        </is>
      </c>
      <c r="E4939" s="2">
        <f>HYPERLINK("https://www.amazon.com/YUYASM-Butterfly-Watercolor-Bathroom-Curtains/dp/B08W4HV2H6/ref=sr_1_10?keywords=Maple+Tree+in+Fall+Shower+Curtain&amp;qid=1695565324&amp;sr=8-10", "https://www.amazon.com/YUYASM-Butterfly-Watercolor-Bathroom-Curtains/dp/B08W4HV2H6/ref=sr_1_10?keywords=Maple+Tree+in+Fall+Shower+Curtain&amp;qid=1695565324&amp;sr=8-10")</f>
        <v/>
      </c>
      <c r="F4939" t="inlineStr">
        <is>
          <t>B08W4HV2H6</t>
        </is>
      </c>
      <c r="H4939">
        <f>_xlfn.IMAGE("https://m.media-amazon.com/images/I/61SxApADHsL._AC_UL320_.jpg")</f>
        <v/>
      </c>
      <c r="K4939" t="inlineStr">
        <is>
          <t>62.99</t>
        </is>
      </c>
      <c r="L4939" t="n">
        <v>11.99</v>
      </c>
      <c r="M4939" s="1" t="inlineStr">
        <is>
          <t>-80.97%</t>
        </is>
      </c>
      <c r="N4939" t="n">
        <v>4</v>
      </c>
      <c r="O4939" t="n">
        <v>8</v>
      </c>
      <c r="Q4939" t="inlineStr">
        <is>
          <t>InStock</t>
        </is>
      </c>
      <c r="R4939" t="inlineStr">
        <is>
          <t>83.99</t>
        </is>
      </c>
      <c r="S4939" t="inlineStr">
        <is>
          <t>857647940</t>
        </is>
      </c>
    </row>
    <row r="4940" ht="75" customHeight="1">
      <c r="A4940" s="2">
        <f>HYPERLINK("https://www.cafepress.com/+mousepad,672127089", "https://www.cafepress.com/+mousepad,672127089")</f>
        <v/>
      </c>
      <c r="B4940" s="2">
        <f>HYPERLINK("https://www.cafepress.com/+mousepad,672127089", "https://www.cafepress.com/+mousepad,672127089")</f>
        <v/>
      </c>
      <c r="C4940" t="inlineStr">
        <is>
          <t>Mouse Pads Mousepad</t>
        </is>
      </c>
      <c r="D4940" t="inlineStr">
        <is>
          <t>iCasso Mouse Pad Wrist Support, Ergonomic Mouse Pad,13x8 inch Pain Relief Keyboard Wrist Rest, Comfortable Memory Foam Mousepad with Non-Slip PU Base Mouse Pads for Desk Computer Keyboard Home Office</t>
        </is>
      </c>
      <c r="E4940" s="2">
        <f>HYPERLINK("https://www.amazon.com/iCasso-Ergonomic-Keyboard-Comfortable-Mousepad/dp/B0BQHNFFMD/ref=sr_1_5?keywords=Mouse+Pads+Mousepad&amp;qid=1695565302&amp;sr=8-5", "https://www.amazon.com/iCasso-Ergonomic-Keyboard-Comfortable-Mousepad/dp/B0BQHNFFMD/ref=sr_1_5?keywords=Mouse+Pads+Mousepad&amp;qid=1695565302&amp;sr=8-5")</f>
        <v/>
      </c>
      <c r="F4940" t="inlineStr">
        <is>
          <t>B0BQHNFFMD</t>
        </is>
      </c>
      <c r="H4940">
        <f>_xlfn.IMAGE("https://m.media-amazon.com/images/I/71NG52pypBL._AC_UL320_.jpg")</f>
        <v/>
      </c>
      <c r="K4940" t="inlineStr">
        <is>
          <t>6.99</t>
        </is>
      </c>
      <c r="L4940" t="n">
        <v>22.99</v>
      </c>
      <c r="M4940" s="1" t="inlineStr">
        <is>
          <t>228.90%</t>
        </is>
      </c>
      <c r="N4940" t="n">
        <v>4.6</v>
      </c>
      <c r="O4940" t="n">
        <v>228</v>
      </c>
      <c r="Q4940" t="inlineStr">
        <is>
          <t>InStock</t>
        </is>
      </c>
      <c r="R4940" t="inlineStr">
        <is>
          <t>9.99</t>
        </is>
      </c>
      <c r="S4940" t="inlineStr">
        <is>
          <t>672127089</t>
        </is>
      </c>
    </row>
    <row r="4941" ht="75" customHeight="1">
      <c r="A4941" s="2">
        <f>HYPERLINK("https://www.cafepress.com/+mousepad,672127089", "https://www.cafepress.com/+mousepad,672127089")</f>
        <v/>
      </c>
      <c r="B4941" s="2">
        <f>HYPERLINK("https://www.cafepress.com/+mousepad,672127089", "https://www.cafepress.com/+mousepad,672127089")</f>
        <v/>
      </c>
      <c r="C4941" t="inlineStr">
        <is>
          <t>Mouse Pads Mousepad</t>
        </is>
      </c>
      <c r="D4941" t="inlineStr">
        <is>
          <t>Funny Cat Mouse Pad Square Cute Mouse Pads for Wireless Mouse Small Office Computer Mousepad for Desk Laptop with Non-Slip Rubber Base Mouse Mat, 7.9×9.5 in, Three Cats</t>
        </is>
      </c>
      <c r="E4941" s="2">
        <f>HYPERLINK("https://www.amazon.com/Wireless-Computer-Mousepad-Non-Slip-7-9%C3%979-5/dp/B0C9LYHMFK/ref=sr_1_10?keywords=Mouse+Pads+Mousepad&amp;qid=1695565302&amp;sr=8-10", "https://www.amazon.com/Wireless-Computer-Mousepad-Non-Slip-7-9%C3%979-5/dp/B0C9LYHMFK/ref=sr_1_10?keywords=Mouse+Pads+Mousepad&amp;qid=1695565302&amp;sr=8-10")</f>
        <v/>
      </c>
      <c r="F4941" t="inlineStr">
        <is>
          <t>B0C9LYHMFK</t>
        </is>
      </c>
      <c r="H4941">
        <f>_xlfn.IMAGE("https://m.media-amazon.com/images/I/51VMwBvSZDL._AC_UL320_.jpg")</f>
        <v/>
      </c>
      <c r="K4941" t="inlineStr">
        <is>
          <t>6.99</t>
        </is>
      </c>
      <c r="L4941" t="n">
        <v>6.99</v>
      </c>
      <c r="M4941" s="1" t="inlineStr">
        <is>
          <t>0.00%</t>
        </is>
      </c>
      <c r="N4941" t="n">
        <v>4.5</v>
      </c>
      <c r="O4941" t="n">
        <v>32</v>
      </c>
      <c r="Q4941" t="inlineStr">
        <is>
          <t>InStock</t>
        </is>
      </c>
      <c r="R4941" t="inlineStr">
        <is>
          <t>9.99</t>
        </is>
      </c>
      <c r="S4941" t="inlineStr">
        <is>
          <t>672127089</t>
        </is>
      </c>
    </row>
    <row r="4942" ht="75" customHeight="1">
      <c r="A4942" s="2">
        <f>HYPERLINK("https://www.cafepress.com/+mousepad,672127089", "https://www.cafepress.com/+mousepad,672127089")</f>
        <v/>
      </c>
      <c r="B4942" s="2">
        <f>HYPERLINK("https://www.cafepress.com/+mousepad,672127089", "https://www.cafepress.com/+mousepad,672127089")</f>
        <v/>
      </c>
      <c r="C4942" t="inlineStr">
        <is>
          <t>Mouse Pads Mousepad</t>
        </is>
      </c>
      <c r="D4942" t="inlineStr">
        <is>
          <t>Boho Mandala Mouse Pad Small Mousepads for Desk 10.2×8.3×0.12 Inch Gaming Mouse Pad with Stitched Edge Square Mouse Mat for Wireless Mouse Laptop Desk Pad Non-Slip Rubber Base Office Home Travel</t>
        </is>
      </c>
      <c r="E4942" s="2">
        <f>HYPERLINK("https://www.amazon.com/Mousepads-10-2%C3%978-3%C3%970-12-Stitched-Wireless-Non-Slip/dp/B0C55M5RXM/ref=sr_1_8?keywords=Mouse+Pads+Mousepad&amp;qid=1695565302&amp;sr=8-8", "https://www.amazon.com/Mousepads-10-2%C3%978-3%C3%970-12-Stitched-Wireless-Non-Slip/dp/B0C55M5RXM/ref=sr_1_8?keywords=Mouse+Pads+Mousepad&amp;qid=1695565302&amp;sr=8-8")</f>
        <v/>
      </c>
      <c r="F4942" t="inlineStr">
        <is>
          <t>B0C55M5RXM</t>
        </is>
      </c>
      <c r="H4942">
        <f>_xlfn.IMAGE("https://m.media-amazon.com/images/I/81E-Xg3gndL._AC_UL320_.jpg")</f>
        <v/>
      </c>
      <c r="K4942" t="inlineStr">
        <is>
          <t>6.99</t>
        </is>
      </c>
      <c r="L4942" t="n">
        <v>3.49</v>
      </c>
      <c r="M4942" s="1" t="inlineStr">
        <is>
          <t>-50.07%</t>
        </is>
      </c>
      <c r="N4942" t="n">
        <v>4.7</v>
      </c>
      <c r="O4942" t="n">
        <v>8</v>
      </c>
      <c r="Q4942" t="inlineStr">
        <is>
          <t>InStock</t>
        </is>
      </c>
      <c r="R4942" t="inlineStr">
        <is>
          <t>9.99</t>
        </is>
      </c>
      <c r="S4942" t="inlineStr">
        <is>
          <t>672127089</t>
        </is>
      </c>
    </row>
    <row r="4943" ht="75" customHeight="1">
      <c r="A4943" s="2">
        <f>HYPERLINK("https://www.cafepress.com/+pumpkin_zentangle_tote_bag,150610969", "https://www.cafepress.com/+pumpkin_zentangle_tote_bag,150610969")</f>
        <v/>
      </c>
      <c r="B4943" s="2">
        <f>HYPERLINK("https://www.cafepress.com/+pumpkin_zentangle_tote_bag,150610969", "https://www.cafepress.com/+pumpkin_zentangle_tote_bag,150610969")</f>
        <v/>
      </c>
      <c r="C4943" t="inlineStr">
        <is>
          <t>Canvas Tote Bags Pumpkin Zentangle Tote Bag</t>
        </is>
      </c>
      <c r="D4943" t="inlineStr">
        <is>
          <t>Canvas Tote Bags Lightweight Blank DIY Shoulder Bag Reusable Hobo Bags 2pcs</t>
        </is>
      </c>
      <c r="E4943" s="2">
        <f>HYPERLINK("https://www.amazon.com/Lily-queen-Lightweight-Shoulder-Reusable/dp/B0C2Z1ZDFF/ref=sr_1_4?keywords=Canvas+Tote+Bags+Pumpkin+Zentangle+Tote+Bag&amp;qid=1695565343&amp;sr=8-4", "https://www.amazon.com/Lily-queen-Lightweight-Shoulder-Reusable/dp/B0C2Z1ZDFF/ref=sr_1_4?keywords=Canvas+Tote+Bags+Pumpkin+Zentangle+Tote+Bag&amp;qid=1695565343&amp;sr=8-4")</f>
        <v/>
      </c>
      <c r="F4943" t="inlineStr">
        <is>
          <t>B0C2Z1ZDFF</t>
        </is>
      </c>
      <c r="H4943">
        <f>_xlfn.IMAGE("https://m.media-amazon.com/images/I/61UXPgosX4L._AC_UL320_.jpg")</f>
        <v/>
      </c>
      <c r="K4943" t="inlineStr">
        <is>
          <t>12.99</t>
        </is>
      </c>
      <c r="L4943" t="n">
        <v>15.99</v>
      </c>
      <c r="M4943" s="1" t="inlineStr">
        <is>
          <t>23.09%</t>
        </is>
      </c>
      <c r="N4943" t="n">
        <v>5</v>
      </c>
      <c r="O4943" t="n">
        <v>21</v>
      </c>
      <c r="Q4943" t="inlineStr">
        <is>
          <t>undefined</t>
        </is>
      </c>
      <c r="R4943" t="inlineStr">
        <is>
          <t>18.99</t>
        </is>
      </c>
      <c r="S4943" t="inlineStr">
        <is>
          <t>150610969</t>
        </is>
      </c>
    </row>
    <row r="4944" ht="75" customHeight="1">
      <c r="A4944" s="2">
        <f>HYPERLINK("https://www.cafepress.com/+pumpkin_zentangle_tote_bag,150610969", "https://www.cafepress.com/+pumpkin_zentangle_tote_bag,150610969")</f>
        <v/>
      </c>
      <c r="B4944" s="2">
        <f>HYPERLINK("https://www.cafepress.com/+pumpkin_zentangle_tote_bag,150610969", "https://www.cafepress.com/+pumpkin_zentangle_tote_bag,150610969")</f>
        <v/>
      </c>
      <c r="C4944" t="inlineStr">
        <is>
          <t>Canvas Tote Bags Pumpkin Zentangle Tote Bag</t>
        </is>
      </c>
      <c r="D4944" t="inlineStr">
        <is>
          <t>3 Pack Fall Canvas Tote Bags Sunflower Tote Bag Pumpkins Canvas Bag Reusable Cotton Handbag Grocery Bags for Shopping Market Travel Beach Autumn Theme Harvest Party Favors, 13" x 13"</t>
        </is>
      </c>
      <c r="E4944" s="2">
        <f>HYPERLINK("https://www.amazon.com/Sunflower-Pumpkins-Reusable-Handbag-Shopping/dp/B0B589Y5VL/ref=sr_1_7?keywords=Canvas+Tote+Bags+Pumpkin+Zentangle+Tote+Bag&amp;qid=1695565343&amp;sr=8-7", "https://www.amazon.com/Sunflower-Pumpkins-Reusable-Handbag-Shopping/dp/B0B589Y5VL/ref=sr_1_7?keywords=Canvas+Tote+Bags+Pumpkin+Zentangle+Tote+Bag&amp;qid=1695565343&amp;sr=8-7")</f>
        <v/>
      </c>
      <c r="F4944" t="inlineStr">
        <is>
          <t>B0B589Y5VL</t>
        </is>
      </c>
      <c r="H4944">
        <f>_xlfn.IMAGE("https://m.media-amazon.com/images/I/61CgBpjyCIL._AC_UL320_.jpg")</f>
        <v/>
      </c>
      <c r="K4944" t="inlineStr">
        <is>
          <t>12.99</t>
        </is>
      </c>
      <c r="L4944" t="n">
        <v>12.99</v>
      </c>
      <c r="M4944" s="1" t="inlineStr">
        <is>
          <t>0.00%</t>
        </is>
      </c>
      <c r="N4944" t="n">
        <v>4.5</v>
      </c>
      <c r="O4944" t="n">
        <v>2</v>
      </c>
      <c r="Q4944" t="inlineStr">
        <is>
          <t>undefined</t>
        </is>
      </c>
      <c r="R4944" t="inlineStr">
        <is>
          <t>18.99</t>
        </is>
      </c>
      <c r="S4944" t="inlineStr">
        <is>
          <t>150610969</t>
        </is>
      </c>
    </row>
    <row r="4945" ht="75" customHeight="1">
      <c r="A4945" s="2">
        <f>HYPERLINK("https://www.cafepress.com/+pumpkin_zentangle_tote_bag,150610969", "https://www.cafepress.com/+pumpkin_zentangle_tote_bag,150610969")</f>
        <v/>
      </c>
      <c r="B4945" s="2">
        <f>HYPERLINK("https://www.cafepress.com/+pumpkin_zentangle_tote_bag,150610969", "https://www.cafepress.com/+pumpkin_zentangle_tote_bag,150610969")</f>
        <v/>
      </c>
      <c r="C4945" t="inlineStr">
        <is>
          <t>Canvas Tote Bags Pumpkin Zentangle Tote Bag</t>
        </is>
      </c>
      <c r="D4945" t="inlineStr">
        <is>
          <t>Canvas Bag for Women, Cute Tote Bags with Interior Pocket,Reusable Grocery Bags for Shopping, Beach, College</t>
        </is>
      </c>
      <c r="E4945" s="2">
        <f>HYPERLINK("https://www.amazon.com/OPG-Interior-Reusable-Grocery-Shopping/dp/B0BWRJL7GN/ref=sr_1_10?keywords=Canvas+Tote+Bags+Pumpkin+Zentangle+Tote+Bag&amp;qid=1695565343&amp;sr=8-10", "https://www.amazon.com/OPG-Interior-Reusable-Grocery-Shopping/dp/B0BWRJL7GN/ref=sr_1_10?keywords=Canvas+Tote+Bags+Pumpkin+Zentangle+Tote+Bag&amp;qid=1695565343&amp;sr=8-10")</f>
        <v/>
      </c>
      <c r="F4945" t="inlineStr">
        <is>
          <t>B0BWRJL7GN</t>
        </is>
      </c>
      <c r="H4945">
        <f>_xlfn.IMAGE("https://m.media-amazon.com/images/I/6191oEPYMqL._AC_UL320_.jpg")</f>
        <v/>
      </c>
      <c r="K4945" t="inlineStr">
        <is>
          <t>12.99</t>
        </is>
      </c>
      <c r="L4945" t="n">
        <v>9.890000000000001</v>
      </c>
      <c r="M4945" s="1" t="inlineStr">
        <is>
          <t>-23.86%</t>
        </is>
      </c>
      <c r="N4945" t="n">
        <v>3.5</v>
      </c>
      <c r="O4945" t="n">
        <v>2</v>
      </c>
      <c r="Q4945" t="inlineStr">
        <is>
          <t>undefined</t>
        </is>
      </c>
      <c r="R4945" t="inlineStr">
        <is>
          <t>18.99</t>
        </is>
      </c>
      <c r="S4945" t="inlineStr">
        <is>
          <t>150610969</t>
        </is>
      </c>
    </row>
    <row r="4946" ht="75" customHeight="1">
      <c r="A4946" s="2">
        <f>HYPERLINK("https://www.cafepress.com/+sunflower_on_black_beach_towel,1360300438", "https://www.cafepress.com/+sunflower_on_black_beach_towel,1360300438")</f>
        <v/>
      </c>
      <c r="B4946" s="2">
        <f>HYPERLINK("https://www.cafepress.com/+sunflower_on_black_beach_towel,1360300438", "https://www.cafepress.com/+sunflower_on_black_beach_towel,1360300438")</f>
        <v/>
      </c>
      <c r="C4946" t="inlineStr">
        <is>
          <t>Sunflower on Black Beach Towel</t>
        </is>
      </c>
      <c r="D4946" t="inlineStr">
        <is>
          <t>SKT T1 Microfiber American Flag Cow Sunflower Beach Towels Yellow Floral and Cow on Black and White USA Flag Bath Towel for Adults Kids, Quick Dry Sand Free Pool Towel Wrap, Oversized 31.5x51.2</t>
        </is>
      </c>
      <c r="E4946" s="2">
        <f>HYPERLINK("https://www.amazon.com/SKT-T1-Microfiber-Sunflower-Oversized/dp/B0BTBML171/ref=sr_1_2?keywords=Sunflower+on+Black+Beach+Towel&amp;qid=1695565334&amp;sr=8-2", "https://www.amazon.com/SKT-T1-Microfiber-Sunflower-Oversized/dp/B0BTBML171/ref=sr_1_2?keywords=Sunflower+on+Black+Beach+Towel&amp;qid=1695565334&amp;sr=8-2")</f>
        <v/>
      </c>
      <c r="F4946" t="inlineStr">
        <is>
          <t>B0BTBML171</t>
        </is>
      </c>
      <c r="H4946">
        <f>_xlfn.IMAGE("https://m.media-amazon.com/images/I/61ZTKMhjKTL._AC_UL320_.jpg")</f>
        <v/>
      </c>
      <c r="K4946" t="inlineStr">
        <is>
          <t>32.99</t>
        </is>
      </c>
      <c r="L4946" t="n">
        <v>19.99</v>
      </c>
      <c r="M4946" s="1" t="inlineStr">
        <is>
          <t>-39.41%</t>
        </is>
      </c>
      <c r="N4946" t="n">
        <v>4.2</v>
      </c>
      <c r="O4946" t="n">
        <v>5</v>
      </c>
      <c r="Q4946" t="inlineStr">
        <is>
          <t>InStock</t>
        </is>
      </c>
      <c r="R4946" t="inlineStr">
        <is>
          <t>49.99</t>
        </is>
      </c>
      <c r="S4946" t="inlineStr">
        <is>
          <t>1360300438</t>
        </is>
      </c>
    </row>
    <row r="4947" ht="75" customHeight="1">
      <c r="A4947" s="2">
        <f>HYPERLINK("https://www.cafepress.com/+sunflower_on_black_beach_towel,1360300438", "https://www.cafepress.com/+sunflower_on_black_beach_towel,1360300438")</f>
        <v/>
      </c>
      <c r="B4947" s="2">
        <f>HYPERLINK("https://www.cafepress.com/+sunflower_on_black_beach_towel,1360300438", "https://www.cafepress.com/+sunflower_on_black_beach_towel,1360300438")</f>
        <v/>
      </c>
      <c r="C4947" t="inlineStr">
        <is>
          <t>Sunflower on Black Beach Towel</t>
        </is>
      </c>
      <c r="D4947" t="inlineStr">
        <is>
          <t>SKT T1 Microfiber Sunflower Beach Towel You are My Sunshine Bath Towels Yellow Flower Floral Bee on Black Pool Travel Towel for Women Girls, Quick Dry Sand Towel Beach Blanket, Oversized 31.5x51.2</t>
        </is>
      </c>
      <c r="E4947" s="2">
        <f>HYPERLINK("https://www.amazon.com/SKT-T1-Microfiber-Sunflower-Oversized/dp/B0BTBN6QGP/ref=sr_1_4?keywords=Sunflower+on+Black+Beach+Towel&amp;qid=1695565334&amp;sr=8-4", "https://www.amazon.com/SKT-T1-Microfiber-Sunflower-Oversized/dp/B0BTBN6QGP/ref=sr_1_4?keywords=Sunflower+on+Black+Beach+Towel&amp;qid=1695565334&amp;sr=8-4")</f>
        <v/>
      </c>
      <c r="F4947" t="inlineStr">
        <is>
          <t>B0BTBN6QGP</t>
        </is>
      </c>
      <c r="H4947">
        <f>_xlfn.IMAGE("https://m.media-amazon.com/images/I/61c9m3p5u-L._AC_UL320_.jpg")</f>
        <v/>
      </c>
      <c r="K4947" t="inlineStr">
        <is>
          <t>32.99</t>
        </is>
      </c>
      <c r="L4947" t="n">
        <v>19.99</v>
      </c>
      <c r="M4947" s="1" t="inlineStr">
        <is>
          <t>-39.41%</t>
        </is>
      </c>
      <c r="N4947" t="n">
        <v>1</v>
      </c>
      <c r="O4947" t="n">
        <v>1</v>
      </c>
      <c r="Q4947" t="inlineStr">
        <is>
          <t>InStock</t>
        </is>
      </c>
      <c r="R4947" t="inlineStr">
        <is>
          <t>49.99</t>
        </is>
      </c>
      <c r="S4947" t="inlineStr">
        <is>
          <t>1360300438</t>
        </is>
      </c>
    </row>
    <row r="4948" ht="75" customHeight="1">
      <c r="A4948" s="2">
        <f>HYPERLINK("https://www.cafepress.com/+sunflower_on_black_beach_towel,1360300438", "https://www.cafepress.com/+sunflower_on_black_beach_towel,1360300438")</f>
        <v/>
      </c>
      <c r="B4948" s="2">
        <f>HYPERLINK("https://www.cafepress.com/+sunflower_on_black_beach_towel,1360300438", "https://www.cafepress.com/+sunflower_on_black_beach_towel,1360300438")</f>
        <v/>
      </c>
      <c r="C4948" t="inlineStr">
        <is>
          <t>Sunflower on Black Beach Towel</t>
        </is>
      </c>
      <c r="D4948" t="inlineStr">
        <is>
          <t>Bo Bo chook Beach Towel Sunflower Quick Dry Microfiber Towels Soft Sand Free Beach Blanket Black Sunflower Towels Pool Swim Bath Travel Sunflower Gifts Women Kids Towel 52x32 Inch</t>
        </is>
      </c>
      <c r="E4948" s="2">
        <f>HYPERLINK("https://www.amazon.com/Bo-chook-Sunflower-Microfiber-Blanket/dp/B0912NDSR3/ref=sr_1_1?keywords=Sunflower+on+Black+Beach+Towel&amp;qid=1695565334&amp;sr=8-1", "https://www.amazon.com/Bo-chook-Sunflower-Microfiber-Blanket/dp/B0912NDSR3/ref=sr_1_1?keywords=Sunflower+on+Black+Beach+Towel&amp;qid=1695565334&amp;sr=8-1")</f>
        <v/>
      </c>
      <c r="F4948" t="inlineStr">
        <is>
          <t>B0912NDSR3</t>
        </is>
      </c>
      <c r="H4948">
        <f>_xlfn.IMAGE("https://m.media-amazon.com/images/I/81asBYxsHXL._AC_UL320_.jpg")</f>
        <v/>
      </c>
      <c r="K4948" t="inlineStr">
        <is>
          <t>32.99</t>
        </is>
      </c>
      <c r="L4948" t="n">
        <v>9.99</v>
      </c>
      <c r="M4948" s="1" t="inlineStr">
        <is>
          <t>-69.72%</t>
        </is>
      </c>
      <c r="N4948" t="n">
        <v>4.3</v>
      </c>
      <c r="O4948" t="n">
        <v>125</v>
      </c>
      <c r="Q4948" t="inlineStr">
        <is>
          <t>InStock</t>
        </is>
      </c>
      <c r="R4948" t="inlineStr">
        <is>
          <t>49.99</t>
        </is>
      </c>
      <c r="S4948" t="inlineStr">
        <is>
          <t>1360300438</t>
        </is>
      </c>
    </row>
    <row r="4949" ht="75" customHeight="1">
      <c r="A4949" s="2">
        <f>HYPERLINK("https://www.cafepress.com/+thanksgiving_pilgrims_yard_sign,325356509", "https://www.cafepress.com/+thanksgiving_pilgrims_yard_sign,325356509")</f>
        <v/>
      </c>
      <c r="B4949" s="2">
        <f>HYPERLINK("https://www.cafepress.com/+thanksgiving_pilgrims_yard_sign,325356509", "https://www.cafepress.com/+thanksgiving_pilgrims_yard_sign,325356509")</f>
        <v/>
      </c>
      <c r="C4949" t="inlineStr">
        <is>
          <t>Thanksgiving Pilgrims Yard Sign</t>
        </is>
      </c>
      <c r="D4949" t="inlineStr">
        <is>
          <t>glitzhome Set of 2 Metal Thanksgiving Pilgrim Boy Girl Yard Sign with Stake, Wall Decor Hanging Sign Ornament, Front Door Standing Decor for Fall Thanksgiving Autumn Garden Outdoor Decoration, 36" H</t>
        </is>
      </c>
      <c r="E4949" s="2">
        <f>HYPERLINK("https://www.amazon.com/Glitzhome-Thanksgiving-Ornament-Standing-Decoration/dp/B0B5TFNKQ7/ref=sr_1_9?keywords=Thanksgiving+Pilgrims+Yard+Sign&amp;qid=1695565300&amp;sr=8-9", "https://www.amazon.com/Glitzhome-Thanksgiving-Ornament-Standing-Decoration/dp/B0B5TFNKQ7/ref=sr_1_9?keywords=Thanksgiving+Pilgrims+Yard+Sign&amp;qid=1695565300&amp;sr=8-9")</f>
        <v/>
      </c>
      <c r="F4949" t="inlineStr">
        <is>
          <t>B0B5TFNKQ7</t>
        </is>
      </c>
      <c r="H4949">
        <f>_xlfn.IMAGE("https://m.media-amazon.com/images/I/81qkr1JLBRL._AC_UL320_.jpg")</f>
        <v/>
      </c>
      <c r="K4949" t="inlineStr">
        <is>
          <t>19.99</t>
        </is>
      </c>
      <c r="L4949" t="n">
        <v>45.99</v>
      </c>
      <c r="M4949" s="1" t="inlineStr">
        <is>
          <t>130.07%</t>
        </is>
      </c>
      <c r="N4949" t="n">
        <v>4.4</v>
      </c>
      <c r="O4949" t="n">
        <v>935</v>
      </c>
      <c r="Q4949" t="inlineStr">
        <is>
          <t>InStock</t>
        </is>
      </c>
      <c r="R4949" t="inlineStr">
        <is>
          <t>29.99</t>
        </is>
      </c>
      <c r="S4949" t="inlineStr">
        <is>
          <t>325356509</t>
        </is>
      </c>
    </row>
    <row r="4950" ht="75" customHeight="1">
      <c r="A4950" s="2">
        <f>HYPERLINK("https://www.cafepress.com/+thanksgiving_pilgrims_yard_sign,325356509", "https://www.cafepress.com/+thanksgiving_pilgrims_yard_sign,325356509")</f>
        <v/>
      </c>
      <c r="B4950" s="2">
        <f>HYPERLINK("https://www.cafepress.com/+thanksgiving_pilgrims_yard_sign,325356509", "https://www.cafepress.com/+thanksgiving_pilgrims_yard_sign,325356509")</f>
        <v/>
      </c>
      <c r="C4950" t="inlineStr">
        <is>
          <t>Thanksgiving Pilgrims Yard Sign</t>
        </is>
      </c>
      <c r="D4950" t="inlineStr">
        <is>
          <t>4 Pieces Fall Scarecrow Yard Stake Scarecrow Porch Sign with Stakes Rustic Turkey Thanksgiving Pilgrim Yard Decorations Pumpkin Harvest Scarecrow for Autumn Outdoor Lawn Supplies (Pilgrim)</t>
        </is>
      </c>
      <c r="E4950" s="2">
        <f>HYPERLINK("https://www.amazon.com/Geetery-Scarecrow-Thanksgiving-Decorations-Supplies/dp/B0C999W8NQ/ref=sr_1_5?keywords=Thanksgiving+Pilgrims+Yard+Sign&amp;qid=1695565300&amp;sr=8-5", "https://www.amazon.com/Geetery-Scarecrow-Thanksgiving-Decorations-Supplies/dp/B0C999W8NQ/ref=sr_1_5?keywords=Thanksgiving+Pilgrims+Yard+Sign&amp;qid=1695565300&amp;sr=8-5")</f>
        <v/>
      </c>
      <c r="F4950" t="inlineStr">
        <is>
          <t>B0C999W8NQ</t>
        </is>
      </c>
      <c r="H4950">
        <f>_xlfn.IMAGE("https://m.media-amazon.com/images/I/91zJaxIjvQL._AC_UL320_.jpg")</f>
        <v/>
      </c>
      <c r="K4950" t="inlineStr">
        <is>
          <t>19.99</t>
        </is>
      </c>
      <c r="L4950" t="n">
        <v>22.99</v>
      </c>
      <c r="M4950" s="1" t="inlineStr">
        <is>
          <t>15.01%</t>
        </is>
      </c>
      <c r="N4950" t="n">
        <v>3.6</v>
      </c>
      <c r="O4950" t="n">
        <v>7</v>
      </c>
      <c r="Q4950" t="inlineStr">
        <is>
          <t>InStock</t>
        </is>
      </c>
      <c r="R4950" t="inlineStr">
        <is>
          <t>29.99</t>
        </is>
      </c>
      <c r="S4950" t="inlineStr">
        <is>
          <t>325356509</t>
        </is>
      </c>
    </row>
    <row r="4951" ht="75" customHeight="1">
      <c r="A4951" s="2">
        <f>HYPERLINK("https://www.cafepress.com/+thanksgiving_pilgrims_yard_sign,325356509", "https://www.cafepress.com/+thanksgiving_pilgrims_yard_sign,325356509")</f>
        <v/>
      </c>
      <c r="B4951" s="2">
        <f>HYPERLINK("https://www.cafepress.com/+thanksgiving_pilgrims_yard_sign,325356509", "https://www.cafepress.com/+thanksgiving_pilgrims_yard_sign,325356509")</f>
        <v/>
      </c>
      <c r="C4951" t="inlineStr">
        <is>
          <t>Thanksgiving Pilgrims Yard Sign</t>
        </is>
      </c>
      <c r="D4951" t="inlineStr">
        <is>
          <t>Large Thanksgiving Pilgrim Yard Sign Thanksgiving Harvest Theme Pilgrim Boy Girl Lawn Signs with Stakes for Fall Indoor Outdoor Decorations Autumn Office Farmhouse Garden Walkway Supplies Photo Props - Set of 2pcs</t>
        </is>
      </c>
      <c r="E4951" s="2">
        <f>HYPERLINK("https://www.amazon.com/Thanksgiving-Pilgrim-Decorations-Farmhouse-Supplies/dp/B0BK85RG9S/ref=sr_1_3?keywords=Thanksgiving+Pilgrims+Yard+Sign&amp;qid=1695565300&amp;sr=8-3", "https://www.amazon.com/Thanksgiving-Pilgrim-Decorations-Farmhouse-Supplies/dp/B0BK85RG9S/ref=sr_1_3?keywords=Thanksgiving+Pilgrims+Yard+Sign&amp;qid=1695565300&amp;sr=8-3")</f>
        <v/>
      </c>
      <c r="F4951" t="inlineStr">
        <is>
          <t>B0BK85RG9S</t>
        </is>
      </c>
      <c r="H4951">
        <f>_xlfn.IMAGE("https://m.media-amazon.com/images/I/811y4SBdg2L._AC_UL320_.jpg")</f>
        <v/>
      </c>
      <c r="K4951" t="inlineStr">
        <is>
          <t>19.99</t>
        </is>
      </c>
      <c r="L4951" t="n">
        <v>18.99</v>
      </c>
      <c r="M4951" s="1" t="inlineStr">
        <is>
          <t>-5.00%</t>
        </is>
      </c>
      <c r="N4951" t="n">
        <v>4.8</v>
      </c>
      <c r="O4951" t="n">
        <v>13</v>
      </c>
      <c r="Q4951" t="inlineStr">
        <is>
          <t>InStock</t>
        </is>
      </c>
      <c r="R4951" t="inlineStr">
        <is>
          <t>29.99</t>
        </is>
      </c>
      <c r="S4951" t="inlineStr">
        <is>
          <t>325356509</t>
        </is>
      </c>
    </row>
    <row r="4952" ht="75" customHeight="1">
      <c r="A4952" s="2">
        <f>HYPERLINK("https://www.cafepress.com/+thanksgiving_pilgrims_yard_sign,325356509", "https://www.cafepress.com/+thanksgiving_pilgrims_yard_sign,325356509")</f>
        <v/>
      </c>
      <c r="B4952" s="2">
        <f>HYPERLINK("https://www.cafepress.com/+thanksgiving_pilgrims_yard_sign,325356509", "https://www.cafepress.com/+thanksgiving_pilgrims_yard_sign,325356509")</f>
        <v/>
      </c>
      <c r="C4952" t="inlineStr">
        <is>
          <t>Thanksgiving Pilgrims Yard Sign</t>
        </is>
      </c>
      <c r="D4952" t="inlineStr">
        <is>
          <t>Large Thanksgiving Pilgrim Yard Sign Pilgrim Boy Girl Pumpkin Turkey Happy Fall Yard Lawn Sign with H Stands for Autumn Thanksgiving Harvest Party Outdoor Supplies Decoration, 33 x 12.6 Inch</t>
        </is>
      </c>
      <c r="E4952" s="2">
        <f>HYPERLINK("https://www.amazon.com/Thanksgiving-Pilgrim-Pumpkin-Supplies-Decoration/dp/B0B974JR1T/ref=sr_1_1?keywords=Thanksgiving+Pilgrims+Yard+Sign&amp;qid=1695565300&amp;sr=8-1", "https://www.amazon.com/Thanksgiving-Pilgrim-Pumpkin-Supplies-Decoration/dp/B0B974JR1T/ref=sr_1_1?keywords=Thanksgiving+Pilgrims+Yard+Sign&amp;qid=1695565300&amp;sr=8-1")</f>
        <v/>
      </c>
      <c r="F4952" t="inlineStr">
        <is>
          <t>B0B974JR1T</t>
        </is>
      </c>
      <c r="H4952">
        <f>_xlfn.IMAGE("https://m.media-amazon.com/images/I/81EVQggWtgL._AC_UL320_.jpg")</f>
        <v/>
      </c>
      <c r="K4952" t="inlineStr">
        <is>
          <t>19.99</t>
        </is>
      </c>
      <c r="L4952" t="n">
        <v>16.99</v>
      </c>
      <c r="M4952" s="1" t="inlineStr">
        <is>
          <t>-15.01%</t>
        </is>
      </c>
      <c r="N4952" t="n">
        <v>4.1</v>
      </c>
      <c r="O4952" t="n">
        <v>90</v>
      </c>
      <c r="Q4952" t="inlineStr">
        <is>
          <t>InStock</t>
        </is>
      </c>
      <c r="R4952" t="inlineStr">
        <is>
          <t>29.99</t>
        </is>
      </c>
      <c r="S4952" t="inlineStr">
        <is>
          <t>325356509</t>
        </is>
      </c>
    </row>
    <row r="4953" ht="75" customHeight="1">
      <c r="A4953" s="2">
        <f>HYPERLINK("https://www.cafepress.com/+thanksgiving_turkey_twin_duvet_cover,1032756533", "https://www.cafepress.com/+thanksgiving_turkey_twin_duvet_cover,1032756533")</f>
        <v/>
      </c>
      <c r="B4953" s="2">
        <f>HYPERLINK("https://www.cafepress.com/+thanksgiving_turkey_twin_duvet_cover,1032756533", "https://www.cafepress.com/+thanksgiving_turkey_twin_duvet_cover,1032756533")</f>
        <v/>
      </c>
      <c r="C4953" t="inlineStr">
        <is>
          <t>Twin Duvet Covers Thanksgiving Turkey Twin Duvet Cover</t>
        </is>
      </c>
      <c r="D4953" t="inlineStr">
        <is>
          <t>Ambesonne Turkey Duvet Cover Set, Happy Thanksgiving Falling Leaves and Poultry Birds Harvest Time Celebration, Decorative 2 Piece Bedding Set with 1 Pillow Sham, Twin Size, Brown Cream</t>
        </is>
      </c>
      <c r="E4953" s="2">
        <f>HYPERLINK("https://www.amazon.com/Ambesonne-Thanksgiving-Celebration-Decorative-Multicolor/dp/B077SX2XFD/ref=sr_1_2?keywords=Twin+Duvet+Covers+Thanksgiving+Turkey+Twin+Duvet+Cover&amp;qid=1695565341&amp;sr=8-2", "https://www.amazon.com/Ambesonne-Thanksgiving-Celebration-Decorative-Multicolor/dp/B077SX2XFD/ref=sr_1_2?keywords=Twin+Duvet+Covers+Thanksgiving+Turkey+Twin+Duvet+Cover&amp;qid=1695565341&amp;sr=8-2")</f>
        <v/>
      </c>
      <c r="F4953" t="inlineStr">
        <is>
          <t>B077SX2XFD</t>
        </is>
      </c>
      <c r="H4953">
        <f>_xlfn.IMAGE("https://m.media-amazon.com/images/I/71ZSLp3uFhS._AC_UL320_.jpg")</f>
        <v/>
      </c>
      <c r="K4953" t="inlineStr">
        <is>
          <t>161.99</t>
        </is>
      </c>
      <c r="L4953" t="n">
        <v>69.98999999999999</v>
      </c>
      <c r="M4953" s="1" t="inlineStr">
        <is>
          <t>-56.79%</t>
        </is>
      </c>
      <c r="N4953" t="n">
        <v>4.1</v>
      </c>
      <c r="O4953" t="n">
        <v>313</v>
      </c>
      <c r="Q4953" t="inlineStr">
        <is>
          <t>InStock</t>
        </is>
      </c>
      <c r="R4953" t="inlineStr">
        <is>
          <t>214.99</t>
        </is>
      </c>
      <c r="S4953" t="inlineStr">
        <is>
          <t>1032756533</t>
        </is>
      </c>
    </row>
    <row r="4954" ht="75" customHeight="1">
      <c r="A4954" s="2">
        <f>HYPERLINK("https://www.cafepress.com/+tiger_and_pumpkin_tote_bag,1144279421", "https://www.cafepress.com/+tiger_and_pumpkin_tote_bag,1144279421")</f>
        <v/>
      </c>
      <c r="B4954" s="2">
        <f>HYPERLINK("https://www.cafepress.com/+tiger_and_pumpkin_tote_bag,1144279421", "https://www.cafepress.com/+tiger_and_pumpkin_tote_bag,1144279421")</f>
        <v/>
      </c>
      <c r="C4954" t="inlineStr">
        <is>
          <t>Canvas Tote Bags Tiger and Pumpkin Tote Bag</t>
        </is>
      </c>
      <c r="D4954" t="inlineStr">
        <is>
          <t>3 Pack Fall Canvas Tote Bags Sunflower Tote Bag Pumpkins Canvas Bag Reusable Cotton Handbag Grocery Bags for Shopping Market Travel Beach Autumn Theme Harvest Party Favors, 13" x 13"</t>
        </is>
      </c>
      <c r="E4954" s="2">
        <f>HYPERLINK("https://www.amazon.com/Sunflower-Pumpkins-Reusable-Handbag-Shopping/dp/B0B589Y5VL/ref=sr_1_9?keywords=Canvas+Tote+Bags+Tiger+and+Pumpkin+Tote+Bag&amp;qid=1695565341&amp;sr=8-9", "https://www.amazon.com/Sunflower-Pumpkins-Reusable-Handbag-Shopping/dp/B0B589Y5VL/ref=sr_1_9?keywords=Canvas+Tote+Bags+Tiger+and+Pumpkin+Tote+Bag&amp;qid=1695565341&amp;sr=8-9")</f>
        <v/>
      </c>
      <c r="F4954" t="inlineStr">
        <is>
          <t>B0B589Y5VL</t>
        </is>
      </c>
      <c r="H4954">
        <f>_xlfn.IMAGE("https://m.media-amazon.com/images/I/61CgBpjyCIL._AC_UL320_.jpg")</f>
        <v/>
      </c>
      <c r="K4954" t="inlineStr">
        <is>
          <t>12.99</t>
        </is>
      </c>
      <c r="L4954" t="n">
        <v>12.99</v>
      </c>
      <c r="M4954" s="1" t="inlineStr">
        <is>
          <t>0.00%</t>
        </is>
      </c>
      <c r="N4954" t="n">
        <v>4.5</v>
      </c>
      <c r="O4954" t="n">
        <v>2</v>
      </c>
      <c r="Q4954" t="inlineStr">
        <is>
          <t>undefined</t>
        </is>
      </c>
      <c r="R4954" t="inlineStr">
        <is>
          <t>18.99</t>
        </is>
      </c>
      <c r="S4954" t="inlineStr">
        <is>
          <t>1144279421</t>
        </is>
      </c>
    </row>
    <row r="4955" ht="75" customHeight="1">
      <c r="A4955" s="2">
        <f>HYPERLINK("https://www.cafepress.com/+tote_bag,85261284", "https://www.cafepress.com/+tote_bag,85261284")</f>
        <v/>
      </c>
      <c r="B4955" s="2">
        <f>HYPERLINK("https://www.cafepress.com/+tote_bag,85261284", "https://www.cafepress.com/+tote_bag,85261284")</f>
        <v/>
      </c>
      <c r="C4955" t="inlineStr">
        <is>
          <t>Canvas Tote Bags Tote Bag</t>
        </is>
      </c>
      <c r="D4955" t="inlineStr">
        <is>
          <t>The Tote Bag for Women Crossbody Canvas Tote Bag Traveler Handbag Zipper Canvas Tote Bag</t>
        </is>
      </c>
      <c r="E4955" s="2">
        <f>HYPERLINK("https://www.amazon.com/Crossbody-Canvas-Traveler-Handbag-Zipper/dp/B0BNN6J43W/ref=sr_1_7?keywords=Canvas+Tote+Bags+Tote+Bag&amp;qid=1695565322&amp;sr=8-7", "https://www.amazon.com/Crossbody-Canvas-Traveler-Handbag-Zipper/dp/B0BNN6J43W/ref=sr_1_7?keywords=Canvas+Tote+Bags+Tote+Bag&amp;qid=1695565322&amp;sr=8-7")</f>
        <v/>
      </c>
      <c r="F4955" t="inlineStr">
        <is>
          <t>B0BNN6J43W</t>
        </is>
      </c>
      <c r="H4955">
        <f>_xlfn.IMAGE("https://m.media-amazon.com/images/I/619z4u6msiL._AC_UL320_.jpg")</f>
        <v/>
      </c>
      <c r="K4955" t="inlineStr">
        <is>
          <t>12.99</t>
        </is>
      </c>
      <c r="L4955" t="n">
        <v>29.99</v>
      </c>
      <c r="M4955" s="1" t="inlineStr">
        <is>
          <t>130.87%</t>
        </is>
      </c>
      <c r="N4955" t="n">
        <v>4.3</v>
      </c>
      <c r="O4955" t="n">
        <v>801</v>
      </c>
      <c r="Q4955" t="inlineStr">
        <is>
          <t>undefined</t>
        </is>
      </c>
      <c r="R4955" t="inlineStr">
        <is>
          <t>18.99</t>
        </is>
      </c>
      <c r="S4955" t="inlineStr">
        <is>
          <t>85261284</t>
        </is>
      </c>
    </row>
    <row r="4956" ht="75" customHeight="1">
      <c r="A4956" s="2">
        <f>HYPERLINK("https://www.cafepress.com/+tote_bag,85261284", "https://www.cafepress.com/+tote_bag,85261284")</f>
        <v/>
      </c>
      <c r="B4956" s="2">
        <f>HYPERLINK("https://www.cafepress.com/+tote_bag,85261284", "https://www.cafepress.com/+tote_bag,85261284")</f>
        <v/>
      </c>
      <c r="C4956" t="inlineStr">
        <is>
          <t>Canvas Tote Bags Tote Bag</t>
        </is>
      </c>
      <c r="D4956" t="inlineStr">
        <is>
          <t>Birthday Gifts for Women, Initial Canvas Tote Bag &amp; Makeup with Adjustable Strap, Embroidery Beach Bag Home Decor</t>
        </is>
      </c>
      <c r="E4956" s="2" t="n"/>
      <c r="F4956" t="inlineStr">
        <is>
          <t>B0CDC5LBJ9</t>
        </is>
      </c>
      <c r="H4956">
        <f>_xlfn.IMAGE("https://m.media-amazon.com/images/I/71gZh0s6hsL._AC_UL320_.jpg")</f>
        <v/>
      </c>
      <c r="K4956" t="inlineStr">
        <is>
          <t>12.99</t>
        </is>
      </c>
      <c r="L4956" t="n">
        <v>21.99</v>
      </c>
      <c r="M4956" s="1" t="inlineStr">
        <is>
          <t>69.28%</t>
        </is>
      </c>
      <c r="N4956" t="n">
        <v>5</v>
      </c>
      <c r="O4956" t="n">
        <v>5</v>
      </c>
      <c r="Q4956" t="inlineStr">
        <is>
          <t>undefined</t>
        </is>
      </c>
      <c r="R4956" t="inlineStr">
        <is>
          <t>18.99</t>
        </is>
      </c>
      <c r="S4956" t="inlineStr">
        <is>
          <t>85261284</t>
        </is>
      </c>
    </row>
    <row r="4957" ht="75" customHeight="1">
      <c r="A4957" s="2">
        <f>HYPERLINK("https://www.cafepress.com/+tote_bag,85261284", "https://www.cafepress.com/+tote_bag,85261284")</f>
        <v/>
      </c>
      <c r="B4957" s="2">
        <f>HYPERLINK("https://www.cafepress.com/+tote_bag,85261284", "https://www.cafepress.com/+tote_bag,85261284")</f>
        <v/>
      </c>
      <c r="C4957" t="inlineStr">
        <is>
          <t>Canvas Tote Bags Tote Bag</t>
        </is>
      </c>
      <c r="D4957" t="inlineStr">
        <is>
          <t>Monogrammed Tote Bag 16oz Canvas Beach Tote Bag with Shoulder Strap Reusable Grocery Bag with Zipper, Inner &amp; Side Pocket, Personalized Teacher Appreciation Gifts for Wedding Birthday Bride Friend W</t>
        </is>
      </c>
      <c r="E4957" s="2" t="n"/>
      <c r="F4957" t="inlineStr">
        <is>
          <t>B0B7XKN4Q7</t>
        </is>
      </c>
      <c r="H4957">
        <f>_xlfn.IMAGE("https://m.media-amazon.com/images/I/71w8BJdbj3L._AC_UL320_.jpg")</f>
        <v/>
      </c>
      <c r="K4957" t="inlineStr">
        <is>
          <t>12.99</t>
        </is>
      </c>
      <c r="L4957" t="n">
        <v>17.99</v>
      </c>
      <c r="M4957" s="1" t="inlineStr">
        <is>
          <t>38.49%</t>
        </is>
      </c>
      <c r="N4957" t="n">
        <v>4.7</v>
      </c>
      <c r="O4957" t="n">
        <v>990</v>
      </c>
      <c r="Q4957" t="inlineStr">
        <is>
          <t>undefined</t>
        </is>
      </c>
      <c r="R4957" t="inlineStr">
        <is>
          <t>18.99</t>
        </is>
      </c>
      <c r="S4957" t="inlineStr">
        <is>
          <t>85261284</t>
        </is>
      </c>
    </row>
    <row r="4958" ht="75" customHeight="1">
      <c r="A4958" s="2">
        <f>HYPERLINK("https://www.cafepress.com/+tote_bag,85261284", "https://www.cafepress.com/+tote_bag,85261284")</f>
        <v/>
      </c>
      <c r="B4958" s="2">
        <f>HYPERLINK("https://www.cafepress.com/+tote_bag,85261284", "https://www.cafepress.com/+tote_bag,85261284")</f>
        <v/>
      </c>
      <c r="C4958" t="inlineStr">
        <is>
          <t>Canvas Tote Bags Tote Bag</t>
        </is>
      </c>
      <c r="D4958" t="inlineStr">
        <is>
          <t>DALIX Womens 23" Deluxe 24 oz. Cotton Canvas Tote Bag Zippered</t>
        </is>
      </c>
      <c r="E4958" s="2">
        <f>HYPERLINK("https://www.amazon.com/DALIX-Womens-Deluxe-Cotton-Zippered/dp/B08G757S9R/ref=sr_1_5?keywords=Canvas+Tote+Bags+Tote+Bag&amp;qid=1695565322&amp;sr=8-5", "https://www.amazon.com/DALIX-Womens-Deluxe-Cotton-Zippered/dp/B08G757S9R/ref=sr_1_5?keywords=Canvas+Tote+Bags+Tote+Bag&amp;qid=1695565322&amp;sr=8-5")</f>
        <v/>
      </c>
      <c r="F4958" t="inlineStr">
        <is>
          <t>B08G757S9R</t>
        </is>
      </c>
      <c r="H4958">
        <f>_xlfn.IMAGE("https://m.media-amazon.com/images/I/71Ntz8ZYVOL._AC_UL320_.jpg")</f>
        <v/>
      </c>
      <c r="K4958" t="inlineStr">
        <is>
          <t>12.99</t>
        </is>
      </c>
      <c r="L4958" t="n">
        <v>16.99</v>
      </c>
      <c r="M4958" s="1" t="inlineStr">
        <is>
          <t>30.79%</t>
        </is>
      </c>
      <c r="N4958" t="n">
        <v>4.6</v>
      </c>
      <c r="O4958" t="n">
        <v>408</v>
      </c>
      <c r="Q4958" t="inlineStr">
        <is>
          <t>undefined</t>
        </is>
      </c>
      <c r="R4958" t="inlineStr">
        <is>
          <t>18.99</t>
        </is>
      </c>
      <c r="S4958" t="inlineStr">
        <is>
          <t>85261284</t>
        </is>
      </c>
    </row>
    <row r="4959" ht="75" customHeight="1">
      <c r="A4959" s="2">
        <f>HYPERLINK("https://www.cafepress.com/+tote_bag,85261284", "https://www.cafepress.com/+tote_bag,85261284")</f>
        <v/>
      </c>
      <c r="B4959" s="2">
        <f>HYPERLINK("https://www.cafepress.com/+tote_bag,85261284", "https://www.cafepress.com/+tote_bag,85261284")</f>
        <v/>
      </c>
      <c r="C4959" t="inlineStr">
        <is>
          <t>Canvas Tote Bags Tote Bag</t>
        </is>
      </c>
      <c r="D4959" t="inlineStr">
        <is>
          <t>DALIX 20" Solid Color Cotton Canvas Shopping Tote Bag (Exclusive Edition)</t>
        </is>
      </c>
      <c r="E4959" s="2">
        <f>HYPERLINK("https://www.amazon.com/DALIX-Solid-Cotton-Canvas-Shopping/dp/B07Q3B7SG8/ref=sr_1_8?keywords=Canvas+Tote+Bags+Tote+Bag&amp;qid=1695565322&amp;sr=8-8", "https://www.amazon.com/DALIX-Solid-Cotton-Canvas-Shopping/dp/B07Q3B7SG8/ref=sr_1_8?keywords=Canvas+Tote+Bags+Tote+Bag&amp;qid=1695565322&amp;sr=8-8")</f>
        <v/>
      </c>
      <c r="F4959" t="inlineStr">
        <is>
          <t>B07Q3B7SG8</t>
        </is>
      </c>
      <c r="H4959">
        <f>_xlfn.IMAGE("https://m.media-amazon.com/images/I/71ergyBYlQL._AC_UL320_.jpg")</f>
        <v/>
      </c>
      <c r="K4959" t="inlineStr">
        <is>
          <t>12.99</t>
        </is>
      </c>
      <c r="L4959" t="n">
        <v>14.59</v>
      </c>
      <c r="M4959" s="1" t="inlineStr">
        <is>
          <t>12.32%</t>
        </is>
      </c>
      <c r="N4959" t="n">
        <v>4.7</v>
      </c>
      <c r="O4959" t="n">
        <v>2286</v>
      </c>
      <c r="Q4959" t="inlineStr">
        <is>
          <t>undefined</t>
        </is>
      </c>
      <c r="R4959" t="inlineStr">
        <is>
          <t>18.99</t>
        </is>
      </c>
      <c r="S4959" t="inlineStr">
        <is>
          <t>85261284</t>
        </is>
      </c>
    </row>
    <row r="4960" ht="75" customHeight="1">
      <c r="A4960" s="2">
        <f>HYPERLINK("https://www.cafepress.com/+tote_bag,85261284", "https://www.cafepress.com/+tote_bag,85261284")</f>
        <v/>
      </c>
      <c r="B4960" s="2">
        <f>HYPERLINK("https://www.cafepress.com/+tote_bag,85261284", "https://www.cafepress.com/+tote_bag,85261284")</f>
        <v/>
      </c>
      <c r="C4960" t="inlineStr">
        <is>
          <t>Canvas Tote Bags Tote Bag</t>
        </is>
      </c>
      <c r="D4960" t="inlineStr">
        <is>
          <t>TOPDesign 1 | 3 | 6 | 30 Pack Stylish Canvas Tote Bag with an External Pocket, Top Zipper Closure, Daily Essentials (Black/Natural Pack of 1)</t>
        </is>
      </c>
      <c r="E4960" s="2">
        <f>HYPERLINK("https://www.amazon.com/TOPDesign-Stylish-External-Closure-Essentials/dp/B083DHKJS5/ref=sr_1_6?keywords=Canvas+Tote+Bags+Tote+Bag&amp;qid=1695565322&amp;sr=8-6", "https://www.amazon.com/TOPDesign-Stylish-External-Closure-Essentials/dp/B083DHKJS5/ref=sr_1_6?keywords=Canvas+Tote+Bags+Tote+Bag&amp;qid=1695565322&amp;sr=8-6")</f>
        <v/>
      </c>
      <c r="F4960" t="inlineStr">
        <is>
          <t>B083DHKJS5</t>
        </is>
      </c>
      <c r="H4960">
        <f>_xlfn.IMAGE("https://m.media-amazon.com/images/I/61zzi+BDqZL._AC_UL320_.jpg")</f>
        <v/>
      </c>
      <c r="K4960" t="inlineStr">
        <is>
          <t>12.99</t>
        </is>
      </c>
      <c r="L4960" t="n">
        <v>13.99</v>
      </c>
      <c r="M4960" s="1" t="inlineStr">
        <is>
          <t>7.70%</t>
        </is>
      </c>
      <c r="N4960" t="n">
        <v>4.6</v>
      </c>
      <c r="O4960" t="n">
        <v>4799</v>
      </c>
      <c r="Q4960" t="inlineStr">
        <is>
          <t>undefined</t>
        </is>
      </c>
      <c r="R4960" t="inlineStr">
        <is>
          <t>18.99</t>
        </is>
      </c>
      <c r="S4960" t="inlineStr">
        <is>
          <t>85261284</t>
        </is>
      </c>
    </row>
    <row r="4961" ht="75" customHeight="1">
      <c r="A4961" s="2">
        <f>HYPERLINK("https://www.cafepress.com/+tote_bag,85261284", "https://www.cafepress.com/+tote_bag,85261284")</f>
        <v/>
      </c>
      <c r="B4961" s="2">
        <f>HYPERLINK("https://www.cafepress.com/+tote_bag,85261284", "https://www.cafepress.com/+tote_bag,85261284")</f>
        <v/>
      </c>
      <c r="C4961" t="inlineStr">
        <is>
          <t>Canvas Tote Bags Tote Bag</t>
        </is>
      </c>
      <c r="D4961" t="inlineStr">
        <is>
          <t>TOPDesign 1 | 3 | 6 | 30 Pack Stylish Canvas Tote Bag with an External Pocket, Top Zipper Closure, Daily Essentials (Black/Natural Pack of 1)</t>
        </is>
      </c>
      <c r="E4961" s="2" t="n"/>
      <c r="F4961" t="inlineStr">
        <is>
          <t>B083DHKJS5</t>
        </is>
      </c>
      <c r="H4961">
        <f>_xlfn.IMAGE("https://m.media-amazon.com/images/I/61zzi+BDqZL._AC_UL320_.jpg")</f>
        <v/>
      </c>
      <c r="K4961" t="inlineStr">
        <is>
          <t>12.99</t>
        </is>
      </c>
      <c r="L4961" t="n">
        <v>13.99</v>
      </c>
      <c r="M4961" s="1" t="inlineStr">
        <is>
          <t>7.70%</t>
        </is>
      </c>
      <c r="N4961" t="n">
        <v>4.6</v>
      </c>
      <c r="O4961" t="n">
        <v>4799</v>
      </c>
      <c r="Q4961" t="inlineStr">
        <is>
          <t>undefined</t>
        </is>
      </c>
      <c r="R4961" t="inlineStr">
        <is>
          <t>18.99</t>
        </is>
      </c>
      <c r="S4961" t="inlineStr">
        <is>
          <t>85261284</t>
        </is>
      </c>
    </row>
    <row r="4962" ht="75" customHeight="1">
      <c r="A4962" s="2">
        <f>HYPERLINK("https://www.cafepress.com/+tote_bag,85261284", "https://www.cafepress.com/+tote_bag,85261284")</f>
        <v/>
      </c>
      <c r="B4962" s="2">
        <f>HYPERLINK("https://www.cafepress.com/+tote_bag,85261284", "https://www.cafepress.com/+tote_bag,85261284")</f>
        <v/>
      </c>
      <c r="C4962" t="inlineStr">
        <is>
          <t>Canvas Tote Bags Tote Bag</t>
        </is>
      </c>
      <c r="D4962" t="inlineStr">
        <is>
          <t>Ayieyill Corduroy Tote Bag for Women Canvas Shoulder Cord Purse with Inner Pocket</t>
        </is>
      </c>
      <c r="E4962" s="2">
        <f>HYPERLINK("https://www.amazon.com/Corduroy-Canvas-Shoulder-Pocket-Shopping/dp/B09MTCMHYN/ref=sr_1_9?keywords=Canvas+Tote+Bags+Tote+Bag&amp;qid=1695565322&amp;sr=8-9", "https://www.amazon.com/Corduroy-Canvas-Shoulder-Pocket-Shopping/dp/B09MTCMHYN/ref=sr_1_9?keywords=Canvas+Tote+Bags+Tote+Bag&amp;qid=1695565322&amp;sr=8-9")</f>
        <v/>
      </c>
      <c r="F4962" t="inlineStr">
        <is>
          <t>B09MTCMHYN</t>
        </is>
      </c>
      <c r="H4962">
        <f>_xlfn.IMAGE("https://m.media-amazon.com/images/I/81c+SKQyvRL._AC_UL320_.jpg")</f>
        <v/>
      </c>
      <c r="K4962" t="inlineStr">
        <is>
          <t>12.99</t>
        </is>
      </c>
      <c r="L4962" t="n">
        <v>10.99</v>
      </c>
      <c r="M4962" s="1" t="inlineStr">
        <is>
          <t>-15.40%</t>
        </is>
      </c>
      <c r="N4962" t="n">
        <v>4.6</v>
      </c>
      <c r="O4962" t="n">
        <v>3491</v>
      </c>
      <c r="Q4962" t="inlineStr">
        <is>
          <t>undefined</t>
        </is>
      </c>
      <c r="R4962" t="inlineStr">
        <is>
          <t>18.99</t>
        </is>
      </c>
      <c r="S4962" t="inlineStr">
        <is>
          <t>85261284</t>
        </is>
      </c>
    </row>
    <row r="4963" ht="75" customHeight="1">
      <c r="A4963" s="2">
        <f>HYPERLINK("https://www.cafepress.com/+vermont_aluminum_license_plate,154199680", "https://www.cafepress.com/+vermont_aluminum_license_plate,154199680")</f>
        <v/>
      </c>
      <c r="B4963" s="2">
        <f>HYPERLINK("https://www.cafepress.com/+vermont_aluminum_license_plate,154199680", "https://www.cafepress.com/+vermont_aluminum_license_plate,154199680")</f>
        <v/>
      </c>
      <c r="C4963" t="inlineStr">
        <is>
          <t>Aluminum License Plates Vermont Aluminum License Plate</t>
        </is>
      </c>
      <c r="D4963" t="inlineStr">
        <is>
          <t>Personalized Vermont License Plate - Sizes for Kid's Bikes, Cars, Trucks, Cart, Key Rings Version 1 (4 X 7 Aluminum License Plate)</t>
        </is>
      </c>
      <c r="E4963" s="2">
        <f>HYPERLINK("https://www.amazon.com/TEAMLOGO-Personalized-Vermont-License-Plate/dp/B071H7BHLL/ref=sr_1_9?keywords=Aluminum+License+Plates+Vermont+Aluminum+License+Plate&amp;qid=1695565303&amp;sr=8-9", "https://www.amazon.com/TEAMLOGO-Personalized-Vermont-License-Plate/dp/B071H7BHLL/ref=sr_1_9?keywords=Aluminum+License+Plates+Vermont+Aluminum+License+Plate&amp;qid=1695565303&amp;sr=8-9")</f>
        <v/>
      </c>
      <c r="F4963" t="inlineStr">
        <is>
          <t>B071H7BHLL</t>
        </is>
      </c>
      <c r="H4963">
        <f>_xlfn.IMAGE("https://m.media-amazon.com/images/I/616OhNkP9RL._AC_UL320_.jpg")</f>
        <v/>
      </c>
      <c r="K4963" t="inlineStr">
        <is>
          <t>20.99</t>
        </is>
      </c>
      <c r="L4963" t="n">
        <v>15.95</v>
      </c>
      <c r="M4963" s="1" t="inlineStr">
        <is>
          <t>-24.01%</t>
        </is>
      </c>
      <c r="N4963" t="n">
        <v>4.4</v>
      </c>
      <c r="O4963" t="n">
        <v>4</v>
      </c>
      <c r="Q4963" t="inlineStr">
        <is>
          <t>InStock</t>
        </is>
      </c>
      <c r="R4963" t="inlineStr">
        <is>
          <t>31.99</t>
        </is>
      </c>
      <c r="S4963" t="inlineStr">
        <is>
          <t>154199680</t>
        </is>
      </c>
    </row>
    <row r="4964" ht="75" customHeight="1">
      <c r="A4964" s="2">
        <f>HYPERLINK("https://www.cafepress.com/+vermont_aluminum_license_plate,154199680", "https://www.cafepress.com/+vermont_aluminum_license_plate,154199680")</f>
        <v/>
      </c>
      <c r="B4964" s="2">
        <f>HYPERLINK("https://www.cafepress.com/+vermont_aluminum_license_plate,154199680", "https://www.cafepress.com/+vermont_aluminum_license_plate,154199680")</f>
        <v/>
      </c>
      <c r="C4964" t="inlineStr">
        <is>
          <t>Aluminum License Plates Vermont Aluminum License Plate</t>
        </is>
      </c>
      <c r="D4964" t="inlineStr">
        <is>
          <t>Custom Vermont License Plate, Personalized 50 States Fake License Plate for Front of Car Sign 6x12 Inches, Rust Free .040 Aluminum, Fade Resistant, Made in USA by Sigo Signs</t>
        </is>
      </c>
      <c r="E4964" s="2">
        <f>HYPERLINK("https://www.amazon.com/Personalized-Aluminum-Resistant-Sigo-Signs/dp/B0BPK3QZNV/ref=sr_1_7?keywords=Aluminum+License+Plates+Vermont+Aluminum+License+Plate&amp;qid=1695565303&amp;sr=8-7", "https://www.amazon.com/Personalized-Aluminum-Resistant-Sigo-Signs/dp/B0BPK3QZNV/ref=sr_1_7?keywords=Aluminum+License+Plates+Vermont+Aluminum+License+Plate&amp;qid=1695565303&amp;sr=8-7")</f>
        <v/>
      </c>
      <c r="F4964" t="inlineStr">
        <is>
          <t>B0BPK3QZNV</t>
        </is>
      </c>
      <c r="H4964">
        <f>_xlfn.IMAGE("https://m.media-amazon.com/images/I/81pjfl15YJL._AC_UL320_.jpg")</f>
        <v/>
      </c>
      <c r="K4964" t="inlineStr">
        <is>
          <t>20.99</t>
        </is>
      </c>
      <c r="L4964" t="n">
        <v>14.95</v>
      </c>
      <c r="M4964" s="1" t="inlineStr">
        <is>
          <t>-28.78%</t>
        </is>
      </c>
      <c r="N4964" t="n">
        <v>4.5</v>
      </c>
      <c r="O4964" t="n">
        <v>234</v>
      </c>
      <c r="Q4964" t="inlineStr">
        <is>
          <t>InStock</t>
        </is>
      </c>
      <c r="R4964" t="inlineStr">
        <is>
          <t>31.99</t>
        </is>
      </c>
      <c r="S4964" t="inlineStr">
        <is>
          <t>154199680</t>
        </is>
      </c>
    </row>
    <row r="4965" ht="75" customHeight="1">
      <c r="A4965" s="2">
        <f>HYPERLINK("https://www.cafepress.com/+vermont_aluminum_license_plate,154199680", "https://www.cafepress.com/+vermont_aluminum_license_plate,154199680")</f>
        <v/>
      </c>
      <c r="B4965" s="2">
        <f>HYPERLINK("https://www.cafepress.com/+vermont_aluminum_license_plate,154199680", "https://www.cafepress.com/+vermont_aluminum_license_plate,154199680")</f>
        <v/>
      </c>
      <c r="C4965" t="inlineStr">
        <is>
          <t>Aluminum License Plates Vermont Aluminum License Plate</t>
        </is>
      </c>
      <c r="D4965" t="inlineStr">
        <is>
          <t>Personalized Vermont Car License Plate | 12x6 Inch | Select from All 50 States | 3 Sizes | Custom Plate for Front Car Bumper | Personalized Car Tags | USA Thick .040 Aluminum</t>
        </is>
      </c>
      <c r="E4965" s="2">
        <f>HYPERLINK("https://www.amazon.com/InkMyPlate-Personalized-Vermont-12x6-Aluminum/dp/B0BRQT3J81/ref=sr_1_2?keywords=Aluminum+License+Plates+Vermont+Aluminum+License+Plate&amp;qid=1695565303&amp;sr=8-2", "https://www.amazon.com/InkMyPlate-Personalized-Vermont-12x6-Aluminum/dp/B0BRQT3J81/ref=sr_1_2?keywords=Aluminum+License+Plates+Vermont+Aluminum+License+Plate&amp;qid=1695565303&amp;sr=8-2")</f>
        <v/>
      </c>
      <c r="F4965" t="inlineStr">
        <is>
          <t>B0BRQT3J81</t>
        </is>
      </c>
      <c r="H4965">
        <f>_xlfn.IMAGE("https://m.media-amazon.com/images/I/810fAuDghkL._AC_UL320_.jpg")</f>
        <v/>
      </c>
      <c r="K4965" t="inlineStr">
        <is>
          <t>20.99</t>
        </is>
      </c>
      <c r="L4965" t="n">
        <v>14.95</v>
      </c>
      <c r="M4965" s="1" t="inlineStr">
        <is>
          <t>-28.78%</t>
        </is>
      </c>
      <c r="N4965" t="n">
        <v>4.8</v>
      </c>
      <c r="O4965" t="n">
        <v>425</v>
      </c>
      <c r="Q4965" t="inlineStr">
        <is>
          <t>InStock</t>
        </is>
      </c>
      <c r="R4965" t="inlineStr">
        <is>
          <t>31.99</t>
        </is>
      </c>
      <c r="S4965" t="inlineStr">
        <is>
          <t>154199680</t>
        </is>
      </c>
    </row>
    <row r="4966" ht="75" customHeight="1">
      <c r="A4966" s="2">
        <f>HYPERLINK("https://www.cafepress.com/+vermont_aluminum_license_plate,154199680", "https://www.cafepress.com/+vermont_aluminum_license_plate,154199680")</f>
        <v/>
      </c>
      <c r="B4966" s="2">
        <f>HYPERLINK("https://www.cafepress.com/+vermont_aluminum_license_plate,154199680", "https://www.cafepress.com/+vermont_aluminum_license_plate,154199680")</f>
        <v/>
      </c>
      <c r="C4966" t="inlineStr">
        <is>
          <t>Aluminum License Plates Vermont Aluminum License Plate</t>
        </is>
      </c>
      <c r="D4966" t="inlineStr">
        <is>
          <t>Custom Vermont License Plate, Personalized License Plates for Car, 6x12 Inch, Rust-Free Fade Resistant Aluminum, USA Made by My Sign Center</t>
        </is>
      </c>
      <c r="E4966" s="2">
        <f>HYPERLINK("https://www.amazon.com/Personalized-Rust-Free-My-Sign-Center/dp/B0C79NLMNC/ref=sr_1_3?keywords=Aluminum+License+Plates+Vermont+Aluminum+License+Plate&amp;qid=1695565303&amp;sr=8-3", "https://www.amazon.com/Personalized-Rust-Free-My-Sign-Center/dp/B0C79NLMNC/ref=sr_1_3?keywords=Aluminum+License+Plates+Vermont+Aluminum+License+Plate&amp;qid=1695565303&amp;sr=8-3")</f>
        <v/>
      </c>
      <c r="F4966" t="inlineStr">
        <is>
          <t>B0C79NLMNC</t>
        </is>
      </c>
      <c r="H4966">
        <f>_xlfn.IMAGE("https://m.media-amazon.com/images/I/81MjKUycZ6L._AC_UL320_.jpg")</f>
        <v/>
      </c>
      <c r="K4966" t="inlineStr">
        <is>
          <t>20.99</t>
        </is>
      </c>
      <c r="L4966" t="n">
        <v>14.95</v>
      </c>
      <c r="M4966" s="1" t="inlineStr">
        <is>
          <t>-28.78%</t>
        </is>
      </c>
      <c r="N4966" t="n">
        <v>4.7</v>
      </c>
      <c r="O4966" t="n">
        <v>734</v>
      </c>
      <c r="Q4966" t="inlineStr">
        <is>
          <t>InStock</t>
        </is>
      </c>
      <c r="R4966" t="inlineStr">
        <is>
          <t>31.99</t>
        </is>
      </c>
      <c r="S4966" t="inlineStr">
        <is>
          <t>154199680</t>
        </is>
      </c>
    </row>
    <row r="4967" ht="75" customHeight="1">
      <c r="A4967" s="2">
        <f>HYPERLINK("https://www.cafepress.com/+vermont_aluminum_license_plate,154199680", "https://www.cafepress.com/+vermont_aluminum_license_plate,154199680")</f>
        <v/>
      </c>
      <c r="B4967" s="2">
        <f>HYPERLINK("https://www.cafepress.com/+vermont_aluminum_license_plate,154199680", "https://www.cafepress.com/+vermont_aluminum_license_plate,154199680")</f>
        <v/>
      </c>
      <c r="C4967" t="inlineStr">
        <is>
          <t>Aluminum License Plates Vermont Aluminum License Plate</t>
        </is>
      </c>
      <c r="D4967" t="inlineStr">
        <is>
          <t>Personalized Vermont License Plate 2" X 4" (inches) Aluminum. Add Your Name, Text or Numbers.Great Size for Bikes, Drive on Toy Cars etc. VER.1</t>
        </is>
      </c>
      <c r="E4967" s="2">
        <f>HYPERLINK("https://www.amazon.com/TEAMLOGO-Personalized-Vermont-License-Plate/dp/B072B8M9CF/ref=sr_1_5?keywords=Aluminum+License+Plates+Vermont+Aluminum+License+Plate&amp;qid=1695565303&amp;sr=8-5", "https://www.amazon.com/TEAMLOGO-Personalized-Vermont-License-Plate/dp/B072B8M9CF/ref=sr_1_5?keywords=Aluminum+License+Plates+Vermont+Aluminum+License+Plate&amp;qid=1695565303&amp;sr=8-5")</f>
        <v/>
      </c>
      <c r="F4967" t="inlineStr">
        <is>
          <t>B072B8M9CF</t>
        </is>
      </c>
      <c r="H4967">
        <f>_xlfn.IMAGE("https://m.media-amazon.com/images/I/61ibOyuhC2L._AC_UL320_.jpg")</f>
        <v/>
      </c>
      <c r="K4967" t="inlineStr">
        <is>
          <t>20.99</t>
        </is>
      </c>
      <c r="L4967" t="n">
        <v>13.95</v>
      </c>
      <c r="M4967" s="1" t="inlineStr">
        <is>
          <t>-33.54%</t>
        </is>
      </c>
      <c r="N4967" t="n">
        <v>4.9</v>
      </c>
      <c r="O4967" t="n">
        <v>15</v>
      </c>
      <c r="Q4967" t="inlineStr">
        <is>
          <t>InStock</t>
        </is>
      </c>
      <c r="R4967" t="inlineStr">
        <is>
          <t>31.99</t>
        </is>
      </c>
      <c r="S4967" t="inlineStr">
        <is>
          <t>154199680</t>
        </is>
      </c>
    </row>
    <row r="4968" ht="75" customHeight="1">
      <c r="A4968" s="2">
        <f>HYPERLINK("https://www.cafepress.com/+vermont_aluminum_license_plate,154199680", "https://www.cafepress.com/+vermont_aluminum_license_plate,154199680")</f>
        <v/>
      </c>
      <c r="B4968" s="2">
        <f>HYPERLINK("https://www.cafepress.com/+vermont_aluminum_license_plate,154199680", "https://www.cafepress.com/+vermont_aluminum_license_plate,154199680")</f>
        <v/>
      </c>
      <c r="C4968" t="inlineStr">
        <is>
          <t>Aluminum License Plates Vermont Aluminum License Plate</t>
        </is>
      </c>
      <c r="D4968" t="inlineStr">
        <is>
          <t>License Plate Greetings from Vermont Vintage Rusty Metal Sign with American Flag Decorative Car Front License Plate,Vanity Tag,Metal Car Plate,Aluminum Novelty License Plate,6 X 12 Inch</t>
        </is>
      </c>
      <c r="E4968" s="2">
        <f>HYPERLINK("https://www.amazon.com/Amcove-Greetings-American-Decorative-Aluminum/dp/B087CSTH9M/ref=sr_1_1?keywords=Aluminum+License+Plates+Vermont+Aluminum+License+Plate&amp;qid=1695565303&amp;sr=8-1", "https://www.amazon.com/Amcove-Greetings-American-Decorative-Aluminum/dp/B087CSTH9M/ref=sr_1_1?keywords=Aluminum+License+Plates+Vermont+Aluminum+License+Plate&amp;qid=1695565303&amp;sr=8-1")</f>
        <v/>
      </c>
      <c r="F4968" t="inlineStr">
        <is>
          <t>B087CSTH9M</t>
        </is>
      </c>
      <c r="H4968">
        <f>_xlfn.IMAGE("https://m.media-amazon.com/images/I/61jQ3Iga-8L._AC_UL320_.jpg")</f>
        <v/>
      </c>
      <c r="K4968" t="inlineStr">
        <is>
          <t>20.99</t>
        </is>
      </c>
      <c r="L4968" t="n">
        <v>11.98</v>
      </c>
      <c r="M4968" s="1" t="inlineStr">
        <is>
          <t>-42.93%</t>
        </is>
      </c>
      <c r="N4968" t="n">
        <v>4.5</v>
      </c>
      <c r="O4968" t="n">
        <v>161</v>
      </c>
      <c r="Q4968" t="inlineStr">
        <is>
          <t>InStock</t>
        </is>
      </c>
      <c r="R4968" t="inlineStr">
        <is>
          <t>31.99</t>
        </is>
      </c>
      <c r="S4968" t="inlineStr">
        <is>
          <t>154199680</t>
        </is>
      </c>
    </row>
    <row r="4969" ht="75" customHeight="1">
      <c r="A4969" s="2">
        <f>HYPERLINK("https://www.cafepress.com/+vermont_queen_duvet_cover,152404225", "https://www.cafepress.com/+vermont_queen_duvet_cover,152404225")</f>
        <v/>
      </c>
      <c r="B4969" s="2">
        <f>HYPERLINK("https://www.cafepress.com/+vermont_queen_duvet_cover,152404225", "https://www.cafepress.com/+vermont_queen_duvet_cover,152404225")</f>
        <v/>
      </c>
      <c r="C4969" t="inlineStr">
        <is>
          <t>Queen &amp; Full Duvet Covers Vermont Queen Duvet Cover</t>
        </is>
      </c>
      <c r="D4969" t="inlineStr">
        <is>
          <t>Kotton Culture Duvet Cover Queen Size 3 Piece Embroidered Arrow 100% Egyptian Cotton with Zipper &amp; Corner Ties Breathable All Season 600 Thread Count Soft Sateen Weave (Queen/Full - White)</t>
        </is>
      </c>
      <c r="E4969" s="2">
        <f>HYPERLINK("https://www.amazon.com/Kotton-Culture-Egyptian-Closure-Embroidered/dp/B07NC6BDRM/ref=sr_1_6?keywords=Queen+%26+Full+Duvet+Covers+Vermont+Queen+Duvet+Cover&amp;qid=1695565343&amp;sr=8-6", "https://www.amazon.com/Kotton-Culture-Egyptian-Closure-Embroidered/dp/B07NC6BDRM/ref=sr_1_6?keywords=Queen+%26+Full+Duvet+Covers+Vermont+Queen+Duvet+Cover&amp;qid=1695565343&amp;sr=8-6")</f>
        <v/>
      </c>
      <c r="F4969" t="inlineStr">
        <is>
          <t>B07NC6BDRM</t>
        </is>
      </c>
      <c r="H4969">
        <f>_xlfn.IMAGE("https://m.media-amazon.com/images/I/612Yn9-ijoL._AC_UL320_.jpg")</f>
        <v/>
      </c>
      <c r="K4969" t="inlineStr">
        <is>
          <t>184.99</t>
        </is>
      </c>
      <c r="L4969" t="n">
        <v>74.98999999999999</v>
      </c>
      <c r="M4969" s="1" t="inlineStr">
        <is>
          <t>-59.46%</t>
        </is>
      </c>
      <c r="N4969" t="n">
        <v>4.3</v>
      </c>
      <c r="O4969" t="n">
        <v>788</v>
      </c>
      <c r="Q4969" t="inlineStr">
        <is>
          <t>InStock</t>
        </is>
      </c>
      <c r="R4969" t="inlineStr">
        <is>
          <t>245.99</t>
        </is>
      </c>
      <c r="S4969" t="inlineStr">
        <is>
          <t>152404225</t>
        </is>
      </c>
    </row>
    <row r="4970" ht="75" customHeight="1">
      <c r="A4970" s="2">
        <f>HYPERLINK("https://www.cafepress.com/+vermont_queen_duvet_cover,152404225", "https://www.cafepress.com/+vermont_queen_duvet_cover,152404225")</f>
        <v/>
      </c>
      <c r="B4970" s="2">
        <f>HYPERLINK("https://www.cafepress.com/+vermont_queen_duvet_cover,152404225", "https://www.cafepress.com/+vermont_queen_duvet_cover,152404225")</f>
        <v/>
      </c>
      <c r="C4970" t="inlineStr">
        <is>
          <t>Queen &amp; Full Duvet Covers Vermont Queen Duvet Cover</t>
        </is>
      </c>
      <c r="D4970" t="inlineStr">
        <is>
          <t>EMME White Cotton Duvet Cover Queen Size 3-Piece Set Soft Cotton Bedding Comforter Cover Full Size with 2 Pillow Shams Solid Color Button Closure &amp; Corner Ties (White, Full/Queen)</t>
        </is>
      </c>
      <c r="E4970" s="2">
        <f>HYPERLINK("https://www.amazon.com/EMME-Collection-Comforter-Hypoallergenic-Resistant/dp/B07P9XPR3X/ref=sr_1_9?keywords=Queen+%26+Full+Duvet+Covers+Vermont+Queen+Duvet+Cover&amp;qid=1695565343&amp;sr=8-9", "https://www.amazon.com/EMME-Collection-Comforter-Hypoallergenic-Resistant/dp/B07P9XPR3X/ref=sr_1_9?keywords=Queen+%26+Full+Duvet+Covers+Vermont+Queen+Duvet+Cover&amp;qid=1695565343&amp;sr=8-9")</f>
        <v/>
      </c>
      <c r="F4970" t="inlineStr">
        <is>
          <t>B07P9XPR3X</t>
        </is>
      </c>
      <c r="H4970">
        <f>_xlfn.IMAGE("https://m.media-amazon.com/images/I/619CwWn8drL._AC_UL320_.jpg")</f>
        <v/>
      </c>
      <c r="K4970" t="inlineStr">
        <is>
          <t>184.99</t>
        </is>
      </c>
      <c r="L4970" t="n">
        <v>36.89</v>
      </c>
      <c r="M4970" s="1" t="inlineStr">
        <is>
          <t>-80.06%</t>
        </is>
      </c>
      <c r="N4970" t="n">
        <v>4.4</v>
      </c>
      <c r="O4970" t="n">
        <v>1107</v>
      </c>
      <c r="Q4970" t="inlineStr">
        <is>
          <t>InStock</t>
        </is>
      </c>
      <c r="R4970" t="inlineStr">
        <is>
          <t>245.99</t>
        </is>
      </c>
      <c r="S4970" t="inlineStr">
        <is>
          <t>152404225</t>
        </is>
      </c>
    </row>
    <row r="4971" ht="75" customHeight="1">
      <c r="A4971" s="2">
        <f>HYPERLINK("https://www.cafepress.com/+vermont_queen_duvet_cover,152404225", "https://www.cafepress.com/+vermont_queen_duvet_cover,152404225")</f>
        <v/>
      </c>
      <c r="B4971" s="2">
        <f>HYPERLINK("https://www.cafepress.com/+vermont_queen_duvet_cover,152404225", "https://www.cafepress.com/+vermont_queen_duvet_cover,152404225")</f>
        <v/>
      </c>
      <c r="C4971" t="inlineStr">
        <is>
          <t>Queen &amp; Full Duvet Covers Vermont Queen Duvet Cover</t>
        </is>
      </c>
      <c r="D4971" t="inlineStr">
        <is>
          <t>Uhsupris White Duvet Covers Full/Queen Size 3 Pieces Solid Color White Bedding Set Queen with Zipper&amp;Corner Ties(No Comforter)</t>
        </is>
      </c>
      <c r="E4971" s="2">
        <f>HYPERLINK("https://www.amazon.com/Uhsupris-Washed-Bedding-Microfiber-Breathable/dp/B08KG86PFB/ref=sr_1_4?keywords=Queen+%26+Full+Duvet+Covers+Vermont+Queen+Duvet+Cover&amp;qid=1695565343&amp;sr=8-4", "https://www.amazon.com/Uhsupris-Washed-Bedding-Microfiber-Breathable/dp/B08KG86PFB/ref=sr_1_4?keywords=Queen+%26+Full+Duvet+Covers+Vermont+Queen+Duvet+Cover&amp;qid=1695565343&amp;sr=8-4")</f>
        <v/>
      </c>
      <c r="F4971" t="inlineStr">
        <is>
          <t>B08KG86PFB</t>
        </is>
      </c>
      <c r="H4971">
        <f>_xlfn.IMAGE("https://m.media-amazon.com/images/I/51FgFCr0l5L._AC_UL320_.jpg")</f>
        <v/>
      </c>
      <c r="K4971" t="inlineStr">
        <is>
          <t>184.99</t>
        </is>
      </c>
      <c r="L4971" t="n">
        <v>32.99</v>
      </c>
      <c r="M4971" s="1" t="inlineStr">
        <is>
          <t>-82.17%</t>
        </is>
      </c>
      <c r="N4971" t="n">
        <v>4.4</v>
      </c>
      <c r="O4971" t="n">
        <v>1358</v>
      </c>
      <c r="Q4971" t="inlineStr">
        <is>
          <t>InStock</t>
        </is>
      </c>
      <c r="R4971" t="inlineStr">
        <is>
          <t>245.99</t>
        </is>
      </c>
      <c r="S4971" t="inlineStr">
        <is>
          <t>152404225</t>
        </is>
      </c>
    </row>
    <row r="4972" ht="75" customHeight="1">
      <c r="A4972" s="2">
        <f>HYPERLINK("https://www.cafepress.com/+vermont_queen_duvet_cover,152404225", "https://www.cafepress.com/+vermont_queen_duvet_cover,152404225")</f>
        <v/>
      </c>
      <c r="B4972" s="2">
        <f>HYPERLINK("https://www.cafepress.com/+vermont_queen_duvet_cover,152404225", "https://www.cafepress.com/+vermont_queen_duvet_cover,152404225")</f>
        <v/>
      </c>
      <c r="C4972" t="inlineStr">
        <is>
          <t>Queen &amp; Full Duvet Covers Vermont Queen Duvet Cover</t>
        </is>
      </c>
      <c r="D4972" t="inlineStr">
        <is>
          <t>Premium Quality, Soft, Wrinkle, Fade, &amp; Stain Resistant, Easy Care, Oversized Duvet Cover Set, Full / Queen, White</t>
        </is>
      </c>
      <c r="E4972" s="2">
        <f>HYPERLINK("https://www.amazon.com/Premium-Quality-Wrinkle-Resistant-Oversized/dp/B07FLVPYF5/ref=sr_1_1?keywords=Queen+%26+Full+Duvet+Covers+Vermont+Queen+Duvet+Cover&amp;qid=1695565343&amp;sr=8-1", "https://www.amazon.com/Premium-Quality-Wrinkle-Resistant-Oversized/dp/B07FLVPYF5/ref=sr_1_1?keywords=Queen+%26+Full+Duvet+Covers+Vermont+Queen+Duvet+Cover&amp;qid=1695565343&amp;sr=8-1")</f>
        <v/>
      </c>
      <c r="F4972" t="inlineStr">
        <is>
          <t>B07FLVPYF5</t>
        </is>
      </c>
      <c r="H4972">
        <f>_xlfn.IMAGE("https://m.media-amazon.com/images/I/81rpU-3j1gL._AC_UL320_.jpg")</f>
        <v/>
      </c>
      <c r="K4972" t="inlineStr">
        <is>
          <t>184.99</t>
        </is>
      </c>
      <c r="L4972" t="n">
        <v>25.99</v>
      </c>
      <c r="M4972" s="1" t="inlineStr">
        <is>
          <t>-85.95%</t>
        </is>
      </c>
      <c r="N4972" t="n">
        <v>4.4</v>
      </c>
      <c r="O4972" t="n">
        <v>280</v>
      </c>
      <c r="Q4972" t="inlineStr">
        <is>
          <t>InStock</t>
        </is>
      </c>
      <c r="R4972" t="inlineStr">
        <is>
          <t>245.99</t>
        </is>
      </c>
      <c r="S4972" t="inlineStr">
        <is>
          <t>152404225</t>
        </is>
      </c>
    </row>
    <row r="4973" ht="75" customHeight="1">
      <c r="A4973" s="2">
        <f>HYPERLINK("https://www.cafepress.com/+waterfall_tile_coaster,29976487", "https://www.cafepress.com/+waterfall_tile_coaster,29976487")</f>
        <v/>
      </c>
      <c r="B4973" s="2">
        <f>HYPERLINK("https://www.cafepress.com/+waterfall_tile_coaster,29976487", "https://www.cafepress.com/+waterfall_tile_coaster,29976487")</f>
        <v/>
      </c>
      <c r="C4973" t="inlineStr">
        <is>
          <t>Coasters Waterfall Tile Coaster</t>
        </is>
      </c>
      <c r="D4973" t="inlineStr">
        <is>
          <t>3dRose Iceland, Hraunfossar. Autumn waterfalls flow into river. - Ceramic Tile Coasters, set of 4</t>
        </is>
      </c>
      <c r="E4973" s="2">
        <f>HYPERLINK("https://www.amazon.com/3dRose-Iceland-Hraunfossar-Autumn-waterfalls/dp/B00USV8SNM/ref=sr_1_2?keywords=Coasters+Waterfall+Tile+Coaster&amp;qid=1695565354&amp;sr=8-2", "https://www.amazon.com/3dRose-Iceland-Hraunfossar-Autumn-waterfalls/dp/B00USV8SNM/ref=sr_1_2?keywords=Coasters+Waterfall+Tile+Coaster&amp;qid=1695565354&amp;sr=8-2")</f>
        <v/>
      </c>
      <c r="F4973" t="inlineStr">
        <is>
          <t>B00USV8SNM</t>
        </is>
      </c>
      <c r="H4973">
        <f>_xlfn.IMAGE("https://m.media-amazon.com/images/I/71AD2gn6PbL._AC_UL320_.jpg")</f>
        <v/>
      </c>
      <c r="K4973" t="inlineStr">
        <is>
          <t>8.99</t>
        </is>
      </c>
      <c r="L4973" t="n">
        <v>31.9</v>
      </c>
      <c r="M4973" s="1" t="inlineStr">
        <is>
          <t>254.84%</t>
        </is>
      </c>
      <c r="N4973" t="n">
        <v>4</v>
      </c>
      <c r="O4973" t="n">
        <v>1</v>
      </c>
      <c r="Q4973" t="inlineStr">
        <is>
          <t>InStock</t>
        </is>
      </c>
      <c r="R4973" t="inlineStr">
        <is>
          <t>12.99</t>
        </is>
      </c>
      <c r="S4973" t="inlineStr">
        <is>
          <t>29976487</t>
        </is>
      </c>
    </row>
    <row r="4974" ht="75" customHeight="1">
      <c r="A4974" s="2">
        <f>HYPERLINK("https://www.cafepress.com/+waterfall_tile_coaster,29976487", "https://www.cafepress.com/+waterfall_tile_coaster,29976487")</f>
        <v/>
      </c>
      <c r="B4974" s="2">
        <f>HYPERLINK("https://www.cafepress.com/+waterfall_tile_coaster,29976487", "https://www.cafepress.com/+waterfall_tile_coaster,29976487")</f>
        <v/>
      </c>
      <c r="C4974" t="inlineStr">
        <is>
          <t>Coasters Waterfall Tile Coaster</t>
        </is>
      </c>
      <c r="D4974" t="inlineStr">
        <is>
          <t>Thirstystone Blue &amp; White Tile 4 Pack Tumbled Tile Coasters with Protective Cork Backing 4" Square Manufactured in The USA Artistic Absorbent Easily Wipes Clean</t>
        </is>
      </c>
      <c r="E4974" s="2">
        <f>HYPERLINK("https://www.amazon.com/CounterArt-White-Single-Absorbent-Coaster/dp/B0839N31CV/ref=sr_1_9?keywords=Coasters+Waterfall+Tile+Coaster&amp;qid=1695565354&amp;sr=8-9", "https://www.amazon.com/CounterArt-White-Single-Absorbent-Coaster/dp/B0839N31CV/ref=sr_1_9?keywords=Coasters+Waterfall+Tile+Coaster&amp;qid=1695565354&amp;sr=8-9")</f>
        <v/>
      </c>
      <c r="F4974" t="inlineStr">
        <is>
          <t>B0839N31CV</t>
        </is>
      </c>
      <c r="H4974">
        <f>_xlfn.IMAGE("https://m.media-amazon.com/images/I/71NCk6GCJ-L._AC_UL320_.jpg")</f>
        <v/>
      </c>
      <c r="K4974" t="inlineStr">
        <is>
          <t>8.99</t>
        </is>
      </c>
      <c r="L4974" t="n">
        <v>23.99</v>
      </c>
      <c r="M4974" s="1" t="inlineStr">
        <is>
          <t>166.85%</t>
        </is>
      </c>
      <c r="N4974" t="n">
        <v>4.6</v>
      </c>
      <c r="O4974" t="n">
        <v>16</v>
      </c>
      <c r="Q4974" t="inlineStr">
        <is>
          <t>InStock</t>
        </is>
      </c>
      <c r="R4974" t="inlineStr">
        <is>
          <t>12.99</t>
        </is>
      </c>
      <c r="S4974" t="inlineStr">
        <is>
          <t>29976487</t>
        </is>
      </c>
    </row>
    <row r="4975" ht="75" customHeight="1">
      <c r="A4975" s="2">
        <f>HYPERLINK("https://www.cafepress.com/+waterfall_tile_coaster,29976487", "https://www.cafepress.com/+waterfall_tile_coaster,29976487")</f>
        <v/>
      </c>
      <c r="B4975" s="2">
        <f>HYPERLINK("https://www.cafepress.com/+waterfall_tile_coaster,29976487", "https://www.cafepress.com/+waterfall_tile_coaster,29976487")</f>
        <v/>
      </c>
      <c r="C4975" t="inlineStr">
        <is>
          <t>Coasters Waterfall Tile Coaster</t>
        </is>
      </c>
      <c r="D4975" t="inlineStr">
        <is>
          <t>Coasters for Drinks Set of 6, Navy Blue Ceramic Tiles Geometric Pattern Absorbent Square Ceramic Stone Mat, with Cork Base and Metal Holder, Gift for Housewarming Room Bar Decor</t>
        </is>
      </c>
      <c r="E4975" s="2">
        <f>HYPERLINK("https://www.amazon.com/Coasters-Ceramic-Geometric-Absorbent-Housewarming/dp/B0C7C432BB/ref=sr_1_6?keywords=Coasters+Waterfall+Tile+Coaster&amp;qid=1695565354&amp;sr=8-6", "https://www.amazon.com/Coasters-Ceramic-Geometric-Absorbent-Housewarming/dp/B0C7C432BB/ref=sr_1_6?keywords=Coasters+Waterfall+Tile+Coaster&amp;qid=1695565354&amp;sr=8-6")</f>
        <v/>
      </c>
      <c r="F4975" t="inlineStr">
        <is>
          <t>B0C7C432BB</t>
        </is>
      </c>
      <c r="H4975">
        <f>_xlfn.IMAGE("https://m.media-amazon.com/images/I/71rZu1uKzlL._AC_UL320_.jpg")</f>
        <v/>
      </c>
      <c r="K4975" t="inlineStr">
        <is>
          <t>8.99</t>
        </is>
      </c>
      <c r="L4975" t="n">
        <v>19.99</v>
      </c>
      <c r="M4975" s="1" t="inlineStr">
        <is>
          <t>122.36%</t>
        </is>
      </c>
      <c r="N4975" t="n">
        <v>4.5</v>
      </c>
      <c r="O4975" t="n">
        <v>11</v>
      </c>
      <c r="Q4975" t="inlineStr">
        <is>
          <t>InStock</t>
        </is>
      </c>
      <c r="R4975" t="inlineStr">
        <is>
          <t>12.99</t>
        </is>
      </c>
      <c r="S4975" t="inlineStr">
        <is>
          <t>29976487</t>
        </is>
      </c>
    </row>
    <row r="4976" ht="75" customHeight="1">
      <c r="A4976" s="2">
        <f>HYPERLINK("https://www.cafepress.com/+waterfall_tile_coaster,29976487", "https://www.cafepress.com/+waterfall_tile_coaster,29976487")</f>
        <v/>
      </c>
      <c r="B4976" s="2">
        <f>HYPERLINK("https://www.cafepress.com/+waterfall_tile_coaster,29976487", "https://www.cafepress.com/+waterfall_tile_coaster,29976487")</f>
        <v/>
      </c>
      <c r="C4976" t="inlineStr">
        <is>
          <t>Coasters Waterfall Tile Coaster</t>
        </is>
      </c>
      <c r="D4976" t="inlineStr">
        <is>
          <t>Coasters for Drinks – Set of 4 Coasters, Silicone, Protect Against Water Marks or Damage - Fit All Cups, 3.5" Inch Size Fits, Colored Coasters (Emerald Tiles)</t>
        </is>
      </c>
      <c r="E4976" s="2">
        <f>HYPERLINK("https://www.amazon.com/Mosaic-Homeware-Coasters-coasters-Silicone/dp/B07SGKQCN1/ref=sr_1_10?keywords=Coasters+Waterfall+Tile+Coaster&amp;qid=1695565354&amp;sr=8-10", "https://www.amazon.com/Mosaic-Homeware-Coasters-coasters-Silicone/dp/B07SGKQCN1/ref=sr_1_10?keywords=Coasters+Waterfall+Tile+Coaster&amp;qid=1695565354&amp;sr=8-10")</f>
        <v/>
      </c>
      <c r="F4976" t="inlineStr">
        <is>
          <t>B07SGKQCN1</t>
        </is>
      </c>
      <c r="H4976">
        <f>_xlfn.IMAGE("https://m.media-amazon.com/images/I/71TE-0jzAdL._AC_UL320_.jpg")</f>
        <v/>
      </c>
      <c r="K4976" t="inlineStr">
        <is>
          <t>8.99</t>
        </is>
      </c>
      <c r="L4976" t="n">
        <v>15.99</v>
      </c>
      <c r="M4976" s="1" t="inlineStr">
        <is>
          <t>77.86%</t>
        </is>
      </c>
      <c r="N4976" t="n">
        <v>4.7</v>
      </c>
      <c r="O4976" t="n">
        <v>1065</v>
      </c>
      <c r="Q4976" t="inlineStr">
        <is>
          <t>InStock</t>
        </is>
      </c>
      <c r="R4976" t="inlineStr">
        <is>
          <t>12.99</t>
        </is>
      </c>
      <c r="S4976" t="inlineStr">
        <is>
          <t>29976487</t>
        </is>
      </c>
    </row>
    <row r="4977" ht="75" customHeight="1">
      <c r="A4977" s="2">
        <f>HYPERLINK("https://www.cafepress.com/+waterfall_tile_coaster,29976487", "https://www.cafepress.com/+waterfall_tile_coaster,29976487")</f>
        <v/>
      </c>
      <c r="B4977" s="2">
        <f>HYPERLINK("https://www.cafepress.com/+waterfall_tile_coaster,29976487", "https://www.cafepress.com/+waterfall_tile_coaster,29976487")</f>
        <v/>
      </c>
      <c r="C4977" t="inlineStr">
        <is>
          <t>Coasters Waterfall Tile Coaster</t>
        </is>
      </c>
      <c r="D4977" t="inlineStr">
        <is>
          <t>Magical White Fairy Near The Forest Waterfall One Piece Premium Ceramic Tile Coaster 4.25"x4.25" Square Drink Protection for Coffee Tables by Trendy Accessories</t>
        </is>
      </c>
      <c r="E4977" s="2">
        <f>HYPERLINK("https://www.amazon.com/Magical-Waterfall-Protection-Trendy-Accessories/dp/B07D12KTFF/ref=sr_1_1?keywords=Coasters+Waterfall+Tile+Coaster&amp;qid=1695565354&amp;sr=8-1", "https://www.amazon.com/Magical-Waterfall-Protection-Trendy-Accessories/dp/B07D12KTFF/ref=sr_1_1?keywords=Coasters+Waterfall+Tile+Coaster&amp;qid=1695565354&amp;sr=8-1")</f>
        <v/>
      </c>
      <c r="F4977" t="inlineStr">
        <is>
          <t>B07D12KTFF</t>
        </is>
      </c>
      <c r="H4977">
        <f>_xlfn.IMAGE("https://m.media-amazon.com/images/I/71cJlTBso2L._AC_UL320_.jpg")</f>
        <v/>
      </c>
      <c r="K4977" t="inlineStr">
        <is>
          <t>8.99</t>
        </is>
      </c>
      <c r="L4977" t="n">
        <v>10.05</v>
      </c>
      <c r="M4977" s="1" t="inlineStr">
        <is>
          <t>11.79%</t>
        </is>
      </c>
      <c r="N4977" t="n">
        <v>1</v>
      </c>
      <c r="O4977" t="n">
        <v>1</v>
      </c>
      <c r="Q4977" t="inlineStr">
        <is>
          <t>InStock</t>
        </is>
      </c>
      <c r="R4977" t="inlineStr">
        <is>
          <t>12.99</t>
        </is>
      </c>
      <c r="S4977" t="inlineStr">
        <is>
          <t>29976487</t>
        </is>
      </c>
    </row>
    <row r="4978" ht="75" customHeight="1">
      <c r="A4978" s="2">
        <f>HYPERLINK("https://www.cafepress.com/+waterfall_tile_coaster,29976487", "https://www.cafepress.com/+waterfall_tile_coaster,29976487")</f>
        <v/>
      </c>
      <c r="B4978" s="2">
        <f>HYPERLINK("https://www.cafepress.com/+waterfall_tile_coaster,29976487", "https://www.cafepress.com/+waterfall_tile_coaster,29976487")</f>
        <v/>
      </c>
      <c r="C4978" t="inlineStr">
        <is>
          <t>Coasters Waterfall Tile Coaster</t>
        </is>
      </c>
      <c r="D4978" t="inlineStr">
        <is>
          <t>Set of 8 Ceramic Coasters for Drinks with Cork Base and Iron Holder, Mediterranean Tile Designs (4 Inches)</t>
        </is>
      </c>
      <c r="E4978" s="2">
        <f>HYPERLINK("https://www.amazon.com/Mediterranean-Ceramic-Coasters-Cork-Colors/dp/B09C1C81B1/ref=sr_1_5?keywords=Coasters+Waterfall+Tile+Coaster&amp;qid=1695565354&amp;sr=8-5", "https://www.amazon.com/Mediterranean-Ceramic-Coasters-Cork-Colors/dp/B09C1C81B1/ref=sr_1_5?keywords=Coasters+Waterfall+Tile+Coaster&amp;qid=1695565354&amp;sr=8-5")</f>
        <v/>
      </c>
      <c r="F4978" t="inlineStr">
        <is>
          <t>B09C1C81B1</t>
        </is>
      </c>
      <c r="H4978">
        <f>_xlfn.IMAGE("https://m.media-amazon.com/images/I/81A8riLoArL._AC_UL320_.jpg")</f>
        <v/>
      </c>
      <c r="K4978" t="inlineStr">
        <is>
          <t>8.99</t>
        </is>
      </c>
      <c r="L4978" t="n">
        <v>9.09</v>
      </c>
      <c r="M4978" s="1" t="inlineStr">
        <is>
          <t>1.11%</t>
        </is>
      </c>
      <c r="N4978" t="n">
        <v>5</v>
      </c>
      <c r="O4978" t="n">
        <v>2</v>
      </c>
      <c r="Q4978" t="inlineStr">
        <is>
          <t>InStock</t>
        </is>
      </c>
      <c r="R4978" t="inlineStr">
        <is>
          <t>12.99</t>
        </is>
      </c>
      <c r="S4978" t="inlineStr">
        <is>
          <t>29976487</t>
        </is>
      </c>
    </row>
    <row r="4979" ht="75" customHeight="1">
      <c r="A4979" s="2">
        <f>HYPERLINK("https://www.cafepress.com/+wild_turkey_group_mousepad_,41408493", "https://www.cafepress.com/+wild_turkey_group_mousepad_,41408493")</f>
        <v/>
      </c>
      <c r="B4979" s="2">
        <f>HYPERLINK("https://www.cafepress.com/+wild_turkey_group_mousepad_,41408493", "https://www.cafepress.com/+wild_turkey_group_mousepad_,41408493")</f>
        <v/>
      </c>
      <c r="C4979" t="inlineStr">
        <is>
          <t>Wild Turkey Group Mousepad</t>
        </is>
      </c>
      <c r="D4979" t="inlineStr">
        <is>
          <t>Ambesonne Flower Mouse Pad, X-ray Photo of Group of Wild Orchid Floral Image with Unsual Art Elements Print, Rectangle Non-Slip Rubber Mousepad, Standard Size, White and Navy Blue</t>
        </is>
      </c>
      <c r="E4979" s="2">
        <f>HYPERLINK("https://www.amazon.com/Ambesonne-Elements-Standard-Rectangle-Non-Slip/dp/B078MK86R3/ref=sr_1_9?keywords=Wild+Turkey+Group+Mousepad&amp;qid=1695565340&amp;sr=8-9", "https://www.amazon.com/Ambesonne-Elements-Standard-Rectangle-Non-Slip/dp/B078MK86R3/ref=sr_1_9?keywords=Wild+Turkey+Group+Mousepad&amp;qid=1695565340&amp;sr=8-9")</f>
        <v/>
      </c>
      <c r="F4979" t="inlineStr">
        <is>
          <t>B078MK86R3</t>
        </is>
      </c>
      <c r="H4979">
        <f>_xlfn.IMAGE("https://m.media-amazon.com/images/I/710Jo5YlihL._AC_UY218_.jpg")</f>
        <v/>
      </c>
      <c r="K4979" t="inlineStr">
        <is>
          <t>6.99</t>
        </is>
      </c>
      <c r="L4979" t="n">
        <v>17.99</v>
      </c>
      <c r="M4979" s="1" t="inlineStr">
        <is>
          <t>157.37%</t>
        </is>
      </c>
      <c r="N4979" t="n">
        <v>4.5</v>
      </c>
      <c r="O4979" t="n">
        <v>134</v>
      </c>
      <c r="Q4979" t="inlineStr">
        <is>
          <t>InStock</t>
        </is>
      </c>
      <c r="R4979" t="inlineStr">
        <is>
          <t>9.99</t>
        </is>
      </c>
      <c r="S4979" t="inlineStr">
        <is>
          <t>41408493</t>
        </is>
      </c>
    </row>
    <row r="4980" ht="75" customHeight="1">
      <c r="A4980" s="2">
        <f>HYPERLINK("https://www.cafepress.com/+wild_turkey_group_mousepad_,41408493", "https://www.cafepress.com/+wild_turkey_group_mousepad_,41408493")</f>
        <v/>
      </c>
      <c r="B4980" s="2">
        <f>HYPERLINK("https://www.cafepress.com/+wild_turkey_group_mousepad_,41408493", "https://www.cafepress.com/+wild_turkey_group_mousepad_,41408493")</f>
        <v/>
      </c>
      <c r="C4980" t="inlineStr">
        <is>
          <t>Wild Turkey Group Mousepad</t>
        </is>
      </c>
      <c r="D4980" t="inlineStr">
        <is>
          <t>Nicokee Gaming Mouse Pad Strutting Wild Turkey Non-Slip Rubber Mouse Pad for Computers, Laptop, Office, Home Rectangle Personalized Mousepad 9.5 Inch x 7.9 Inch</t>
        </is>
      </c>
      <c r="E4980" s="2">
        <f>HYPERLINK("https://www.amazon.com/Nicokee-Strutting-Computers-Rectangle-Personalized/dp/B08GS3JRP6/ref=sr_1_1?keywords=Wild+Turkey+Group+Mousepad&amp;qid=1695565340&amp;sr=8-1", "https://www.amazon.com/Nicokee-Strutting-Computers-Rectangle-Personalized/dp/B08GS3JRP6/ref=sr_1_1?keywords=Wild+Turkey+Group+Mousepad&amp;qid=1695565340&amp;sr=8-1")</f>
        <v/>
      </c>
      <c r="F4980" t="inlineStr">
        <is>
          <t>B08GS3JRP6</t>
        </is>
      </c>
      <c r="H4980">
        <f>_xlfn.IMAGE("https://m.media-amazon.com/images/I/61u-M9LkQmL._AC_UY218_.jpg")</f>
        <v/>
      </c>
      <c r="K4980" t="inlineStr">
        <is>
          <t>6.99</t>
        </is>
      </c>
      <c r="L4980" t="n">
        <v>8.99</v>
      </c>
      <c r="M4980" s="1" t="inlineStr">
        <is>
          <t>28.61%</t>
        </is>
      </c>
      <c r="N4980" t="n">
        <v>4.5</v>
      </c>
      <c r="O4980" t="n">
        <v>126</v>
      </c>
      <c r="Q4980" t="inlineStr">
        <is>
          <t>InStock</t>
        </is>
      </c>
      <c r="R4980" t="inlineStr">
        <is>
          <t>9.99</t>
        </is>
      </c>
      <c r="S4980" t="inlineStr">
        <is>
          <t>41408493</t>
        </is>
      </c>
    </row>
    <row r="4981" ht="75" customHeight="1">
      <c r="A4981" s="2">
        <f>HYPERLINK("https://www.cafepress.com/mf/100674173/autumn-maple-leaves_sticker?productId=1631801918", "https://www.cafepress.com/mf/100674173/autumn-maple-leaves_sticker?productId=1631801918")</f>
        <v/>
      </c>
      <c r="B4981" s="2">
        <f>HYPERLINK("https://www.cafepress.com/mf/100674173/autumn-maple-leaves_sticker?productId=1631801918", "https://www.cafepress.com/mf/100674173/autumn-maple-leaves_sticker?productId=1631801918")</f>
        <v/>
      </c>
      <c r="C4981" t="inlineStr">
        <is>
          <t>Oval Stickers Autumn Maple Leaves Sticker (Oval)</t>
        </is>
      </c>
      <c r="D4981" t="inlineStr">
        <is>
          <t>Whaline 500 Pcs Fall Maple Leaf Stickers 5 Colors Glitter Stickers Autumn Leaves Shape Decals Cute Self Adhesive Decals Shinny Label Tag for Holiday Thanksgiving Party Window Door Home Decor</t>
        </is>
      </c>
      <c r="E4981" s="2">
        <f>HYPERLINK("https://www.amazon.com/Whaline-Stickers-Glitter-Adhesive-Thanksgiving/dp/B0C7H1RLB2/ref=sr_1_10?keywords=Oval+Stickers+Autumn+Maple+Leaves+Sticker+%28Oval%29&amp;qid=1695565322&amp;sr=8-10", "https://www.amazon.com/Whaline-Stickers-Glitter-Adhesive-Thanksgiving/dp/B0C7H1RLB2/ref=sr_1_10?keywords=Oval+Stickers+Autumn+Maple+Leaves+Sticker+%28Oval%29&amp;qid=1695565322&amp;sr=8-10")</f>
        <v/>
      </c>
      <c r="F4981" t="inlineStr">
        <is>
          <t>B0C7H1RLB2</t>
        </is>
      </c>
      <c r="H4981">
        <f>_xlfn.IMAGE("https://m.media-amazon.com/images/I/81pENm69QJL._AC_UL320_.jpg")</f>
        <v/>
      </c>
      <c r="K4981" t="inlineStr">
        <is>
          <t>3.99</t>
        </is>
      </c>
      <c r="L4981" t="n">
        <v>15.99</v>
      </c>
      <c r="M4981" s="1" t="inlineStr">
        <is>
          <t>300.75%</t>
        </is>
      </c>
      <c r="N4981" t="n">
        <v>5</v>
      </c>
      <c r="O4981" t="n">
        <v>1</v>
      </c>
      <c r="Q4981" t="inlineStr">
        <is>
          <t>undefined</t>
        </is>
      </c>
      <c r="R4981" t="inlineStr">
        <is>
          <t>5.99</t>
        </is>
      </c>
      <c r="S4981" t="inlineStr">
        <is>
          <t>1631801918</t>
        </is>
      </c>
    </row>
    <row r="4982" ht="75" customHeight="1">
      <c r="A4982" s="2">
        <f>HYPERLINK("https://www.cafepress.com/mf/100674173/autumn-maple-leaves_sticker?productId=1631801918", "https://www.cafepress.com/mf/100674173/autumn-maple-leaves_sticker?productId=1631801918")</f>
        <v/>
      </c>
      <c r="B4982" s="2">
        <f>HYPERLINK("https://www.cafepress.com/mf/100674173/autumn-maple-leaves_sticker?productId=1631801918", "https://www.cafepress.com/mf/100674173/autumn-maple-leaves_sticker?productId=1631801918")</f>
        <v/>
      </c>
      <c r="C4982" t="inlineStr">
        <is>
          <t>Oval Stickers Autumn Maple Leaves Sticker (Oval)</t>
        </is>
      </c>
      <c r="D4982" t="inlineStr">
        <is>
          <t>Whaline 1000Pcs Maple Leaves Holographic Stickers Fall Maple Leaf Shape Stickers Fall Leaves Shinny Self-Adhesive Label Stickers in Roll for Fall Autumn Holiday Party Boxes Cards Decor Seal Envelopes</t>
        </is>
      </c>
      <c r="E4982" s="2">
        <f>HYPERLINK("https://www.amazon.com/Whaline-Holographic-Stickers-Self-Adhesive-Envelopes/dp/B0C1SLFSR4/ref=sr_1_4?keywords=Oval+Stickers+Autumn+Maple+Leaves+Sticker+%28Oval%29&amp;qid=1695565322&amp;sr=8-4", "https://www.amazon.com/Whaline-Holographic-Stickers-Self-Adhesive-Envelopes/dp/B0C1SLFSR4/ref=sr_1_4?keywords=Oval+Stickers+Autumn+Maple+Leaves+Sticker+%28Oval%29&amp;qid=1695565322&amp;sr=8-4")</f>
        <v/>
      </c>
      <c r="F4982" t="inlineStr">
        <is>
          <t>B0C1SLFSR4</t>
        </is>
      </c>
      <c r="H4982">
        <f>_xlfn.IMAGE("https://m.media-amazon.com/images/I/81W7Q655F9L._AC_UL320_.jpg")</f>
        <v/>
      </c>
      <c r="K4982" t="inlineStr">
        <is>
          <t>3.99</t>
        </is>
      </c>
      <c r="L4982" t="n">
        <v>11.99</v>
      </c>
      <c r="M4982" s="1" t="inlineStr">
        <is>
          <t>200.50%</t>
        </is>
      </c>
      <c r="N4982" t="n">
        <v>5</v>
      </c>
      <c r="O4982" t="n">
        <v>1</v>
      </c>
      <c r="Q4982" t="inlineStr">
        <is>
          <t>undefined</t>
        </is>
      </c>
      <c r="R4982" t="inlineStr">
        <is>
          <t>5.99</t>
        </is>
      </c>
      <c r="S4982" t="inlineStr">
        <is>
          <t>1631801918</t>
        </is>
      </c>
    </row>
    <row r="4983" ht="75" customHeight="1">
      <c r="A4983" s="2">
        <f>HYPERLINK("https://www.cafepress.com/mf/100674173/autumn-maple-leaves_sticker?productId=1631801918", "https://www.cafepress.com/mf/100674173/autumn-maple-leaves_sticker?productId=1631801918")</f>
        <v/>
      </c>
      <c r="B4983" s="2">
        <f>HYPERLINK("https://www.cafepress.com/mf/100674173/autumn-maple-leaves_sticker?productId=1631801918", "https://www.cafepress.com/mf/100674173/autumn-maple-leaves_sticker?productId=1631801918")</f>
        <v/>
      </c>
      <c r="C4983" t="inlineStr">
        <is>
          <t>Oval Stickers Autumn Maple Leaves Sticker (Oval)</t>
        </is>
      </c>
      <c r="D4983" t="inlineStr">
        <is>
          <t>Whaline 1000Pcs Fall Thank You Stickers Roll Maple Leaves Pattern Decal Stickers Fall Leaves Round Shape Adhesive Sealing Stickers Thank You Labels for Autumn Thanksgiving Party Supplies</t>
        </is>
      </c>
      <c r="E4983" s="2">
        <f>HYPERLINK("https://www.amazon.com/Whaline-Stickers-Adhesive-Thanksgiving-Supplies/dp/B0C6DY1FF2/ref=sr_1_7?keywords=Oval+Stickers+Autumn+Maple+Leaves+Sticker+%28Oval%29&amp;qid=1695565322&amp;sr=8-7", "https://www.amazon.com/Whaline-Stickers-Adhesive-Thanksgiving-Supplies/dp/B0C6DY1FF2/ref=sr_1_7?keywords=Oval+Stickers+Autumn+Maple+Leaves+Sticker+%28Oval%29&amp;qid=1695565322&amp;sr=8-7")</f>
        <v/>
      </c>
      <c r="F4983" t="inlineStr">
        <is>
          <t>B0C6DY1FF2</t>
        </is>
      </c>
      <c r="H4983">
        <f>_xlfn.IMAGE("https://m.media-amazon.com/images/I/81+QRdxbqlL._AC_UL320_.jpg")</f>
        <v/>
      </c>
      <c r="K4983" t="inlineStr">
        <is>
          <t>3.99</t>
        </is>
      </c>
      <c r="L4983" t="n">
        <v>9.99</v>
      </c>
      <c r="M4983" s="1" t="inlineStr">
        <is>
          <t>150.38%</t>
        </is>
      </c>
      <c r="N4983" t="n">
        <v>5</v>
      </c>
      <c r="O4983" t="n">
        <v>2</v>
      </c>
      <c r="Q4983" t="inlineStr">
        <is>
          <t>undefined</t>
        </is>
      </c>
      <c r="R4983" t="inlineStr">
        <is>
          <t>5.99</t>
        </is>
      </c>
      <c r="S4983" t="inlineStr">
        <is>
          <t>1631801918</t>
        </is>
      </c>
    </row>
    <row r="4984" ht="75" customHeight="1">
      <c r="A4984" s="2">
        <f>HYPERLINK("https://www.cafepress.com/mf/100674173/autumn-maple-leaves_sticker?productId=1631801918", "https://www.cafepress.com/mf/100674173/autumn-maple-leaves_sticker?productId=1631801918")</f>
        <v/>
      </c>
      <c r="B4984" s="2">
        <f>HYPERLINK("https://www.cafepress.com/mf/100674173/autumn-maple-leaves_sticker?productId=1631801918", "https://www.cafepress.com/mf/100674173/autumn-maple-leaves_sticker?productId=1631801918")</f>
        <v/>
      </c>
      <c r="C4984" t="inlineStr">
        <is>
          <t>Oval Stickers Autumn Maple Leaves Sticker (Oval)</t>
        </is>
      </c>
      <c r="D4984" t="inlineStr">
        <is>
          <t>Lucleag 520 PCS Fall Leaves Stickers for Kids, Thanksgiving Maple Leaves Stickers for Crafts, Multi Styles Autumn Maple Leaves Leaf Stickers for Thanksgiving Fall Autumn Decorations</t>
        </is>
      </c>
      <c r="E4984" s="2">
        <f>HYPERLINK("https://www.amazon.com/Lucleag-Leaves-Stickers-Thanksgiving-Decorations/dp/B0C4LCHP62/ref=sr_1_3?keywords=Oval+Stickers+Autumn+Maple+Leaves+Sticker+%28Oval%29&amp;qid=1695565322&amp;sr=8-3", "https://www.amazon.com/Lucleag-Leaves-Stickers-Thanksgiving-Decorations/dp/B0C4LCHP62/ref=sr_1_3?keywords=Oval+Stickers+Autumn+Maple+Leaves+Sticker+%28Oval%29&amp;qid=1695565322&amp;sr=8-3")</f>
        <v/>
      </c>
      <c r="F4984" t="inlineStr">
        <is>
          <t>B0C4LCHP62</t>
        </is>
      </c>
      <c r="H4984">
        <f>_xlfn.IMAGE("https://m.media-amazon.com/images/I/81WqpvcU4nL._AC_UL320_.jpg")</f>
        <v/>
      </c>
      <c r="K4984" t="inlineStr">
        <is>
          <t>3.99</t>
        </is>
      </c>
      <c r="L4984" t="n">
        <v>6.99</v>
      </c>
      <c r="M4984" s="1" t="inlineStr">
        <is>
          <t>75.19%</t>
        </is>
      </c>
      <c r="N4984" t="n">
        <v>4.5</v>
      </c>
      <c r="O4984" t="n">
        <v>7</v>
      </c>
      <c r="Q4984" t="inlineStr">
        <is>
          <t>undefined</t>
        </is>
      </c>
      <c r="R4984" t="inlineStr">
        <is>
          <t>5.99</t>
        </is>
      </c>
      <c r="S4984" t="inlineStr">
        <is>
          <t>1631801918</t>
        </is>
      </c>
    </row>
    <row r="4985" ht="75" customHeight="1">
      <c r="A4985" s="2">
        <f>HYPERLINK("https://www.cafepress.com/mf/100674173/autumn-maple-leaves_sticker?productId=1631801918", "https://www.cafepress.com/mf/100674173/autumn-maple-leaves_sticker?productId=1631801918")</f>
        <v/>
      </c>
      <c r="B4985" s="2">
        <f>HYPERLINK("https://www.cafepress.com/mf/100674173/autumn-maple-leaves_sticker?productId=1631801918", "https://www.cafepress.com/mf/100674173/autumn-maple-leaves_sticker?productId=1631801918")</f>
        <v/>
      </c>
      <c r="C4985" t="inlineStr">
        <is>
          <t>Oval Stickers Autumn Maple Leaves Sticker (Oval)</t>
        </is>
      </c>
      <c r="D4985" t="inlineStr">
        <is>
          <t>Fall Stickers Autumn Stickers for Kids 640PCS Thanksgiving Maple Leaves Stickers Hello Fall Stickers Envelope Thanksgiving Party Classroom Decor</t>
        </is>
      </c>
      <c r="E4985" s="2">
        <f>HYPERLINK("https://www.amazon.com/Stickers-Autumn-Thanksgiving-Envelope-Classroom/dp/B0C862VZDM/ref=sr_1_9?keywords=Oval+Stickers+Autumn+Maple+Leaves+Sticker+%28Oval%29&amp;qid=1695565322&amp;sr=8-9", "https://www.amazon.com/Stickers-Autumn-Thanksgiving-Envelope-Classroom/dp/B0C862VZDM/ref=sr_1_9?keywords=Oval+Stickers+Autumn+Maple+Leaves+Sticker+%28Oval%29&amp;qid=1695565322&amp;sr=8-9")</f>
        <v/>
      </c>
      <c r="F4985" t="inlineStr">
        <is>
          <t>B0C862VZDM</t>
        </is>
      </c>
      <c r="H4985">
        <f>_xlfn.IMAGE("https://m.media-amazon.com/images/I/81jD2G8MrQL._AC_UL320_.jpg")</f>
        <v/>
      </c>
      <c r="K4985" t="inlineStr">
        <is>
          <t>3.99</t>
        </is>
      </c>
      <c r="L4985" t="n">
        <v>6.99</v>
      </c>
      <c r="M4985" s="1" t="inlineStr">
        <is>
          <t>75.19%</t>
        </is>
      </c>
      <c r="N4985" t="n">
        <v>4.8</v>
      </c>
      <c r="O4985" t="n">
        <v>73</v>
      </c>
      <c r="Q4985" t="inlineStr">
        <is>
          <t>undefined</t>
        </is>
      </c>
      <c r="R4985" t="inlineStr">
        <is>
          <t>5.99</t>
        </is>
      </c>
      <c r="S4985" t="inlineStr">
        <is>
          <t>1631801918</t>
        </is>
      </c>
    </row>
    <row r="4986" ht="75" customHeight="1">
      <c r="A4986" s="2">
        <f>HYPERLINK("https://www.cafepress.com/mf/101181778/pumpkin-pattern_greeting-cards?productId=1649900036", "https://www.cafepress.com/mf/101181778/pumpkin-pattern_greeting-cards?productId=1649900036")</f>
        <v/>
      </c>
      <c r="B4986" s="2">
        <f>HYPERLINK("https://www.cafepress.com/mf/101181778/pumpkin-pattern_greeting-cards?productId=1649900036", "https://www.cafepress.com/mf/101181778/pumpkin-pattern_greeting-cards?productId=1649900036")</f>
        <v/>
      </c>
      <c r="C4986" t="inlineStr">
        <is>
          <t>pumpkin pattern Greeting Card</t>
        </is>
      </c>
      <c r="D4986" t="inlineStr">
        <is>
          <t>Note Card Cafe Halloween Cards with Tangerine Zest Envelopes | 24 Pack | Patterned Pumpkins Vertical Design | Blank Inside, Glossy Finish | Greeting, Fall, Bulk</t>
        </is>
      </c>
      <c r="E4986" s="2">
        <f>HYPERLINK("https://www.amazon.com/Holiday-Note-Cards-Patterned-Tangerine/dp/B01A5UJK3W/ref=sr_1_1?keywords=pumpkin+pattern+Greeting+Card&amp;qid=1695565327&amp;sr=8-1", "https://www.amazon.com/Holiday-Note-Cards-Patterned-Tangerine/dp/B01A5UJK3W/ref=sr_1_1?keywords=pumpkin+pattern+Greeting+Card&amp;qid=1695565327&amp;sr=8-1")</f>
        <v/>
      </c>
      <c r="F4986" t="inlineStr">
        <is>
          <t>B01A5UJK3W</t>
        </is>
      </c>
      <c r="H4986">
        <f>_xlfn.IMAGE("https://m.media-amazon.com/images/I/61fGHEPponL._AC_UL320_.jpg")</f>
        <v/>
      </c>
      <c r="K4986" t="inlineStr">
        <is>
          <t>2.99</t>
        </is>
      </c>
      <c r="L4986" t="n">
        <v>14.99</v>
      </c>
      <c r="M4986" s="1" t="inlineStr">
        <is>
          <t>401.34%</t>
        </is>
      </c>
      <c r="N4986" t="n">
        <v>4.7</v>
      </c>
      <c r="O4986" t="n">
        <v>75</v>
      </c>
      <c r="Q4986" t="inlineStr">
        <is>
          <t>undefined</t>
        </is>
      </c>
      <c r="R4986" t="inlineStr">
        <is>
          <t>3.99</t>
        </is>
      </c>
      <c r="S4986" t="inlineStr">
        <is>
          <t>1649900036</t>
        </is>
      </c>
    </row>
    <row r="4987" ht="75" customHeight="1">
      <c r="A4987" s="2">
        <f>HYPERLINK("https://www.cafepress.com/mf/101181778/pumpkin-pattern_greeting-cards?productId=1649900036", "https://www.cafepress.com/mf/101181778/pumpkin-pattern_greeting-cards?productId=1649900036")</f>
        <v/>
      </c>
      <c r="B4987" s="2">
        <f>HYPERLINK("https://www.cafepress.com/mf/101181778/pumpkin-pattern_greeting-cards?productId=1649900036", "https://www.cafepress.com/mf/101181778/pumpkin-pattern_greeting-cards?productId=1649900036")</f>
        <v/>
      </c>
      <c r="C4987" t="inlineStr">
        <is>
          <t>pumpkin pattern Greeting Card</t>
        </is>
      </c>
      <c r="D4987" t="inlineStr">
        <is>
          <t>Autumn Pumpkin Blank Fall Cards - 24 Greeting Cards with Envelopes</t>
        </is>
      </c>
      <c r="E4987" s="2">
        <f>HYPERLINK("https://www.amazon.com/Autumn-Pumpkin-Fall-Greeting-Cards/dp/B01HUI236I/ref=sr_1_9?keywords=pumpkin+pattern+Greeting+Card&amp;qid=1695565327&amp;sr=8-9", "https://www.amazon.com/Autumn-Pumpkin-Fall-Greeting-Cards/dp/B01HUI236I/ref=sr_1_9?keywords=pumpkin+pattern+Greeting+Card&amp;qid=1695565327&amp;sr=8-9")</f>
        <v/>
      </c>
      <c r="F4987" t="inlineStr">
        <is>
          <t>B01HUI236I</t>
        </is>
      </c>
      <c r="H4987">
        <f>_xlfn.IMAGE("https://m.media-amazon.com/images/I/51N9uom-+TL._AC_UL320_.jpg")</f>
        <v/>
      </c>
      <c r="K4987" t="inlineStr">
        <is>
          <t>2.99</t>
        </is>
      </c>
      <c r="L4987" t="n">
        <v>13.95</v>
      </c>
      <c r="M4987" s="1" t="inlineStr">
        <is>
          <t>366.56%</t>
        </is>
      </c>
      <c r="N4987" t="n">
        <v>5</v>
      </c>
      <c r="O4987" t="n">
        <v>5</v>
      </c>
      <c r="Q4987" t="inlineStr">
        <is>
          <t>undefined</t>
        </is>
      </c>
      <c r="R4987" t="inlineStr">
        <is>
          <t>3.99</t>
        </is>
      </c>
      <c r="S4987" t="inlineStr">
        <is>
          <t>1649900036</t>
        </is>
      </c>
    </row>
    <row r="4988" ht="75" customHeight="1">
      <c r="A4988" s="2">
        <f>HYPERLINK("https://www.cafepress.com/mf/101181778/pumpkin-pattern_greeting-cards?productId=1649900036", "https://www.cafepress.com/mf/101181778/pumpkin-pattern_greeting-cards?productId=1649900036")</f>
        <v/>
      </c>
      <c r="B4988" s="2">
        <f>HYPERLINK("https://www.cafepress.com/mf/101181778/pumpkin-pattern_greeting-cards?productId=1649900036", "https://www.cafepress.com/mf/101181778/pumpkin-pattern_greeting-cards?productId=1649900036")</f>
        <v/>
      </c>
      <c r="C4988" t="inlineStr">
        <is>
          <t>pumpkin pattern Greeting Card</t>
        </is>
      </c>
      <c r="D4988" t="inlineStr">
        <is>
          <t>Whaline 33 Pack Halloween Greeting Cards with Envelop and Stickers Happy Halloween Cards Witch Ghost Pumpkin Spider Web Pattern Note Cards for Trick or Treat Party Favors, 11 Designs, 4 x6</t>
        </is>
      </c>
      <c r="E4988" s="2">
        <f>HYPERLINK("https://www.amazon.com/Whaline-Halloween-Greeting-Envelopes-Treating/dp/B07XG4PLYN/ref=sr_1_2?keywords=pumpkin+pattern+Greeting+Card&amp;qid=1695565327&amp;sr=8-2", "https://www.amazon.com/Whaline-Halloween-Greeting-Envelopes-Treating/dp/B07XG4PLYN/ref=sr_1_2?keywords=pumpkin+pattern+Greeting+Card&amp;qid=1695565327&amp;sr=8-2")</f>
        <v/>
      </c>
      <c r="F4988" t="inlineStr">
        <is>
          <t>B07XG4PLYN</t>
        </is>
      </c>
      <c r="H4988">
        <f>_xlfn.IMAGE("https://m.media-amazon.com/images/I/81mJBbpME-L._AC_UL320_.jpg")</f>
        <v/>
      </c>
      <c r="K4988" t="inlineStr">
        <is>
          <t>2.99</t>
        </is>
      </c>
      <c r="L4988" t="n">
        <v>11.99</v>
      </c>
      <c r="M4988" s="1" t="inlineStr">
        <is>
          <t>301.00%</t>
        </is>
      </c>
      <c r="N4988" t="n">
        <v>4.7</v>
      </c>
      <c r="O4988" t="n">
        <v>130</v>
      </c>
      <c r="Q4988" t="inlineStr">
        <is>
          <t>undefined</t>
        </is>
      </c>
      <c r="R4988" t="inlineStr">
        <is>
          <t>3.99</t>
        </is>
      </c>
      <c r="S4988" t="inlineStr">
        <is>
          <t>1649900036</t>
        </is>
      </c>
    </row>
    <row r="4989" ht="75" customHeight="1">
      <c r="A4989" s="2">
        <f>HYPERLINK("https://www.cafepress.com/mf/101181778/pumpkin-pattern_greeting-cards?productId=1649900036", "https://www.cafepress.com/mf/101181778/pumpkin-pattern_greeting-cards?productId=1649900036")</f>
        <v/>
      </c>
      <c r="B4989" s="2">
        <f>HYPERLINK("https://www.cafepress.com/mf/101181778/pumpkin-pattern_greeting-cards?productId=1649900036", "https://www.cafepress.com/mf/101181778/pumpkin-pattern_greeting-cards?productId=1649900036")</f>
        <v/>
      </c>
      <c r="C4989" t="inlineStr">
        <is>
          <t>pumpkin pattern Greeting Card</t>
        </is>
      </c>
      <c r="D4989" t="inlineStr">
        <is>
          <t>Outus 24 Pieces Thanksgiving Greeting Cards with Envelopes Stickers Assorted Style Thanksgiving Cards Pumpkin Greeting Card 8 Design Thanksgiving Note Cards for Invitation Present</t>
        </is>
      </c>
      <c r="E4989" s="2">
        <f>HYPERLINK("https://www.amazon.com/Thanksgiving-Greeting-Envelopes-Stickers-Invitation/dp/B0997PQ3LN/ref=sr_1_8?keywords=pumpkin+pattern+Greeting+Card&amp;qid=1695565327&amp;sr=8-8", "https://www.amazon.com/Thanksgiving-Greeting-Envelopes-Stickers-Invitation/dp/B0997PQ3LN/ref=sr_1_8?keywords=pumpkin+pattern+Greeting+Card&amp;qid=1695565327&amp;sr=8-8")</f>
        <v/>
      </c>
      <c r="F4989" t="inlineStr">
        <is>
          <t>B0997PQ3LN</t>
        </is>
      </c>
      <c r="H4989">
        <f>_xlfn.IMAGE("https://m.media-amazon.com/images/I/81jP1I3LnmL._AC_UL320_.jpg")</f>
        <v/>
      </c>
      <c r="K4989" t="inlineStr">
        <is>
          <t>2.99</t>
        </is>
      </c>
      <c r="L4989" t="n">
        <v>9.99</v>
      </c>
      <c r="M4989" s="1" t="inlineStr">
        <is>
          <t>234.11%</t>
        </is>
      </c>
      <c r="N4989" t="n">
        <v>4.9</v>
      </c>
      <c r="O4989" t="n">
        <v>10</v>
      </c>
      <c r="Q4989" t="inlineStr">
        <is>
          <t>undefined</t>
        </is>
      </c>
      <c r="R4989" t="inlineStr">
        <is>
          <t>3.99</t>
        </is>
      </c>
      <c r="S4989" t="inlineStr">
        <is>
          <t>1649900036</t>
        </is>
      </c>
    </row>
    <row r="4990" ht="75" customHeight="1">
      <c r="A4990" s="2">
        <f>HYPERLINK("https://www.cafepress.com/mf/101939077/gobble-gobble-funny-thanksgivi_mugs?productId=1677337428", "https://www.cafepress.com/mf/101939077/gobble-gobble-funny-thanksgivi_mugs?productId=1677337428")</f>
        <v/>
      </c>
      <c r="B4990" s="2">
        <f>HYPERLINK("https://www.cafepress.com/mf/101939077/gobble-gobble-funny-thanksgivi_mugs?productId=1677337428", "https://www.cafepress.com/mf/101939077/gobble-gobble-funny-thanksgivi_mugs?productId=1677337428")</f>
        <v/>
      </c>
      <c r="C4990" t="inlineStr">
        <is>
          <t>Standard Mugs Gobble Gobble Funny Thanksgiving Turkey 11 oz Ceramic Mug</t>
        </is>
      </c>
      <c r="D4990" t="inlineStr">
        <is>
          <t>Gobble Till You Wobble Coffee Mug Humorous Gift Idea Thanksgiving Turkey Dinner Autumn Harvest Meal Celebration Hostess Present Family Spouse Friend Coworker 11oz Ceramic Tea Cup Digibuddha DM0376</t>
        </is>
      </c>
      <c r="E4990" s="2">
        <f>HYPERLINK("https://www.amazon.com/Humorous-Thanksgiving-Celebration-Coworker-Digibuddha/dp/B07GNJ9C1R/ref=sr_1_4?keywords=Standard+Mugs+Gobble+Gobble+Funny+Thanksgiving+Turkey+11+oz+Ceramic+Mug&amp;qid=1695565328&amp;sr=8-4", "https://www.amazon.com/Humorous-Thanksgiving-Celebration-Coworker-Digibuddha/dp/B07GNJ9C1R/ref=sr_1_4?keywords=Standard+Mugs+Gobble+Gobble+Funny+Thanksgiving+Turkey+11+oz+Ceramic+Mug&amp;qid=1695565328&amp;sr=8-4")</f>
        <v/>
      </c>
      <c r="F4990" t="inlineStr">
        <is>
          <t>B07GNJ9C1R</t>
        </is>
      </c>
      <c r="H4990">
        <f>_xlfn.IMAGE("https://m.media-amazon.com/images/I/41-bqpq0HuL._AC_UL320_.jpg")</f>
        <v/>
      </c>
      <c r="K4990" t="inlineStr">
        <is>
          <t>9.99</t>
        </is>
      </c>
      <c r="L4990" t="n">
        <v>18.95</v>
      </c>
      <c r="M4990" s="1" t="inlineStr">
        <is>
          <t>89.69%</t>
        </is>
      </c>
      <c r="N4990" t="n">
        <v>4.2</v>
      </c>
      <c r="O4990" t="n">
        <v>26</v>
      </c>
      <c r="Q4990" t="inlineStr">
        <is>
          <t>undefined</t>
        </is>
      </c>
      <c r="R4990" t="inlineStr">
        <is>
          <t>14.99</t>
        </is>
      </c>
      <c r="S4990" t="inlineStr">
        <is>
          <t>1677337428</t>
        </is>
      </c>
    </row>
    <row r="4991" ht="75" customHeight="1">
      <c r="A4991" s="2">
        <f>HYPERLINK("https://www.cafepress.com/mf/101939077/gobble-gobble-funny-thanksgivi_mugs?productId=1677337428", "https://www.cafepress.com/mf/101939077/gobble-gobble-funny-thanksgivi_mugs?productId=1677337428")</f>
        <v/>
      </c>
      <c r="B4991" s="2">
        <f>HYPERLINK("https://www.cafepress.com/mf/101939077/gobble-gobble-funny-thanksgivi_mugs?productId=1677337428", "https://www.cafepress.com/mf/101939077/gobble-gobble-funny-thanksgivi_mugs?productId=1677337428")</f>
        <v/>
      </c>
      <c r="C4991" t="inlineStr">
        <is>
          <t>Standard Mugs Gobble Gobble Funny Thanksgiving Turkey 11 oz Ceramic Mug</t>
        </is>
      </c>
      <c r="D4991" t="inlineStr">
        <is>
          <t>Happy Thanksgiving Coffee Mug, Funny Gobble Turkey Mug, Thankful Grateful Blessed Gifts for Men Women, Thanksgiving Party Supplies 11 oz Ceramic Cup (One Size, Gobble Til You Wobble Mug)</t>
        </is>
      </c>
      <c r="E4991" s="2">
        <f>HYPERLINK("https://www.amazon.com/Thanksgiving-Thankful-Grateful-Men-Women-Supplies/dp/B0B6HQVF8K/ref=sr_1_3?keywords=Standard+Mugs+Gobble+Gobble+Funny+Thanksgiving+Turkey+11+oz+Ceramic+Mug&amp;qid=1695565328&amp;sr=8-3", "https://www.amazon.com/Thanksgiving-Thankful-Grateful-Men-Women-Supplies/dp/B0B6HQVF8K/ref=sr_1_3?keywords=Standard+Mugs+Gobble+Gobble+Funny+Thanksgiving+Turkey+11+oz+Ceramic+Mug&amp;qid=1695565328&amp;sr=8-3")</f>
        <v/>
      </c>
      <c r="F4991" t="inlineStr">
        <is>
          <t>B0B6HQVF8K</t>
        </is>
      </c>
      <c r="H4991">
        <f>_xlfn.IMAGE("https://m.media-amazon.com/images/I/510wm45UJmL._AC_UL320_.jpg")</f>
        <v/>
      </c>
      <c r="K4991" t="inlineStr">
        <is>
          <t>9.99</t>
        </is>
      </c>
      <c r="L4991" t="n">
        <v>13.99</v>
      </c>
      <c r="M4991" s="1" t="inlineStr">
        <is>
          <t>40.04%</t>
        </is>
      </c>
      <c r="N4991" t="n">
        <v>4.9</v>
      </c>
      <c r="O4991" t="n">
        <v>12</v>
      </c>
      <c r="Q4991" t="inlineStr">
        <is>
          <t>undefined</t>
        </is>
      </c>
      <c r="R4991" t="inlineStr">
        <is>
          <t>14.99</t>
        </is>
      </c>
      <c r="S4991" t="inlineStr">
        <is>
          <t>1677337428</t>
        </is>
      </c>
    </row>
    <row r="4992" ht="75" customHeight="1">
      <c r="A4992" s="2">
        <f>HYPERLINK("https://www.cafepress.com/mf/101939077/gobble-gobble-funny-thanksgivi_mugs?productId=1677337428", "https://www.cafepress.com/mf/101939077/gobble-gobble-funny-thanksgivi_mugs?productId=1677337428")</f>
        <v/>
      </c>
      <c r="B4992" s="2">
        <f>HYPERLINK("https://www.cafepress.com/mf/101939077/gobble-gobble-funny-thanksgivi_mugs?productId=1677337428", "https://www.cafepress.com/mf/101939077/gobble-gobble-funny-thanksgivi_mugs?productId=1677337428")</f>
        <v/>
      </c>
      <c r="C4992" t="inlineStr">
        <is>
          <t>Standard Mugs Gobble Gobble Funny Thanksgiving Turkey 11 oz Ceramic Mug</t>
        </is>
      </c>
      <c r="D4992" t="inlineStr">
        <is>
          <t>Best Thanksgiving Gifts For Neighbors, Thanksgiving Mugs | Thanksgiving Gobble Till You Wobble Funny Turkey Mug Funny Thanksgiving Gift Ideas, Thanksgiving Coffee Mug 11oz</t>
        </is>
      </c>
      <c r="E4992" s="2">
        <f>HYPERLINK("https://www.amazon.com/Thanksgiving-Neighbors-Gobble-Wobble-Turkey/dp/B09BR2Z7SW/ref=sr_1_10?keywords=Standard+Mugs+Gobble+Gobble+Funny+Thanksgiving+Turkey+11+oz+Ceramic+Mug&amp;qid=1695565328&amp;sr=8-10", "https://www.amazon.com/Thanksgiving-Neighbors-Gobble-Wobble-Turkey/dp/B09BR2Z7SW/ref=sr_1_10?keywords=Standard+Mugs+Gobble+Gobble+Funny+Thanksgiving+Turkey+11+oz+Ceramic+Mug&amp;qid=1695565328&amp;sr=8-10")</f>
        <v/>
      </c>
      <c r="F4992" t="inlineStr">
        <is>
          <t>B09BR2Z7SW</t>
        </is>
      </c>
      <c r="H4992">
        <f>_xlfn.IMAGE("https://m.media-amazon.com/images/I/61eBiM9QtiL._AC_UL320_.jpg")</f>
        <v/>
      </c>
      <c r="K4992" t="inlineStr">
        <is>
          <t>9.99</t>
        </is>
      </c>
      <c r="L4992" t="n">
        <v>13.99</v>
      </c>
      <c r="M4992" s="1" t="inlineStr">
        <is>
          <t>40.04%</t>
        </is>
      </c>
      <c r="N4992" t="n">
        <v>2.9</v>
      </c>
      <c r="O4992" t="n">
        <v>5</v>
      </c>
      <c r="Q4992" t="inlineStr">
        <is>
          <t>undefined</t>
        </is>
      </c>
      <c r="R4992" t="inlineStr">
        <is>
          <t>14.99</t>
        </is>
      </c>
      <c r="S4992" t="inlineStr">
        <is>
          <t>1677337428</t>
        </is>
      </c>
    </row>
    <row r="4993" ht="75" customHeight="1">
      <c r="A4993" s="2">
        <f>HYPERLINK("https://www.cafepress.com/mf/104964452/halloween-pumpkin-silhouette_mugs?productId=1803716884", "https://www.cafepress.com/mf/104964452/halloween-pumpkin-silhouette_mugs?productId=1803716884")</f>
        <v/>
      </c>
      <c r="B4993" s="2">
        <f>HYPERLINK("https://www.cafepress.com/mf/104964452/halloween-pumpkin-silhouette_mugs?productId=1803716884", "https://www.cafepress.com/mf/104964452/halloween-pumpkin-silhouette_mugs?productId=1803716884")</f>
        <v/>
      </c>
      <c r="C4993" t="inlineStr">
        <is>
          <t>Halloween Pumpkin Silhouette 11 oz Ceramic Mug</t>
        </is>
      </c>
      <c r="D4993" t="inlineStr">
        <is>
          <t>Tstars Jack O Lantern Cup Halloween Pumpkin Face Coffee Mugs 11 Oz. Orange</t>
        </is>
      </c>
      <c r="E4993" s="2">
        <f>HYPERLINK("https://www.amazon.com/LANTERN-Pumpkin-Halloween-Coffee-Orange/dp/B07WW6Q5WF/ref=sr_1_9?keywords=Halloween+Pumpkin+Silhouette+11+oz+Ceramic+Mug&amp;qid=1695565304&amp;sr=8-9", "https://www.amazon.com/LANTERN-Pumpkin-Halloween-Coffee-Orange/dp/B07WW6Q5WF/ref=sr_1_9?keywords=Halloween+Pumpkin+Silhouette+11+oz+Ceramic+Mug&amp;qid=1695565304&amp;sr=8-9")</f>
        <v/>
      </c>
      <c r="F4993" t="inlineStr">
        <is>
          <t>B07WW6Q5WF</t>
        </is>
      </c>
      <c r="H4993">
        <f>_xlfn.IMAGE("https://m.media-amazon.com/images/I/41xe-LsRYYL._AC_UL320_.jpg")</f>
        <v/>
      </c>
      <c r="K4993" t="inlineStr">
        <is>
          <t>9.99</t>
        </is>
      </c>
      <c r="L4993" t="n">
        <v>17.95</v>
      </c>
      <c r="M4993" s="1" t="inlineStr">
        <is>
          <t>79.68%</t>
        </is>
      </c>
      <c r="N4993" t="n">
        <v>4.6</v>
      </c>
      <c r="O4993" t="n">
        <v>177</v>
      </c>
      <c r="Q4993" t="inlineStr">
        <is>
          <t>undefined</t>
        </is>
      </c>
      <c r="R4993" t="inlineStr">
        <is>
          <t>14.99</t>
        </is>
      </c>
      <c r="S4993" t="inlineStr">
        <is>
          <t>1803716884</t>
        </is>
      </c>
    </row>
    <row r="4994" ht="75" customHeight="1">
      <c r="A4994" s="2">
        <f>HYPERLINK("https://www.cafepress.com/mf/104964452/halloween-pumpkin-silhouette_mugs?productId=1803716884", "https://www.cafepress.com/mf/104964452/halloween-pumpkin-silhouette_mugs?productId=1803716884")</f>
        <v/>
      </c>
      <c r="B4994" s="2">
        <f>HYPERLINK("https://www.cafepress.com/mf/104964452/halloween-pumpkin-silhouette_mugs?productId=1803716884", "https://www.cafepress.com/mf/104964452/halloween-pumpkin-silhouette_mugs?productId=1803716884")</f>
        <v/>
      </c>
      <c r="C4994" t="inlineStr">
        <is>
          <t>Halloween Pumpkin Silhouette 11 oz Ceramic Mug</t>
        </is>
      </c>
      <c r="D4994" t="inlineStr">
        <is>
          <t>Casitika Halloween Horror Movie Coffee Mug. I Wanna Go To a Pumpkin Patch Drink Spice Fall Mugs. 11 oz White Ceramic Novelty Murder Mug.</t>
        </is>
      </c>
      <c r="E4994" s="2">
        <f>HYPERLINK("https://www.amazon.com/Casitika-Halloween-Pumpkin-Ceramic-Novelty/dp/B07H6MYQJ7/ref=sr_1_8?keywords=Halloween+Pumpkin+Silhouette+11+oz+Ceramic+Mug&amp;qid=1695565304&amp;sr=8-8", "https://www.amazon.com/Casitika-Halloween-Pumpkin-Ceramic-Novelty/dp/B07H6MYQJ7/ref=sr_1_8?keywords=Halloween+Pumpkin+Silhouette+11+oz+Ceramic+Mug&amp;qid=1695565304&amp;sr=8-8")</f>
        <v/>
      </c>
      <c r="F4994" t="inlineStr">
        <is>
          <t>B07H6MYQJ7</t>
        </is>
      </c>
      <c r="H4994">
        <f>_xlfn.IMAGE("https://m.media-amazon.com/images/I/51OPJZBK9jL._AC_UL320_.jpg")</f>
        <v/>
      </c>
      <c r="K4994" t="inlineStr">
        <is>
          <t>9.99</t>
        </is>
      </c>
      <c r="L4994" t="n">
        <v>14.99</v>
      </c>
      <c r="M4994" s="1" t="inlineStr">
        <is>
          <t>50.05%</t>
        </is>
      </c>
      <c r="N4994" t="n">
        <v>4.6</v>
      </c>
      <c r="O4994" t="n">
        <v>113</v>
      </c>
      <c r="Q4994" t="inlineStr">
        <is>
          <t>undefined</t>
        </is>
      </c>
      <c r="R4994" t="inlineStr">
        <is>
          <t>14.99</t>
        </is>
      </c>
      <c r="S4994" t="inlineStr">
        <is>
          <t>1803716884</t>
        </is>
      </c>
    </row>
    <row r="4995" ht="75" customHeight="1">
      <c r="A4995" s="2">
        <f>HYPERLINK("https://www.cafepress.com/mf/104964452/halloween-pumpkin-silhouette_mugs?productId=1803716884", "https://www.cafepress.com/mf/104964452/halloween-pumpkin-silhouette_mugs?productId=1803716884")</f>
        <v/>
      </c>
      <c r="B4995" s="2">
        <f>HYPERLINK("https://www.cafepress.com/mf/104964452/halloween-pumpkin-silhouette_mugs?productId=1803716884", "https://www.cafepress.com/mf/104964452/halloween-pumpkin-silhouette_mugs?productId=1803716884")</f>
        <v/>
      </c>
      <c r="C4995" t="inlineStr">
        <is>
          <t>Halloween Pumpkin Silhouette 11 oz Ceramic Mug</t>
        </is>
      </c>
      <c r="D4995" t="inlineStr">
        <is>
          <t>3dRose Fun Halloween Jack O Lantern Pumpkin With Purple Orange Stars Ceramic Mug, 11 oz, White</t>
        </is>
      </c>
      <c r="E4995" s="2">
        <f>HYPERLINK("https://www.amazon.com/3dRose-219251_1-Halloween-Lantern-Pumpkin/dp/B014WZL8SQ/ref=sr_1_3?keywords=Halloween+Pumpkin+Silhouette+11+oz+Ceramic+Mug&amp;qid=1695565304&amp;sr=8-3", "https://www.amazon.com/3dRose-219251_1-Halloween-Lantern-Pumpkin/dp/B014WZL8SQ/ref=sr_1_3?keywords=Halloween+Pumpkin+Silhouette+11+oz+Ceramic+Mug&amp;qid=1695565304&amp;sr=8-3")</f>
        <v/>
      </c>
      <c r="F4995" t="inlineStr">
        <is>
          <t>B014WZL8SQ</t>
        </is>
      </c>
      <c r="H4995">
        <f>_xlfn.IMAGE("https://m.media-amazon.com/images/I/81e58psF9EL._AC_UL320_.jpg")</f>
        <v/>
      </c>
      <c r="K4995" t="inlineStr">
        <is>
          <t>9.99</t>
        </is>
      </c>
      <c r="L4995" t="n">
        <v>9.49</v>
      </c>
      <c r="M4995" s="1" t="inlineStr">
        <is>
          <t>-5.01%</t>
        </is>
      </c>
      <c r="N4995" t="n">
        <v>5</v>
      </c>
      <c r="O4995" t="n">
        <v>3</v>
      </c>
      <c r="Q4995" t="inlineStr">
        <is>
          <t>undefined</t>
        </is>
      </c>
      <c r="R4995" t="inlineStr">
        <is>
          <t>14.99</t>
        </is>
      </c>
      <c r="S4995" t="inlineStr">
        <is>
          <t>1803716884</t>
        </is>
      </c>
    </row>
    <row r="4996" ht="75" customHeight="1">
      <c r="A4996" s="2">
        <f>HYPERLINK("https://www.cafepress.com/mf/106235566/beautiful-autumn_mugs?productId=1926025520", "https://www.cafepress.com/mf/106235566/beautiful-autumn_mugs?productId=1926025520")</f>
        <v/>
      </c>
      <c r="B4996" s="2">
        <f>HYPERLINK("https://www.cafepress.com/mf/106235566/beautiful-autumn_mugs?productId=1926025520", "https://www.cafepress.com/mf/106235566/beautiful-autumn_mugs?productId=1926025520")</f>
        <v/>
      </c>
      <c r="C4996" t="inlineStr">
        <is>
          <t>Standard Mugs Beautiful Autumn 11 oz Ceramic Mug</t>
        </is>
      </c>
      <c r="D4996" t="inlineStr">
        <is>
          <t>4 Pcs Fall Coffee Mugs 11 oz Fall Autumn Pumpkin Mug Happy Fall Y'all Ceramic Cups Orange Autumn Fall Home Decor Kitchen Accessories Camp Campfire Tea Cup Thanksgiving Gift for Mom Dad Grandpa Grandma</t>
        </is>
      </c>
      <c r="E4996" s="2">
        <f>HYPERLINK("https://www.amazon.com/Fall-Mug-Accessories-Campfire-Thanksgiving/dp/B0CC86RYJW/ref=sr_1_5?keywords=Standard+Mugs+Beautiful+Autumn+11+oz+Ceramic+Mug&amp;qid=1695565353&amp;sr=8-5", "https://www.amazon.com/Fall-Mug-Accessories-Campfire-Thanksgiving/dp/B0CC86RYJW/ref=sr_1_5?keywords=Standard+Mugs+Beautiful+Autumn+11+oz+Ceramic+Mug&amp;qid=1695565353&amp;sr=8-5")</f>
        <v/>
      </c>
      <c r="F4996" t="inlineStr">
        <is>
          <t>B0CC86RYJW</t>
        </is>
      </c>
      <c r="H4996">
        <f>_xlfn.IMAGE("https://m.media-amazon.com/images/I/71Ph0C6SZnL._AC_UL320_.jpg")</f>
        <v/>
      </c>
      <c r="K4996" t="inlineStr">
        <is>
          <t>9.99</t>
        </is>
      </c>
      <c r="L4996" t="n">
        <v>24.99</v>
      </c>
      <c r="M4996" s="1" t="inlineStr">
        <is>
          <t>150.15%</t>
        </is>
      </c>
      <c r="N4996" t="n">
        <v>5</v>
      </c>
      <c r="O4996" t="n">
        <v>2</v>
      </c>
      <c r="Q4996" t="inlineStr">
        <is>
          <t>undefined</t>
        </is>
      </c>
      <c r="R4996" t="inlineStr">
        <is>
          <t>14.99</t>
        </is>
      </c>
      <c r="S4996" t="inlineStr">
        <is>
          <t>1926025520</t>
        </is>
      </c>
    </row>
    <row r="4997" ht="75" customHeight="1">
      <c r="A4997" s="2">
        <f>HYPERLINK("https://www.cafepress.com/mf/106813941/autumn-bliss_mugs?productId=1959290707", "https://www.cafepress.com/mf/106813941/autumn-bliss_mugs?productId=1959290707")</f>
        <v/>
      </c>
      <c r="B4997" s="2">
        <f>HYPERLINK("https://www.cafepress.com/mf/106813941/autumn-bliss_mugs?productId=1959290707", "https://www.cafepress.com/mf/106813941/autumn-bliss_mugs?productId=1959290707")</f>
        <v/>
      </c>
      <c r="C4997" t="inlineStr">
        <is>
          <t>Autumn Bliss 11 oz Ceramic Mug</t>
        </is>
      </c>
      <c r="D4997" t="inlineStr">
        <is>
          <t>4 Pcs Fall Coffee Mugs 11 oz Fall Autumn Pumpkin Mug Happy Fall Y'all Ceramic Cups Orange Autumn Fall Home Decor Kitchen Accessories Camp Campfire Tea Cup Thanksgiving Gift for Mom Dad Grandpa Grandma</t>
        </is>
      </c>
      <c r="E4997" s="2">
        <f>HYPERLINK("https://www.amazon.com/Fall-Mug-Accessories-Campfire-Thanksgiving/dp/B0CC86RYJW/ref=sr_1_3?keywords=Autumn+Bliss+11+oz+Ceramic+Mug&amp;qid=1695565312&amp;sr=8-3", "https://www.amazon.com/Fall-Mug-Accessories-Campfire-Thanksgiving/dp/B0CC86RYJW/ref=sr_1_3?keywords=Autumn+Bliss+11+oz+Ceramic+Mug&amp;qid=1695565312&amp;sr=8-3")</f>
        <v/>
      </c>
      <c r="F4997" t="inlineStr">
        <is>
          <t>B0CC86RYJW</t>
        </is>
      </c>
      <c r="H4997">
        <f>_xlfn.IMAGE("https://m.media-amazon.com/images/I/71Ph0C6SZnL._AC_UL320_.jpg")</f>
        <v/>
      </c>
      <c r="K4997" t="inlineStr">
        <is>
          <t>9.99</t>
        </is>
      </c>
      <c r="L4997" t="n">
        <v>24.99</v>
      </c>
      <c r="M4997" s="1" t="inlineStr">
        <is>
          <t>150.15%</t>
        </is>
      </c>
      <c r="N4997" t="n">
        <v>5</v>
      </c>
      <c r="O4997" t="n">
        <v>2</v>
      </c>
      <c r="Q4997" t="inlineStr">
        <is>
          <t>undefined</t>
        </is>
      </c>
      <c r="R4997" t="inlineStr">
        <is>
          <t>14.99</t>
        </is>
      </c>
      <c r="S4997" t="inlineStr">
        <is>
          <t>1959290707</t>
        </is>
      </c>
    </row>
    <row r="4998" ht="75" customHeight="1">
      <c r="A4998" s="2">
        <f>HYPERLINK("https://www.cafepress.com/mf/106813941/autumn-bliss_mugs?productId=1959290707", "https://www.cafepress.com/mf/106813941/autumn-bliss_mugs?productId=1959290707")</f>
        <v/>
      </c>
      <c r="B4998" s="2">
        <f>HYPERLINK("https://www.cafepress.com/mf/106813941/autumn-bliss_mugs?productId=1959290707", "https://www.cafepress.com/mf/106813941/autumn-bliss_mugs?productId=1959290707")</f>
        <v/>
      </c>
      <c r="C4998" t="inlineStr">
        <is>
          <t>Autumn Bliss 11 oz Ceramic Mug</t>
        </is>
      </c>
      <c r="D4998" t="inlineStr">
        <is>
          <t>Andaz Press Fall Burgundy Marsala 11oz. Ceramic Coffee Tea Mug, Thankful, 1-Pack, Pumpkin Floral Graphic, Birthday, Friend, Family, Coworker, Autumn Season, Thanksgiving, Festive Ideas</t>
        </is>
      </c>
      <c r="E4998" s="2">
        <f>HYPERLINK("https://www.amazon.com/Andaz-Press-Burgundy-Thankful-Thanksgiving/dp/B08JD2HJV4/ref=sr_1_10?keywords=Autumn+Bliss+11+oz+Ceramic+Mug&amp;qid=1695565312&amp;sr=8-10", "https://www.amazon.com/Andaz-Press-Burgundy-Thankful-Thanksgiving/dp/B08JD2HJV4/ref=sr_1_10?keywords=Autumn+Bliss+11+oz+Ceramic+Mug&amp;qid=1695565312&amp;sr=8-10")</f>
        <v/>
      </c>
      <c r="F4998" t="inlineStr">
        <is>
          <t>B08JD2HJV4</t>
        </is>
      </c>
      <c r="H4998">
        <f>_xlfn.IMAGE("https://m.media-amazon.com/images/I/51io-OJt+jL._AC_UL320_.jpg")</f>
        <v/>
      </c>
      <c r="K4998" t="inlineStr">
        <is>
          <t>9.99</t>
        </is>
      </c>
      <c r="L4998" t="n">
        <v>17.99</v>
      </c>
      <c r="M4998" s="1" t="inlineStr">
        <is>
          <t>80.08%</t>
        </is>
      </c>
      <c r="N4998" t="n">
        <v>5</v>
      </c>
      <c r="O4998" t="n">
        <v>1</v>
      </c>
      <c r="Q4998" t="inlineStr">
        <is>
          <t>undefined</t>
        </is>
      </c>
      <c r="R4998" t="inlineStr">
        <is>
          <t>14.99</t>
        </is>
      </c>
      <c r="S4998" t="inlineStr">
        <is>
          <t>1959290707</t>
        </is>
      </c>
    </row>
    <row r="4999" ht="75" customHeight="1">
      <c r="A4999" s="2">
        <f>HYPERLINK("https://www.cafepress.com/mf/106813942/fall-branch_mugs?productId=1959288221", "https://www.cafepress.com/mf/106813942/fall-branch_mugs?productId=1959288221")</f>
        <v/>
      </c>
      <c r="B4999" s="2">
        <f>HYPERLINK("https://www.cafepress.com/mf/106813942/fall-branch_mugs?productId=1959288221", "https://www.cafepress.com/mf/106813942/fall-branch_mugs?productId=1959288221")</f>
        <v/>
      </c>
      <c r="C4999" t="inlineStr">
        <is>
          <t>Standard Mugs Fall Branch 11 oz Ceramic Mug</t>
        </is>
      </c>
      <c r="D4999" t="inlineStr">
        <is>
          <t>4 Pcs Fall Coffee Mugs 11 oz Fall Autumn Pumpkin Mug Happy Fall Y'all Ceramic Cups Orange Autumn Fall Home Decor Kitchen Accessories Camp Campfire Tea Cup Thanksgiving Gift for Mom Dad Grandpa Grandma</t>
        </is>
      </c>
      <c r="E4999" s="2">
        <f>HYPERLINK("https://www.amazon.com/Fall-Mug-Accessories-Campfire-Thanksgiving/dp/B0CC86RYJW/ref=sr_1_4?keywords=Standard+Mugs+Fall+Branch+11+oz+Ceramic+Mug&amp;qid=1695565347&amp;sr=8-4", "https://www.amazon.com/Fall-Mug-Accessories-Campfire-Thanksgiving/dp/B0CC86RYJW/ref=sr_1_4?keywords=Standard+Mugs+Fall+Branch+11+oz+Ceramic+Mug&amp;qid=1695565347&amp;sr=8-4")</f>
        <v/>
      </c>
      <c r="F4999" t="inlineStr">
        <is>
          <t>B0CC86RYJW</t>
        </is>
      </c>
      <c r="H4999">
        <f>_xlfn.IMAGE("https://m.media-amazon.com/images/I/71Ph0C6SZnL._AC_UL320_.jpg")</f>
        <v/>
      </c>
      <c r="K4999" t="inlineStr">
        <is>
          <t>9.99</t>
        </is>
      </c>
      <c r="L4999" t="n">
        <v>24.99</v>
      </c>
      <c r="M4999" s="1" t="inlineStr">
        <is>
          <t>150.15%</t>
        </is>
      </c>
      <c r="N4999" t="n">
        <v>5</v>
      </c>
      <c r="O4999" t="n">
        <v>2</v>
      </c>
      <c r="Q4999" t="inlineStr">
        <is>
          <t>undefined</t>
        </is>
      </c>
      <c r="R4999" t="inlineStr">
        <is>
          <t>14.99</t>
        </is>
      </c>
      <c r="S4999" t="inlineStr">
        <is>
          <t>1959288221</t>
        </is>
      </c>
    </row>
    <row r="5000" ht="75" customHeight="1">
      <c r="A5000" s="2">
        <f>HYPERLINK("https://www.cafepress.com/mf/106857226/mugs_mugs?productId=1962032789", "https://www.cafepress.com/mf/106857226/mugs_mugs?productId=1962032789")</f>
        <v/>
      </c>
      <c r="B5000" s="2">
        <f>HYPERLINK("https://www.cafepress.com/mf/106857226/mugs_mugs?productId=1962032789", "https://www.cafepress.com/mf/106857226/mugs_mugs?productId=1962032789")</f>
        <v/>
      </c>
      <c r="C5000" t="inlineStr">
        <is>
          <t>I Love Pumpkin Pie 11 oz Ceramic Mug</t>
        </is>
      </c>
      <c r="D5000" t="inlineStr">
        <is>
          <t>Funny Coffee Mug, I F*cking Love Pumpkins and Leaves and Shit Fall Stoneware Campfire mug, 15oz Coffee Mug Ceramic Cup, Unique Sarcastic Gag Gift for Women Men (#1)</t>
        </is>
      </c>
      <c r="E5000" s="2">
        <f>HYPERLINK("https://www.amazon.com/Pumpkins-Stoneware-Campfire-Ceramic-Sarcastic/dp/B0CGLQYCSR/ref=sr_1_8?keywords=I+Love+Pumpkin+Pie+11+oz+Ceramic+Mug&amp;qid=1695565351&amp;sr=8-8", "https://www.amazon.com/Pumpkins-Stoneware-Campfire-Ceramic-Sarcastic/dp/B0CGLQYCSR/ref=sr_1_8?keywords=I+Love+Pumpkin+Pie+11+oz+Ceramic+Mug&amp;qid=1695565351&amp;sr=8-8")</f>
        <v/>
      </c>
      <c r="F5000" t="inlineStr">
        <is>
          <t>B0CGLQYCSR</t>
        </is>
      </c>
      <c r="H5000">
        <f>_xlfn.IMAGE("https://m.media-amazon.com/images/I/61p+E2CPk1L._AC_UL320_.jpg")</f>
        <v/>
      </c>
      <c r="K5000" t="inlineStr">
        <is>
          <t>9.99</t>
        </is>
      </c>
      <c r="L5000" t="n">
        <v>19.98</v>
      </c>
      <c r="M5000" s="1" t="inlineStr">
        <is>
          <t>100.00%</t>
        </is>
      </c>
      <c r="N5000" t="n">
        <v>1</v>
      </c>
      <c r="O5000" t="n">
        <v>2</v>
      </c>
      <c r="Q5000" t="inlineStr">
        <is>
          <t>undefined</t>
        </is>
      </c>
      <c r="R5000" t="inlineStr">
        <is>
          <t>14.99</t>
        </is>
      </c>
      <c r="S5000" t="inlineStr">
        <is>
          <t>1962032789</t>
        </is>
      </c>
    </row>
    <row r="5001" ht="75" customHeight="1">
      <c r="A5001" s="2">
        <f>HYPERLINK("https://www.cafepress.com/mf/106857226/mugs_mugs?productId=1962032789", "https://www.cafepress.com/mf/106857226/mugs_mugs?productId=1962032789")</f>
        <v/>
      </c>
      <c r="B5001" s="2">
        <f>HYPERLINK("https://www.cafepress.com/mf/106857226/mugs_mugs?productId=1962032789", "https://www.cafepress.com/mf/106857226/mugs_mugs?productId=1962032789")</f>
        <v/>
      </c>
      <c r="C5001" t="inlineStr">
        <is>
          <t>I Love Pumpkin Pie 11 oz Ceramic Mug</t>
        </is>
      </c>
      <c r="D5001" t="inlineStr">
        <is>
          <t>3dRose mug_60649_1 "I Love Pumpkin Pie" Ceramic Mug, 11 oz, Multicolor</t>
        </is>
      </c>
      <c r="E5001" s="2">
        <f>HYPERLINK("https://www.amazon.com/3dRose-mug_60649_1-Pumpkin-Ceramic-Multicolor/dp/B00946NFRQ/ref=sr_1_2?keywords=I+Love+Pumpkin+Pie+11+oz+Ceramic+Mug&amp;qid=1695565351&amp;sr=8-2", "https://www.amazon.com/3dRose-mug_60649_1-Pumpkin-Ceramic-Multicolor/dp/B00946NFRQ/ref=sr_1_2?keywords=I+Love+Pumpkin+Pie+11+oz+Ceramic+Mug&amp;qid=1695565351&amp;sr=8-2")</f>
        <v/>
      </c>
      <c r="F5001" t="inlineStr">
        <is>
          <t>B00946NFRQ</t>
        </is>
      </c>
      <c r="H5001">
        <f>_xlfn.IMAGE("https://m.media-amazon.com/images/I/71zfSu56hnL._AC_UL320_.jpg")</f>
        <v/>
      </c>
      <c r="K5001" t="inlineStr">
        <is>
          <t>9.99</t>
        </is>
      </c>
      <c r="L5001" t="n">
        <v>11.52</v>
      </c>
      <c r="M5001" s="1" t="inlineStr">
        <is>
          <t>15.32%</t>
        </is>
      </c>
      <c r="N5001" t="n">
        <v>5</v>
      </c>
      <c r="O5001" t="n">
        <v>2</v>
      </c>
      <c r="Q5001" t="inlineStr">
        <is>
          <t>undefined</t>
        </is>
      </c>
      <c r="R5001" t="inlineStr">
        <is>
          <t>14.99</t>
        </is>
      </c>
      <c r="S5001" t="inlineStr">
        <is>
          <t>1962032789</t>
        </is>
      </c>
    </row>
    <row r="5002" ht="75" customHeight="1">
      <c r="A5002" s="2">
        <f>HYPERLINK("https://www.cafepress.com/mf/107046481/i-love-fashion-trends_mugs?productId=1977191529", "https://www.cafepress.com/mf/107046481/i-love-fashion-trends_mugs?productId=1977191529")</f>
        <v/>
      </c>
      <c r="B5002" s="2">
        <f>HYPERLINK("https://www.cafepress.com/mf/107046481/i-love-fashion-trends_mugs?productId=1977191529", "https://www.cafepress.com/mf/107046481/i-love-fashion-trends_mugs?productId=1977191529")</f>
        <v/>
      </c>
      <c r="C5002" t="inlineStr">
        <is>
          <t>I love Fashion Trends 11 oz Ceramic Mug</t>
        </is>
      </c>
      <c r="D5002" t="inlineStr">
        <is>
          <t>Fashion mug, 11oz, 15oz, style, gift, coffee mug, lovely mug, make up, fashion tea cup, fashion books shoes coffee. friend</t>
        </is>
      </c>
      <c r="E5002" s="2">
        <f>HYPERLINK("https://www.amazon.com/Fashion-coffee-lovely-fashion-coffee/dp/B076J9G2ZN/ref=sr_1_8?keywords=I+love+Fashion+Trends+11+oz+Ceramic+Mug&amp;qid=1695565335&amp;sr=8-8", "https://www.amazon.com/Fashion-coffee-lovely-fashion-coffee/dp/B076J9G2ZN/ref=sr_1_8?keywords=I+love+Fashion+Trends+11+oz+Ceramic+Mug&amp;qid=1695565335&amp;sr=8-8")</f>
        <v/>
      </c>
      <c r="F5002" t="inlineStr">
        <is>
          <t>B076J9G2ZN</t>
        </is>
      </c>
      <c r="H5002">
        <f>_xlfn.IMAGE("https://m.media-amazon.com/images/I/41ww36bJUjL._AC_UL320_.jpg")</f>
        <v/>
      </c>
      <c r="K5002" t="inlineStr">
        <is>
          <t>9.99</t>
        </is>
      </c>
      <c r="L5002" t="n">
        <v>24.99</v>
      </c>
      <c r="M5002" s="1" t="inlineStr">
        <is>
          <t>150.15%</t>
        </is>
      </c>
      <c r="N5002" t="n">
        <v>5</v>
      </c>
      <c r="O5002" t="n">
        <v>10</v>
      </c>
      <c r="Q5002" t="inlineStr">
        <is>
          <t>undefined</t>
        </is>
      </c>
      <c r="R5002" t="inlineStr">
        <is>
          <t>14.99</t>
        </is>
      </c>
      <c r="S5002" t="inlineStr">
        <is>
          <t>1977191529</t>
        </is>
      </c>
    </row>
    <row r="5003" ht="75" customHeight="1">
      <c r="A5003" s="2">
        <f>HYPERLINK("https://www.cafepress.com/mf/10804910/whos-a-turkey-greeting-card_greeting-cards?productId=557864107", "https://www.cafepress.com/mf/10804910/whos-a-turkey-greeting-card_greeting-cards?productId=557864107")</f>
        <v/>
      </c>
      <c r="B5003" s="2">
        <f>HYPERLINK("https://www.cafepress.com/mf/10804910/whos-a-turkey-greeting-card_greeting-cards?productId=557864107", "https://www.cafepress.com/mf/10804910/whos-a-turkey-greeting-card_greeting-cards?productId=557864107")</f>
        <v/>
      </c>
      <c r="C5003" t="inlineStr">
        <is>
          <t>Greeting Cards Who's a Turkey Greeting Card</t>
        </is>
      </c>
      <c r="D5003" t="inlineStr">
        <is>
          <t>4 Pieces Thanksgiving Pop Up Cards 5x7-3D Turkey Thanksgiving Cards Greeting Pop Up Card Autumn Fall Pop Up Cards Turkey Birthday Card Thank You Cards-turkey Showing Tail (Thanksgiving)</t>
        </is>
      </c>
      <c r="E5003" s="2">
        <f>HYPERLINK("https://www.amazon.com/Thanksgiving-Greeting-Birthday-Cards-turkey-Showing/dp/B0B7QQ155T/ref=sr_1_10?keywords=Greeting+Cards+Whos+a+Turkey+Greeting+Card&amp;qid=1695565311&amp;sr=8-10", "https://www.amazon.com/Thanksgiving-Greeting-Birthday-Cards-turkey-Showing/dp/B0B7QQ155T/ref=sr_1_10?keywords=Greeting+Cards+Whos+a+Turkey+Greeting+Card&amp;qid=1695565311&amp;sr=8-10")</f>
        <v/>
      </c>
      <c r="F5003" t="inlineStr">
        <is>
          <t>B0B7QQ155T</t>
        </is>
      </c>
      <c r="H5003">
        <f>_xlfn.IMAGE("https://m.media-amazon.com/images/I/819PS4ClmLL._AC_UL320_.jpg")</f>
        <v/>
      </c>
      <c r="K5003" t="inlineStr">
        <is>
          <t>2.99</t>
        </is>
      </c>
      <c r="L5003" t="n">
        <v>19.99</v>
      </c>
      <c r="M5003" s="1" t="inlineStr">
        <is>
          <t>568.56%</t>
        </is>
      </c>
      <c r="N5003" t="n">
        <v>4.3</v>
      </c>
      <c r="O5003" t="n">
        <v>24</v>
      </c>
      <c r="Q5003" t="inlineStr">
        <is>
          <t>undefined</t>
        </is>
      </c>
      <c r="R5003" t="inlineStr">
        <is>
          <t>3.99</t>
        </is>
      </c>
      <c r="S5003" t="inlineStr">
        <is>
          <t>Single</t>
        </is>
      </c>
    </row>
    <row r="5004" ht="75" customHeight="1">
      <c r="A5004" s="2">
        <f>HYPERLINK("https://www.cafepress.com/mf/10804910/whos-a-turkey-greeting-card_greeting-cards?productId=557864107", "https://www.cafepress.com/mf/10804910/whos-a-turkey-greeting-card_greeting-cards?productId=557864107")</f>
        <v/>
      </c>
      <c r="B5004" s="2">
        <f>HYPERLINK("https://www.cafepress.com/mf/10804910/whos-a-turkey-greeting-card_greeting-cards?productId=557864107", "https://www.cafepress.com/mf/10804910/whos-a-turkey-greeting-card_greeting-cards?productId=557864107")</f>
        <v/>
      </c>
      <c r="C5004" t="inlineStr">
        <is>
          <t>Greeting Cards Who's a Turkey Greeting Card</t>
        </is>
      </c>
      <c r="D5004" t="inlineStr">
        <is>
          <t>Thanksgiving Boxed Greeting Card Multi-Pack Set (4x6) by Fravessi | 16 Cards + 17 Envelopes (Fall Turkey Scene)</t>
        </is>
      </c>
      <c r="E5004" s="2">
        <f>HYPERLINK("https://www.amazon.com/Thanksgiving-Greeting-Multi-Pack-Fravessi-Envelopes/dp/B08CKCC56F/ref=sr_1_1?keywords=Greeting+Cards+Whos+a+Turkey+Greeting+Card&amp;qid=1695565311&amp;sr=8-1", "https://www.amazon.com/Thanksgiving-Greeting-Multi-Pack-Fravessi-Envelopes/dp/B08CKCC56F/ref=sr_1_1?keywords=Greeting+Cards+Whos+a+Turkey+Greeting+Card&amp;qid=1695565311&amp;sr=8-1")</f>
        <v/>
      </c>
      <c r="F5004" t="inlineStr">
        <is>
          <t>B08CKCC56F</t>
        </is>
      </c>
      <c r="H5004">
        <f>_xlfn.IMAGE("https://m.media-amazon.com/images/I/71I4a5o+SqL._AC_UL320_.jpg")</f>
        <v/>
      </c>
      <c r="K5004" t="inlineStr">
        <is>
          <t>2.99</t>
        </is>
      </c>
      <c r="L5004" t="n">
        <v>18.99</v>
      </c>
      <c r="M5004" s="1" t="inlineStr">
        <is>
          <t>535.12%</t>
        </is>
      </c>
      <c r="N5004" t="n">
        <v>4</v>
      </c>
      <c r="O5004" t="n">
        <v>36</v>
      </c>
      <c r="Q5004" t="inlineStr">
        <is>
          <t>undefined</t>
        </is>
      </c>
      <c r="R5004" t="inlineStr">
        <is>
          <t>3.99</t>
        </is>
      </c>
      <c r="S5004" t="inlineStr">
        <is>
          <t>Single</t>
        </is>
      </c>
    </row>
    <row r="5005" ht="75" customHeight="1">
      <c r="A5005" s="2">
        <f>HYPERLINK("https://www.cafepress.com/mf/10804910/whos-a-turkey-greeting-card_greeting-cards?productId=557864107", "https://www.cafepress.com/mf/10804910/whos-a-turkey-greeting-card_greeting-cards?productId=557864107")</f>
        <v/>
      </c>
      <c r="B5005" s="2">
        <f>HYPERLINK("https://www.cafepress.com/mf/10804910/whos-a-turkey-greeting-card_greeting-cards?productId=557864107", "https://www.cafepress.com/mf/10804910/whos-a-turkey-greeting-card_greeting-cards?productId=557864107")</f>
        <v/>
      </c>
      <c r="C5005" t="inlineStr">
        <is>
          <t>Greeting Cards Who's a Turkey Greeting Card</t>
        </is>
      </c>
      <c r="D5005" t="inlineStr">
        <is>
          <t>Paper Love 3D Thanksgiving Turkey Pop Up Card, Handmade Popup Greeting Cards For Fall or Autumn, Thank You, Holiday or Just Because | 5" x 7" Includes Envelope and Note Tag</t>
        </is>
      </c>
      <c r="E5005" s="2">
        <f>HYPERLINK("https://www.amazon.com/Paper-Love-Thanksgiving-Turkey-Greeting/dp/B0BC6MD76G/ref=sr_1_8?keywords=Greeting+Cards+Whos+a+Turkey+Greeting+Card&amp;qid=1695565311&amp;sr=8-8", "https://www.amazon.com/Paper-Love-Thanksgiving-Turkey-Greeting/dp/B0BC6MD76G/ref=sr_1_8?keywords=Greeting+Cards+Whos+a+Turkey+Greeting+Card&amp;qid=1695565311&amp;sr=8-8")</f>
        <v/>
      </c>
      <c r="F5005" t="inlineStr">
        <is>
          <t>B0BC6MD76G</t>
        </is>
      </c>
      <c r="H5005">
        <f>_xlfn.IMAGE("https://m.media-amazon.com/images/I/81-ZbbyJIAL._AC_UL320_.jpg")</f>
        <v/>
      </c>
      <c r="K5005" t="inlineStr">
        <is>
          <t>2.99</t>
        </is>
      </c>
      <c r="L5005" t="n">
        <v>13.99</v>
      </c>
      <c r="M5005" s="1" t="inlineStr">
        <is>
          <t>367.89%</t>
        </is>
      </c>
      <c r="N5005" t="n">
        <v>4.7</v>
      </c>
      <c r="O5005" t="n">
        <v>34</v>
      </c>
      <c r="Q5005" t="inlineStr">
        <is>
          <t>undefined</t>
        </is>
      </c>
      <c r="R5005" t="inlineStr">
        <is>
          <t>3.99</t>
        </is>
      </c>
      <c r="S5005" t="inlineStr">
        <is>
          <t>Single</t>
        </is>
      </c>
    </row>
    <row r="5006" ht="75" customHeight="1">
      <c r="A5006" s="2">
        <f>HYPERLINK("https://www.cafepress.com/mf/10804910/whos-a-turkey-greeting-card_greeting-cards?productId=557864107", "https://www.cafepress.com/mf/10804910/whos-a-turkey-greeting-card_greeting-cards?productId=557864107")</f>
        <v/>
      </c>
      <c r="B5006" s="2">
        <f>HYPERLINK("https://www.cafepress.com/mf/10804910/whos-a-turkey-greeting-card_greeting-cards?productId=557864107", "https://www.cafepress.com/mf/10804910/whos-a-turkey-greeting-card_greeting-cards?productId=557864107")</f>
        <v/>
      </c>
      <c r="C5006" t="inlineStr">
        <is>
          <t>Greeting Cards Who's a Turkey Greeting Card</t>
        </is>
      </c>
      <c r="D5006" t="inlineStr">
        <is>
          <t>22Craft Happy Thanksgiving Turkey 3D Pop Up Card - Thanksgiving Greeting Card, 6"x8" Greeting Pop Up Card For Fall, Thanksgiving, Thank You - For Women, Men - Includes Envelop And Note Tag</t>
        </is>
      </c>
      <c r="E5006" s="2">
        <f>HYPERLINK("https://www.amazon.com/22Craft-Happy-Thanksgiving-Turkey-Card/dp/B0BJVCLTSQ/ref=sr_1_6?keywords=Greeting+Cards+Whos+a+Turkey+Greeting+Card&amp;qid=1695565311&amp;sr=8-6", "https://www.amazon.com/22Craft-Happy-Thanksgiving-Turkey-Card/dp/B0BJVCLTSQ/ref=sr_1_6?keywords=Greeting+Cards+Whos+a+Turkey+Greeting+Card&amp;qid=1695565311&amp;sr=8-6")</f>
        <v/>
      </c>
      <c r="F5006" t="inlineStr">
        <is>
          <t>B0BJVCLTSQ</t>
        </is>
      </c>
      <c r="H5006">
        <f>_xlfn.IMAGE("https://m.media-amazon.com/images/I/81iRyXQgrpL._AC_UL320_.jpg")</f>
        <v/>
      </c>
      <c r="K5006" t="inlineStr">
        <is>
          <t>2.99</t>
        </is>
      </c>
      <c r="L5006" t="n">
        <v>11.99</v>
      </c>
      <c r="M5006" s="1" t="inlineStr">
        <is>
          <t>301.00%</t>
        </is>
      </c>
      <c r="N5006" t="n">
        <v>5</v>
      </c>
      <c r="O5006" t="n">
        <v>6</v>
      </c>
      <c r="Q5006" t="inlineStr">
        <is>
          <t>undefined</t>
        </is>
      </c>
      <c r="R5006" t="inlineStr">
        <is>
          <t>3.99</t>
        </is>
      </c>
      <c r="S5006" t="inlineStr">
        <is>
          <t>Single</t>
        </is>
      </c>
    </row>
    <row r="5007" ht="75" customHeight="1">
      <c r="A5007" s="2">
        <f>HYPERLINK("https://www.cafepress.com/mf/10804910/whos-a-turkey-greeting-card_greeting-cards?productId=557864107", "https://www.cafepress.com/mf/10804910/whos-a-turkey-greeting-card_greeting-cards?productId=557864107")</f>
        <v/>
      </c>
      <c r="B5007" s="2">
        <f>HYPERLINK("https://www.cafepress.com/mf/10804910/whos-a-turkey-greeting-card_greeting-cards?productId=557864107", "https://www.cafepress.com/mf/10804910/whos-a-turkey-greeting-card_greeting-cards?productId=557864107")</f>
        <v/>
      </c>
      <c r="C5007" t="inlineStr">
        <is>
          <t>Greeting Cards Who's a Turkey Greeting Card</t>
        </is>
      </c>
      <c r="D5007" t="inlineStr">
        <is>
          <t>Happy Thanksgiving Turkey 3D Greeting Pop Up Card, Happy Thanksgiving Card - For Family, Friend, Mother, Grandma, Thank You, Celebration, Autumn, Fall | With Message Note &amp; Envelop | 7 x 5 Inch</t>
        </is>
      </c>
      <c r="E5007" s="2">
        <f>HYPERLINK("https://www.amazon.com/Liif-Happy-Thanksgiving-Turkey-Greeting/dp/B09K3PM3TF/ref=sr_1_4?keywords=Greeting+Cards+Whos+a+Turkey+Greeting+Card&amp;qid=1695565311&amp;sr=8-4", "https://www.amazon.com/Liif-Happy-Thanksgiving-Turkey-Greeting/dp/B09K3PM3TF/ref=sr_1_4?keywords=Greeting+Cards+Whos+a+Turkey+Greeting+Card&amp;qid=1695565311&amp;sr=8-4")</f>
        <v/>
      </c>
      <c r="F5007" t="inlineStr">
        <is>
          <t>B09K3PM3TF</t>
        </is>
      </c>
      <c r="H5007">
        <f>_xlfn.IMAGE("https://m.media-amazon.com/images/I/71mZ0zkwWUL._AC_UL320_.jpg")</f>
        <v/>
      </c>
      <c r="K5007" t="inlineStr">
        <is>
          <t>2.99</t>
        </is>
      </c>
      <c r="L5007" t="n">
        <v>10.99</v>
      </c>
      <c r="M5007" s="1" t="inlineStr">
        <is>
          <t>267.56%</t>
        </is>
      </c>
      <c r="N5007" t="n">
        <v>4.7</v>
      </c>
      <c r="O5007" t="n">
        <v>87</v>
      </c>
      <c r="Q5007" t="inlineStr">
        <is>
          <t>undefined</t>
        </is>
      </c>
      <c r="R5007" t="inlineStr">
        <is>
          <t>3.99</t>
        </is>
      </c>
      <c r="S5007" t="inlineStr">
        <is>
          <t>Single</t>
        </is>
      </c>
    </row>
    <row r="5008" ht="75" customHeight="1">
      <c r="A5008" s="2">
        <f>HYPERLINK("https://www.cafepress.com/mf/10804910/whos-a-turkey-greeting-card_greeting-cards?productId=557864107", "https://www.cafepress.com/mf/10804910/whos-a-turkey-greeting-card_greeting-cards?productId=557864107")</f>
        <v/>
      </c>
      <c r="B5008" s="2">
        <f>HYPERLINK("https://www.cafepress.com/mf/10804910/whos-a-turkey-greeting-card_greeting-cards?productId=557864107", "https://www.cafepress.com/mf/10804910/whos-a-turkey-greeting-card_greeting-cards?productId=557864107")</f>
        <v/>
      </c>
      <c r="C5008" t="inlineStr">
        <is>
          <t>Greeting Cards Who's a Turkey Greeting Card</t>
        </is>
      </c>
      <c r="D5008" t="inlineStr">
        <is>
          <t>Thanksgiving Card 5.8inch Turkey Pop Up Card 3D Pop Up Greeting Cards Turkey Thanksgiving Cards with Envelopes for Thank You Thanksgiving Birthday Gift Red</t>
        </is>
      </c>
      <c r="E5008" s="2">
        <f>HYPERLINK("https://www.amazon.com/XJF-Thanksgiving-Greeting-Envelopes-Birthday/dp/B09F2V39R6/ref=sr_1_5?keywords=Greeting+Cards+Whos+a+Turkey+Greeting+Card&amp;qid=1695565311&amp;sr=8-5", "https://www.amazon.com/XJF-Thanksgiving-Greeting-Envelopes-Birthday/dp/B09F2V39R6/ref=sr_1_5?keywords=Greeting+Cards+Whos+a+Turkey+Greeting+Card&amp;qid=1695565311&amp;sr=8-5")</f>
        <v/>
      </c>
      <c r="F5008" t="inlineStr">
        <is>
          <t>B09F2V39R6</t>
        </is>
      </c>
      <c r="H5008">
        <f>_xlfn.IMAGE("https://m.media-amazon.com/images/I/81BUQn1C3gL._AC_UL320_.jpg")</f>
        <v/>
      </c>
      <c r="K5008" t="inlineStr">
        <is>
          <t>2.99</t>
        </is>
      </c>
      <c r="L5008" t="n">
        <v>8.99</v>
      </c>
      <c r="M5008" s="1" t="inlineStr">
        <is>
          <t>200.67%</t>
        </is>
      </c>
      <c r="N5008" t="n">
        <v>4.6</v>
      </c>
      <c r="O5008" t="n">
        <v>13</v>
      </c>
      <c r="Q5008" t="inlineStr">
        <is>
          <t>undefined</t>
        </is>
      </c>
      <c r="R5008" t="inlineStr">
        <is>
          <t>3.99</t>
        </is>
      </c>
      <c r="S5008" t="inlineStr">
        <is>
          <t>Single</t>
        </is>
      </c>
    </row>
    <row r="5009" ht="75" customHeight="1">
      <c r="A5009" s="2">
        <f>HYPERLINK("https://www.cafepress.com/mf/10804910/whos-a-turkey-greeting-card_greeting-cards?productId=557864107", "https://www.cafepress.com/mf/10804910/whos-a-turkey-greeting-card_greeting-cards?productId=557864107")</f>
        <v/>
      </c>
      <c r="B5009" s="2">
        <f>HYPERLINK("https://www.cafepress.com/mf/10804910/whos-a-turkey-greeting-card_greeting-cards?productId=557864107", "https://www.cafepress.com/mf/10804910/whos-a-turkey-greeting-card_greeting-cards?productId=557864107")</f>
        <v/>
      </c>
      <c r="C5009" t="inlineStr">
        <is>
          <t>Greeting Cards Who's a Turkey Greeting Card</t>
        </is>
      </c>
      <c r="D5009" t="inlineStr">
        <is>
          <t>Thanksgiving Turkey Birthday Card Pop up Fall Greeting Cards with Envelope Handmade 3D Turkey Giant Birthday Card Funny Birthday Card for Kids Son Daughter Friends Fathers</t>
        </is>
      </c>
      <c r="E5009" s="2">
        <f>HYPERLINK("https://www.amazon.com/Gersoniel-Thanksgiving-Birthday-Greeting-Envelope/dp/B0B42CXSQK/ref=sr_1_3?keywords=Greeting+Cards+Whos+a+Turkey+Greeting+Card&amp;qid=1695565311&amp;sr=8-3", "https://www.amazon.com/Gersoniel-Thanksgiving-Birthday-Greeting-Envelope/dp/B0B42CXSQK/ref=sr_1_3?keywords=Greeting+Cards+Whos+a+Turkey+Greeting+Card&amp;qid=1695565311&amp;sr=8-3")</f>
        <v/>
      </c>
      <c r="F5009" t="inlineStr">
        <is>
          <t>B0B42CXSQK</t>
        </is>
      </c>
      <c r="H5009">
        <f>_xlfn.IMAGE("https://m.media-amazon.com/images/I/01RmK+J4pJL._AC_UL320_.gif")</f>
        <v/>
      </c>
      <c r="K5009" t="inlineStr">
        <is>
          <t>2.99</t>
        </is>
      </c>
      <c r="L5009" t="n">
        <v>6.99</v>
      </c>
      <c r="M5009" s="1" t="inlineStr">
        <is>
          <t>133.78%</t>
        </is>
      </c>
      <c r="N5009" t="n">
        <v>5</v>
      </c>
      <c r="O5009" t="n">
        <v>5</v>
      </c>
      <c r="Q5009" t="inlineStr">
        <is>
          <t>undefined</t>
        </is>
      </c>
      <c r="R5009" t="inlineStr">
        <is>
          <t>3.99</t>
        </is>
      </c>
      <c r="S5009" t="inlineStr">
        <is>
          <t>Single</t>
        </is>
      </c>
    </row>
    <row r="5010" ht="75" customHeight="1">
      <c r="A5010" s="2">
        <f>HYPERLINK("https://www.cafepress.com/mf/10804910/whos-a-turkey-greeting-card_greeting-cards?productId=557864107", "https://www.cafepress.com/mf/10804910/whos-a-turkey-greeting-card_greeting-cards?productId=557864107")</f>
        <v/>
      </c>
      <c r="B5010" s="2">
        <f>HYPERLINK("https://www.cafepress.com/mf/10804910/whos-a-turkey-greeting-card_greeting-cards?productId=557864107", "https://www.cafepress.com/mf/10804910/whos-a-turkey-greeting-card_greeting-cards?productId=557864107")</f>
        <v/>
      </c>
      <c r="C5010" t="inlineStr">
        <is>
          <t>Greeting Cards Who's a Turkey Greeting Card</t>
        </is>
      </c>
      <c r="D5010" t="inlineStr">
        <is>
          <t>NobleWorks - 1 Funny Thanksgiving Card with Envelope - Humor Greeting for Thanksgiving - Shot First Turkey 1812</t>
        </is>
      </c>
      <c r="E5010" s="2">
        <f>HYPERLINK("https://www.amazon.com/1812-First-Turkey-Thanksgiving-Envelope/dp/B00JQMYAPY/ref=sr_1_7?keywords=Greeting+Cards+Whos+a+Turkey+Greeting+Card&amp;qid=1695565311&amp;sr=8-7", "https://www.amazon.com/1812-First-Turkey-Thanksgiving-Envelope/dp/B00JQMYAPY/ref=sr_1_7?keywords=Greeting+Cards+Whos+a+Turkey+Greeting+Card&amp;qid=1695565311&amp;sr=8-7")</f>
        <v/>
      </c>
      <c r="F5010" t="inlineStr">
        <is>
          <t>B00JQMYAPY</t>
        </is>
      </c>
      <c r="H5010">
        <f>_xlfn.IMAGE("https://m.media-amazon.com/images/I/719XW6-IfNL._AC_UL320_.jpg")</f>
        <v/>
      </c>
      <c r="K5010" t="inlineStr">
        <is>
          <t>2.99</t>
        </is>
      </c>
      <c r="L5010" t="n">
        <v>6.89</v>
      </c>
      <c r="M5010" s="1" t="inlineStr">
        <is>
          <t>130.43%</t>
        </is>
      </c>
      <c r="N5010" t="n">
        <v>4.9</v>
      </c>
      <c r="O5010" t="n">
        <v>31</v>
      </c>
      <c r="Q5010" t="inlineStr">
        <is>
          <t>undefined</t>
        </is>
      </c>
      <c r="R5010" t="inlineStr">
        <is>
          <t>3.99</t>
        </is>
      </c>
      <c r="S5010" t="inlineStr">
        <is>
          <t>Single</t>
        </is>
      </c>
    </row>
    <row r="5011" ht="75" customHeight="1">
      <c r="A5011" s="2">
        <f>HYPERLINK("https://www.cafepress.com/mf/10997898/mirror-lake-------_mugs?productId=47511445", "https://www.cafepress.com/mf/10997898/mirror-lake-------_mugs?productId=47511445")</f>
        <v/>
      </c>
      <c r="B5011" s="2">
        <f>HYPERLINK("https://www.cafepress.com/mf/10997898/mirror-lake-------_mugs?productId=47511445", "https://www.cafepress.com/mf/10997898/mirror-lake-------_mugs?productId=47511445")</f>
        <v/>
      </c>
      <c r="C5011" t="inlineStr">
        <is>
          <t>Mirror Lake 11 oz Ceramic Mug</t>
        </is>
      </c>
      <c r="D5011" t="inlineStr">
        <is>
          <t>Fishing Mug, Fishing Life Cup, Life is Better at the Lake Coffee Mug, Fishing Pole, Lake Life Mug, Colorful Lake Mug, 11oz Ceramic Coffee Novelty Mug/Cup</t>
        </is>
      </c>
      <c r="E5011" s="2">
        <f>HYPERLINK("https://www.amazon.com/SkyLine902-Fishing-Colorful-Ceramic-Novelty/dp/B07PG58VN9/ref=sr_1_1?keywords=Mirror+Lake+11+oz+Ceramic+Mug&amp;qid=1695565307&amp;sr=8-1", "https://www.amazon.com/SkyLine902-Fishing-Colorful-Ceramic-Novelty/dp/B07PG58VN9/ref=sr_1_1?keywords=Mirror+Lake+11+oz+Ceramic+Mug&amp;qid=1695565307&amp;sr=8-1")</f>
        <v/>
      </c>
      <c r="F5011" t="inlineStr">
        <is>
          <t>B07PG58VN9</t>
        </is>
      </c>
      <c r="H5011">
        <f>_xlfn.IMAGE("https://m.media-amazon.com/images/I/51w4SJ3hOeL._AC_UL320_.jpg")</f>
        <v/>
      </c>
      <c r="K5011" t="inlineStr">
        <is>
          <t>9.99</t>
        </is>
      </c>
      <c r="L5011" t="n">
        <v>8.68</v>
      </c>
      <c r="M5011" s="1" t="inlineStr">
        <is>
          <t>-13.11%</t>
        </is>
      </c>
      <c r="N5011" t="n">
        <v>4.4</v>
      </c>
      <c r="O5011" t="n">
        <v>12</v>
      </c>
      <c r="Q5011" t="inlineStr">
        <is>
          <t>undefined</t>
        </is>
      </c>
      <c r="R5011" t="inlineStr">
        <is>
          <t>14.99</t>
        </is>
      </c>
      <c r="S5011" t="inlineStr">
        <is>
          <t>47511445</t>
        </is>
      </c>
    </row>
    <row r="5012" ht="75" customHeight="1">
      <c r="A5012" s="2">
        <f>HYPERLINK("https://www.cafepress.com/mf/110511555/firefly_mugs?productId=85212755", "https://www.cafepress.com/mf/110511555/firefly_mugs?productId=85212755")</f>
        <v/>
      </c>
      <c r="B5012" s="2">
        <f>HYPERLINK("https://www.cafepress.com/mf/110511555/firefly_mugs?productId=85212755", "https://www.cafepress.com/mf/110511555/firefly_mugs?productId=85212755")</f>
        <v/>
      </c>
      <c r="C5012" t="inlineStr">
        <is>
          <t>Standard Mugs Firefly 11 oz Ceramic Mug</t>
        </is>
      </c>
      <c r="D5012" t="inlineStr">
        <is>
          <t>Lunarable Firefly Mug, Hand Drawn Yellow Spotted Fireflies Flying Around a Jar Design, Ceramic Coffee Mug Cup for Water Tea Drinks, 11 oz, Yellow Black</t>
        </is>
      </c>
      <c r="E5012" s="2">
        <f>HYPERLINK("https://www.amazon.com/Lunarable-Firefly-Spotted-Fireflies-Artistic/dp/B07FKJLMM5/ref=sr_1_2?keywords=Standard+Mugs+Firefly+11+oz+Ceramic+Mug&amp;qid=1695565342&amp;sr=8-2", "https://www.amazon.com/Lunarable-Firefly-Spotted-Fireflies-Artistic/dp/B07FKJLMM5/ref=sr_1_2?keywords=Standard+Mugs+Firefly+11+oz+Ceramic+Mug&amp;qid=1695565342&amp;sr=8-2")</f>
        <v/>
      </c>
      <c r="F5012" t="inlineStr">
        <is>
          <t>B07FKJLMM5</t>
        </is>
      </c>
      <c r="H5012">
        <f>_xlfn.IMAGE("https://m.media-amazon.com/images/I/71YsbXvik4L._AC_UL320_.jpg")</f>
        <v/>
      </c>
      <c r="K5012" t="inlineStr">
        <is>
          <t>9.99</t>
        </is>
      </c>
      <c r="L5012" t="n">
        <v>18.99</v>
      </c>
      <c r="M5012" s="1" t="inlineStr">
        <is>
          <t>90.09%</t>
        </is>
      </c>
      <c r="N5012" t="n">
        <v>4.4</v>
      </c>
      <c r="O5012" t="n">
        <v>87</v>
      </c>
      <c r="Q5012" t="inlineStr">
        <is>
          <t>undefined</t>
        </is>
      </c>
      <c r="R5012" t="inlineStr">
        <is>
          <t>14.99</t>
        </is>
      </c>
      <c r="S5012" t="inlineStr">
        <is>
          <t>85212755</t>
        </is>
      </c>
    </row>
    <row r="5013" ht="75" customHeight="1">
      <c r="A5013" s="2">
        <f>HYPERLINK("https://www.cafepress.com/mf/110511555/firefly_mugs?productId=85212755", "https://www.cafepress.com/mf/110511555/firefly_mugs?productId=85212755")</f>
        <v/>
      </c>
      <c r="B5013" s="2">
        <f>HYPERLINK("https://www.cafepress.com/mf/110511555/firefly_mugs?productId=85212755", "https://www.cafepress.com/mf/110511555/firefly_mugs?productId=85212755")</f>
        <v/>
      </c>
      <c r="C5013" t="inlineStr">
        <is>
          <t>Standard Mugs Firefly 11 oz Ceramic Mug</t>
        </is>
      </c>
      <c r="D5013" t="inlineStr">
        <is>
          <t>Apular Firefly Serenity Mug Browncoat - Losing Side - Ceramic Black Coffee Mug 11oz15oz Double Sided</t>
        </is>
      </c>
      <c r="E5013" s="2">
        <f>HYPERLINK("https://www.amazon.com/Firefly-Serenity-Mug-Browncoat-11oz15oz/dp/B0BNGY661J/ref=sr_1_7?keywords=Standard+Mugs+Firefly+11+oz+Ceramic+Mug&amp;qid=1695565342&amp;sr=8-7", "https://www.amazon.com/Firefly-Serenity-Mug-Browncoat-11oz15oz/dp/B0BNGY661J/ref=sr_1_7?keywords=Standard+Mugs+Firefly+11+oz+Ceramic+Mug&amp;qid=1695565342&amp;sr=8-7")</f>
        <v/>
      </c>
      <c r="F5013" t="inlineStr">
        <is>
          <t>B0BNGY661J</t>
        </is>
      </c>
      <c r="H5013">
        <f>_xlfn.IMAGE("https://m.media-amazon.com/images/I/519fQvDWwFL._AC_UL320_.jpg")</f>
        <v/>
      </c>
      <c r="K5013" t="inlineStr">
        <is>
          <t>9.99</t>
        </is>
      </c>
      <c r="L5013" t="n">
        <v>12.99</v>
      </c>
      <c r="M5013" s="1" t="inlineStr">
        <is>
          <t>30.03%</t>
        </is>
      </c>
      <c r="N5013" t="n">
        <v>5</v>
      </c>
      <c r="O5013" t="n">
        <v>2</v>
      </c>
      <c r="Q5013" t="inlineStr">
        <is>
          <t>undefined</t>
        </is>
      </c>
      <c r="R5013" t="inlineStr">
        <is>
          <t>14.99</t>
        </is>
      </c>
      <c r="S5013" t="inlineStr">
        <is>
          <t>85212755</t>
        </is>
      </c>
    </row>
    <row r="5014" ht="75" customHeight="1">
      <c r="A5014" s="2">
        <f>HYPERLINK("https://www.cafepress.com/mf/110511555/firefly_mugs?productId=85212755", "https://www.cafepress.com/mf/110511555/firefly_mugs?productId=85212755")</f>
        <v/>
      </c>
      <c r="B5014" s="2">
        <f>HYPERLINK("https://www.cafepress.com/mf/110511555/firefly_mugs?productId=85212755", "https://www.cafepress.com/mf/110511555/firefly_mugs?productId=85212755")</f>
        <v/>
      </c>
      <c r="C5014" t="inlineStr">
        <is>
          <t>Standard Mugs Firefly 11 oz Ceramic Mug</t>
        </is>
      </c>
      <c r="D5014" t="inlineStr">
        <is>
          <t>Firefly Serenity Mug - Chain of Command Mug - Black 11oz Ceramic</t>
        </is>
      </c>
      <c r="E5014" s="2">
        <f>HYPERLINK("https://www.amazon.com/Firefly-Serenity-Mug-Command-Ceramic/dp/B072TTMQZR/ref=sr_1_3?keywords=Standard+Mugs+Firefly+11+oz+Ceramic+Mug&amp;qid=1695565342&amp;sr=8-3", "https://www.amazon.com/Firefly-Serenity-Mug-Command-Ceramic/dp/B072TTMQZR/ref=sr_1_3?keywords=Standard+Mugs+Firefly+11+oz+Ceramic+Mug&amp;qid=1695565342&amp;sr=8-3")</f>
        <v/>
      </c>
      <c r="F5014" t="inlineStr">
        <is>
          <t>B072TTMQZR</t>
        </is>
      </c>
      <c r="H5014">
        <f>_xlfn.IMAGE("https://m.media-amazon.com/images/I/81jiAx-t72L._AC_UL320_.jpg")</f>
        <v/>
      </c>
      <c r="K5014" t="inlineStr">
        <is>
          <t>9.99</t>
        </is>
      </c>
      <c r="L5014" t="n">
        <v>12.5</v>
      </c>
      <c r="M5014" s="1" t="inlineStr">
        <is>
          <t>25.13%</t>
        </is>
      </c>
      <c r="N5014" t="n">
        <v>5</v>
      </c>
      <c r="O5014" t="n">
        <v>1</v>
      </c>
      <c r="Q5014" t="inlineStr">
        <is>
          <t>undefined</t>
        </is>
      </c>
      <c r="R5014" t="inlineStr">
        <is>
          <t>14.99</t>
        </is>
      </c>
      <c r="S5014" t="inlineStr">
        <is>
          <t>85212755</t>
        </is>
      </c>
    </row>
    <row r="5015" ht="75" customHeight="1">
      <c r="A5015" s="2">
        <f>HYPERLINK("https://www.cafepress.com/mf/111221590/fall-autumn-giving-thanks_greeting-cards?productId=144474816", "https://www.cafepress.com/mf/111221590/fall-autumn-giving-thanks_greeting-cards?productId=144474816")</f>
        <v/>
      </c>
      <c r="B5015" s="2">
        <f>HYPERLINK("https://www.cafepress.com/mf/111221590/fall-autumn-giving-thanks_greeting-cards?productId=144474816", "https://www.cafepress.com/mf/111221590/fall-autumn-giving-thanks_greeting-cards?productId=144474816")</f>
        <v/>
      </c>
      <c r="C5015" t="inlineStr">
        <is>
          <t>Fall Autumn Giving Thanks Greeting Card</t>
        </is>
      </c>
      <c r="D5015" t="inlineStr">
        <is>
          <t>Rustic Thanksgiving Card Assortment / 24 Heartfelt Autumn Note Cards / 6 1/4" x 4 5/8" Classic Fall Greeting Cards</t>
        </is>
      </c>
      <c r="E5015" s="2">
        <f>HYPERLINK("https://www.amazon.com/Thanksgiving-Assortment-Heartfelt-Classic-Greeting/dp/B08K98QMKJ/ref=sr_1_3?keywords=Fall+Autumn+Giving+Thanks+Greeting+Card&amp;qid=1695565355&amp;sr=8-3", "https://www.amazon.com/Thanksgiving-Assortment-Heartfelt-Classic-Greeting/dp/B08K98QMKJ/ref=sr_1_3?keywords=Fall+Autumn+Giving+Thanks+Greeting+Card&amp;qid=1695565355&amp;sr=8-3")</f>
        <v/>
      </c>
      <c r="F5015" t="inlineStr">
        <is>
          <t>B08K98QMKJ</t>
        </is>
      </c>
      <c r="H5015">
        <f>_xlfn.IMAGE("https://m.media-amazon.com/images/I/81I1IKlvutL._AC_UL320_.jpg")</f>
        <v/>
      </c>
      <c r="K5015" t="inlineStr">
        <is>
          <t>2.99</t>
        </is>
      </c>
      <c r="L5015" t="n">
        <v>15.99</v>
      </c>
      <c r="M5015" s="1" t="inlineStr">
        <is>
          <t>434.78%</t>
        </is>
      </c>
      <c r="N5015" t="n">
        <v>4.8</v>
      </c>
      <c r="O5015" t="n">
        <v>76</v>
      </c>
      <c r="Q5015" t="inlineStr">
        <is>
          <t>undefined</t>
        </is>
      </c>
      <c r="R5015" t="inlineStr">
        <is>
          <t>3.99</t>
        </is>
      </c>
      <c r="S5015" t="inlineStr">
        <is>
          <t>144474816</t>
        </is>
      </c>
    </row>
    <row r="5016" ht="75" customHeight="1">
      <c r="A5016" s="2">
        <f>HYPERLINK("https://www.cafepress.com/mf/111221590/fall-autumn-giving-thanks_greeting-cards?productId=144474816", "https://www.cafepress.com/mf/111221590/fall-autumn-giving-thanks_greeting-cards?productId=144474816")</f>
        <v/>
      </c>
      <c r="B5016" s="2">
        <f>HYPERLINK("https://www.cafepress.com/mf/111221590/fall-autumn-giving-thanks_greeting-cards?productId=144474816", "https://www.cafepress.com/mf/111221590/fall-autumn-giving-thanks_greeting-cards?productId=144474816")</f>
        <v/>
      </c>
      <c r="C5016" t="inlineStr">
        <is>
          <t>Fall Autumn Giving Thanks Greeting Card</t>
        </is>
      </c>
      <c r="D5016" t="inlineStr">
        <is>
          <t>AnyDesign 36 Pack Thank You Cards Bulk Paper Fall Pumpkin Blank Thank You Greeting Cards with Seal Stickers Envelopes Autumn Harvest Note Cards for Thanksgiving Wedding Holiday Party Celebrations</t>
        </is>
      </c>
      <c r="E5016" s="2">
        <f>HYPERLINK("https://www.amazon.com/AnyDesign-Greeting-Envelopes-Thanksgiving-Celebrations/dp/B0B6ZML17N/ref=sr_1_10?keywords=Fall+Autumn+Giving+Thanks+Greeting+Card&amp;qid=1695565355&amp;sr=8-10", "https://www.amazon.com/AnyDesign-Greeting-Envelopes-Thanksgiving-Celebrations/dp/B0B6ZML17N/ref=sr_1_10?keywords=Fall+Autumn+Giving+Thanks+Greeting+Card&amp;qid=1695565355&amp;sr=8-10")</f>
        <v/>
      </c>
      <c r="F5016" t="inlineStr">
        <is>
          <t>B0B6ZML17N</t>
        </is>
      </c>
      <c r="H5016">
        <f>_xlfn.IMAGE("https://m.media-amazon.com/images/I/81Qdkk3KPmL._AC_UL320_.jpg")</f>
        <v/>
      </c>
      <c r="K5016" t="inlineStr">
        <is>
          <t>2.99</t>
        </is>
      </c>
      <c r="L5016" t="n">
        <v>13.99</v>
      </c>
      <c r="M5016" s="1" t="inlineStr">
        <is>
          <t>367.89%</t>
        </is>
      </c>
      <c r="N5016" t="n">
        <v>3.2</v>
      </c>
      <c r="O5016" t="n">
        <v>3</v>
      </c>
      <c r="Q5016" t="inlineStr">
        <is>
          <t>undefined</t>
        </is>
      </c>
      <c r="R5016" t="inlineStr">
        <is>
          <t>3.99</t>
        </is>
      </c>
      <c r="S5016" t="inlineStr">
        <is>
          <t>144474816</t>
        </is>
      </c>
    </row>
    <row r="5017" ht="75" customHeight="1">
      <c r="A5017" s="2">
        <f>HYPERLINK("https://www.cafepress.com/mf/111221590/fall-autumn-giving-thanks_greeting-cards?productId=144474816", "https://www.cafepress.com/mf/111221590/fall-autumn-giving-thanks_greeting-cards?productId=144474816")</f>
        <v/>
      </c>
      <c r="B5017" s="2">
        <f>HYPERLINK("https://www.cafepress.com/mf/111221590/fall-autumn-giving-thanks_greeting-cards?productId=144474816", "https://www.cafepress.com/mf/111221590/fall-autumn-giving-thanks_greeting-cards?productId=144474816")</f>
        <v/>
      </c>
      <c r="C5017" t="inlineStr">
        <is>
          <t>Fall Autumn Giving Thanks Greeting Card</t>
        </is>
      </c>
      <c r="D5017" t="inlineStr">
        <is>
          <t>JOYIN 36Pcs Pumpkin Thanksgiving Thank You Greeting Gift Cards for Fall Autumn Holiday Parties Celebrations, Harvest Wedding Dinner</t>
        </is>
      </c>
      <c r="E5017" s="2">
        <f>HYPERLINK("https://www.amazon.com/Pumpkin-Thanksgiving-Greeting-Holiday-Celebrations/dp/B08H4H1VZW/ref=sr_1_2?keywords=Fall+Autumn+Giving+Thanks+Greeting+Card&amp;qid=1695565355&amp;sr=8-2", "https://www.amazon.com/Pumpkin-Thanksgiving-Greeting-Holiday-Celebrations/dp/B08H4H1VZW/ref=sr_1_2?keywords=Fall+Autumn+Giving+Thanks+Greeting+Card&amp;qid=1695565355&amp;sr=8-2")</f>
        <v/>
      </c>
      <c r="F5017" t="inlineStr">
        <is>
          <t>B08H4H1VZW</t>
        </is>
      </c>
      <c r="H5017">
        <f>_xlfn.IMAGE("https://m.media-amazon.com/images/I/81MnZ0SXpQL._AC_UL320_.jpg")</f>
        <v/>
      </c>
      <c r="K5017" t="inlineStr">
        <is>
          <t>2.99</t>
        </is>
      </c>
      <c r="L5017" t="n">
        <v>11.99</v>
      </c>
      <c r="M5017" s="1" t="inlineStr">
        <is>
          <t>301.00%</t>
        </is>
      </c>
      <c r="N5017" t="n">
        <v>4.2</v>
      </c>
      <c r="O5017" t="n">
        <v>230</v>
      </c>
      <c r="Q5017" t="inlineStr">
        <is>
          <t>undefined</t>
        </is>
      </c>
      <c r="R5017" t="inlineStr">
        <is>
          <t>3.99</t>
        </is>
      </c>
      <c r="S5017" t="inlineStr">
        <is>
          <t>144474816</t>
        </is>
      </c>
    </row>
    <row r="5018" ht="75" customHeight="1">
      <c r="A5018" s="2">
        <f>HYPERLINK("https://www.cafepress.com/mf/111221590/fall-autumn-giving-thanks_greeting-cards?productId=144474816", "https://www.cafepress.com/mf/111221590/fall-autumn-giving-thanks_greeting-cards?productId=144474816")</f>
        <v/>
      </c>
      <c r="B5018" s="2">
        <f>HYPERLINK("https://www.cafepress.com/mf/111221590/fall-autumn-giving-thanks_greeting-cards?productId=144474816", "https://www.cafepress.com/mf/111221590/fall-autumn-giving-thanks_greeting-cards?productId=144474816")</f>
        <v/>
      </c>
      <c r="C5018" t="inlineStr">
        <is>
          <t>Fall Autumn Giving Thanks Greeting Card</t>
        </is>
      </c>
      <c r="D5018" t="inlineStr">
        <is>
          <t>120 Pack Happy Thanksgiving Greeting Cards Postcards 4" x 6" Fall Holiday Post Cards Pumpkins with Maple Leaves Design Harvest Blank Note Card for Autumn Kids Adults Business Office Thank You Notes</t>
        </is>
      </c>
      <c r="E5018" s="2">
        <f>HYPERLINK("https://www.amazon.com/Thanksgiving-Greeting-Postcards-Pumpkins-Business/dp/B0BTQNJR81/ref=sr_1_7?keywords=Fall+Autumn+Giving+Thanks+Greeting+Card&amp;qid=1695565355&amp;sr=8-7", "https://www.amazon.com/Thanksgiving-Greeting-Postcards-Pumpkins-Business/dp/B0BTQNJR81/ref=sr_1_7?keywords=Fall+Autumn+Giving+Thanks+Greeting+Card&amp;qid=1695565355&amp;sr=8-7")</f>
        <v/>
      </c>
      <c r="F5018" t="inlineStr">
        <is>
          <t>B0BTQNJR81</t>
        </is>
      </c>
      <c r="H5018">
        <f>_xlfn.IMAGE("https://m.media-amazon.com/images/I/81v8kNgiokL._AC_UL320_.jpg")</f>
        <v/>
      </c>
      <c r="K5018" t="inlineStr">
        <is>
          <t>2.99</t>
        </is>
      </c>
      <c r="L5018" t="n">
        <v>11.95</v>
      </c>
      <c r="M5018" s="1" t="inlineStr">
        <is>
          <t>299.67%</t>
        </is>
      </c>
      <c r="N5018" t="n">
        <v>5</v>
      </c>
      <c r="O5018" t="n">
        <v>3</v>
      </c>
      <c r="Q5018" t="inlineStr">
        <is>
          <t>undefined</t>
        </is>
      </c>
      <c r="R5018" t="inlineStr">
        <is>
          <t>3.99</t>
        </is>
      </c>
      <c r="S5018" t="inlineStr">
        <is>
          <t>144474816</t>
        </is>
      </c>
    </row>
    <row r="5019" ht="75" customHeight="1">
      <c r="A5019" s="2">
        <f>HYPERLINK("https://www.cafepress.com/mf/111221590/fall-autumn-giving-thanks_greeting-cards?productId=144474816", "https://www.cafepress.com/mf/111221590/fall-autumn-giving-thanks_greeting-cards?productId=144474816")</f>
        <v/>
      </c>
      <c r="B5019" s="2">
        <f>HYPERLINK("https://www.cafepress.com/mf/111221590/fall-autumn-giving-thanks_greeting-cards?productId=144474816", "https://www.cafepress.com/mf/111221590/fall-autumn-giving-thanks_greeting-cards?productId=144474816")</f>
        <v/>
      </c>
      <c r="C5019" t="inlineStr">
        <is>
          <t>Fall Autumn Giving Thanks Greeting Card</t>
        </is>
      </c>
      <c r="D5019" t="inlineStr">
        <is>
          <t>36PCS Thanksgiving Give Thanks Greeting Cards - Fall Thank You Maple Leaves Pumpkin Party Supplies Favors,with Envelopes</t>
        </is>
      </c>
      <c r="E5019" s="2">
        <f>HYPERLINK("https://www.amazon.com/Thanksgiving-Give-Thanks-Greeting-Cards/dp/B08F7WQ8BT/ref=sr_1_4?keywords=Fall+Autumn+Giving+Thanks+Greeting+Card&amp;qid=1695565355&amp;sr=8-4", "https://www.amazon.com/Thanksgiving-Give-Thanks-Greeting-Cards/dp/B08F7WQ8BT/ref=sr_1_4?keywords=Fall+Autumn+Giving+Thanks+Greeting+Card&amp;qid=1695565355&amp;sr=8-4")</f>
        <v/>
      </c>
      <c r="F5019" t="inlineStr">
        <is>
          <t>B08F7WQ8BT</t>
        </is>
      </c>
      <c r="H5019">
        <f>_xlfn.IMAGE("https://m.media-amazon.com/images/I/71wBIX6V2wL._AC_UL320_.jpg")</f>
        <v/>
      </c>
      <c r="K5019" t="inlineStr">
        <is>
          <t>2.99</t>
        </is>
      </c>
      <c r="L5019" t="n">
        <v>7.99</v>
      </c>
      <c r="M5019" s="1" t="inlineStr">
        <is>
          <t>167.22%</t>
        </is>
      </c>
      <c r="N5019" t="n">
        <v>4.5</v>
      </c>
      <c r="O5019" t="n">
        <v>10</v>
      </c>
      <c r="Q5019" t="inlineStr">
        <is>
          <t>undefined</t>
        </is>
      </c>
      <c r="R5019" t="inlineStr">
        <is>
          <t>3.99</t>
        </is>
      </c>
      <c r="S5019" t="inlineStr">
        <is>
          <t>144474816</t>
        </is>
      </c>
    </row>
    <row r="5020" ht="75" customHeight="1">
      <c r="A5020" s="2">
        <f>HYPERLINK("https://www.cafepress.com/mf/112487761/-3-x-3_sticker?productId=242166641", "https://www.cafepress.com/mf/112487761/-3-x-3_sticker?productId=242166641")</f>
        <v/>
      </c>
      <c r="B5020" s="2">
        <f>HYPERLINK("https://www.cafepress.com/mf/112487761/-3-x-3_sticker?productId=242166641", "https://www.cafepress.com/mf/112487761/-3-x-3_sticker?productId=242166641")</f>
        <v/>
      </c>
      <c r="C5020" t="inlineStr">
        <is>
          <t>Square Stickers Square Sticker 3" x 3" Sticker (Square)</t>
        </is>
      </c>
      <c r="D5020" t="inlineStr">
        <is>
          <t>Avgrafx 120 Square Custom Personalized Stickers Labels Vinyl Waterproof Dishwasher Safe, Made USA, Any Text or Image (3x3 Square)</t>
        </is>
      </c>
      <c r="E5020" s="2">
        <f>HYPERLINK("https://www.amazon.com/Square-Personalized-Vinyl-Stickers-Custom/dp/B087ZWWCN2/ref=sr_1_1?keywords=Square+Stickers+Square+Sticker+3+x+3+Sticker+%28Square%29&amp;qid=1695565300&amp;sr=8-1", "https://www.amazon.com/Square-Personalized-Vinyl-Stickers-Custom/dp/B087ZWWCN2/ref=sr_1_1?keywords=Square+Stickers+Square+Sticker+3+x+3+Sticker+%28Square%29&amp;qid=1695565300&amp;sr=8-1")</f>
        <v/>
      </c>
      <c r="F5020" t="inlineStr">
        <is>
          <t>B087ZWWCN2</t>
        </is>
      </c>
      <c r="H5020">
        <f>_xlfn.IMAGE("https://m.media-amazon.com/images/I/61mdrkAS+pL._AC_UL320_.jpg")</f>
        <v/>
      </c>
      <c r="K5020" t="inlineStr">
        <is>
          <t>3.99</t>
        </is>
      </c>
      <c r="L5020" t="n">
        <v>29.95</v>
      </c>
      <c r="M5020" s="1" t="inlineStr">
        <is>
          <t>650.63%</t>
        </is>
      </c>
      <c r="N5020" t="n">
        <v>4.8</v>
      </c>
      <c r="O5020" t="n">
        <v>2801</v>
      </c>
      <c r="Q5020" t="inlineStr">
        <is>
          <t>undefined</t>
        </is>
      </c>
      <c r="R5020" t="inlineStr">
        <is>
          <t>5.99</t>
        </is>
      </c>
      <c r="S5020" t="inlineStr">
        <is>
          <t>242166641</t>
        </is>
      </c>
    </row>
    <row r="5021" ht="75" customHeight="1">
      <c r="A5021" s="2">
        <f>HYPERLINK("https://www.cafepress.com/mf/112487761/-3-x-3_sticker?productId=242166641", "https://www.cafepress.com/mf/112487761/-3-x-3_sticker?productId=242166641")</f>
        <v/>
      </c>
      <c r="B5021" s="2">
        <f>HYPERLINK("https://www.cafepress.com/mf/112487761/-3-x-3_sticker?productId=242166641", "https://www.cafepress.com/mf/112487761/-3-x-3_sticker?productId=242166641")</f>
        <v/>
      </c>
      <c r="C5021" t="inlineStr">
        <is>
          <t>Square Stickers Square Sticker 3" x 3" Sticker (Square)</t>
        </is>
      </c>
      <c r="D5021" t="inlineStr">
        <is>
          <t>PARLAIM 3 X 5 Inch Rectangle Adhesive Color Coding Stickers,Square Inventory Label Stickers -500Per Dispenser Box (Fluorescent Green)</t>
        </is>
      </c>
      <c r="E5021" s="2">
        <f>HYPERLINK("https://www.amazon.com/PARLAIM-Rectangle-Inventory-Dispenser-Fluorescent/dp/B0BYCPYT53/ref=sr_1_2?keywords=Square+Stickers+Square+Sticker+3+x+3+Sticker+%28Square%29&amp;qid=1695565300&amp;sr=8-2", "https://www.amazon.com/PARLAIM-Rectangle-Inventory-Dispenser-Fluorescent/dp/B0BYCPYT53/ref=sr_1_2?keywords=Square+Stickers+Square+Sticker+3+x+3+Sticker+%28Square%29&amp;qid=1695565300&amp;sr=8-2")</f>
        <v/>
      </c>
      <c r="F5021" t="inlineStr">
        <is>
          <t>B0BYCPYT53</t>
        </is>
      </c>
      <c r="H5021">
        <f>_xlfn.IMAGE("https://m.media-amazon.com/images/I/61XwyrFnkZL._AC_UL320_.jpg")</f>
        <v/>
      </c>
      <c r="K5021" t="inlineStr">
        <is>
          <t>3.99</t>
        </is>
      </c>
      <c r="L5021" t="n">
        <v>27.99</v>
      </c>
      <c r="M5021" s="1" t="inlineStr">
        <is>
          <t>601.50%</t>
        </is>
      </c>
      <c r="N5021" t="n">
        <v>5</v>
      </c>
      <c r="O5021" t="n">
        <v>2</v>
      </c>
      <c r="Q5021" t="inlineStr">
        <is>
          <t>undefined</t>
        </is>
      </c>
      <c r="R5021" t="inlineStr">
        <is>
          <t>5.99</t>
        </is>
      </c>
      <c r="S5021" t="inlineStr">
        <is>
          <t>242166641</t>
        </is>
      </c>
    </row>
    <row r="5022" ht="75" customHeight="1">
      <c r="A5022" s="2">
        <f>HYPERLINK("https://www.cafepress.com/mf/112487761/-3-x-3_sticker?productId=242166641", "https://www.cafepress.com/mf/112487761/-3-x-3_sticker?productId=242166641")</f>
        <v/>
      </c>
      <c r="B5022" s="2">
        <f>HYPERLINK("https://www.cafepress.com/mf/112487761/-3-x-3_sticker?productId=242166641", "https://www.cafepress.com/mf/112487761/-3-x-3_sticker?productId=242166641")</f>
        <v/>
      </c>
      <c r="C5022" t="inlineStr">
        <is>
          <t>Square Stickers Square Sticker 3" x 3" Sticker (Square)</t>
        </is>
      </c>
      <c r="D5022" t="inlineStr">
        <is>
          <t>100 Custom Personalized Stickers Labels Square Logo Text Image Tag for Business,Customized 3x3 Inches Business Logo Stickers</t>
        </is>
      </c>
      <c r="E5022" s="2">
        <f>HYPERLINK("https://www.amazon.com/Custom-Personalized-Stickers-Business-Customized/dp/B08KGM22HR/ref=sr_1_8?keywords=Square+Stickers+Square+Sticker+3+x+3+Sticker+%28Square%29&amp;qid=1695565300&amp;sr=8-8", "https://www.amazon.com/Custom-Personalized-Stickers-Business-Customized/dp/B08KGM22HR/ref=sr_1_8?keywords=Square+Stickers+Square+Sticker+3+x+3+Sticker+%28Square%29&amp;qid=1695565300&amp;sr=8-8")</f>
        <v/>
      </c>
      <c r="F5022" t="inlineStr">
        <is>
          <t>B08KGM22HR</t>
        </is>
      </c>
      <c r="H5022">
        <f>_xlfn.IMAGE("https://m.media-amazon.com/images/I/71ojNINpq1L._AC_UL320_.jpg")</f>
        <v/>
      </c>
      <c r="K5022" t="inlineStr">
        <is>
          <t>3.99</t>
        </is>
      </c>
      <c r="L5022" t="n">
        <v>24.99</v>
      </c>
      <c r="M5022" s="1" t="inlineStr">
        <is>
          <t>526.32%</t>
        </is>
      </c>
      <c r="N5022" t="n">
        <v>4</v>
      </c>
      <c r="O5022" t="n">
        <v>98</v>
      </c>
      <c r="Q5022" t="inlineStr">
        <is>
          <t>undefined</t>
        </is>
      </c>
      <c r="R5022" t="inlineStr">
        <is>
          <t>5.99</t>
        </is>
      </c>
      <c r="S5022" t="inlineStr">
        <is>
          <t>242166641</t>
        </is>
      </c>
    </row>
    <row r="5023" ht="75" customHeight="1">
      <c r="A5023" s="2">
        <f>HYPERLINK("https://www.cafepress.com/mf/112487761/-3-x-3_sticker?productId=242166641", "https://www.cafepress.com/mf/112487761/-3-x-3_sticker?productId=242166641")</f>
        <v/>
      </c>
      <c r="B5023" s="2">
        <f>HYPERLINK("https://www.cafepress.com/mf/112487761/-3-x-3_sticker?productId=242166641", "https://www.cafepress.com/mf/112487761/-3-x-3_sticker?productId=242166641")</f>
        <v/>
      </c>
      <c r="C5023" t="inlineStr">
        <is>
          <t>Square Stickers Square Sticker 3" x 3" Sticker (Square)</t>
        </is>
      </c>
      <c r="D5023" t="inlineStr">
        <is>
          <t>PARLAIM 5" x 3" Black Rectangular Color Coding Stickers, Square Adhesive 250pcs Color Code Labels for Office Files (12.7cm x 7.6cm)</t>
        </is>
      </c>
      <c r="E5023" s="2">
        <f>HYPERLINK("https://www.amazon.com/PARLAIM-Coding-Stickers-Square-Adhesive/dp/B0B3GLRTT9/ref=sr_1_5?keywords=Square+Stickers+Square+Sticker+3+x+3+Sticker+%28Square%29&amp;qid=1695565300&amp;sr=8-5", "https://www.amazon.com/PARLAIM-Coding-Stickers-Square-Adhesive/dp/B0B3GLRTT9/ref=sr_1_5?keywords=Square+Stickers+Square+Sticker+3+x+3+Sticker+%28Square%29&amp;qid=1695565300&amp;sr=8-5")</f>
        <v/>
      </c>
      <c r="F5023" t="inlineStr">
        <is>
          <t>B0B3GLRTT9</t>
        </is>
      </c>
      <c r="H5023">
        <f>_xlfn.IMAGE("https://m.media-amazon.com/images/I/61UGlVo-zaL._AC_UL320_.jpg")</f>
        <v/>
      </c>
      <c r="K5023" t="inlineStr">
        <is>
          <t>3.99</t>
        </is>
      </c>
      <c r="L5023" t="n">
        <v>13.99</v>
      </c>
      <c r="M5023" s="1" t="inlineStr">
        <is>
          <t>250.63%</t>
        </is>
      </c>
      <c r="N5023" t="n">
        <v>4.6</v>
      </c>
      <c r="O5023" t="n">
        <v>115</v>
      </c>
      <c r="Q5023" t="inlineStr">
        <is>
          <t>undefined</t>
        </is>
      </c>
      <c r="R5023" t="inlineStr">
        <is>
          <t>5.99</t>
        </is>
      </c>
      <c r="S5023" t="inlineStr">
        <is>
          <t>242166641</t>
        </is>
      </c>
    </row>
    <row r="5024" ht="75" customHeight="1">
      <c r="A5024" s="2">
        <f>HYPERLINK("https://www.cafepress.com/mf/112487761/-3-x-3_sticker?productId=242166641", "https://www.cafepress.com/mf/112487761/-3-x-3_sticker?productId=242166641")</f>
        <v/>
      </c>
      <c r="B5024" s="2">
        <f>HYPERLINK("https://www.cafepress.com/mf/112487761/-3-x-3_sticker?productId=242166641", "https://www.cafepress.com/mf/112487761/-3-x-3_sticker?productId=242166641")</f>
        <v/>
      </c>
      <c r="C5024" t="inlineStr">
        <is>
          <t>Square Stickers Square Sticker 3" x 3" Sticker (Square)</t>
        </is>
      </c>
      <c r="D5024" t="inlineStr">
        <is>
          <t>PARLAIM 3 X 2 Inch Rectangle Adhesive Color Coding Stickers,Square Colorful Inventory Stickers -250 Per Dispenser Box (White)</t>
        </is>
      </c>
      <c r="E5024" s="2">
        <f>HYPERLINK("https://www.amazon.com/PARLAIM-Rectangle-Adhesive-Inventory-Dispenser/dp/B09LV3MFTM/ref=sr_1_7?keywords=Square+Stickers+Square+Sticker+3+x+3+Sticker+%28Square%29&amp;qid=1695565300&amp;sr=8-7", "https://www.amazon.com/PARLAIM-Rectangle-Adhesive-Inventory-Dispenser/dp/B09LV3MFTM/ref=sr_1_7?keywords=Square+Stickers+Square+Sticker+3+x+3+Sticker+%28Square%29&amp;qid=1695565300&amp;sr=8-7")</f>
        <v/>
      </c>
      <c r="F5024" t="inlineStr">
        <is>
          <t>B09LV3MFTM</t>
        </is>
      </c>
      <c r="H5024">
        <f>_xlfn.IMAGE("https://m.media-amazon.com/images/I/51VvbhRqioL._AC_UL320_.jpg")</f>
        <v/>
      </c>
      <c r="K5024" t="inlineStr">
        <is>
          <t>3.99</t>
        </is>
      </c>
      <c r="L5024" t="n">
        <v>7.99</v>
      </c>
      <c r="M5024" s="1" t="inlineStr">
        <is>
          <t>100.25%</t>
        </is>
      </c>
      <c r="N5024" t="n">
        <v>4.4</v>
      </c>
      <c r="O5024" t="n">
        <v>46</v>
      </c>
      <c r="Q5024" t="inlineStr">
        <is>
          <t>undefined</t>
        </is>
      </c>
      <c r="R5024" t="inlineStr">
        <is>
          <t>5.99</t>
        </is>
      </c>
      <c r="S5024" t="inlineStr">
        <is>
          <t>242166641</t>
        </is>
      </c>
    </row>
    <row r="5025" ht="75" customHeight="1">
      <c r="A5025" s="2">
        <f>HYPERLINK("https://www.cafepress.com/mf/112487761/-3-x-3_sticker?productId=242166641", "https://www.cafepress.com/mf/112487761/-3-x-3_sticker?productId=242166641")</f>
        <v/>
      </c>
      <c r="B5025" s="2">
        <f>HYPERLINK("https://www.cafepress.com/mf/112487761/-3-x-3_sticker?productId=242166641", "https://www.cafepress.com/mf/112487761/-3-x-3_sticker?productId=242166641")</f>
        <v/>
      </c>
      <c r="C5025" t="inlineStr">
        <is>
          <t>Square Stickers Square Sticker 3" x 3" Sticker (Square)</t>
        </is>
      </c>
      <c r="D5025" t="inlineStr">
        <is>
          <t>PARLAIM Rectangle Label Stickers 3" x 2“ Adhesive Color Coding Stickers, 250PCS Square Tags for Home Business Expressage, White</t>
        </is>
      </c>
      <c r="E5025" s="2">
        <f>HYPERLINK("https://www.amazon.com/PARLAIM-Rectangle-Stickers-Adhesive-Expressage/dp/B09MFBRG95/ref=sr_1_4?keywords=Square+Stickers+Square+Sticker+3+x+3+Sticker+%28Square%29&amp;qid=1695565300&amp;sr=8-4", "https://www.amazon.com/PARLAIM-Rectangle-Stickers-Adhesive-Expressage/dp/B09MFBRG95/ref=sr_1_4?keywords=Square+Stickers+Square+Sticker+3+x+3+Sticker+%28Square%29&amp;qid=1695565300&amp;sr=8-4")</f>
        <v/>
      </c>
      <c r="F5025" t="inlineStr">
        <is>
          <t>B09MFBRG95</t>
        </is>
      </c>
      <c r="H5025">
        <f>_xlfn.IMAGE("https://m.media-amazon.com/images/I/51YlEpFDMKL._AC_UL320_.jpg")</f>
        <v/>
      </c>
      <c r="K5025" t="inlineStr">
        <is>
          <t>3.99</t>
        </is>
      </c>
      <c r="L5025" t="n">
        <v>7.99</v>
      </c>
      <c r="M5025" s="1" t="inlineStr">
        <is>
          <t>100.25%</t>
        </is>
      </c>
      <c r="N5025" t="n">
        <v>4.6</v>
      </c>
      <c r="O5025" t="n">
        <v>34</v>
      </c>
      <c r="Q5025" t="inlineStr">
        <is>
          <t>undefined</t>
        </is>
      </c>
      <c r="R5025" t="inlineStr">
        <is>
          <t>5.99</t>
        </is>
      </c>
      <c r="S5025" t="inlineStr">
        <is>
          <t>242166641</t>
        </is>
      </c>
    </row>
    <row r="5026" ht="75" customHeight="1">
      <c r="A5026" s="2">
        <f>HYPERLINK("https://www.cafepress.com/mf/112487761/-3-x-3_sticker?productId=242166641", "https://www.cafepress.com/mf/112487761/-3-x-3_sticker?productId=242166641")</f>
        <v/>
      </c>
      <c r="B5026" s="2">
        <f>HYPERLINK("https://www.cafepress.com/mf/112487761/-3-x-3_sticker?productId=242166641", "https://www.cafepress.com/mf/112487761/-3-x-3_sticker?productId=242166641")</f>
        <v/>
      </c>
      <c r="C5026" t="inlineStr">
        <is>
          <t>Square Stickers Square Sticker 3" x 3" Sticker (Square)</t>
        </is>
      </c>
      <c r="D5026" t="inlineStr">
        <is>
          <t>Hybsk 2x3 Inch Rectangle Square Crystal Clear Retail Package Seals Circle Wafer Stickers/Transparent Labels (2x3 inch)</t>
        </is>
      </c>
      <c r="E5026" s="2">
        <f>HYPERLINK("https://www.amazon.com/Hybsk-Rectangle-Crystal-Stickers-Transparent/dp/B07RHSXWX3/ref=sr_1_9?keywords=Square+Stickers+Square+Sticker+3+x+3+Sticker+%28Square%29&amp;qid=1695565300&amp;sr=8-9", "https://www.amazon.com/Hybsk-Rectangle-Crystal-Stickers-Transparent/dp/B07RHSXWX3/ref=sr_1_9?keywords=Square+Stickers+Square+Sticker+3+x+3+Sticker+%28Square%29&amp;qid=1695565300&amp;sr=8-9")</f>
        <v/>
      </c>
      <c r="F5026" t="inlineStr">
        <is>
          <t>B07RHSXWX3</t>
        </is>
      </c>
      <c r="H5026">
        <f>_xlfn.IMAGE("https://m.media-amazon.com/images/I/61Scy+oc3bL._AC_UL320_.jpg")</f>
        <v/>
      </c>
      <c r="K5026" t="inlineStr">
        <is>
          <t>3.99</t>
        </is>
      </c>
      <c r="L5026" t="n">
        <v>7.88</v>
      </c>
      <c r="M5026" s="1" t="inlineStr">
        <is>
          <t>97.49%</t>
        </is>
      </c>
      <c r="N5026" t="n">
        <v>4.5</v>
      </c>
      <c r="O5026" t="n">
        <v>318</v>
      </c>
      <c r="Q5026" t="inlineStr">
        <is>
          <t>undefined</t>
        </is>
      </c>
      <c r="R5026" t="inlineStr">
        <is>
          <t>5.99</t>
        </is>
      </c>
      <c r="S5026" t="inlineStr">
        <is>
          <t>242166641</t>
        </is>
      </c>
    </row>
    <row r="5027" ht="75" customHeight="1">
      <c r="A5027" s="2">
        <f>HYPERLINK("https://www.cafepress.com/mf/14322199/black-cat-with-full-moon------_mugs?productId=73041794", "https://www.cafepress.com/mf/14322199/black-cat-with-full-moon------_mugs?productId=73041794")</f>
        <v/>
      </c>
      <c r="B5027" s="2">
        <f>HYPERLINK("https://www.cafepress.com/mf/14322199/black-cat-with-full-moon------_mugs?productId=73041794", "https://www.cafepress.com/mf/14322199/black-cat-with-full-moon------_mugs?productId=73041794")</f>
        <v/>
      </c>
      <c r="C5027" t="inlineStr">
        <is>
          <t>Black Cat with Full Moon 11 oz Ceramic Mug</t>
        </is>
      </c>
      <c r="D5027" t="inlineStr">
        <is>
          <t>Halloween Black Cats on Tree in Night with White Full moon Funny White Ceramic Mug, Novelty Tea Coffee Cup 11 Oz, Gifts for Mom/Daughter/Son/ Father on Birthday/Christmas/Anniversary</t>
        </is>
      </c>
      <c r="E5027" s="2">
        <f>HYPERLINK("https://www.amazon.com/Halloween-Daughter-Birthday-Christmas-Anniversary/dp/B09YPRFJGM/ref=sr_1_9?keywords=Black+Cat+with+Full+Moon+11+oz+Ceramic+Mug&amp;qid=1695565327&amp;sr=8-9", "https://www.amazon.com/Halloween-Daughter-Birthday-Christmas-Anniversary/dp/B09YPRFJGM/ref=sr_1_9?keywords=Black+Cat+with+Full+Moon+11+oz+Ceramic+Mug&amp;qid=1695565327&amp;sr=8-9")</f>
        <v/>
      </c>
      <c r="F5027" t="inlineStr">
        <is>
          <t>B09YPRFJGM</t>
        </is>
      </c>
      <c r="H5027">
        <f>_xlfn.IMAGE("https://m.media-amazon.com/images/I/61BY7s7XXDL._AC_UL320_.jpg")</f>
        <v/>
      </c>
      <c r="K5027" t="inlineStr">
        <is>
          <t>9.99</t>
        </is>
      </c>
      <c r="L5027" t="n">
        <v>15.99</v>
      </c>
      <c r="M5027" s="1" t="inlineStr">
        <is>
          <t>60.06%</t>
        </is>
      </c>
      <c r="N5027" t="n">
        <v>5</v>
      </c>
      <c r="O5027" t="n">
        <v>1</v>
      </c>
      <c r="Q5027" t="inlineStr">
        <is>
          <t>undefined</t>
        </is>
      </c>
      <c r="R5027" t="inlineStr">
        <is>
          <t>14.99</t>
        </is>
      </c>
      <c r="S5027" t="inlineStr">
        <is>
          <t>73041794</t>
        </is>
      </c>
    </row>
    <row r="5028" ht="75" customHeight="1">
      <c r="A5028" s="2">
        <f>HYPERLINK("https://www.cafepress.com/mf/14322199/black-cat-with-full-moon------_mugs?productId=73041794", "https://www.cafepress.com/mf/14322199/black-cat-with-full-moon------_mugs?productId=73041794")</f>
        <v/>
      </c>
      <c r="B5028" s="2">
        <f>HYPERLINK("https://www.cafepress.com/mf/14322199/black-cat-with-full-moon------_mugs?productId=73041794", "https://www.cafepress.com/mf/14322199/black-cat-with-full-moon------_mugs?productId=73041794")</f>
        <v/>
      </c>
      <c r="C5028" t="inlineStr">
        <is>
          <t>Black Cat with Full Moon 11 oz Ceramic Mug</t>
        </is>
      </c>
      <c r="D5028" t="inlineStr">
        <is>
          <t>CafePress Fat Black CAT &amp; Full MOON Mug 11 oz (325 ml) Ceramic Coffee Mug</t>
        </is>
      </c>
      <c r="E5028" s="2">
        <f>HYPERLINK("https://www.amazon.com/CafePress-Black-Full-Ceramic-Coffee/dp/B014JTYHTW/ref=sr_1_1?keywords=Black+Cat+with+Full+Moon+11+oz+Ceramic+Mug&amp;qid=1695565327&amp;sr=8-1", "https://www.amazon.com/CafePress-Black-Full-Ceramic-Coffee/dp/B014JTYHTW/ref=sr_1_1?keywords=Black+Cat+with+Full+Moon+11+oz+Ceramic+Mug&amp;qid=1695565327&amp;sr=8-1")</f>
        <v/>
      </c>
      <c r="F5028" t="inlineStr">
        <is>
          <t>B014JTYHTW</t>
        </is>
      </c>
      <c r="H5028">
        <f>_xlfn.IMAGE("https://m.media-amazon.com/images/I/41s8HQSQVJL._AC_UL320_.jpg")</f>
        <v/>
      </c>
      <c r="K5028" t="inlineStr">
        <is>
          <t>9.99</t>
        </is>
      </c>
      <c r="L5028" t="n">
        <v>14.99</v>
      </c>
      <c r="M5028" s="1" t="inlineStr">
        <is>
          <t>50.05%</t>
        </is>
      </c>
      <c r="N5028" t="n">
        <v>4.9</v>
      </c>
      <c r="O5028" t="n">
        <v>11</v>
      </c>
      <c r="Q5028" t="inlineStr">
        <is>
          <t>undefined</t>
        </is>
      </c>
      <c r="R5028" t="inlineStr">
        <is>
          <t>14.99</t>
        </is>
      </c>
      <c r="S5028" t="inlineStr">
        <is>
          <t>73041794</t>
        </is>
      </c>
    </row>
    <row r="5029" ht="75" customHeight="1">
      <c r="A5029" s="2">
        <f>HYPERLINK("https://www.cafepress.com/mf/14989436/fall-wreath-bow_mugs?productId=75417925", "https://www.cafepress.com/mf/14989436/fall-wreath-bow_mugs?productId=75417925")</f>
        <v/>
      </c>
      <c r="B5029" s="2">
        <f>HYPERLINK("https://www.cafepress.com/mf/14989436/fall-wreath-bow_mugs?productId=75417925", "https://www.cafepress.com/mf/14989436/fall-wreath-bow_mugs?productId=75417925")</f>
        <v/>
      </c>
      <c r="C5029" t="inlineStr">
        <is>
          <t>Fall Wreath Bow 11 oz Ceramic Mug</t>
        </is>
      </c>
      <c r="D5029" t="inlineStr">
        <is>
          <t>4 Pcs Fall Coffee Mugs 11 oz Fall Autumn Pumpkin Mug Happy Fall Y'all Ceramic Cups Orange Autumn Fall Home Decor Kitchen Accessories Camp Campfire Tea Cup Thanksgiving Gift for Mom Dad Grandpa Grandma</t>
        </is>
      </c>
      <c r="E5029" s="2">
        <f>HYPERLINK("https://www.amazon.com/Fall-Mug-Accessories-Campfire-Thanksgiving/dp/B0CC86RYJW/ref=sr_1_2?keywords=Fall+Wreath+Bow+11+oz+Ceramic+Mug&amp;qid=1695565314&amp;sr=8-2", "https://www.amazon.com/Fall-Mug-Accessories-Campfire-Thanksgiving/dp/B0CC86RYJW/ref=sr_1_2?keywords=Fall+Wreath+Bow+11+oz+Ceramic+Mug&amp;qid=1695565314&amp;sr=8-2")</f>
        <v/>
      </c>
      <c r="F5029" t="inlineStr">
        <is>
          <t>B0CC86RYJW</t>
        </is>
      </c>
      <c r="H5029">
        <f>_xlfn.IMAGE("https://m.media-amazon.com/images/I/71Ph0C6SZnL._AC_UL320_.jpg")</f>
        <v/>
      </c>
      <c r="K5029" t="inlineStr">
        <is>
          <t>9.99</t>
        </is>
      </c>
      <c r="L5029" t="n">
        <v>24.99</v>
      </c>
      <c r="M5029" s="1" t="inlineStr">
        <is>
          <t>150.15%</t>
        </is>
      </c>
      <c r="N5029" t="n">
        <v>5</v>
      </c>
      <c r="O5029" t="n">
        <v>2</v>
      </c>
      <c r="Q5029" t="inlineStr">
        <is>
          <t>undefined</t>
        </is>
      </c>
      <c r="R5029" t="inlineStr">
        <is>
          <t>14.99</t>
        </is>
      </c>
      <c r="S5029" t="inlineStr">
        <is>
          <t>75417925</t>
        </is>
      </c>
    </row>
    <row r="5030" ht="75" customHeight="1">
      <c r="A5030" s="2">
        <f>HYPERLINK("https://www.cafepress.com/mf/15343734/harvest-candle-greeting-card_greeting-cards?productId=188146141", "https://www.cafepress.com/mf/15343734/harvest-candle-greeting-card_greeting-cards?productId=188146141")</f>
        <v/>
      </c>
      <c r="B5030" s="2">
        <f>HYPERLINK("https://www.cafepress.com/mf/15343734/harvest-candle-greeting-card_greeting-cards?productId=188146141", "https://www.cafepress.com/mf/15343734/harvest-candle-greeting-card_greeting-cards?productId=188146141")</f>
        <v/>
      </c>
      <c r="C5030" t="inlineStr">
        <is>
          <t>Harvest Candle Greeting Card</t>
        </is>
      </c>
      <c r="D5030" t="inlineStr">
        <is>
          <t>Paper Love 3D Autumn Moon Pop Up Card, Handmade Popup Greeting Cards For Fall, Harvest Season, Thinking of You, Get Well, All Occasion or Just Because | 5" x 7" Includes Envelope and Note Tag</t>
        </is>
      </c>
      <c r="E5030" s="2">
        <f>HYPERLINK("https://www.amazon.com/Paper-Love-Autumn-Handmade-Greetings/dp/B0BC6LHHS3/ref=sr_1_4?keywords=Harvest+Candle+Greeting+Card&amp;qid=1695565349&amp;sr=8-4", "https://www.amazon.com/Paper-Love-Autumn-Handmade-Greetings/dp/B0BC6LHHS3/ref=sr_1_4?keywords=Harvest+Candle+Greeting+Card&amp;qid=1695565349&amp;sr=8-4")</f>
        <v/>
      </c>
      <c r="F5030" t="inlineStr">
        <is>
          <t>B0BC6LHHS3</t>
        </is>
      </c>
      <c r="H5030">
        <f>_xlfn.IMAGE("https://m.media-amazon.com/images/I/81fpEvDoVHL._AC_UL320_.jpg")</f>
        <v/>
      </c>
      <c r="K5030" t="inlineStr">
        <is>
          <t>2.99</t>
        </is>
      </c>
      <c r="L5030" t="n">
        <v>13.99</v>
      </c>
      <c r="M5030" s="1" t="inlineStr">
        <is>
          <t>367.89%</t>
        </is>
      </c>
      <c r="N5030" t="n">
        <v>4.9</v>
      </c>
      <c r="O5030" t="n">
        <v>55</v>
      </c>
      <c r="Q5030" t="inlineStr">
        <is>
          <t>undefined</t>
        </is>
      </c>
      <c r="R5030" t="inlineStr">
        <is>
          <t>3.99</t>
        </is>
      </c>
      <c r="S5030" t="inlineStr">
        <is>
          <t>Single</t>
        </is>
      </c>
    </row>
    <row r="5031" ht="75" customHeight="1">
      <c r="A5031" s="2">
        <f>HYPERLINK("https://www.cafepress.com/mf/15343734/harvest-candle-greeting-card_greeting-cards?productId=188146141", "https://www.cafepress.com/mf/15343734/harvest-candle-greeting-card_greeting-cards?productId=188146141")</f>
        <v/>
      </c>
      <c r="B5031" s="2">
        <f>HYPERLINK("https://www.cafepress.com/mf/15343734/harvest-candle-greeting-card_greeting-cards?productId=188146141", "https://www.cafepress.com/mf/15343734/harvest-candle-greeting-card_greeting-cards?productId=188146141")</f>
        <v/>
      </c>
      <c r="C5031" t="inlineStr">
        <is>
          <t>Harvest Candle Greeting Card</t>
        </is>
      </c>
      <c r="D5031" t="inlineStr">
        <is>
          <t>Lovepop Harvest Basket Pop-Up Card – Fall Card – Handcrafted 3D Pop-Up Greeting Card – Autumn Card, 5 x 7”</t>
        </is>
      </c>
      <c r="E5031" s="2">
        <f>HYPERLINK("https://www.amazon.com/Lovepop-Harvest-Basket-Pop-Up-Card/dp/B09ZLKXL61/ref=sr_1_10?keywords=Harvest+Candle+Greeting+Card&amp;qid=1695565349&amp;sr=8-10", "https://www.amazon.com/Lovepop-Harvest-Basket-Pop-Up-Card/dp/B09ZLKXL61/ref=sr_1_10?keywords=Harvest+Candle+Greeting+Card&amp;qid=1695565349&amp;sr=8-10")</f>
        <v/>
      </c>
      <c r="F5031" t="inlineStr">
        <is>
          <t>B09ZLKXL61</t>
        </is>
      </c>
      <c r="H5031">
        <f>_xlfn.IMAGE("https://m.media-amazon.com/images/I/812G1WFMiSL._AC_UL320_.jpg")</f>
        <v/>
      </c>
      <c r="K5031" t="inlineStr">
        <is>
          <t>2.99</t>
        </is>
      </c>
      <c r="L5031" t="n">
        <v>13</v>
      </c>
      <c r="M5031" s="1" t="inlineStr">
        <is>
          <t>334.78%</t>
        </is>
      </c>
      <c r="N5031" t="n">
        <v>5</v>
      </c>
      <c r="O5031" t="n">
        <v>1</v>
      </c>
      <c r="Q5031" t="inlineStr">
        <is>
          <t>undefined</t>
        </is>
      </c>
      <c r="R5031" t="inlineStr">
        <is>
          <t>3.99</t>
        </is>
      </c>
      <c r="S5031" t="inlineStr">
        <is>
          <t>Single</t>
        </is>
      </c>
    </row>
    <row r="5032" ht="75" customHeight="1">
      <c r="A5032" s="2">
        <f>HYPERLINK("https://www.cafepress.com/mf/15343734/harvest-candle-greeting-card_greeting-cards?productId=188146141", "https://www.cafepress.com/mf/15343734/harvest-candle-greeting-card_greeting-cards?productId=188146141")</f>
        <v/>
      </c>
      <c r="B5032" s="2">
        <f>HYPERLINK("https://www.cafepress.com/mf/15343734/harvest-candle-greeting-card_greeting-cards?productId=188146141", "https://www.cafepress.com/mf/15343734/harvest-candle-greeting-card_greeting-cards?productId=188146141")</f>
        <v/>
      </c>
      <c r="C5032" t="inlineStr">
        <is>
          <t>Harvest Candle Greeting Card</t>
        </is>
      </c>
      <c r="D5032" t="inlineStr">
        <is>
          <t>Lovepop Fall Candle Pop Up Card, 5x7-3D Greeting Card, Fall Birthday Cards for Mom, Wife or Friend, Autumn Pop Up Cards, Thanksgiving Greeting Cards</t>
        </is>
      </c>
      <c r="E5032" s="2">
        <f>HYPERLINK("https://www.amazon.com/Lovepop-Fall-Candle-Pop-Card/dp/B08JH75MGY/ref=sr_1_6?keywords=Harvest+Candle+Greeting+Card&amp;qid=1695565349&amp;sr=8-6", "https://www.amazon.com/Lovepop-Fall-Candle-Pop-Card/dp/B08JH75MGY/ref=sr_1_6?keywords=Harvest+Candle+Greeting+Card&amp;qid=1695565349&amp;sr=8-6")</f>
        <v/>
      </c>
      <c r="F5032" t="inlineStr">
        <is>
          <t>B08JH75MGY</t>
        </is>
      </c>
      <c r="H5032">
        <f>_xlfn.IMAGE("https://m.media-amazon.com/images/I/81nWRbq7bCL._AC_UL320_.jpg")</f>
        <v/>
      </c>
      <c r="K5032" t="inlineStr">
        <is>
          <t>2.99</t>
        </is>
      </c>
      <c r="L5032" t="n">
        <v>13</v>
      </c>
      <c r="M5032" s="1" t="inlineStr">
        <is>
          <t>334.78%</t>
        </is>
      </c>
      <c r="N5032" t="n">
        <v>4.6</v>
      </c>
      <c r="O5032" t="n">
        <v>105</v>
      </c>
      <c r="Q5032" t="inlineStr">
        <is>
          <t>undefined</t>
        </is>
      </c>
      <c r="R5032" t="inlineStr">
        <is>
          <t>3.99</t>
        </is>
      </c>
      <c r="S5032" t="inlineStr">
        <is>
          <t>Single</t>
        </is>
      </c>
    </row>
    <row r="5033" ht="75" customHeight="1">
      <c r="A5033" s="2">
        <f>HYPERLINK("https://www.cafepress.com/mf/15343734/harvest-candle-greeting-card_greeting-cards?productId=188146141", "https://www.cafepress.com/mf/15343734/harvest-candle-greeting-card_greeting-cards?productId=188146141")</f>
        <v/>
      </c>
      <c r="B5033" s="2">
        <f>HYPERLINK("https://www.cafepress.com/mf/15343734/harvest-candle-greeting-card_greeting-cards?productId=188146141", "https://www.cafepress.com/mf/15343734/harvest-candle-greeting-card_greeting-cards?productId=188146141")</f>
        <v/>
      </c>
      <c r="C5033" t="inlineStr">
        <is>
          <t>Harvest Candle Greeting Card</t>
        </is>
      </c>
      <c r="D5033" t="inlineStr">
        <is>
          <t>2 Pieces Thanksgiving Pop Up Card Fall Red Harvest Truck Pop Up Cards 3D Autumn Sunflower and Pumpkin with Pickup Truck Greeting Card Thankful Card Fall Collection Card for Mom Wife Teachers Gift for Anniversary Birthday</t>
        </is>
      </c>
      <c r="E5033" s="2">
        <f>HYPERLINK("https://www.amazon.com/Thanksgiving-Sunflower-Greeting-Collection-Anniversary/dp/B0BNKVY2YW/ref=sr_1_8?keywords=Harvest+Candle+Greeting+Card&amp;qid=1695565349&amp;sr=8-8", "https://www.amazon.com/Thanksgiving-Sunflower-Greeting-Collection-Anniversary/dp/B0BNKVY2YW/ref=sr_1_8?keywords=Harvest+Candle+Greeting+Card&amp;qid=1695565349&amp;sr=8-8")</f>
        <v/>
      </c>
      <c r="F5033" t="inlineStr">
        <is>
          <t>B0BNKVY2YW</t>
        </is>
      </c>
      <c r="H5033">
        <f>_xlfn.IMAGE("https://m.media-amazon.com/images/I/81DiIYZKkcL._AC_UL320_.jpg")</f>
        <v/>
      </c>
      <c r="K5033" t="inlineStr">
        <is>
          <t>2.99</t>
        </is>
      </c>
      <c r="L5033" t="n">
        <v>12.99</v>
      </c>
      <c r="M5033" s="1" t="inlineStr">
        <is>
          <t>334.45%</t>
        </is>
      </c>
      <c r="N5033" t="n">
        <v>4.6</v>
      </c>
      <c r="O5033" t="n">
        <v>29</v>
      </c>
      <c r="Q5033" t="inlineStr">
        <is>
          <t>undefined</t>
        </is>
      </c>
      <c r="R5033" t="inlineStr">
        <is>
          <t>3.99</t>
        </is>
      </c>
      <c r="S5033" t="inlineStr">
        <is>
          <t>Single</t>
        </is>
      </c>
    </row>
    <row r="5034" ht="75" customHeight="1">
      <c r="A5034" s="2">
        <f>HYPERLINK("https://www.cafepress.com/mf/15343734/harvest-candle-greeting-card_greeting-cards?productId=188146141", "https://www.cafepress.com/mf/15343734/harvest-candle-greeting-card_greeting-cards?productId=188146141")</f>
        <v/>
      </c>
      <c r="B5034" s="2">
        <f>HYPERLINK("https://www.cafepress.com/mf/15343734/harvest-candle-greeting-card_greeting-cards?productId=188146141", "https://www.cafepress.com/mf/15343734/harvest-candle-greeting-card_greeting-cards?productId=188146141")</f>
        <v/>
      </c>
      <c r="C5034" t="inlineStr">
        <is>
          <t>Harvest Candle Greeting Card</t>
        </is>
      </c>
      <c r="D5034" t="inlineStr">
        <is>
          <t>Ribbli Thanksgiving Pop Up Card - Fall Thank You Card, 3D Greeting Card, Harvest Trailer Card, Sunflower Card, Happy Holiday Autumn Birthday, for Kids Children Husband Wife Him Her, with Envelope</t>
        </is>
      </c>
      <c r="E5034" s="2">
        <f>HYPERLINK("https://www.amazon.com/Ribbli-Thanksgiving-Pop-Card-Sunflower/dp/B09D6W3DMP/ref=sr_1_5?keywords=Harvest+Candle+Greeting+Card&amp;qid=1695565349&amp;sr=8-5", "https://www.amazon.com/Ribbli-Thanksgiving-Pop-Card-Sunflower/dp/B09D6W3DMP/ref=sr_1_5?keywords=Harvest+Candle+Greeting+Card&amp;qid=1695565349&amp;sr=8-5")</f>
        <v/>
      </c>
      <c r="F5034" t="inlineStr">
        <is>
          <t>B09D6W3DMP</t>
        </is>
      </c>
      <c r="H5034">
        <f>_xlfn.IMAGE("https://m.media-amazon.com/images/I/81J3TNeXBzL._AC_UL320_.jpg")</f>
        <v/>
      </c>
      <c r="K5034" t="inlineStr">
        <is>
          <t>2.99</t>
        </is>
      </c>
      <c r="L5034" t="n">
        <v>11.99</v>
      </c>
      <c r="M5034" s="1" t="inlineStr">
        <is>
          <t>301.00%</t>
        </is>
      </c>
      <c r="N5034" t="n">
        <v>5</v>
      </c>
      <c r="O5034" t="n">
        <v>12</v>
      </c>
      <c r="Q5034" t="inlineStr">
        <is>
          <t>undefined</t>
        </is>
      </c>
      <c r="R5034" t="inlineStr">
        <is>
          <t>3.99</t>
        </is>
      </c>
      <c r="S5034" t="inlineStr">
        <is>
          <t>Single</t>
        </is>
      </c>
    </row>
    <row r="5035" ht="75" customHeight="1">
      <c r="A5035" s="2">
        <f>HYPERLINK("https://www.cafepress.com/mf/15343734/harvest-candle-greeting-card_greeting-cards?productId=188146141", "https://www.cafepress.com/mf/15343734/harvest-candle-greeting-card_greeting-cards?productId=188146141")</f>
        <v/>
      </c>
      <c r="B5035" s="2">
        <f>HYPERLINK("https://www.cafepress.com/mf/15343734/harvest-candle-greeting-card_greeting-cards?productId=188146141", "https://www.cafepress.com/mf/15343734/harvest-candle-greeting-card_greeting-cards?productId=188146141")</f>
        <v/>
      </c>
      <c r="C5035" t="inlineStr">
        <is>
          <t>Harvest Candle Greeting Card</t>
        </is>
      </c>
      <c r="D5035" t="inlineStr">
        <is>
          <t>Liif Fall Pumpkin Flower 3D Greeting Pop Up Card, Thanksgiving Card, Autumn Card, Sunflower, Harvest For Family, Parents, Grandma, Women, Mom | With Message Note &amp; Envelop</t>
        </is>
      </c>
      <c r="E5035" s="2">
        <f>HYPERLINK("https://www.amazon.com/Liif-Pumpkin-Greeting-Thanksgiving-Sunflower/dp/B09GTF7CWG/ref=sr_1_2?keywords=Harvest+Candle+Greeting+Card&amp;qid=1695565349&amp;sr=8-2", "https://www.amazon.com/Liif-Pumpkin-Greeting-Thanksgiving-Sunflower/dp/B09GTF7CWG/ref=sr_1_2?keywords=Harvest+Candle+Greeting+Card&amp;qid=1695565349&amp;sr=8-2")</f>
        <v/>
      </c>
      <c r="F5035" t="inlineStr">
        <is>
          <t>B09GTF7CWG</t>
        </is>
      </c>
      <c r="H5035">
        <f>_xlfn.IMAGE("https://m.media-amazon.com/images/I/71cRBQBgPyL._AC_UL320_.jpg")</f>
        <v/>
      </c>
      <c r="K5035" t="inlineStr">
        <is>
          <t>2.99</t>
        </is>
      </c>
      <c r="L5035" t="n">
        <v>10.99</v>
      </c>
      <c r="M5035" s="1" t="inlineStr">
        <is>
          <t>267.56%</t>
        </is>
      </c>
      <c r="N5035" t="n">
        <v>4.8</v>
      </c>
      <c r="O5035" t="n">
        <v>45</v>
      </c>
      <c r="Q5035" t="inlineStr">
        <is>
          <t>undefined</t>
        </is>
      </c>
      <c r="R5035" t="inlineStr">
        <is>
          <t>3.99</t>
        </is>
      </c>
      <c r="S5035" t="inlineStr">
        <is>
          <t>Single</t>
        </is>
      </c>
    </row>
    <row r="5036" ht="75" customHeight="1">
      <c r="A5036" s="2">
        <f>HYPERLINK("https://www.cafepress.com/mf/18132227/rules_mugs?productId=117232194", "https://www.cafepress.com/mf/18132227/rules_mugs?productId=117232194")</f>
        <v/>
      </c>
      <c r="B5036" s="2">
        <f>HYPERLINK("https://www.cafepress.com/mf/18132227/rules_mugs?productId=117232194", "https://www.cafepress.com/mf/18132227/rules_mugs?productId=117232194")</f>
        <v/>
      </c>
      <c r="C5036" t="inlineStr">
        <is>
          <t>Standard Mugs Rules 11 oz Ceramic Mug</t>
        </is>
      </c>
      <c r="D5036" t="inlineStr">
        <is>
          <t>CafePress 11 Oz Knives Out My House My Rules My Coffee Mugs 11 oz (325 ml) Ceramic Coffee Mug</t>
        </is>
      </c>
      <c r="E5036" s="2">
        <f>HYPERLINK("https://www.amazon.com/CafePress-Knives-House-Coffee-Unique/dp/B08B8Y6QK4/ref=sr_1_6?keywords=Standard+Mugs+Rules+11+oz+Ceramic+Mug&amp;qid=1695565360&amp;sr=8-6", "https://www.amazon.com/CafePress-Knives-House-Coffee-Unique/dp/B08B8Y6QK4/ref=sr_1_6?keywords=Standard+Mugs+Rules+11+oz+Ceramic+Mug&amp;qid=1695565360&amp;sr=8-6")</f>
        <v/>
      </c>
      <c r="F5036" t="inlineStr">
        <is>
          <t>B08B8Y6QK4</t>
        </is>
      </c>
      <c r="H5036">
        <f>_xlfn.IMAGE("https://m.media-amazon.com/images/I/41Nl3ffnk+L._AC_UL320_.jpg")</f>
        <v/>
      </c>
      <c r="K5036" t="inlineStr">
        <is>
          <t>9.99</t>
        </is>
      </c>
      <c r="L5036" t="n">
        <v>17.99</v>
      </c>
      <c r="M5036" s="1" t="inlineStr">
        <is>
          <t>80.08%</t>
        </is>
      </c>
      <c r="N5036" t="n">
        <v>5</v>
      </c>
      <c r="O5036" t="n">
        <v>1</v>
      </c>
      <c r="Q5036" t="inlineStr">
        <is>
          <t>undefined</t>
        </is>
      </c>
      <c r="R5036" t="inlineStr">
        <is>
          <t>14.99</t>
        </is>
      </c>
      <c r="S5036" t="inlineStr">
        <is>
          <t>117232194</t>
        </is>
      </c>
    </row>
    <row r="5037" ht="75" customHeight="1">
      <c r="A5037" s="2">
        <f>HYPERLINK("https://www.cafepress.com/mf/18132227/rules_mugs?productId=117232194", "https://www.cafepress.com/mf/18132227/rules_mugs?productId=117232194")</f>
        <v/>
      </c>
      <c r="B5037" s="2">
        <f>HYPERLINK("https://www.cafepress.com/mf/18132227/rules_mugs?productId=117232194", "https://www.cafepress.com/mf/18132227/rules_mugs?productId=117232194")</f>
        <v/>
      </c>
      <c r="C5037" t="inlineStr">
        <is>
          <t>Standard Mugs Rules 11 oz Ceramic Mug</t>
        </is>
      </c>
      <c r="D5037" t="inlineStr">
        <is>
          <t>CafePress My House My Rules Mugs 11 oz (325 ml) Ceramic Coffee Mug</t>
        </is>
      </c>
      <c r="E5037" s="2">
        <f>HYPERLINK("https://www.amazon.com/CafePress-House-Rules-Unique-Coffee/dp/B07GWZTXT6/ref=sr_1_5?keywords=Standard+Mugs+Rules+11+oz+Ceramic+Mug&amp;qid=1695565360&amp;sr=8-5", "https://www.amazon.com/CafePress-House-Rules-Unique-Coffee/dp/B07GWZTXT6/ref=sr_1_5?keywords=Standard+Mugs+Rules+11+oz+Ceramic+Mug&amp;qid=1695565360&amp;sr=8-5")</f>
        <v/>
      </c>
      <c r="F5037" t="inlineStr">
        <is>
          <t>B07GWZTXT6</t>
        </is>
      </c>
      <c r="H5037">
        <f>_xlfn.IMAGE("https://m.media-amazon.com/images/I/31TL3pPnftL._AC_UL320_.jpg")</f>
        <v/>
      </c>
      <c r="K5037" t="inlineStr">
        <is>
          <t>9.99</t>
        </is>
      </c>
      <c r="L5037" t="n">
        <v>14.99</v>
      </c>
      <c r="M5037" s="1" t="inlineStr">
        <is>
          <t>50.05%</t>
        </is>
      </c>
      <c r="N5037" t="n">
        <v>4.6</v>
      </c>
      <c r="O5037" t="n">
        <v>7</v>
      </c>
      <c r="Q5037" t="inlineStr">
        <is>
          <t>undefined</t>
        </is>
      </c>
      <c r="R5037" t="inlineStr">
        <is>
          <t>14.99</t>
        </is>
      </c>
      <c r="S5037" t="inlineStr">
        <is>
          <t>117232194</t>
        </is>
      </c>
    </row>
    <row r="5038" ht="75" customHeight="1">
      <c r="A5038" s="2">
        <f>HYPERLINK("https://www.cafepress.com/mf/18132227/rules_mugs?productId=117232194", "https://www.cafepress.com/mf/18132227/rules_mugs?productId=117232194")</f>
        <v/>
      </c>
      <c r="B5038" s="2">
        <f>HYPERLINK("https://www.cafepress.com/mf/18132227/rules_mugs?productId=117232194", "https://www.cafepress.com/mf/18132227/rules_mugs?productId=117232194")</f>
        <v/>
      </c>
      <c r="C5038" t="inlineStr">
        <is>
          <t>Standard Mugs Rules 11 oz Ceramic Mug</t>
        </is>
      </c>
      <c r="D5038" t="inlineStr">
        <is>
          <t>CafePress I'm The Youngest Rules Don't Apply Mug 11 oz (325 ml) Ceramic Coffee Mug</t>
        </is>
      </c>
      <c r="E5038" s="2">
        <f>HYPERLINK("https://www.amazon.com/CafePress-Youngest-Rules-Unique-Coffee/dp/B01BFGPTPI/ref=sr_1_2?keywords=Standard+Mugs+Rules+11+oz+Ceramic+Mug&amp;qid=1695565360&amp;sr=8-2", "https://www.amazon.com/CafePress-Youngest-Rules-Unique-Coffee/dp/B01BFGPTPI/ref=sr_1_2?keywords=Standard+Mugs+Rules+11+oz+Ceramic+Mug&amp;qid=1695565360&amp;sr=8-2")</f>
        <v/>
      </c>
      <c r="F5038" t="inlineStr">
        <is>
          <t>B01BFGPTPI</t>
        </is>
      </c>
      <c r="H5038">
        <f>_xlfn.IMAGE("https://m.media-amazon.com/images/I/61bo9JaK8+L._AC_UL320_.jpg")</f>
        <v/>
      </c>
      <c r="K5038" t="inlineStr">
        <is>
          <t>9.99</t>
        </is>
      </c>
      <c r="L5038" t="n">
        <v>14.99</v>
      </c>
      <c r="M5038" s="1" t="inlineStr">
        <is>
          <t>50.05%</t>
        </is>
      </c>
      <c r="N5038" t="n">
        <v>4.2</v>
      </c>
      <c r="O5038" t="n">
        <v>22</v>
      </c>
      <c r="Q5038" t="inlineStr">
        <is>
          <t>undefined</t>
        </is>
      </c>
      <c r="R5038" t="inlineStr">
        <is>
          <t>14.99</t>
        </is>
      </c>
      <c r="S5038" t="inlineStr">
        <is>
          <t>117232194</t>
        </is>
      </c>
    </row>
    <row r="5039" ht="75" customHeight="1">
      <c r="A5039" s="2">
        <f>HYPERLINK("https://www.cafepress.com/mf/18132227/rules_mugs?productId=117232194", "https://www.cafepress.com/mf/18132227/rules_mugs?productId=117232194")</f>
        <v/>
      </c>
      <c r="B5039" s="2">
        <f>HYPERLINK("https://www.cafepress.com/mf/18132227/rules_mugs?productId=117232194", "https://www.cafepress.com/mf/18132227/rules_mugs?productId=117232194")</f>
        <v/>
      </c>
      <c r="C5039" t="inlineStr">
        <is>
          <t>Standard Mugs Rules 11 oz Ceramic Mug</t>
        </is>
      </c>
      <c r="D5039" t="inlineStr">
        <is>
          <t>CafePress Rules Of Grammar Mug 11 oz (325 ml) Ceramic Coffee Mug</t>
        </is>
      </c>
      <c r="E5039" s="2">
        <f>HYPERLINK("https://www.amazon.com/CafePress-Rules-Grammar-Unique-Coffee/dp/B00QH7U1DG/ref=sr_1_1?keywords=Standard+Mugs+Rules+11+oz+Ceramic+Mug&amp;qid=1695565360&amp;sr=8-1", "https://www.amazon.com/CafePress-Rules-Grammar-Unique-Coffee/dp/B00QH7U1DG/ref=sr_1_1?keywords=Standard+Mugs+Rules+11+oz+Ceramic+Mug&amp;qid=1695565360&amp;sr=8-1")</f>
        <v/>
      </c>
      <c r="F5039" t="inlineStr">
        <is>
          <t>B00QH7U1DG</t>
        </is>
      </c>
      <c r="H5039">
        <f>_xlfn.IMAGE("https://m.media-amazon.com/images/I/61ZnoRfI7XL._AC_UL320_.jpg")</f>
        <v/>
      </c>
      <c r="K5039" t="inlineStr">
        <is>
          <t>9.99</t>
        </is>
      </c>
      <c r="L5039" t="n">
        <v>14.99</v>
      </c>
      <c r="M5039" s="1" t="inlineStr">
        <is>
          <t>50.05%</t>
        </is>
      </c>
      <c r="N5039" t="n">
        <v>5</v>
      </c>
      <c r="O5039" t="n">
        <v>3</v>
      </c>
      <c r="Q5039" t="inlineStr">
        <is>
          <t>undefined</t>
        </is>
      </c>
      <c r="R5039" t="inlineStr">
        <is>
          <t>14.99</t>
        </is>
      </c>
      <c r="S5039" t="inlineStr">
        <is>
          <t>117232194</t>
        </is>
      </c>
    </row>
    <row r="5040" ht="75" customHeight="1">
      <c r="A5040" s="2">
        <f>HYPERLINK("https://www.cafepress.com/mf/18132227/rules_mugs?productId=117232194", "https://www.cafepress.com/mf/18132227/rules_mugs?productId=117232194")</f>
        <v/>
      </c>
      <c r="B5040" s="2">
        <f>HYPERLINK("https://www.cafepress.com/mf/18132227/rules_mugs?productId=117232194", "https://www.cafepress.com/mf/18132227/rules_mugs?productId=117232194")</f>
        <v/>
      </c>
      <c r="C5040" t="inlineStr">
        <is>
          <t>Standard Mugs Rules 11 oz Ceramic Mug</t>
        </is>
      </c>
      <c r="D5040" t="inlineStr">
        <is>
          <t>My House My Rules My Coffee Mug 11oz Ceramic</t>
        </is>
      </c>
      <c r="E5040" s="2">
        <f>HYPERLINK("https://www.amazon.com/House-Rules-Coffee-11oz-Ceramic/dp/B096P895RC/ref=sr_1_4?keywords=Standard+Mugs+Rules+11+oz+Ceramic+Mug&amp;qid=1695565360&amp;sr=8-4", "https://www.amazon.com/House-Rules-Coffee-11oz-Ceramic/dp/B096P895RC/ref=sr_1_4?keywords=Standard+Mugs+Rules+11+oz+Ceramic+Mug&amp;qid=1695565360&amp;sr=8-4")</f>
        <v/>
      </c>
      <c r="F5040" t="inlineStr">
        <is>
          <t>B096P895RC</t>
        </is>
      </c>
      <c r="H5040">
        <f>_xlfn.IMAGE("https://m.media-amazon.com/images/I/612x2VoeW6L._AC_UL320_.jpg")</f>
        <v/>
      </c>
      <c r="K5040" t="inlineStr">
        <is>
          <t>9.99</t>
        </is>
      </c>
      <c r="L5040" t="n">
        <v>13.99</v>
      </c>
      <c r="M5040" s="1" t="inlineStr">
        <is>
          <t>40.04%</t>
        </is>
      </c>
      <c r="N5040" t="n">
        <v>4.5</v>
      </c>
      <c r="O5040" t="n">
        <v>3</v>
      </c>
      <c r="Q5040" t="inlineStr">
        <is>
          <t>undefined</t>
        </is>
      </c>
      <c r="R5040" t="inlineStr">
        <is>
          <t>14.99</t>
        </is>
      </c>
      <c r="S5040" t="inlineStr">
        <is>
          <t>117232194</t>
        </is>
      </c>
    </row>
    <row r="5041" ht="75" customHeight="1">
      <c r="A5041" s="2">
        <f>HYPERLINK("https://www.cafepress.com/mf/18132227/rules_mugs?productId=117232194", "https://www.cafepress.com/mf/18132227/rules_mugs?productId=117232194")</f>
        <v/>
      </c>
      <c r="B5041" s="2">
        <f>HYPERLINK("https://www.cafepress.com/mf/18132227/rules_mugs?productId=117232194", "https://www.cafepress.com/mf/18132227/rules_mugs?productId=117232194")</f>
        <v/>
      </c>
      <c r="C5041" t="inlineStr">
        <is>
          <t>Standard Mugs Rules 11 oz Ceramic Mug</t>
        </is>
      </c>
      <c r="D5041" t="inlineStr">
        <is>
          <t>My house my rules my coffee mug (coffee cup 11 oz) ceramic cup</t>
        </is>
      </c>
      <c r="E5041" s="2">
        <f>HYPERLINK("https://www.amazon.com/house-rules-coffee-mug-ceramic/dp/B085ZZMLKP/ref=sr_1_7?keywords=Standard+Mugs+Rules+11+oz+Ceramic+Mug&amp;qid=1695565360&amp;sr=8-7", "https://www.amazon.com/house-rules-coffee-mug-ceramic/dp/B085ZZMLKP/ref=sr_1_7?keywords=Standard+Mugs+Rules+11+oz+Ceramic+Mug&amp;qid=1695565360&amp;sr=8-7")</f>
        <v/>
      </c>
      <c r="F5041" t="inlineStr">
        <is>
          <t>B085ZZMLKP</t>
        </is>
      </c>
      <c r="H5041">
        <f>_xlfn.IMAGE("https://m.media-amazon.com/images/I/51MvmkbZybL._AC_UL320_.jpg")</f>
        <v/>
      </c>
      <c r="K5041" t="inlineStr">
        <is>
          <t>9.99</t>
        </is>
      </c>
      <c r="L5041" t="n">
        <v>13.99</v>
      </c>
      <c r="M5041" s="1" t="inlineStr">
        <is>
          <t>40.04%</t>
        </is>
      </c>
      <c r="N5041" t="n">
        <v>5</v>
      </c>
      <c r="O5041" t="n">
        <v>16</v>
      </c>
      <c r="Q5041" t="inlineStr">
        <is>
          <t>undefined</t>
        </is>
      </c>
      <c r="R5041" t="inlineStr">
        <is>
          <t>14.99</t>
        </is>
      </c>
      <c r="S5041" t="inlineStr">
        <is>
          <t>117232194</t>
        </is>
      </c>
    </row>
    <row r="5042" ht="75" customHeight="1">
      <c r="A5042" s="2">
        <f>HYPERLINK("https://www.cafepress.com/mf/18132227/rules_mugs?productId=117232194", "https://www.cafepress.com/mf/18132227/rules_mugs?productId=117232194")</f>
        <v/>
      </c>
      <c r="B5042" s="2">
        <f>HYPERLINK("https://www.cafepress.com/mf/18132227/rules_mugs?productId=117232194", "https://www.cafepress.com/mf/18132227/rules_mugs?productId=117232194")</f>
        <v/>
      </c>
      <c r="C5042" t="inlineStr">
        <is>
          <t>Standard Mugs Rules 11 oz Ceramic Mug</t>
        </is>
      </c>
      <c r="D5042" t="inlineStr">
        <is>
          <t>My House My Rules My Coffee 11oz Ceramic Coffee Mug</t>
        </is>
      </c>
      <c r="E5042" s="2">
        <f>HYPERLINK("https://www.amazon.com/House-Rules-Coffee-11oz-Ceramic/dp/B08HK6MTPS/ref=sr_1_3?keywords=Standard+Mugs+Rules+11+oz+Ceramic+Mug&amp;qid=1695565360&amp;sr=8-3", "https://www.amazon.com/House-Rules-Coffee-11oz-Ceramic/dp/B08HK6MTPS/ref=sr_1_3?keywords=Standard+Mugs+Rules+11+oz+Ceramic+Mug&amp;qid=1695565360&amp;sr=8-3")</f>
        <v/>
      </c>
      <c r="F5042" t="inlineStr">
        <is>
          <t>B08HK6MTPS</t>
        </is>
      </c>
      <c r="H5042">
        <f>_xlfn.IMAGE("https://m.media-amazon.com/images/I/51MvmkbZybL._AC_UL320_.jpg")</f>
        <v/>
      </c>
      <c r="K5042" t="inlineStr">
        <is>
          <t>9.99</t>
        </is>
      </c>
      <c r="L5042" t="n">
        <v>9.880000000000001</v>
      </c>
      <c r="M5042" s="1" t="inlineStr">
        <is>
          <t>-1.10%</t>
        </is>
      </c>
      <c r="N5042" t="n">
        <v>4.5</v>
      </c>
      <c r="O5042" t="n">
        <v>551</v>
      </c>
      <c r="Q5042" t="inlineStr">
        <is>
          <t>undefined</t>
        </is>
      </c>
      <c r="R5042" t="inlineStr">
        <is>
          <t>14.99</t>
        </is>
      </c>
      <c r="S5042" t="inlineStr">
        <is>
          <t>117232194</t>
        </is>
      </c>
    </row>
    <row r="5043" ht="75" customHeight="1">
      <c r="A5043" s="2">
        <f>HYPERLINK("https://www.cafepress.com/mf/19406198/-vneck_tshirt?productId=1294505394", "https://www.cafepress.com/mf/19406198/-vneck_tshirt?productId=1294505394")</f>
        <v/>
      </c>
      <c r="B5043" s="2">
        <f>HYPERLINK("https://www.cafepress.com/mf/19406198/-vneck_tshirt?productId=1294505394", "https://www.cafepress.com/mf/19406198/-vneck_tshirt?productId=1294505394")</f>
        <v/>
      </c>
      <c r="C5043" t="inlineStr">
        <is>
          <t>Women's V-Neck Dark Women's V-Neck T-Shirt</t>
        </is>
      </c>
      <c r="D5043" t="inlineStr">
        <is>
          <t>Madewell Women's Whisper Cotton V-Neck Tee</t>
        </is>
      </c>
      <c r="E5043" s="2">
        <f>HYPERLINK("https://www.amazon.com/Madewell-Womens-Whisper-Cotton-Medium/dp/B08QMHM47X/ref=sr_1_9?keywords=Womens+V-Neck+Dark+Womens+V-Neck+T-Shirt&amp;qid=1695565332&amp;sr=8-9", "https://www.amazon.com/Madewell-Womens-Whisper-Cotton-Medium/dp/B08QMHM47X/ref=sr_1_9?keywords=Womens+V-Neck+Dark+Womens+V-Neck+T-Shirt&amp;qid=1695565332&amp;sr=8-9")</f>
        <v/>
      </c>
      <c r="F5043" t="inlineStr">
        <is>
          <t>B08QMHM47X</t>
        </is>
      </c>
      <c r="H5043">
        <f>_xlfn.IMAGE("https://m.media-amazon.com/images/I/71g3cHh1iXL._AC_UL320_.jpg")</f>
        <v/>
      </c>
      <c r="K5043" t="inlineStr">
        <is>
          <t>25.99</t>
        </is>
      </c>
      <c r="L5043" t="n">
        <v>19.5</v>
      </c>
      <c r="M5043" s="1" t="inlineStr">
        <is>
          <t>-24.97%</t>
        </is>
      </c>
      <c r="N5043" t="n">
        <v>4.2</v>
      </c>
      <c r="O5043" t="n">
        <v>636</v>
      </c>
      <c r="Q5043" t="inlineStr">
        <is>
          <t>undefined</t>
        </is>
      </c>
      <c r="R5043" t="inlineStr">
        <is>
          <t>39.99</t>
        </is>
      </c>
      <c r="S5043" t="inlineStr">
        <is>
          <t>V-Neck</t>
        </is>
      </c>
    </row>
    <row r="5044" ht="75" customHeight="1">
      <c r="A5044" s="2">
        <f>HYPERLINK("https://www.cafepress.com/mf/19406198/-vneck_tshirt?productId=1294505394", "https://www.cafepress.com/mf/19406198/-vneck_tshirt?productId=1294505394")</f>
        <v/>
      </c>
      <c r="B5044" s="2">
        <f>HYPERLINK("https://www.cafepress.com/mf/19406198/-vneck_tshirt?productId=1294505394", "https://www.cafepress.com/mf/19406198/-vneck_tshirt?productId=1294505394")</f>
        <v/>
      </c>
      <c r="C5044" t="inlineStr">
        <is>
          <t>Women's V-Neck Dark Women's V-Neck T-Shirt</t>
        </is>
      </c>
      <c r="D5044" t="inlineStr">
        <is>
          <t>Amazon Essentials Women's Classic-Fit Short-Sleeve V-Neck T-Shirt, Multipacks</t>
        </is>
      </c>
      <c r="E5044" s="2">
        <f>HYPERLINK("https://www.amazon.com/Amazon-Essentials-Classic-Fit-Short-Sleeve-T-Shirt/dp/B07767BHGY/ref=sr_1_1?keywords=Womens+V-Neck+Dark+Womens+V-Neck+T-Shirt&amp;qid=1695565332&amp;sr=8-1", "https://www.amazon.com/Amazon-Essentials-Classic-Fit-Short-Sleeve-T-Shirt/dp/B07767BHGY/ref=sr_1_1?keywords=Womens+V-Neck+Dark+Womens+V-Neck+T-Shirt&amp;qid=1695565332&amp;sr=8-1")</f>
        <v/>
      </c>
      <c r="F5044" t="inlineStr">
        <is>
          <t>B07767BHGY</t>
        </is>
      </c>
      <c r="H5044">
        <f>_xlfn.IMAGE("https://m.media-amazon.com/images/I/71pcKLwCwjL._AC_UL320_.jpg")</f>
        <v/>
      </c>
      <c r="K5044" t="inlineStr">
        <is>
          <t>25.99</t>
        </is>
      </c>
      <c r="L5044" t="n">
        <v>16.92</v>
      </c>
      <c r="M5044" s="1" t="inlineStr">
        <is>
          <t>-34.90%</t>
        </is>
      </c>
      <c r="N5044" t="n">
        <v>4.4</v>
      </c>
      <c r="O5044" t="n">
        <v>46687</v>
      </c>
      <c r="Q5044" t="inlineStr">
        <is>
          <t>undefined</t>
        </is>
      </c>
      <c r="R5044" t="inlineStr">
        <is>
          <t>39.99</t>
        </is>
      </c>
      <c r="S5044" t="inlineStr">
        <is>
          <t>V-Neck</t>
        </is>
      </c>
    </row>
    <row r="5045" ht="75" customHeight="1">
      <c r="A5045" s="2">
        <f>HYPERLINK("https://www.cafepress.com/mf/19406198/-vneck_tshirt?productId=1294505394", "https://www.cafepress.com/mf/19406198/-vneck_tshirt?productId=1294505394")</f>
        <v/>
      </c>
      <c r="B5045" s="2">
        <f>HYPERLINK("https://www.cafepress.com/mf/19406198/-vneck_tshirt?productId=1294505394", "https://www.cafepress.com/mf/19406198/-vneck_tshirt?productId=1294505394")</f>
        <v/>
      </c>
      <c r="C5045" t="inlineStr">
        <is>
          <t>Women's V-Neck Dark Women's V-Neck T-Shirt</t>
        </is>
      </c>
      <c r="D5045" t="inlineStr">
        <is>
          <t>Amazon Essentials Women's Slim-Fit Short-Sleeve V-Neck T-Shirt, Pack of 2</t>
        </is>
      </c>
      <c r="E5045" s="2">
        <f>HYPERLINK("https://www.amazon.com/Amazon-Essentials-Standard-Slim-Fit-Short-Sleeve/dp/B07XJYW7K2/ref=sr_1_7?keywords=Womens+V-Neck+Dark+Womens+V-Neck+T-Shirt&amp;qid=1695565332&amp;sr=8-7", "https://www.amazon.com/Amazon-Essentials-Standard-Slim-Fit-Short-Sleeve/dp/B07XJYW7K2/ref=sr_1_7?keywords=Womens+V-Neck+Dark+Womens+V-Neck+T-Shirt&amp;qid=1695565332&amp;sr=8-7")</f>
        <v/>
      </c>
      <c r="F5045" t="inlineStr">
        <is>
          <t>B07XJYW7K2</t>
        </is>
      </c>
      <c r="H5045">
        <f>_xlfn.IMAGE("https://m.media-amazon.com/images/I/81IkGyfrQPL._AC_UL320_.jpg")</f>
        <v/>
      </c>
      <c r="K5045" t="inlineStr">
        <is>
          <t>25.99</t>
        </is>
      </c>
      <c r="L5045" t="n">
        <v>16.92</v>
      </c>
      <c r="M5045" s="1" t="inlineStr">
        <is>
          <t>-34.90%</t>
        </is>
      </c>
      <c r="N5045" t="n">
        <v>4.5</v>
      </c>
      <c r="O5045" t="n">
        <v>13575</v>
      </c>
      <c r="Q5045" t="inlineStr">
        <is>
          <t>undefined</t>
        </is>
      </c>
      <c r="R5045" t="inlineStr">
        <is>
          <t>39.99</t>
        </is>
      </c>
      <c r="S5045" t="inlineStr">
        <is>
          <t>V-Neck</t>
        </is>
      </c>
    </row>
    <row r="5046" ht="75" customHeight="1">
      <c r="A5046" s="2">
        <f>HYPERLINK("https://www.cafepress.com/mf/19406198/-vneck_tshirt?productId=1294505394", "https://www.cafepress.com/mf/19406198/-vneck_tshirt?productId=1294505394")</f>
        <v/>
      </c>
      <c r="B5046" s="2">
        <f>HYPERLINK("https://www.cafepress.com/mf/19406198/-vneck_tshirt?productId=1294505394", "https://www.cafepress.com/mf/19406198/-vneck_tshirt?productId=1294505394")</f>
        <v/>
      </c>
      <c r="C5046" t="inlineStr">
        <is>
          <t>Women's V-Neck Dark Women's V-Neck T-Shirt</t>
        </is>
      </c>
      <c r="D5046" t="inlineStr">
        <is>
          <t>Gildan Women's Heavy Cotton V-Neck T-Shirt, 2-Pack</t>
        </is>
      </c>
      <c r="E5046" s="2">
        <f>HYPERLINK("https://www.amazon.com/Gildan-Womens-Cotton-V-Neck-T-Shirt/dp/B0767RTF21/ref=sr_1_2?keywords=Womens+V-Neck+Dark+Womens+V-Neck+T-Shirt&amp;qid=1695565332&amp;sr=8-2", "https://www.amazon.com/Gildan-Womens-Cotton-V-Neck-T-Shirt/dp/B0767RTF21/ref=sr_1_2?keywords=Womens+V-Neck+Dark+Womens+V-Neck+T-Shirt&amp;qid=1695565332&amp;sr=8-2")</f>
        <v/>
      </c>
      <c r="F5046" t="inlineStr">
        <is>
          <t>B0767RTF21</t>
        </is>
      </c>
      <c r="H5046">
        <f>_xlfn.IMAGE("https://m.media-amazon.com/images/I/81M26LTs6jL._AC_UL320_.jpg")</f>
        <v/>
      </c>
      <c r="K5046" t="inlineStr">
        <is>
          <t>25.99</t>
        </is>
      </c>
      <c r="L5046" t="n">
        <v>13.04</v>
      </c>
      <c r="M5046" s="1" t="inlineStr">
        <is>
          <t>-49.83%</t>
        </is>
      </c>
      <c r="N5046" t="n">
        <v>4.1</v>
      </c>
      <c r="O5046" t="n">
        <v>8375</v>
      </c>
      <c r="Q5046" t="inlineStr">
        <is>
          <t>undefined</t>
        </is>
      </c>
      <c r="R5046" t="inlineStr">
        <is>
          <t>39.99</t>
        </is>
      </c>
      <c r="S5046" t="inlineStr">
        <is>
          <t>V-Neck</t>
        </is>
      </c>
    </row>
    <row r="5047" ht="75" customHeight="1">
      <c r="A5047" s="2">
        <f>HYPERLINK("https://www.cafepress.com/mf/19406198/-vneck_tshirt?productId=1294505394", "https://www.cafepress.com/mf/19406198/-vneck_tshirt?productId=1294505394")</f>
        <v/>
      </c>
      <c r="B5047" s="2">
        <f>HYPERLINK("https://www.cafepress.com/mf/19406198/-vneck_tshirt?productId=1294505394", "https://www.cafepress.com/mf/19406198/-vneck_tshirt?productId=1294505394")</f>
        <v/>
      </c>
      <c r="C5047" t="inlineStr">
        <is>
          <t>Women's V-Neck Dark Women's V-Neck T-Shirt</t>
        </is>
      </c>
      <c r="D5047" t="inlineStr">
        <is>
          <t>Hanes Women's X-Temp V-Neck T-Shirt</t>
        </is>
      </c>
      <c r="E5047" s="2">
        <f>HYPERLINK("https://www.amazon.com/Hanes-Womens-X-Temp-V-Neck-X-Large/dp/B00SNCLJ4I/ref=sr_1_4?keywords=Womens+V-Neck+Dark+Womens+V-Neck+T-Shirt&amp;qid=1695565332&amp;sr=8-4", "https://www.amazon.com/Hanes-Womens-X-Temp-V-Neck-X-Large/dp/B00SNCLJ4I/ref=sr_1_4?keywords=Womens+V-Neck+Dark+Womens+V-Neck+T-Shirt&amp;qid=1695565332&amp;sr=8-4")</f>
        <v/>
      </c>
      <c r="F5047" t="inlineStr">
        <is>
          <t>B00SNCLJ4I</t>
        </is>
      </c>
      <c r="H5047">
        <f>_xlfn.IMAGE("https://m.media-amazon.com/images/I/61A8pt15TAL._AC_UL320_.jpg")</f>
        <v/>
      </c>
      <c r="K5047" t="inlineStr">
        <is>
          <t>25.99</t>
        </is>
      </c>
      <c r="L5047" t="n">
        <v>10</v>
      </c>
      <c r="M5047" s="1" t="inlineStr">
        <is>
          <t>-61.52%</t>
        </is>
      </c>
      <c r="N5047" t="n">
        <v>4.1</v>
      </c>
      <c r="O5047" t="n">
        <v>15659</v>
      </c>
      <c r="Q5047" t="inlineStr">
        <is>
          <t>undefined</t>
        </is>
      </c>
      <c r="R5047" t="inlineStr">
        <is>
          <t>39.99</t>
        </is>
      </c>
      <c r="S5047" t="inlineStr">
        <is>
          <t>V-Neck</t>
        </is>
      </c>
    </row>
    <row r="5048" ht="75" customHeight="1">
      <c r="A5048" s="2">
        <f>HYPERLINK("https://www.cafepress.com/mf/19406198/-vneck_tshirt?productId=1294505394", "https://www.cafepress.com/mf/19406198/-vneck_tshirt?productId=1294505394")</f>
        <v/>
      </c>
      <c r="B5048" s="2">
        <f>HYPERLINK("https://www.cafepress.com/mf/19406198/-vneck_tshirt?productId=1294505394", "https://www.cafepress.com/mf/19406198/-vneck_tshirt?productId=1294505394")</f>
        <v/>
      </c>
      <c r="C5048" t="inlineStr">
        <is>
          <t>Women's V-Neck Dark Women's V-Neck T-Shirt</t>
        </is>
      </c>
      <c r="D5048" t="inlineStr">
        <is>
          <t>Hanes Women's Perfect-t V-Neck T-Shirt, Ring-Spun Cotton Short Sleeve Tee for Women</t>
        </is>
      </c>
      <c r="E5048" s="2">
        <f>HYPERLINK("https://www.amazon.com/Hanes-Womens-Premium-Cotton-V-Neck/dp/B00KRYMGAG/ref=sr_1_3?keywords=Womens+V-Neck+Dark+Womens+V-Neck+T-Shirt&amp;qid=1695565332&amp;sr=8-3", "https://www.amazon.com/Hanes-Womens-Premium-Cotton-V-Neck/dp/B00KRYMGAG/ref=sr_1_3?keywords=Womens+V-Neck+Dark+Womens+V-Neck+T-Shirt&amp;qid=1695565332&amp;sr=8-3")</f>
        <v/>
      </c>
      <c r="F5048" t="inlineStr">
        <is>
          <t>B00KRYMGAG</t>
        </is>
      </c>
      <c r="H5048">
        <f>_xlfn.IMAGE("https://m.media-amazon.com/images/I/61fWNUKkoiL._AC_UL320_.jpg")</f>
        <v/>
      </c>
      <c r="K5048" t="inlineStr">
        <is>
          <t>25.99</t>
        </is>
      </c>
      <c r="L5048" t="n">
        <v>9.4</v>
      </c>
      <c r="M5048" s="1" t="inlineStr">
        <is>
          <t>-63.83%</t>
        </is>
      </c>
      <c r="N5048" t="n">
        <v>4.2</v>
      </c>
      <c r="O5048" t="n">
        <v>17444</v>
      </c>
      <c r="Q5048" t="inlineStr">
        <is>
          <t>undefined</t>
        </is>
      </c>
      <c r="R5048" t="inlineStr">
        <is>
          <t>39.99</t>
        </is>
      </c>
      <c r="S5048" t="inlineStr">
        <is>
          <t>V-Neck</t>
        </is>
      </c>
    </row>
    <row r="5049" ht="75" customHeight="1">
      <c r="A5049" s="2">
        <f>HYPERLINK("https://www.cafepress.com/mf/22986079/thanksgiving-holiday_mugs?productId=179542570", "https://www.cafepress.com/mf/22986079/thanksgiving-holiday_mugs?productId=179542570")</f>
        <v/>
      </c>
      <c r="B5049" s="2">
        <f>HYPERLINK("https://www.cafepress.com/mf/22986079/thanksgiving-holiday_mugs?productId=179542570", "https://www.cafepress.com/mf/22986079/thanksgiving-holiday_mugs?productId=179542570")</f>
        <v/>
      </c>
      <c r="C5049" t="inlineStr">
        <is>
          <t>Standard Mugs Thanksgiving Holiday 11 oz Ceramic Mug</t>
        </is>
      </c>
      <c r="D5049" t="inlineStr">
        <is>
          <t>8 Pieces Pumpkin Mugs Autumn Coffee Mug 12oz Fall Cup Thanksgiving Mugs Set with Handle Ceramic Mugs for Home School Office Table Centerpieces Housewarming Holiday Party Gift</t>
        </is>
      </c>
      <c r="E5049" s="2">
        <f>HYPERLINK("https://www.amazon.com/Maxdot-Pumpkin-Thanksgiving-Centerpieces-Housewarming/dp/B0C7FRCL53/ref=sr_1_3?keywords=Standard+Mugs+Thanksgiving+Holiday+11+oz+Ceramic+Mug&amp;qid=1695565300&amp;sr=8-3", "https://www.amazon.com/Maxdot-Pumpkin-Thanksgiving-Centerpieces-Housewarming/dp/B0C7FRCL53/ref=sr_1_3?keywords=Standard+Mugs+Thanksgiving+Holiday+11+oz+Ceramic+Mug&amp;qid=1695565300&amp;sr=8-3")</f>
        <v/>
      </c>
      <c r="F5049" t="inlineStr">
        <is>
          <t>B0C7FRCL53</t>
        </is>
      </c>
      <c r="H5049">
        <f>_xlfn.IMAGE("https://m.media-amazon.com/images/I/81QUGw3+iCL._AC_UL320_.jpg")</f>
        <v/>
      </c>
      <c r="K5049" t="inlineStr">
        <is>
          <t>9.99</t>
        </is>
      </c>
      <c r="L5049" t="n">
        <v>27.99</v>
      </c>
      <c r="M5049" s="1" t="inlineStr">
        <is>
          <t>180.18%</t>
        </is>
      </c>
      <c r="N5049" t="n">
        <v>5</v>
      </c>
      <c r="O5049" t="n">
        <v>1</v>
      </c>
      <c r="Q5049" t="inlineStr">
        <is>
          <t>undefined</t>
        </is>
      </c>
      <c r="R5049" t="inlineStr">
        <is>
          <t>14.99</t>
        </is>
      </c>
      <c r="S5049" t="inlineStr">
        <is>
          <t>179542570</t>
        </is>
      </c>
    </row>
    <row r="5050" ht="75" customHeight="1">
      <c r="A5050" s="2">
        <f>HYPERLINK("https://www.cafepress.com/mf/22986079/thanksgiving-holiday_mugs?productId=179542570", "https://www.cafepress.com/mf/22986079/thanksgiving-holiday_mugs?productId=179542570")</f>
        <v/>
      </c>
      <c r="B5050" s="2">
        <f>HYPERLINK("https://www.cafepress.com/mf/22986079/thanksgiving-holiday_mugs?productId=179542570", "https://www.cafepress.com/mf/22986079/thanksgiving-holiday_mugs?productId=179542570")</f>
        <v/>
      </c>
      <c r="C5050" t="inlineStr">
        <is>
          <t>Standard Mugs Thanksgiving Holiday 11 oz Ceramic Mug</t>
        </is>
      </c>
      <c r="D5050" t="inlineStr">
        <is>
          <t>4 Pcs Fall Coffee Mugs 11 oz Fall Autumn Pumpkin Mug Happy Fall Y'all Ceramic Cups Orange Autumn Fall Home Decor Kitchen Accessories Camp Campfire Tea Cup Thanksgiving Gift for Mom Dad Grandpa Grandma</t>
        </is>
      </c>
      <c r="E5050" s="2">
        <f>HYPERLINK("https://www.amazon.com/Fall-Mug-Accessories-Campfire-Thanksgiving/dp/B0CC86RYJW/ref=sr_1_6?keywords=Standard+Mugs+Thanksgiving+Holiday+11+oz+Ceramic+Mug&amp;qid=1695565300&amp;sr=8-6", "https://www.amazon.com/Fall-Mug-Accessories-Campfire-Thanksgiving/dp/B0CC86RYJW/ref=sr_1_6?keywords=Standard+Mugs+Thanksgiving+Holiday+11+oz+Ceramic+Mug&amp;qid=1695565300&amp;sr=8-6")</f>
        <v/>
      </c>
      <c r="F5050" t="inlineStr">
        <is>
          <t>B0CC86RYJW</t>
        </is>
      </c>
      <c r="H5050">
        <f>_xlfn.IMAGE("https://m.media-amazon.com/images/I/71Ph0C6SZnL._AC_UL320_.jpg")</f>
        <v/>
      </c>
      <c r="K5050" t="inlineStr">
        <is>
          <t>9.99</t>
        </is>
      </c>
      <c r="L5050" t="n">
        <v>24.99</v>
      </c>
      <c r="M5050" s="1" t="inlineStr">
        <is>
          <t>150.15%</t>
        </is>
      </c>
      <c r="N5050" t="n">
        <v>5</v>
      </c>
      <c r="O5050" t="n">
        <v>2</v>
      </c>
      <c r="Q5050" t="inlineStr">
        <is>
          <t>undefined</t>
        </is>
      </c>
      <c r="R5050" t="inlineStr">
        <is>
          <t>14.99</t>
        </is>
      </c>
      <c r="S5050" t="inlineStr">
        <is>
          <t>179542570</t>
        </is>
      </c>
    </row>
    <row r="5051" ht="75" customHeight="1">
      <c r="A5051" s="2">
        <f>HYPERLINK("https://www.cafepress.com/mf/23237304/i-believe-in-candy-corn_mugs?productId=183479692", "https://www.cafepress.com/mf/23237304/i-believe-in-candy-corn_mugs?productId=183479692")</f>
        <v/>
      </c>
      <c r="B5051" s="2">
        <f>HYPERLINK("https://www.cafepress.com/mf/23237304/i-believe-in-candy-corn_mugs?productId=183479692", "https://www.cafepress.com/mf/23237304/i-believe-in-candy-corn_mugs?productId=183479692")</f>
        <v/>
      </c>
      <c r="C5051" t="inlineStr">
        <is>
          <t>I believe in Candy Corn 11 oz Ceramic Mug</t>
        </is>
      </c>
      <c r="D5051" t="inlineStr">
        <is>
          <t>CafePress Candy Corn Mug 11 oz (325 ml) Ceramic Coffee Mug</t>
        </is>
      </c>
      <c r="E5051" s="2">
        <f>HYPERLINK("https://www.amazon.com/CafePress-Candy-Corn-Ceramic-Coffee/dp/B07S8G7NGZ/ref=sr_1_1?keywords=I+believe+in+Candy+Corn+11+oz+Ceramic+Mug&amp;qid=1695565312&amp;sr=8-1", "https://www.amazon.com/CafePress-Candy-Corn-Ceramic-Coffee/dp/B07S8G7NGZ/ref=sr_1_1?keywords=I+believe+in+Candy+Corn+11+oz+Ceramic+Mug&amp;qid=1695565312&amp;sr=8-1")</f>
        <v/>
      </c>
      <c r="F5051" t="inlineStr">
        <is>
          <t>B07S8G7NGZ</t>
        </is>
      </c>
      <c r="H5051">
        <f>_xlfn.IMAGE("https://m.media-amazon.com/images/I/418t5MsONIL._AC_UL320_.jpg")</f>
        <v/>
      </c>
      <c r="K5051" t="inlineStr">
        <is>
          <t>9.99</t>
        </is>
      </c>
      <c r="L5051" t="n">
        <v>17.99</v>
      </c>
      <c r="M5051" s="1" t="inlineStr">
        <is>
          <t>80.08%</t>
        </is>
      </c>
      <c r="N5051" t="n">
        <v>5</v>
      </c>
      <c r="O5051" t="n">
        <v>1</v>
      </c>
      <c r="Q5051" t="inlineStr">
        <is>
          <t>undefined</t>
        </is>
      </c>
      <c r="R5051" t="inlineStr">
        <is>
          <t>14.99</t>
        </is>
      </c>
      <c r="S5051" t="inlineStr">
        <is>
          <t>183479692</t>
        </is>
      </c>
    </row>
    <row r="5052" ht="75" customHeight="1">
      <c r="A5052" s="2">
        <f>HYPERLINK("https://www.cafepress.com/mf/23237304/i-believe-in-candy-corn_mugs?productId=183479692", "https://www.cafepress.com/mf/23237304/i-believe-in-candy-corn_mugs?productId=183479692")</f>
        <v/>
      </c>
      <c r="B5052" s="2">
        <f>HYPERLINK("https://www.cafepress.com/mf/23237304/i-believe-in-candy-corn_mugs?productId=183479692", "https://www.cafepress.com/mf/23237304/i-believe-in-candy-corn_mugs?productId=183479692")</f>
        <v/>
      </c>
      <c r="C5052" t="inlineStr">
        <is>
          <t>I believe in Candy Corn 11 oz Ceramic Mug</t>
        </is>
      </c>
      <c r="D5052" t="inlineStr">
        <is>
          <t>3dRose I Believe in Slot Machines Ceramic Mug, 11 oz, Black/White</t>
        </is>
      </c>
      <c r="E5052" s="2">
        <f>HYPERLINK("https://www.amazon.com/3dRose-105546_4-Believe-Machines-Ceramic/dp/B013KSOVH6/ref=sr_1_9?keywords=I+believe+in+Candy+Corn+11+oz+Ceramic+Mug&amp;qid=1695565312&amp;sr=8-9", "https://www.amazon.com/3dRose-105546_4-Believe-Machines-Ceramic/dp/B013KSOVH6/ref=sr_1_9?keywords=I+believe+in+Candy+Corn+11+oz+Ceramic+Mug&amp;qid=1695565312&amp;sr=8-9")</f>
        <v/>
      </c>
      <c r="F5052" t="inlineStr">
        <is>
          <t>B013KSOVH6</t>
        </is>
      </c>
      <c r="H5052">
        <f>_xlfn.IMAGE("https://m.media-amazon.com/images/I/71acz-QNZuL._AC_UL320_.jpg")</f>
        <v/>
      </c>
      <c r="K5052" t="inlineStr">
        <is>
          <t>9.99</t>
        </is>
      </c>
      <c r="L5052" t="n">
        <v>9.699999999999999</v>
      </c>
      <c r="M5052" s="1" t="inlineStr">
        <is>
          <t>-2.90%</t>
        </is>
      </c>
      <c r="N5052" t="n">
        <v>4.3</v>
      </c>
      <c r="O5052" t="n">
        <v>7</v>
      </c>
      <c r="Q5052" t="inlineStr">
        <is>
          <t>undefined</t>
        </is>
      </c>
      <c r="R5052" t="inlineStr">
        <is>
          <t>14.99</t>
        </is>
      </c>
      <c r="S5052" t="inlineStr">
        <is>
          <t>183479692</t>
        </is>
      </c>
    </row>
    <row r="5053" ht="75" customHeight="1">
      <c r="A5053" s="2">
        <f>HYPERLINK("https://www.cafepress.com/mf/24021353/425x4-youth-football-shirt_tshirt?productId=91304721", "https://www.cafepress.com/mf/24021353/425x4-youth-football-shirt_tshirt?productId=91304721")</f>
        <v/>
      </c>
      <c r="B5053" s="2">
        <f>HYPERLINK("https://www.cafepress.com/mf/24021353/425x4-youth-football-shirt_tshirt?productId=91304721", "https://www.cafepress.com/mf/24021353/425x4-youth-football-shirt_tshirt?productId=91304721")</f>
        <v/>
      </c>
      <c r="C5053" t="inlineStr">
        <is>
          <t>4.25x4 Youth Football Shirt Kids Football T-Shirt</t>
        </is>
      </c>
      <c r="D5053" t="inlineStr">
        <is>
          <t>BALEAF Boys Long Sleeve Shirts Youth Compression Undershirts Kids Baseball Football Baselayer Cold Gear Quick Dry</t>
        </is>
      </c>
      <c r="E5053" s="2" t="n"/>
      <c r="F5053" t="inlineStr">
        <is>
          <t>B07V8RKJPM</t>
        </is>
      </c>
      <c r="H5053">
        <f>_xlfn.IMAGE("https://m.media-amazon.com/images/I/51Q3DoYPulL._AC_UL320_.jpg")</f>
        <v/>
      </c>
      <c r="K5053" t="inlineStr">
        <is>
          <t>16.99</t>
        </is>
      </c>
      <c r="L5053" t="n">
        <v>21.99</v>
      </c>
      <c r="M5053" s="1" t="inlineStr">
        <is>
          <t>29.43%</t>
        </is>
      </c>
      <c r="N5053" t="n">
        <v>4.7</v>
      </c>
      <c r="O5053" t="n">
        <v>2098</v>
      </c>
      <c r="Q5053" t="inlineStr">
        <is>
          <t>undefined</t>
        </is>
      </c>
      <c r="R5053" t="inlineStr">
        <is>
          <t>29.99</t>
        </is>
      </c>
      <c r="S5053" t="inlineStr">
        <is>
          <t>91304721</t>
        </is>
      </c>
    </row>
    <row r="5054" ht="75" customHeight="1">
      <c r="A5054" s="2">
        <f>HYPERLINK("https://www.cafepress.com/mf/24021353/425x4-youth-football-shirt_tshirt?productId=91304721", "https://www.cafepress.com/mf/24021353/425x4-youth-football-shirt_tshirt?productId=91304721")</f>
        <v/>
      </c>
      <c r="B5054" s="2">
        <f>HYPERLINK("https://www.cafepress.com/mf/24021353/425x4-youth-football-shirt_tshirt?productId=91304721", "https://www.cafepress.com/mf/24021353/425x4-youth-football-shirt_tshirt?productId=91304721")</f>
        <v/>
      </c>
      <c r="C5054" t="inlineStr">
        <is>
          <t>4.25x4 Youth Football Shirt Kids Football T-Shirt</t>
        </is>
      </c>
      <c r="D5054" t="inlineStr">
        <is>
          <t>Boys Flag Football Kids Youth Merch Boys Flag Football for Kids Youth or Adults T-Shirt</t>
        </is>
      </c>
      <c r="E5054" s="2">
        <f>HYPERLINK("https://www.amazon.com/Boys-Flag-Football-Kids-Youth/dp/B07VK4JFSC/ref=sr_1_6?keywords=4.25x4+Youth+Football+Shirt+Kids+Football+T-Shirt&amp;qid=1695565356&amp;sr=8-6", "https://www.amazon.com/Boys-Flag-Football-Kids-Youth/dp/B07VK4JFSC/ref=sr_1_6?keywords=4.25x4+Youth+Football+Shirt+Kids+Football+T-Shirt&amp;qid=1695565356&amp;sr=8-6")</f>
        <v/>
      </c>
      <c r="F5054" t="inlineStr">
        <is>
          <t>B07VK4JFSC</t>
        </is>
      </c>
      <c r="H5054">
        <f>_xlfn.IMAGE("https://m.media-amazon.com/images/I/61kem2chugL._AC_UL320_.jpg")</f>
        <v/>
      </c>
      <c r="K5054" t="inlineStr">
        <is>
          <t>16.99</t>
        </is>
      </c>
      <c r="L5054" t="n">
        <v>19.99</v>
      </c>
      <c r="M5054" s="1" t="inlineStr">
        <is>
          <t>17.66%</t>
        </is>
      </c>
      <c r="N5054" t="n">
        <v>5</v>
      </c>
      <c r="O5054" t="n">
        <v>3</v>
      </c>
      <c r="Q5054" t="inlineStr">
        <is>
          <t>undefined</t>
        </is>
      </c>
      <c r="R5054" t="inlineStr">
        <is>
          <t>29.99</t>
        </is>
      </c>
      <c r="S5054" t="inlineStr">
        <is>
          <t>91304721</t>
        </is>
      </c>
    </row>
    <row r="5055" ht="75" customHeight="1">
      <c r="A5055" s="2">
        <f>HYPERLINK("https://www.cafepress.com/mf/24021353/425x4-youth-football-shirt_tshirt?productId=91304721", "https://www.cafepress.com/mf/24021353/425x4-youth-football-shirt_tshirt?productId=91304721")</f>
        <v/>
      </c>
      <c r="B5055" s="2">
        <f>HYPERLINK("https://www.cafepress.com/mf/24021353/425x4-youth-football-shirt_tshirt?productId=91304721", "https://www.cafepress.com/mf/24021353/425x4-youth-football-shirt_tshirt?productId=91304721")</f>
        <v/>
      </c>
      <c r="C5055" t="inlineStr">
        <is>
          <t>4.25x4 Youth Football Shirt Kids Football T-Shirt</t>
        </is>
      </c>
      <c r="D5055" t="inlineStr">
        <is>
          <t>American Football Shirts Player Men Women Kids Just Here For Snacks American Football Funny Men Women Kids T-Shirt</t>
        </is>
      </c>
      <c r="E5055" s="2">
        <f>HYPERLINK("https://www.amazon.com/American-Football-Men-Women-Kids/dp/B0B7XGS5N7/ref=sr_1_9?keywords=4.25x4+Youth+Football+Shirt+Kids+Football+T-Shirt&amp;qid=1695565356&amp;sr=8-9", "https://www.amazon.com/American-Football-Men-Women-Kids/dp/B0B7XGS5N7/ref=sr_1_9?keywords=4.25x4+Youth+Football+Shirt+Kids+Football+T-Shirt&amp;qid=1695565356&amp;sr=8-9")</f>
        <v/>
      </c>
      <c r="F5055" t="inlineStr">
        <is>
          <t>B0B7XGS5N7</t>
        </is>
      </c>
      <c r="H5055">
        <f>_xlfn.IMAGE("https://m.media-amazon.com/images/I/61GZjPKKiWL._AC_UL320_.jpg")</f>
        <v/>
      </c>
      <c r="K5055" t="inlineStr">
        <is>
          <t>16.99</t>
        </is>
      </c>
      <c r="L5055" t="n">
        <v>19.99</v>
      </c>
      <c r="M5055" s="1" t="inlineStr">
        <is>
          <t>17.66%</t>
        </is>
      </c>
      <c r="N5055" t="n">
        <v>4.7</v>
      </c>
      <c r="O5055" t="n">
        <v>9</v>
      </c>
      <c r="Q5055" t="inlineStr">
        <is>
          <t>undefined</t>
        </is>
      </c>
      <c r="R5055" t="inlineStr">
        <is>
          <t>29.99</t>
        </is>
      </c>
      <c r="S5055" t="inlineStr">
        <is>
          <t>91304721</t>
        </is>
      </c>
    </row>
    <row r="5056" ht="75" customHeight="1">
      <c r="A5056" s="2">
        <f>HYPERLINK("https://www.cafepress.com/mf/24021353/425x4-youth-football-shirt_tshirt?productId=91304721", "https://www.cafepress.com/mf/24021353/425x4-youth-football-shirt_tshirt?productId=91304721")</f>
        <v/>
      </c>
      <c r="B5056" s="2">
        <f>HYPERLINK("https://www.cafepress.com/mf/24021353/425x4-youth-football-shirt_tshirt?productId=91304721", "https://www.cafepress.com/mf/24021353/425x4-youth-football-shirt_tshirt?productId=91304721")</f>
        <v/>
      </c>
      <c r="C5056" t="inlineStr">
        <is>
          <t>4.25x4 Youth Football Shirt Kids Football T-Shirt</t>
        </is>
      </c>
      <c r="D5056" t="inlineStr">
        <is>
          <t>American Football Shirts Player Men Women Kids American Football Game Day Sports Lover Men Women Youth Kids T-Shirt</t>
        </is>
      </c>
      <c r="E5056" s="2">
        <f>HYPERLINK("https://www.amazon.com/American-Football-Men-Women-Kids/dp/B0B7XGW1PG/ref=sr_1_5?keywords=4.25x4+Youth+Football+Shirt+Kids+Football+T-Shirt&amp;qid=1695565356&amp;sr=8-5", "https://www.amazon.com/American-Football-Men-Women-Kids/dp/B0B7XGW1PG/ref=sr_1_5?keywords=4.25x4+Youth+Football+Shirt+Kids+Football+T-Shirt&amp;qid=1695565356&amp;sr=8-5")</f>
        <v/>
      </c>
      <c r="F5056" t="inlineStr">
        <is>
          <t>B0B7XGW1PG</t>
        </is>
      </c>
      <c r="H5056">
        <f>_xlfn.IMAGE("https://m.media-amazon.com/images/I/71LWrrEr+pL._AC_UL320_.jpg")</f>
        <v/>
      </c>
      <c r="K5056" t="inlineStr">
        <is>
          <t>16.99</t>
        </is>
      </c>
      <c r="L5056" t="n">
        <v>19.99</v>
      </c>
      <c r="M5056" s="1" t="inlineStr">
        <is>
          <t>17.66%</t>
        </is>
      </c>
      <c r="N5056" t="n">
        <v>5</v>
      </c>
      <c r="O5056" t="n">
        <v>2</v>
      </c>
      <c r="Q5056" t="inlineStr">
        <is>
          <t>undefined</t>
        </is>
      </c>
      <c r="R5056" t="inlineStr">
        <is>
          <t>29.99</t>
        </is>
      </c>
      <c r="S5056" t="inlineStr">
        <is>
          <t>91304721</t>
        </is>
      </c>
    </row>
    <row r="5057" ht="75" customHeight="1">
      <c r="A5057" s="2">
        <f>HYPERLINK("https://www.cafepress.com/mf/24021353/425x4-youth-football-shirt_tshirt?productId=91304721", "https://www.cafepress.com/mf/24021353/425x4-youth-football-shirt_tshirt?productId=91304721")</f>
        <v/>
      </c>
      <c r="B5057" s="2">
        <f>HYPERLINK("https://www.cafepress.com/mf/24021353/425x4-youth-football-shirt_tshirt?productId=91304721", "https://www.cafepress.com/mf/24021353/425x4-youth-football-shirt_tshirt?productId=91304721")</f>
        <v/>
      </c>
      <c r="C5057" t="inlineStr">
        <is>
          <t>4.25x4 Youth Football Shirt Kids Football T-Shirt</t>
        </is>
      </c>
      <c r="D5057" t="inlineStr">
        <is>
          <t>Cool Football Apparel &amp; Gift Ideas Football Player American Football Boys Kids Men T-Shirt</t>
        </is>
      </c>
      <c r="E5057" s="2">
        <f>HYPERLINK("https://www.amazon.com/Football-Player-American-Boys-T-Shirt/dp/B0B1CCZXX7/ref=sr_1_10?keywords=4.25x4+Youth+Football+Shirt+Kids+Football+T-Shirt&amp;qid=1695565356&amp;sr=8-10", "https://www.amazon.com/Football-Player-American-Boys-T-Shirt/dp/B0B1CCZXX7/ref=sr_1_10?keywords=4.25x4+Youth+Football+Shirt+Kids+Football+T-Shirt&amp;qid=1695565356&amp;sr=8-10")</f>
        <v/>
      </c>
      <c r="F5057" t="inlineStr">
        <is>
          <t>B0B1CCZXX7</t>
        </is>
      </c>
      <c r="H5057">
        <f>_xlfn.IMAGE("https://m.media-amazon.com/images/I/71IhHLKBClL._AC_UL320_.jpg")</f>
        <v/>
      </c>
      <c r="K5057" t="inlineStr">
        <is>
          <t>16.99</t>
        </is>
      </c>
      <c r="L5057" t="n">
        <v>14.95</v>
      </c>
      <c r="M5057" s="1" t="inlineStr">
        <is>
          <t>-12.01%</t>
        </is>
      </c>
      <c r="N5057" t="n">
        <v>5</v>
      </c>
      <c r="O5057" t="n">
        <v>3</v>
      </c>
      <c r="Q5057" t="inlineStr">
        <is>
          <t>undefined</t>
        </is>
      </c>
      <c r="R5057" t="inlineStr">
        <is>
          <t>29.99</t>
        </is>
      </c>
      <c r="S5057" t="inlineStr">
        <is>
          <t>91304721</t>
        </is>
      </c>
    </row>
    <row r="5058" ht="75" customHeight="1">
      <c r="A5058" s="2">
        <f>HYPERLINK("https://www.cafepress.com/mf/24055482/11x11pillow-youth-football-shi_tshirt?productId=91327006", "https://www.cafepress.com/mf/24055482/11x11pillow-youth-football-shi_tshirt?productId=91327006")</f>
        <v/>
      </c>
      <c r="B5058" s="2">
        <f>HYPERLINK("https://www.cafepress.com/mf/24055482/11x11pillow-youth-football-shi_tshirt?productId=91327006", "https://www.cafepress.com/mf/24055482/11x11pillow-youth-football-shi_tshirt?productId=91327006")</f>
        <v/>
      </c>
      <c r="C5058" t="inlineStr">
        <is>
          <t>11x11_pillow Youth Football Shirt Kids Football T-Shirt</t>
        </is>
      </c>
      <c r="D5058" t="inlineStr">
        <is>
          <t>Mato &amp; Hash Kids Football T-Shirt | Youth Touchdown Dance Tshirt</t>
        </is>
      </c>
      <c r="E5058" s="2">
        <f>HYPERLINK("https://www.amazon.com/Mato-Hash-Touchdown-Celebration-Football/dp/B07XFG3KYH/ref=sr_1_4?keywords=11x11_pillow+Youth+Football+Shirt+Kids+Football+T-Shirt&amp;qid=1695565335&amp;sr=8-4", "https://www.amazon.com/Mato-Hash-Touchdown-Celebration-Football/dp/B07XFG3KYH/ref=sr_1_4?keywords=11x11_pillow+Youth+Football+Shirt+Kids+Football+T-Shirt&amp;qid=1695565335&amp;sr=8-4")</f>
        <v/>
      </c>
      <c r="F5058" t="inlineStr">
        <is>
          <t>B07XFG3KYH</t>
        </is>
      </c>
      <c r="H5058">
        <f>_xlfn.IMAGE("https://m.media-amazon.com/images/I/61rvsUouu-L._AC_UL320_.jpg")</f>
        <v/>
      </c>
      <c r="K5058" t="inlineStr">
        <is>
          <t>16.99</t>
        </is>
      </c>
      <c r="L5058" t="n">
        <v>17.99</v>
      </c>
      <c r="M5058" s="1" t="inlineStr">
        <is>
          <t>5.89%</t>
        </is>
      </c>
      <c r="N5058" t="n">
        <v>4.3</v>
      </c>
      <c r="O5058" t="n">
        <v>28</v>
      </c>
      <c r="Q5058" t="inlineStr">
        <is>
          <t>undefined</t>
        </is>
      </c>
      <c r="R5058" t="inlineStr">
        <is>
          <t>29.99</t>
        </is>
      </c>
      <c r="S5058" t="inlineStr">
        <is>
          <t>91327006</t>
        </is>
      </c>
    </row>
    <row r="5059" ht="75" customHeight="1">
      <c r="A5059" s="2">
        <f>HYPERLINK("https://www.cafepress.com/mf/24055482/11x11pillow-youth-football-shi_tshirt?productId=91327006", "https://www.cafepress.com/mf/24055482/11x11pillow-youth-football-shi_tshirt?productId=91327006")</f>
        <v/>
      </c>
      <c r="B5059" s="2">
        <f>HYPERLINK("https://www.cafepress.com/mf/24055482/11x11pillow-youth-football-shi_tshirt?productId=91327006", "https://www.cafepress.com/mf/24055482/11x11pillow-youth-football-shi_tshirt?productId=91327006")</f>
        <v/>
      </c>
      <c r="C5059" t="inlineStr">
        <is>
          <t>11x11_pillow Youth Football Shirt Kids Football T-Shirt</t>
        </is>
      </c>
      <c r="D5059" t="inlineStr">
        <is>
          <t>Football Season Accessories Game Day Football Sports Men Women Kids Youth T-Shirt</t>
        </is>
      </c>
      <c r="E5059" s="2">
        <f>HYPERLINK("https://www.amazon.com/Game-Football-Sports-Women-T-Shirt/dp/B07XYPTNZB/ref=sr_1_8?keywords=11x11_pillow+Youth+Football+Shirt+Kids+Football+T-Shirt&amp;qid=1695565335&amp;sr=8-8", "https://www.amazon.com/Game-Football-Sports-Women-T-Shirt/dp/B07XYPTNZB/ref=sr_1_8?keywords=11x11_pillow+Youth+Football+Shirt+Kids+Football+T-Shirt&amp;qid=1695565335&amp;sr=8-8")</f>
        <v/>
      </c>
      <c r="F5059" t="inlineStr">
        <is>
          <t>B07XYPTNZB</t>
        </is>
      </c>
      <c r="H5059">
        <f>_xlfn.IMAGE("https://m.media-amazon.com/images/I/61XgY0Sx4oL._AC_UL320_.jpg")</f>
        <v/>
      </c>
      <c r="K5059" t="inlineStr">
        <is>
          <t>16.99</t>
        </is>
      </c>
      <c r="L5059" t="n">
        <v>16.99</v>
      </c>
      <c r="M5059" s="1" t="inlineStr">
        <is>
          <t>0.00%</t>
        </is>
      </c>
      <c r="N5059" t="n">
        <v>5</v>
      </c>
      <c r="O5059" t="n">
        <v>1</v>
      </c>
      <c r="Q5059" t="inlineStr">
        <is>
          <t>undefined</t>
        </is>
      </c>
      <c r="R5059" t="inlineStr">
        <is>
          <t>29.99</t>
        </is>
      </c>
      <c r="S5059" t="inlineStr">
        <is>
          <t>91327006</t>
        </is>
      </c>
    </row>
    <row r="5060" ht="75" customHeight="1">
      <c r="A5060" s="2">
        <f>HYPERLINK("https://www.cafepress.com/mf/29390429/2fullshow-youth-football-shirt_tshirt?productId=90406895", "https://www.cafepress.com/mf/29390429/2fullshow-youth-football-shirt_tshirt?productId=90406895")</f>
        <v/>
      </c>
      <c r="B5060" s="2">
        <f>HYPERLINK("https://www.cafepress.com/mf/29390429/2fullshow-youth-football-shirt_tshirt?productId=90406895", "https://www.cafepress.com/mf/29390429/2fullshow-youth-football-shirt_tshirt?productId=90406895")</f>
        <v/>
      </c>
      <c r="C5060" t="inlineStr">
        <is>
          <t>2-fullshow Youth Football Shirt Kids Football T-Shirt</t>
        </is>
      </c>
      <c r="D5060" t="inlineStr">
        <is>
          <t>Boys Flag Football Kids Youth Merch Boys Flag Football for Kids Youth or Adults T-Shirt</t>
        </is>
      </c>
      <c r="E5060" s="2">
        <f>HYPERLINK("https://www.amazon.com/Boys-Flag-Football-Kids-Youth/dp/B07VK4JFSC/ref=sr_1_1?keywords=2-fullshow+Youth+Football+Shirt+Kids+Football+T-Shirt&amp;qid=1695565355&amp;sr=8-1", "https://www.amazon.com/Boys-Flag-Football-Kids-Youth/dp/B07VK4JFSC/ref=sr_1_1?keywords=2-fullshow+Youth+Football+Shirt+Kids+Football+T-Shirt&amp;qid=1695565355&amp;sr=8-1")</f>
        <v/>
      </c>
      <c r="F5060" t="inlineStr">
        <is>
          <t>B07VK4JFSC</t>
        </is>
      </c>
      <c r="H5060">
        <f>_xlfn.IMAGE("https://m.media-amazon.com/images/I/61kem2chugL._AC_UL320_.jpg")</f>
        <v/>
      </c>
      <c r="K5060" t="inlineStr">
        <is>
          <t>16.99</t>
        </is>
      </c>
      <c r="L5060" t="n">
        <v>19.99</v>
      </c>
      <c r="M5060" s="1" t="inlineStr">
        <is>
          <t>17.66%</t>
        </is>
      </c>
      <c r="N5060" t="n">
        <v>5</v>
      </c>
      <c r="O5060" t="n">
        <v>3</v>
      </c>
      <c r="Q5060" t="inlineStr">
        <is>
          <t>undefined</t>
        </is>
      </c>
      <c r="R5060" t="inlineStr">
        <is>
          <t>29.99</t>
        </is>
      </c>
      <c r="S5060" t="inlineStr">
        <is>
          <t>90406895</t>
        </is>
      </c>
    </row>
    <row r="5061" ht="75" customHeight="1">
      <c r="A5061" s="2">
        <f>HYPERLINK("https://www.cafepress.com/mf/29390429/2fullshow-youth-football-shirt_tshirt?productId=90406895", "https://www.cafepress.com/mf/29390429/2fullshow-youth-football-shirt_tshirt?productId=90406895")</f>
        <v/>
      </c>
      <c r="B5061" s="2">
        <f>HYPERLINK("https://www.cafepress.com/mf/29390429/2fullshow-youth-football-shirt_tshirt?productId=90406895", "https://www.cafepress.com/mf/29390429/2fullshow-youth-football-shirt_tshirt?productId=90406895")</f>
        <v/>
      </c>
      <c r="C5061" t="inlineStr">
        <is>
          <t>2-fullshow Youth Football Shirt Kids Football T-Shirt</t>
        </is>
      </c>
      <c r="D5061" t="inlineStr">
        <is>
          <t>Mato &amp; Hash Kids Football T-Shirt | Youth Touchdown Dance Tshirt</t>
        </is>
      </c>
      <c r="E5061" s="2">
        <f>HYPERLINK("https://www.amazon.com/Mato-Hash-Touchdown-Celebration-Football/dp/B07XFG3KYH/ref=sr_1_2?keywords=2-fullshow+Youth+Football+Shirt+Kids+Football+T-Shirt&amp;qid=1695565355&amp;sr=8-2", "https://www.amazon.com/Mato-Hash-Touchdown-Celebration-Football/dp/B07XFG3KYH/ref=sr_1_2?keywords=2-fullshow+Youth+Football+Shirt+Kids+Football+T-Shirt&amp;qid=1695565355&amp;sr=8-2")</f>
        <v/>
      </c>
      <c r="F5061" t="inlineStr">
        <is>
          <t>B07XFG3KYH</t>
        </is>
      </c>
      <c r="H5061">
        <f>_xlfn.IMAGE("https://m.media-amazon.com/images/I/61rvsUouu-L._AC_UL320_.jpg")</f>
        <v/>
      </c>
      <c r="K5061" t="inlineStr">
        <is>
          <t>16.99</t>
        </is>
      </c>
      <c r="L5061" t="n">
        <v>17.99</v>
      </c>
      <c r="M5061" s="1" t="inlineStr">
        <is>
          <t>5.89%</t>
        </is>
      </c>
      <c r="N5061" t="n">
        <v>4.3</v>
      </c>
      <c r="O5061" t="n">
        <v>28</v>
      </c>
      <c r="Q5061" t="inlineStr">
        <is>
          <t>undefined</t>
        </is>
      </c>
      <c r="R5061" t="inlineStr">
        <is>
          <t>29.99</t>
        </is>
      </c>
      <c r="S5061" t="inlineStr">
        <is>
          <t>90406895</t>
        </is>
      </c>
    </row>
    <row r="5062" ht="75" customHeight="1">
      <c r="A5062" s="2">
        <f>HYPERLINK("https://www.cafepress.com/mf/29903286/thanksgiving-food-basket-greet_greeting-cards?productId=301426535", "https://www.cafepress.com/mf/29903286/thanksgiving-food-basket-greet_greeting-cards?productId=301426535")</f>
        <v/>
      </c>
      <c r="B5062" s="2">
        <f>HYPERLINK("https://www.cafepress.com/mf/29903286/thanksgiving-food-basket-greet_greeting-cards?productId=301426535", "https://www.cafepress.com/mf/29903286/thanksgiving-food-basket-greet_greeting-cards?productId=301426535")</f>
        <v/>
      </c>
      <c r="C5062" t="inlineStr">
        <is>
          <t>Thanksgiving Food Basket Greeting Card</t>
        </is>
      </c>
      <c r="D5062" t="inlineStr">
        <is>
          <t>iGifts And Cards Happy Thanksgiving Pumpkin Pop Up Greeting Card - Awesome Thank You Gift, Family Celebration, Feast In A Basket Centerpiece, Blessings, Beautiful, Cool Pilgrim Hat Decoration, 6" X 8"</t>
        </is>
      </c>
      <c r="E5062" s="2">
        <f>HYPERLINK("https://www.amazon.com/iGifts-Cards-Thanksgiving-Pumpkin-Greeting/dp/B08GP2FJQT/ref=sr_1_3?keywords=Thanksgiving+Food+Basket+Greeting+Card&amp;qid=1695565313&amp;sr=8-3", "https://www.amazon.com/iGifts-Cards-Thanksgiving-Pumpkin-Greeting/dp/B08GP2FJQT/ref=sr_1_3?keywords=Thanksgiving+Food+Basket+Greeting+Card&amp;qid=1695565313&amp;sr=8-3")</f>
        <v/>
      </c>
      <c r="F5062" t="inlineStr">
        <is>
          <t>B08GP2FJQT</t>
        </is>
      </c>
      <c r="H5062">
        <f>_xlfn.IMAGE("https://m.media-amazon.com/images/I/71qY0f87egL._AC_UL320_.jpg")</f>
        <v/>
      </c>
      <c r="K5062" t="inlineStr">
        <is>
          <t>2.99</t>
        </is>
      </c>
      <c r="L5062" t="n">
        <v>12.95</v>
      </c>
      <c r="M5062" s="1" t="inlineStr">
        <is>
          <t>333.11%</t>
        </is>
      </c>
      <c r="N5062" t="n">
        <v>4.6</v>
      </c>
      <c r="O5062" t="n">
        <v>39</v>
      </c>
      <c r="Q5062" t="inlineStr">
        <is>
          <t>undefined</t>
        </is>
      </c>
      <c r="R5062" t="inlineStr">
        <is>
          <t>3.99</t>
        </is>
      </c>
      <c r="S5062" t="inlineStr">
        <is>
          <t>Single</t>
        </is>
      </c>
    </row>
    <row r="5063" ht="75" customHeight="1">
      <c r="A5063" s="2">
        <f>HYPERLINK("https://www.cafepress.com/mf/29903286/thanksgiving-food-basket-greet_greeting-cards?productId=301426535", "https://www.cafepress.com/mf/29903286/thanksgiving-food-basket-greet_greeting-cards?productId=301426535")</f>
        <v/>
      </c>
      <c r="B5063" s="2">
        <f>HYPERLINK("https://www.cafepress.com/mf/29903286/thanksgiving-food-basket-greet_greeting-cards?productId=301426535", "https://www.cafepress.com/mf/29903286/thanksgiving-food-basket-greet_greeting-cards?productId=301426535")</f>
        <v/>
      </c>
      <c r="C5063" t="inlineStr">
        <is>
          <t>Thanksgiving Food Basket Greeting Card</t>
        </is>
      </c>
      <c r="D5063" t="inlineStr">
        <is>
          <t>iGifts And Cards Unique Horn of Plenty Happy Thanksgiving 3D Pop Up Greeting Card - Pumpkin, Basket, Decoration, Centerpiece, Inspirational, Autumn, Fall, Harvest, Cornucopia</t>
        </is>
      </c>
      <c r="E5063" s="2">
        <f>HYPERLINK("https://www.amazon.com/iGifts-Cards-Unique-Thanksgiving-Greeting/dp/B07K7XXLRF/ref=sr_1_2?keywords=Thanksgiving+Food+Basket+Greeting+Card&amp;qid=1695565313&amp;sr=8-2", "https://www.amazon.com/iGifts-Cards-Unique-Thanksgiving-Greeting/dp/B07K7XXLRF/ref=sr_1_2?keywords=Thanksgiving+Food+Basket+Greeting+Card&amp;qid=1695565313&amp;sr=8-2")</f>
        <v/>
      </c>
      <c r="F5063" t="inlineStr">
        <is>
          <t>B07K7XXLRF</t>
        </is>
      </c>
      <c r="H5063">
        <f>_xlfn.IMAGE("https://m.media-amazon.com/images/I/7168u7A9iAL._AC_UL320_.jpg")</f>
        <v/>
      </c>
      <c r="K5063" t="inlineStr">
        <is>
          <t>2.99</t>
        </is>
      </c>
      <c r="L5063" t="n">
        <v>11.45</v>
      </c>
      <c r="M5063" s="1" t="inlineStr">
        <is>
          <t>282.94%</t>
        </is>
      </c>
      <c r="N5063" t="n">
        <v>3.8</v>
      </c>
      <c r="O5063" t="n">
        <v>17</v>
      </c>
      <c r="Q5063" t="inlineStr">
        <is>
          <t>undefined</t>
        </is>
      </c>
      <c r="R5063" t="inlineStr">
        <is>
          <t>3.99</t>
        </is>
      </c>
      <c r="S5063" t="inlineStr">
        <is>
          <t>Single</t>
        </is>
      </c>
    </row>
    <row r="5064" ht="75" customHeight="1">
      <c r="A5064" s="2">
        <f>HYPERLINK("https://www.cafepress.com/mf/29903286/thanksgiving-food-basket-greet_greeting-cards?productId=301426535", "https://www.cafepress.com/mf/29903286/thanksgiving-food-basket-greet_greeting-cards?productId=301426535")</f>
        <v/>
      </c>
      <c r="B5064" s="2">
        <f>HYPERLINK("https://www.cafepress.com/mf/29903286/thanksgiving-food-basket-greet_greeting-cards?productId=301426535", "https://www.cafepress.com/mf/29903286/thanksgiving-food-basket-greet_greeting-cards?productId=301426535")</f>
        <v/>
      </c>
      <c r="C5064" t="inlineStr">
        <is>
          <t>Thanksgiving Food Basket Greeting Card</t>
        </is>
      </c>
      <c r="D5064" t="inlineStr">
        <is>
          <t>NobleWorks - 1 Funny Thanksgiving Card with Envelope - Humor Greeting for Thanksgiving - Family Foodies C7736TGG</t>
        </is>
      </c>
      <c r="E5064" s="2">
        <f>HYPERLINK("https://www.amazon.com/NobleWorks-Thanksgiving-Envelope-Greeting-C7736TGG/dp/B0B11M2JCS/ref=sr_1_10?keywords=Thanksgiving+Food+Basket+Greeting+Card&amp;qid=1695565313&amp;sr=8-10", "https://www.amazon.com/NobleWorks-Thanksgiving-Envelope-Greeting-C7736TGG/dp/B0B11M2JCS/ref=sr_1_10?keywords=Thanksgiving+Food+Basket+Greeting+Card&amp;qid=1695565313&amp;sr=8-10")</f>
        <v/>
      </c>
      <c r="F5064" t="inlineStr">
        <is>
          <t>B0B11M2JCS</t>
        </is>
      </c>
      <c r="H5064">
        <f>_xlfn.IMAGE("https://m.media-amazon.com/images/I/71jFNfuYG1L._AC_UL320_.jpg")</f>
        <v/>
      </c>
      <c r="K5064" t="inlineStr">
        <is>
          <t>2.99</t>
        </is>
      </c>
      <c r="L5064" t="n">
        <v>6.89</v>
      </c>
      <c r="M5064" s="1" t="inlineStr">
        <is>
          <t>130.43%</t>
        </is>
      </c>
      <c r="N5064" t="n">
        <v>4.9</v>
      </c>
      <c r="O5064" t="n">
        <v>31</v>
      </c>
      <c r="Q5064" t="inlineStr">
        <is>
          <t>undefined</t>
        </is>
      </c>
      <c r="R5064" t="inlineStr">
        <is>
          <t>3.99</t>
        </is>
      </c>
      <c r="S5064" t="inlineStr">
        <is>
          <t>Single</t>
        </is>
      </c>
    </row>
    <row r="5065" ht="75" customHeight="1">
      <c r="A5065" s="2">
        <f>HYPERLINK("https://www.cafepress.com/mf/29920085/halloween-bat-cauldron_mugs?productId=300993400", "https://www.cafepress.com/mf/29920085/halloween-bat-cauldron_mugs?productId=300993400")</f>
        <v/>
      </c>
      <c r="B5065" s="2">
        <f>HYPERLINK("https://www.cafepress.com/mf/29920085/halloween-bat-cauldron_mugs?productId=300993400", "https://www.cafepress.com/mf/29920085/halloween-bat-cauldron_mugs?productId=300993400")</f>
        <v/>
      </c>
      <c r="C5065" t="inlineStr">
        <is>
          <t>Halloween Bat Cauldron 11 oz Ceramic Mug</t>
        </is>
      </c>
      <c r="D5065" t="inlineStr">
        <is>
          <t>Tessco Witches Brew Witch Cauldron Coffee Mug Black Ceramic Coffee Cups Black 12 oz Mug Ceramic Witchy Gifts Witch Decor Halloween Mug Drinkware Black Cup Novelty Coffee Mugs Tabletop (4 Pcs)</t>
        </is>
      </c>
      <c r="E5065" s="2">
        <f>HYPERLINK("https://www.amazon.com/Tessco-Cauldron-Halloween-Drinkware-Tabletop/dp/B0BD86WHMF/ref=sr_1_9?keywords=Halloween+Bat+Cauldron+11+oz+Ceramic+Mug&amp;qid=1695565359&amp;sr=8-9", "https://www.amazon.com/Tessco-Cauldron-Halloween-Drinkware-Tabletop/dp/B0BD86WHMF/ref=sr_1_9?keywords=Halloween+Bat+Cauldron+11+oz+Ceramic+Mug&amp;qid=1695565359&amp;sr=8-9")</f>
        <v/>
      </c>
      <c r="F5065" t="inlineStr">
        <is>
          <t>B0BD86WHMF</t>
        </is>
      </c>
      <c r="H5065">
        <f>_xlfn.IMAGE("https://m.media-amazon.com/images/I/71Xdapi2SzL._AC_UL320_.jpg")</f>
        <v/>
      </c>
      <c r="K5065" t="inlineStr">
        <is>
          <t>9.99</t>
        </is>
      </c>
      <c r="L5065" t="n">
        <v>32.99</v>
      </c>
      <c r="M5065" s="1" t="inlineStr">
        <is>
          <t>230.23%</t>
        </is>
      </c>
      <c r="N5065" t="n">
        <v>4.4</v>
      </c>
      <c r="O5065" t="n">
        <v>33</v>
      </c>
      <c r="Q5065" t="inlineStr">
        <is>
          <t>undefined</t>
        </is>
      </c>
      <c r="R5065" t="inlineStr">
        <is>
          <t>14.99</t>
        </is>
      </c>
      <c r="S5065" t="inlineStr">
        <is>
          <t>Standard</t>
        </is>
      </c>
    </row>
    <row r="5066" ht="75" customHeight="1">
      <c r="A5066" s="2">
        <f>HYPERLINK("https://www.cafepress.com/mf/29920085/halloween-bat-cauldron_mugs?productId=300993400", "https://www.cafepress.com/mf/29920085/halloween-bat-cauldron_mugs?productId=300993400")</f>
        <v/>
      </c>
      <c r="B5066" s="2">
        <f>HYPERLINK("https://www.cafepress.com/mf/29920085/halloween-bat-cauldron_mugs?productId=300993400", "https://www.cafepress.com/mf/29920085/halloween-bat-cauldron_mugs?productId=300993400")</f>
        <v/>
      </c>
      <c r="C5066" t="inlineStr">
        <is>
          <t>Halloween Bat Cauldron 11 oz Ceramic Mug</t>
        </is>
      </c>
      <c r="D5066" t="inlineStr">
        <is>
          <t>Witch's Brew Black Cauldron Coffee Mug 12 fl oz Ceramic Drinkware Halloween Decor Tabletop</t>
        </is>
      </c>
      <c r="E5066" s="2">
        <f>HYPERLINK("https://www.amazon.com/Cauldron-Ceramic-Drinkware-Halloween-Tabletop/dp/B08Y5X38VN/ref=sr_1_8?keywords=Halloween+Bat+Cauldron+11+oz+Ceramic+Mug&amp;qid=1695565359&amp;sr=8-8", "https://www.amazon.com/Cauldron-Ceramic-Drinkware-Halloween-Tabletop/dp/B08Y5X38VN/ref=sr_1_8?keywords=Halloween+Bat+Cauldron+11+oz+Ceramic+Mug&amp;qid=1695565359&amp;sr=8-8")</f>
        <v/>
      </c>
      <c r="F5066" t="inlineStr">
        <is>
          <t>B08Y5X38VN</t>
        </is>
      </c>
      <c r="H5066">
        <f>_xlfn.IMAGE("https://m.media-amazon.com/images/I/51RF0xLLNIL._AC_UL320_.jpg")</f>
        <v/>
      </c>
      <c r="K5066" t="inlineStr">
        <is>
          <t>9.99</t>
        </is>
      </c>
      <c r="L5066" t="n">
        <v>15.49</v>
      </c>
      <c r="M5066" s="1" t="inlineStr">
        <is>
          <t>55.06%</t>
        </is>
      </c>
      <c r="N5066" t="n">
        <v>4.5</v>
      </c>
      <c r="O5066" t="n">
        <v>39</v>
      </c>
      <c r="Q5066" t="inlineStr">
        <is>
          <t>undefined</t>
        </is>
      </c>
      <c r="R5066" t="inlineStr">
        <is>
          <t>14.99</t>
        </is>
      </c>
      <c r="S5066" t="inlineStr">
        <is>
          <t>Standard</t>
        </is>
      </c>
    </row>
    <row r="5067" ht="75" customHeight="1">
      <c r="A5067" s="2">
        <f>HYPERLINK("https://www.cafepress.com/mf/29920085/halloween-bat-cauldron_mugs?productId=300993400", "https://www.cafepress.com/mf/29920085/halloween-bat-cauldron_mugs?productId=300993400")</f>
        <v/>
      </c>
      <c r="B5067" s="2">
        <f>HYPERLINK("https://www.cafepress.com/mf/29920085/halloween-bat-cauldron_mugs?productId=300993400", "https://www.cafepress.com/mf/29920085/halloween-bat-cauldron_mugs?productId=300993400")</f>
        <v/>
      </c>
      <c r="C5067" t="inlineStr">
        <is>
          <t>Halloween Bat Cauldron 11 oz Ceramic Mug</t>
        </is>
      </c>
      <c r="D5067" t="inlineStr">
        <is>
          <t>Bat Shat Crazy Coffee Mug Funny Cute Halloween Fall Seasonal Motivation Inspiration 11-ounce White Ceramic Cup CMP00107</t>
        </is>
      </c>
      <c r="E5067" s="2">
        <f>HYPERLINK("https://www.amazon.com/Halloween-Seasonal-Motivation-Inspiration-11-ounce/dp/B08JZG5RS3/ref=sr_1_1?keywords=Halloween+Bat+Cauldron+11+oz+Ceramic+Mug&amp;qid=1695565359&amp;sr=8-1", "https://www.amazon.com/Halloween-Seasonal-Motivation-Inspiration-11-ounce/dp/B08JZG5RS3/ref=sr_1_1?keywords=Halloween+Bat+Cauldron+11+oz+Ceramic+Mug&amp;qid=1695565359&amp;sr=8-1")</f>
        <v/>
      </c>
      <c r="F5067" t="inlineStr">
        <is>
          <t>B08JZG5RS3</t>
        </is>
      </c>
      <c r="H5067">
        <f>_xlfn.IMAGE("https://m.media-amazon.com/images/I/616FH6TYxZL._AC_UL320_.jpg")</f>
        <v/>
      </c>
      <c r="K5067" t="inlineStr">
        <is>
          <t>9.99</t>
        </is>
      </c>
      <c r="L5067" t="n">
        <v>14.95</v>
      </c>
      <c r="M5067" s="1" t="inlineStr">
        <is>
          <t>49.65%</t>
        </is>
      </c>
      <c r="N5067" t="n">
        <v>4.8</v>
      </c>
      <c r="O5067" t="n">
        <v>8</v>
      </c>
      <c r="Q5067" t="inlineStr">
        <is>
          <t>undefined</t>
        </is>
      </c>
      <c r="R5067" t="inlineStr">
        <is>
          <t>14.99</t>
        </is>
      </c>
      <c r="S5067" t="inlineStr">
        <is>
          <t>Standard</t>
        </is>
      </c>
    </row>
    <row r="5068" ht="75" customHeight="1">
      <c r="A5068" s="2">
        <f>HYPERLINK("https://www.cafepress.com/mf/29993555/gobble-gobble_mugs?productId=302900032", "https://www.cafepress.com/mf/29993555/gobble-gobble_mugs?productId=302900032")</f>
        <v/>
      </c>
      <c r="B5068" s="2">
        <f>HYPERLINK("https://www.cafepress.com/mf/29993555/gobble-gobble_mugs?productId=302900032", "https://www.cafepress.com/mf/29993555/gobble-gobble_mugs?productId=302900032")</f>
        <v/>
      </c>
      <c r="C5068" t="inlineStr">
        <is>
          <t>Gobble Gobble 11 oz Ceramic Mug</t>
        </is>
      </c>
      <c r="D5068" t="inlineStr">
        <is>
          <t>Gobble Till You Wobble Coffee Mug Humorous Gift Idea Thanksgiving Turkey Dinner Autumn Harvest Meal Celebration Hostess Present Family Spouse Friend Coworker 11oz Ceramic Tea Cup Digibuddha DM0376</t>
        </is>
      </c>
      <c r="E5068" s="2">
        <f>HYPERLINK("https://www.amazon.com/Humorous-Thanksgiving-Celebration-Coworker-Digibuddha/dp/B07GNJ9C1R/ref=sr_1_2?keywords=Gobble+Gobble+11+oz+Ceramic+Mug&amp;qid=1695565338&amp;sr=8-2", "https://www.amazon.com/Humorous-Thanksgiving-Celebration-Coworker-Digibuddha/dp/B07GNJ9C1R/ref=sr_1_2?keywords=Gobble+Gobble+11+oz+Ceramic+Mug&amp;qid=1695565338&amp;sr=8-2")</f>
        <v/>
      </c>
      <c r="F5068" t="inlineStr">
        <is>
          <t>B07GNJ9C1R</t>
        </is>
      </c>
      <c r="H5068">
        <f>_xlfn.IMAGE("https://m.media-amazon.com/images/I/41-bqpq0HuL._AC_UL320_.jpg")</f>
        <v/>
      </c>
      <c r="K5068" t="inlineStr">
        <is>
          <t>9.99</t>
        </is>
      </c>
      <c r="L5068" t="n">
        <v>18.95</v>
      </c>
      <c r="M5068" s="1" t="inlineStr">
        <is>
          <t>89.69%</t>
        </is>
      </c>
      <c r="N5068" t="n">
        <v>4.2</v>
      </c>
      <c r="O5068" t="n">
        <v>26</v>
      </c>
      <c r="Q5068" t="inlineStr">
        <is>
          <t>undefined</t>
        </is>
      </c>
      <c r="R5068" t="inlineStr">
        <is>
          <t>14.99</t>
        </is>
      </c>
      <c r="S5068" t="inlineStr">
        <is>
          <t>302900032</t>
        </is>
      </c>
    </row>
    <row r="5069" ht="75" customHeight="1">
      <c r="A5069" s="2">
        <f>HYPERLINK("https://www.cafepress.com/mf/29993555/gobble-gobble_mugs?productId=302900032", "https://www.cafepress.com/mf/29993555/gobble-gobble_mugs?productId=302900032")</f>
        <v/>
      </c>
      <c r="B5069" s="2">
        <f>HYPERLINK("https://www.cafepress.com/mf/29993555/gobble-gobble_mugs?productId=302900032", "https://www.cafepress.com/mf/29993555/gobble-gobble_mugs?productId=302900032")</f>
        <v/>
      </c>
      <c r="C5069" t="inlineStr">
        <is>
          <t>Gobble Gobble 11 oz Ceramic Mug</t>
        </is>
      </c>
      <c r="D5069" t="inlineStr">
        <is>
          <t>CafePress Gobble Gobble Gobble Colorful Turkey Mugs 11 oz (325 ml) Ceramic Coffee Mug</t>
        </is>
      </c>
      <c r="E5069" s="2">
        <f>HYPERLINK("https://www.amazon.com/CafePress-Gobble-Colorful-Turkey-Unique/dp/B00QP8NK6M/ref=sr_1_5?keywords=Gobble+Gobble+11+oz+Ceramic+Mug&amp;qid=1695565338&amp;sr=8-5", "https://www.amazon.com/CafePress-Gobble-Colorful-Turkey-Unique/dp/B00QP8NK6M/ref=sr_1_5?keywords=Gobble+Gobble+11+oz+Ceramic+Mug&amp;qid=1695565338&amp;sr=8-5")</f>
        <v/>
      </c>
      <c r="F5069" t="inlineStr">
        <is>
          <t>B00QP8NK6M</t>
        </is>
      </c>
      <c r="H5069">
        <f>_xlfn.IMAGE("https://m.media-amazon.com/images/I/61Y5AlO3HDL._AC_UL320_.jpg")</f>
        <v/>
      </c>
      <c r="K5069" t="inlineStr">
        <is>
          <t>9.99</t>
        </is>
      </c>
      <c r="L5069" t="n">
        <v>14.99</v>
      </c>
      <c r="M5069" s="1" t="inlineStr">
        <is>
          <t>50.05%</t>
        </is>
      </c>
      <c r="N5069" t="n">
        <v>5</v>
      </c>
      <c r="O5069" t="n">
        <v>1</v>
      </c>
      <c r="Q5069" t="inlineStr">
        <is>
          <t>undefined</t>
        </is>
      </c>
      <c r="R5069" t="inlineStr">
        <is>
          <t>14.99</t>
        </is>
      </c>
      <c r="S5069" t="inlineStr">
        <is>
          <t>302900032</t>
        </is>
      </c>
    </row>
    <row r="5070" ht="75" customHeight="1">
      <c r="A5070" s="2">
        <f>HYPERLINK("https://www.cafepress.com/mf/30423993/happy-halloween_mugs?productId=317475793", "https://www.cafepress.com/mf/30423993/happy-halloween_mugs?productId=317475793")</f>
        <v/>
      </c>
      <c r="B5070" s="2">
        <f>HYPERLINK("https://www.cafepress.com/mf/30423993/happy-halloween_mugs?productId=317475793", "https://www.cafepress.com/mf/30423993/happy-halloween_mugs?productId=317475793")</f>
        <v/>
      </c>
      <c r="C5070" t="inlineStr">
        <is>
          <t>Happy Halloween 11 oz Ceramic Mug</t>
        </is>
      </c>
      <c r="D5070" t="inlineStr">
        <is>
          <t>CafePress Peanuts Happy Halloween 11 oz (325 ml) Ceramic Coffee Mug</t>
        </is>
      </c>
      <c r="E5070" s="2">
        <f>HYPERLINK("https://www.amazon.com/CafePress-Peanuts-Halloween-Ceramic-Coffee/dp/B07X1TSPXN/ref=sr_1_3?keywords=Happy+Halloween+11+oz+Ceramic+Mug&amp;qid=1695565303&amp;sr=8-3", "https://www.amazon.com/CafePress-Peanuts-Halloween-Ceramic-Coffee/dp/B07X1TSPXN/ref=sr_1_3?keywords=Happy+Halloween+11+oz+Ceramic+Mug&amp;qid=1695565303&amp;sr=8-3")</f>
        <v/>
      </c>
      <c r="F5070" t="inlineStr">
        <is>
          <t>B07X1TSPXN</t>
        </is>
      </c>
      <c r="H5070">
        <f>_xlfn.IMAGE("https://m.media-amazon.com/images/I/51vtU+2xWoL._AC_UL320_.jpg")</f>
        <v/>
      </c>
      <c r="K5070" t="inlineStr">
        <is>
          <t>9.99</t>
        </is>
      </c>
      <c r="L5070" t="n">
        <v>14.99</v>
      </c>
      <c r="M5070" s="1" t="inlineStr">
        <is>
          <t>50.05%</t>
        </is>
      </c>
      <c r="N5070" t="n">
        <v>4.8</v>
      </c>
      <c r="O5070" t="n">
        <v>8</v>
      </c>
      <c r="Q5070" t="inlineStr">
        <is>
          <t>undefined</t>
        </is>
      </c>
      <c r="R5070" t="inlineStr">
        <is>
          <t>14.99</t>
        </is>
      </c>
      <c r="S5070" t="inlineStr">
        <is>
          <t>317475793</t>
        </is>
      </c>
    </row>
    <row r="5071" ht="75" customHeight="1">
      <c r="A5071" s="2">
        <f>HYPERLINK("https://www.cafepress.com/mf/30423993/happy-halloween_mugs?productId=317475793", "https://www.cafepress.com/mf/30423993/happy-halloween_mugs?productId=317475793")</f>
        <v/>
      </c>
      <c r="B5071" s="2">
        <f>HYPERLINK("https://www.cafepress.com/mf/30423993/happy-halloween_mugs?productId=317475793", "https://www.cafepress.com/mf/30423993/happy-halloween_mugs?productId=317475793")</f>
        <v/>
      </c>
      <c r="C5071" t="inlineStr">
        <is>
          <t>Happy Halloween 11 oz Ceramic Mug</t>
        </is>
      </c>
      <c r="D5071" t="inlineStr">
        <is>
          <t>Personalized Happy Halloween White Coffee Mug Cup 11 Oz 15 Oz, Happy Halloween Witches Cup Gift For Halloween, Custom Choose Name Witch Travel Mug Gifts For Kids, Witch Happy Halloween Coffee Mug Cup</t>
        </is>
      </c>
      <c r="E5071" s="2">
        <f>HYPERLINK("https://www.amazon.com/Personalized-Halloween-Coffee-Witches-Custom/dp/B0BDZB9YTG/ref=sr_1_9?keywords=Happy+Halloween+11+oz+Ceramic+Mug&amp;qid=1695565303&amp;sr=8-9", "https://www.amazon.com/Personalized-Halloween-Coffee-Witches-Custom/dp/B0BDZB9YTG/ref=sr_1_9?keywords=Happy+Halloween+11+oz+Ceramic+Mug&amp;qid=1695565303&amp;sr=8-9")</f>
        <v/>
      </c>
      <c r="F5071" t="inlineStr">
        <is>
          <t>B0BDZB9YTG</t>
        </is>
      </c>
      <c r="H5071">
        <f>_xlfn.IMAGE("https://m.media-amazon.com/images/I/51ZIjhtCQcL._AC_UL320_.jpg")</f>
        <v/>
      </c>
      <c r="K5071" t="inlineStr">
        <is>
          <t>9.99</t>
        </is>
      </c>
      <c r="L5071" t="n">
        <v>10.99</v>
      </c>
      <c r="M5071" s="1" t="inlineStr">
        <is>
          <t>10.01%</t>
        </is>
      </c>
      <c r="N5071" t="n">
        <v>5</v>
      </c>
      <c r="O5071" t="n">
        <v>1</v>
      </c>
      <c r="Q5071" t="inlineStr">
        <is>
          <t>undefined</t>
        </is>
      </c>
      <c r="R5071" t="inlineStr">
        <is>
          <t>14.99</t>
        </is>
      </c>
      <c r="S5071" t="inlineStr">
        <is>
          <t>317475793</t>
        </is>
      </c>
    </row>
    <row r="5072" ht="75" customHeight="1">
      <c r="A5072" s="2">
        <f>HYPERLINK("https://www.cafepress.com/mf/30423993/happy-halloween_mugs?productId=317475793", "https://www.cafepress.com/mf/30423993/happy-halloween_mugs?productId=317475793")</f>
        <v/>
      </c>
      <c r="B5072" s="2">
        <f>HYPERLINK("https://www.cafepress.com/mf/30423993/happy-halloween_mugs?productId=317475793", "https://www.cafepress.com/mf/30423993/happy-halloween_mugs?productId=317475793")</f>
        <v/>
      </c>
      <c r="C5072" t="inlineStr">
        <is>
          <t>Happy Halloween 11 oz Ceramic Mug</t>
        </is>
      </c>
      <c r="D5072" t="inlineStr">
        <is>
          <t>Happy Hallothanksmas Ceramic Coffee Mug, Tea Cup, Merry Christmas, Happy Halloween, Happy Thanksgiving, Flamingo, Pumpkin, Pie, Lights, 11oz CM1088</t>
        </is>
      </c>
      <c r="E5072" s="2">
        <f>HYPERLINK("https://www.amazon.com/Hallothanksmas-Christmas-Halloween-Thanksgiving-Flamingo/dp/B09HX2X8X1/ref=sr_1_5?keywords=Happy+Halloween+11+oz+Ceramic+Mug&amp;qid=1695565303&amp;sr=8-5", "https://www.amazon.com/Hallothanksmas-Christmas-Halloween-Thanksgiving-Flamingo/dp/B09HX2X8X1/ref=sr_1_5?keywords=Happy+Halloween+11+oz+Ceramic+Mug&amp;qid=1695565303&amp;sr=8-5")</f>
        <v/>
      </c>
      <c r="F5072" t="inlineStr">
        <is>
          <t>B09HX2X8X1</t>
        </is>
      </c>
      <c r="H5072">
        <f>_xlfn.IMAGE("https://m.media-amazon.com/images/I/71Mz1ZJSB7L._AC_UL320_.jpg")</f>
        <v/>
      </c>
      <c r="K5072" t="inlineStr">
        <is>
          <t>9.99</t>
        </is>
      </c>
      <c r="L5072" t="n">
        <v>6.99</v>
      </c>
      <c r="M5072" s="1" t="inlineStr">
        <is>
          <t>-30.03%</t>
        </is>
      </c>
      <c r="N5072" t="n">
        <v>1</v>
      </c>
      <c r="O5072" t="n">
        <v>1</v>
      </c>
      <c r="Q5072" t="inlineStr">
        <is>
          <t>undefined</t>
        </is>
      </c>
      <c r="R5072" t="inlineStr">
        <is>
          <t>14.99</t>
        </is>
      </c>
      <c r="S5072" t="inlineStr">
        <is>
          <t>317475793</t>
        </is>
      </c>
    </row>
    <row r="5073" ht="75" customHeight="1">
      <c r="A5073" s="2">
        <f>HYPERLINK("https://www.cafepress.com/mf/30424593/chaskas_magnets?productId=137761999", "https://www.cafepress.com/mf/30424593/chaskas_magnets?productId=137761999")</f>
        <v/>
      </c>
      <c r="B5073" s="2">
        <f>HYPERLINK("https://www.cafepress.com/mf/30424593/chaskas_magnets?productId=137761999", "https://www.cafepress.com/mf/30424593/chaskas_magnets?productId=137761999")</f>
        <v/>
      </c>
      <c r="C5073" t="inlineStr">
        <is>
          <t>Round Magnets Chaska's Round Magnet</t>
        </is>
      </c>
      <c r="D5073" t="inlineStr">
        <is>
          <t>Ferrite Ring Large Magnet,4.72In Dia Big Round Ceramic Disc Heavy Duty Magnets with Hole for DIY Crafts Science Projects Industrial</t>
        </is>
      </c>
      <c r="E5073" s="2">
        <f>HYPERLINK("https://www.amazon.com/Ferrite-Ceramic-Magnets-Projects-Industrial/dp/B0BWMQY3P8/ref=sr_1_7?keywords=Round+Magnets+Chaska%27s+Round+Magnet&amp;qid=1695565320&amp;sr=8-7", "https://www.amazon.com/Ferrite-Ceramic-Magnets-Projects-Industrial/dp/B0BWMQY3P8/ref=sr_1_7?keywords=Round+Magnets+Chaska%27s+Round+Magnet&amp;qid=1695565320&amp;sr=8-7")</f>
        <v/>
      </c>
      <c r="F5073" t="inlineStr">
        <is>
          <t>B0BWMQY3P8</t>
        </is>
      </c>
      <c r="H5073">
        <f>_xlfn.IMAGE("https://m.media-amazon.com/images/I/61yJ7WZnLvL._AC_UY218_.jpg")</f>
        <v/>
      </c>
      <c r="K5073" t="inlineStr">
        <is>
          <t>6.99</t>
        </is>
      </c>
      <c r="L5073" t="n">
        <v>18.99</v>
      </c>
      <c r="M5073" s="1" t="inlineStr">
        <is>
          <t>171.67%</t>
        </is>
      </c>
      <c r="N5073" t="n">
        <v>5</v>
      </c>
      <c r="O5073" t="n">
        <v>4</v>
      </c>
      <c r="Q5073" t="inlineStr">
        <is>
          <t>InStock</t>
        </is>
      </c>
      <c r="R5073" t="inlineStr">
        <is>
          <t>9.99</t>
        </is>
      </c>
      <c r="S5073" t="inlineStr">
        <is>
          <t>137761999</t>
        </is>
      </c>
    </row>
    <row r="5074" ht="75" customHeight="1">
      <c r="A5074" s="2">
        <f>HYPERLINK("https://www.cafepress.com/mf/30424593/chaskas_magnets?productId=137761999", "https://www.cafepress.com/mf/30424593/chaskas_magnets?productId=137761999")</f>
        <v/>
      </c>
      <c r="B5074" s="2">
        <f>HYPERLINK("https://www.cafepress.com/mf/30424593/chaskas_magnets?productId=137761999", "https://www.cafepress.com/mf/30424593/chaskas_magnets?productId=137761999")</f>
        <v/>
      </c>
      <c r="C5074" t="inlineStr">
        <is>
          <t>Round Magnets Chaska's Round Magnet</t>
        </is>
      </c>
      <c r="D5074" t="inlineStr">
        <is>
          <t>Ferrite Ring Magnets with Holes,OD40 x ID22 x 8mm Round Disc Donut Magnets,Circle Hole Magnets,Perfect Ceramic Circular Magnets for Crafts and DIY - Pack of 8</t>
        </is>
      </c>
      <c r="E5074" s="2">
        <f>HYPERLINK("https://www.amazon.com/Ferrite-Magnets-Perfect-Ceramic-Circular/dp/B0BR4SG8BP/ref=sr_1_5?keywords=Round+Magnets+Chaska%27s+Round+Magnet&amp;qid=1695565320&amp;sr=8-5", "https://www.amazon.com/Ferrite-Magnets-Perfect-Ceramic-Circular/dp/B0BR4SG8BP/ref=sr_1_5?keywords=Round+Magnets+Chaska%27s+Round+Magnet&amp;qid=1695565320&amp;sr=8-5")</f>
        <v/>
      </c>
      <c r="F5074" t="inlineStr">
        <is>
          <t>B0BR4SG8BP</t>
        </is>
      </c>
      <c r="H5074">
        <f>_xlfn.IMAGE("https://m.media-amazon.com/images/I/51secx-gsQL._AC_UY218_.jpg")</f>
        <v/>
      </c>
      <c r="K5074" t="inlineStr">
        <is>
          <t>6.99</t>
        </is>
      </c>
      <c r="L5074" t="n">
        <v>16.99</v>
      </c>
      <c r="M5074" s="1" t="inlineStr">
        <is>
          <t>143.06%</t>
        </is>
      </c>
      <c r="N5074" t="n">
        <v>5</v>
      </c>
      <c r="O5074" t="n">
        <v>9</v>
      </c>
      <c r="Q5074" t="inlineStr">
        <is>
          <t>InStock</t>
        </is>
      </c>
      <c r="R5074" t="inlineStr">
        <is>
          <t>9.99</t>
        </is>
      </c>
      <c r="S5074" t="inlineStr">
        <is>
          <t>137761999</t>
        </is>
      </c>
    </row>
    <row r="5075" ht="75" customHeight="1">
      <c r="A5075" s="2">
        <f>HYPERLINK("https://www.cafepress.com/mf/30424593/chaskas_magnets?productId=137761999", "https://www.cafepress.com/mf/30424593/chaskas_magnets?productId=137761999")</f>
        <v/>
      </c>
      <c r="B5075" s="2">
        <f>HYPERLINK("https://www.cafepress.com/mf/30424593/chaskas_magnets?productId=137761999", "https://www.cafepress.com/mf/30424593/chaskas_magnets?productId=137761999")</f>
        <v/>
      </c>
      <c r="C5075" t="inlineStr">
        <is>
          <t>Round Magnets Chaska's Round Magnet</t>
        </is>
      </c>
      <c r="D5075" t="inlineStr">
        <is>
          <t>Ferrite Ring Magnets with Holes - 1.2 Inch (31mm) Round Disc Donut Magnets - Circle Hole Magnets - Perfect Ceramic Circular Magnets for Crafts and DIY</t>
        </is>
      </c>
      <c r="E5075" s="2">
        <f>HYPERLINK("https://www.amazon.com/Ferrite-Ring-Magnets-Holes-Circular/dp/B07F79WNF7/ref=sr_1_2?keywords=Round+Magnets+Chaska%27s+Round+Magnet&amp;qid=1695565320&amp;sr=8-2", "https://www.amazon.com/Ferrite-Ring-Magnets-Holes-Circular/dp/B07F79WNF7/ref=sr_1_2?keywords=Round+Magnets+Chaska%27s+Round+Magnet&amp;qid=1695565320&amp;sr=8-2")</f>
        <v/>
      </c>
      <c r="F5075" t="inlineStr">
        <is>
          <t>B07F79WNF7</t>
        </is>
      </c>
      <c r="H5075">
        <f>_xlfn.IMAGE("https://m.media-amazon.com/images/I/81Wa0kHC4bL._AC_UY218_.jpg")</f>
        <v/>
      </c>
      <c r="K5075" t="inlineStr">
        <is>
          <t>6.99</t>
        </is>
      </c>
      <c r="L5075" t="n">
        <v>10.99</v>
      </c>
      <c r="M5075" s="1" t="inlineStr">
        <is>
          <t>57.22%</t>
        </is>
      </c>
      <c r="N5075" t="n">
        <v>4.5</v>
      </c>
      <c r="O5075" t="n">
        <v>4012</v>
      </c>
      <c r="Q5075" t="inlineStr">
        <is>
          <t>InStock</t>
        </is>
      </c>
      <c r="R5075" t="inlineStr">
        <is>
          <t>9.99</t>
        </is>
      </c>
      <c r="S5075" t="inlineStr">
        <is>
          <t>137761999</t>
        </is>
      </c>
    </row>
    <row r="5076" ht="75" customHeight="1">
      <c r="A5076" s="2">
        <f>HYPERLINK("https://www.cafepress.com/mf/30424593/chaskas_magnets?productId=137761999", "https://www.cafepress.com/mf/30424593/chaskas_magnets?productId=137761999")</f>
        <v/>
      </c>
      <c r="B5076" s="2">
        <f>HYPERLINK("https://www.cafepress.com/mf/30424593/chaskas_magnets?productId=137761999", "https://www.cafepress.com/mf/30424593/chaskas_magnets?productId=137761999")</f>
        <v/>
      </c>
      <c r="C5076" t="inlineStr">
        <is>
          <t>Round Magnets Chaska's Round Magnet</t>
        </is>
      </c>
      <c r="D5076" t="inlineStr">
        <is>
          <t>Neosmuk Magnets, Super Strong Round Magnet with Hole in The Center for Mounting, Heavy Duty Neodymium Cup Magnet with Screw for Wall, Rare Earth Magnets Round Base Disc Magnet(Matte Black, 6 Pack)</t>
        </is>
      </c>
      <c r="E5076" s="2">
        <f>HYPERLINK("https://www.amazon.com/Neosmuk-Magnets-Strong-Mounting-Neodymium/dp/B0C5RCKQJ8/ref=sr_1_4?keywords=Round+Magnets+Chaska%27s+Round+Magnet&amp;qid=1695565320&amp;sr=8-4", "https://www.amazon.com/Neosmuk-Magnets-Strong-Mounting-Neodymium/dp/B0C5RCKQJ8/ref=sr_1_4?keywords=Round+Magnets+Chaska%27s+Round+Magnet&amp;qid=1695565320&amp;sr=8-4")</f>
        <v/>
      </c>
      <c r="F5076" t="inlineStr">
        <is>
          <t>B0C5RCKQJ8</t>
        </is>
      </c>
      <c r="H5076">
        <f>_xlfn.IMAGE("https://m.media-amazon.com/images/I/61VcJLHhoOL._AC_UY218_.jpg")</f>
        <v/>
      </c>
      <c r="K5076" t="inlineStr">
        <is>
          <t>6.99</t>
        </is>
      </c>
      <c r="L5076" t="n">
        <v>8.99</v>
      </c>
      <c r="M5076" s="1" t="inlineStr">
        <is>
          <t>28.61%</t>
        </is>
      </c>
      <c r="N5076" t="n">
        <v>4.7</v>
      </c>
      <c r="O5076" t="n">
        <v>1500</v>
      </c>
      <c r="Q5076" t="inlineStr">
        <is>
          <t>InStock</t>
        </is>
      </c>
      <c r="R5076" t="inlineStr">
        <is>
          <t>9.99</t>
        </is>
      </c>
      <c r="S5076" t="inlineStr">
        <is>
          <t>137761999</t>
        </is>
      </c>
    </row>
    <row r="5077" ht="75" customHeight="1">
      <c r="A5077" s="2">
        <f>HYPERLINK("https://www.cafepress.com/mf/30424593/chaskas_magnets?productId=137761999", "https://www.cafepress.com/mf/30424593/chaskas_magnets?productId=137761999")</f>
        <v/>
      </c>
      <c r="B5077" s="2">
        <f>HYPERLINK("https://www.cafepress.com/mf/30424593/chaskas_magnets?productId=137761999", "https://www.cafepress.com/mf/30424593/chaskas_magnets?productId=137761999")</f>
        <v/>
      </c>
      <c r="C5077" t="inlineStr">
        <is>
          <t>Round Magnets Chaska's Round Magnet</t>
        </is>
      </c>
      <c r="D5077" t="inlineStr">
        <is>
          <t>X-Bet Magnet Ceramic Magnets - Round Disc - Flat Circle Magnets Bulk for Crafts, Science &amp; Hobbies - Perfect for Refrigerator, Whiteboard, Fridge</t>
        </is>
      </c>
      <c r="E5077" s="2">
        <f>HYPERLINK("https://www.amazon.com/X-bet-MAGNET-Industrial-Refrigerator-Bottlecaps/dp/B06XGBJ5ZV/ref=sr_1_1?keywords=Round+Magnets+Chaska%27s+Round+Magnet&amp;qid=1695565320&amp;sr=8-1", "https://www.amazon.com/X-bet-MAGNET-Industrial-Refrigerator-Bottlecaps/dp/B06XGBJ5ZV/ref=sr_1_1?keywords=Round+Magnets+Chaska%27s+Round+Magnet&amp;qid=1695565320&amp;sr=8-1")</f>
        <v/>
      </c>
      <c r="F5077" t="inlineStr">
        <is>
          <t>B06XGBJ5ZV</t>
        </is>
      </c>
      <c r="H5077">
        <f>_xlfn.IMAGE("https://m.media-amazon.com/images/I/616xOTnqMsL._AC_UY218_.jpg")</f>
        <v/>
      </c>
      <c r="K5077" t="inlineStr">
        <is>
          <t>6.99</t>
        </is>
      </c>
      <c r="L5077" t="n">
        <v>8.99</v>
      </c>
      <c r="M5077" s="1" t="inlineStr">
        <is>
          <t>28.61%</t>
        </is>
      </c>
      <c r="N5077" t="n">
        <v>4.6</v>
      </c>
      <c r="O5077" t="n">
        <v>12175</v>
      </c>
      <c r="Q5077" t="inlineStr">
        <is>
          <t>InStock</t>
        </is>
      </c>
      <c r="R5077" t="inlineStr">
        <is>
          <t>9.99</t>
        </is>
      </c>
      <c r="S5077" t="inlineStr">
        <is>
          <t>137761999</t>
        </is>
      </c>
    </row>
    <row r="5078" ht="75" customHeight="1">
      <c r="A5078" s="2">
        <f>HYPERLINK("https://www.cafepress.com/mf/31462400/leaves-small-youth-football-sh_tshirt?productId=95066582", "https://www.cafepress.com/mf/31462400/leaves-small-youth-football-sh_tshirt?productId=95066582")</f>
        <v/>
      </c>
      <c r="B5078" s="2">
        <f>HYPERLINK("https://www.cafepress.com/mf/31462400/leaves-small-youth-football-sh_tshirt?productId=95066582", "https://www.cafepress.com/mf/31462400/leaves-small-youth-football-sh_tshirt?productId=95066582")</f>
        <v/>
      </c>
      <c r="C5078" t="inlineStr">
        <is>
          <t>Leaves square small Youth Football Shirt Kids Football T-Shirt</t>
        </is>
      </c>
      <c r="D5078" t="inlineStr">
        <is>
          <t>Boys Flag Football Kids Youth Merch Boys Flag Football for Kids Youth or Adults T-Shirt</t>
        </is>
      </c>
      <c r="E5078" s="2">
        <f>HYPERLINK("https://www.amazon.com/Boys-Flag-Football-Kids-Youth/dp/B07VK4JFSC/ref=sr_1_6?customId=B07535YF4X&amp;customizationToken=MC_Assembly_1%23B07535YF4X&amp;keywords=Leaves+square+small+Youth+Football+Shirt+Kids+Football+T-Shirt&amp;qid=1695565320&amp;sr=8-6", "https://www.amazon.com/Boys-Flag-Football-Kids-Youth/dp/B07VK4JFSC/ref=sr_1_6?customId=B07535YF4X&amp;customizationToken=MC_Assembly_1%23B07535YF4X&amp;keywords=Leaves+square+small+Youth+Football+Shirt+Kids+Football+T-Shirt&amp;qid=1695565320&amp;sr=8-6")</f>
        <v/>
      </c>
      <c r="F5078" t="inlineStr">
        <is>
          <t>B07VK4JFSC</t>
        </is>
      </c>
      <c r="H5078">
        <f>_xlfn.IMAGE("https://m.media-amazon.com/images/I/A1jKzO+1adL._CLa%7C2140%2C2000%7C61dd4mu8jEL.png%7C0%2C0%2C2140%2C2000%2B0.0%2C0.0%2C2140.0%2C2000.0_AC_UL320_.png")</f>
        <v/>
      </c>
      <c r="K5078" t="inlineStr">
        <is>
          <t>16.99</t>
        </is>
      </c>
      <c r="L5078" t="n">
        <v>19.99</v>
      </c>
      <c r="M5078" s="1" t="inlineStr">
        <is>
          <t>17.66%</t>
        </is>
      </c>
      <c r="N5078" t="n">
        <v>5</v>
      </c>
      <c r="O5078" t="n">
        <v>3</v>
      </c>
      <c r="Q5078" t="inlineStr">
        <is>
          <t>undefined</t>
        </is>
      </c>
      <c r="R5078" t="inlineStr">
        <is>
          <t>29.99</t>
        </is>
      </c>
      <c r="S5078" t="inlineStr">
        <is>
          <t>95066582</t>
        </is>
      </c>
    </row>
    <row r="5079" ht="75" customHeight="1">
      <c r="A5079" s="2">
        <f>HYPERLINK("https://www.cafepress.com/mf/31462400/leaves-small-youth-football-sh_tshirt?productId=95066582", "https://www.cafepress.com/mf/31462400/leaves-small-youth-football-sh_tshirt?productId=95066582")</f>
        <v/>
      </c>
      <c r="B5079" s="2">
        <f>HYPERLINK("https://www.cafepress.com/mf/31462400/leaves-small-youth-football-sh_tshirt?productId=95066582", "https://www.cafepress.com/mf/31462400/leaves-small-youth-football-sh_tshirt?productId=95066582")</f>
        <v/>
      </c>
      <c r="C5079" t="inlineStr">
        <is>
          <t>Leaves square small Youth Football Shirt Kids Football T-Shirt</t>
        </is>
      </c>
      <c r="D5079" t="inlineStr">
        <is>
          <t>Mato &amp; Hash Kids Football T-Shirt | Youth Touchdown Dance Tshirt</t>
        </is>
      </c>
      <c r="E5079" s="2">
        <f>HYPERLINK("https://www.amazon.com/Mato-Hash-Touchdown-Celebration-Football/dp/B07XFG3KYH/ref=sr_1_1?keywords=Leaves+square+small+Youth+Football+Shirt+Kids+Football+T-Shirt&amp;qid=1695565320&amp;sr=8-1", "https://www.amazon.com/Mato-Hash-Touchdown-Celebration-Football/dp/B07XFG3KYH/ref=sr_1_1?keywords=Leaves+square+small+Youth+Football+Shirt+Kids+Football+T-Shirt&amp;qid=1695565320&amp;sr=8-1")</f>
        <v/>
      </c>
      <c r="F5079" t="inlineStr">
        <is>
          <t>B07XFG3KYH</t>
        </is>
      </c>
      <c r="H5079">
        <f>_xlfn.IMAGE("https://m.media-amazon.com/images/I/61rvsUouu-L._AC_UL320_.jpg")</f>
        <v/>
      </c>
      <c r="K5079" t="inlineStr">
        <is>
          <t>16.99</t>
        </is>
      </c>
      <c r="L5079" t="n">
        <v>17.99</v>
      </c>
      <c r="M5079" s="1" t="inlineStr">
        <is>
          <t>5.89%</t>
        </is>
      </c>
      <c r="N5079" t="n">
        <v>4.3</v>
      </c>
      <c r="O5079" t="n">
        <v>28</v>
      </c>
      <c r="Q5079" t="inlineStr">
        <is>
          <t>undefined</t>
        </is>
      </c>
      <c r="R5079" t="inlineStr">
        <is>
          <t>29.99</t>
        </is>
      </c>
      <c r="S5079" t="inlineStr">
        <is>
          <t>95066582</t>
        </is>
      </c>
    </row>
    <row r="5080" ht="75" customHeight="1">
      <c r="A5080" s="2">
        <f>HYPERLINK("https://www.cafepress.com/mf/31462400/leaves-small-youth-football-sh_tshirt?productId=95066582", "https://www.cafepress.com/mf/31462400/leaves-small-youth-football-sh_tshirt?productId=95066582")</f>
        <v/>
      </c>
      <c r="B5080" s="2">
        <f>HYPERLINK("https://www.cafepress.com/mf/31462400/leaves-small-youth-football-sh_tshirt?productId=95066582", "https://www.cafepress.com/mf/31462400/leaves-small-youth-football-sh_tshirt?productId=95066582")</f>
        <v/>
      </c>
      <c r="C5080" t="inlineStr">
        <is>
          <t>Leaves square small Youth Football Shirt Kids Football T-Shirt</t>
        </is>
      </c>
      <c r="D5080" t="inlineStr">
        <is>
          <t>Football Season Accessories Game Day Football Sports Men Women Kids Youth T-Shirt</t>
        </is>
      </c>
      <c r="E5080" s="2">
        <f>HYPERLINK("https://www.amazon.com/Game-Football-Sports-Women-T-Shirt/dp/B07XYPTNZB/ref=sr_1_5?customId=B07535YF4X&amp;customizationToken=MC_Assembly_1%23B07535YF4X&amp;keywords=Leaves+square+small+Youth+Football+Shirt+Kids+Football+T-Shirt&amp;qid=1695565320&amp;sr=8-5", "https://www.amazon.com/Game-Football-Sports-Women-T-Shirt/dp/B07XYPTNZB/ref=sr_1_5?customId=B07535YF4X&amp;customizationToken=MC_Assembly_1%23B07535YF4X&amp;keywords=Leaves+square+small+Youth+Football+Shirt+Kids+Football+T-Shirt&amp;qid=1695565320&amp;sr=8-5")</f>
        <v/>
      </c>
      <c r="F5080" t="inlineStr">
        <is>
          <t>B07XYPTNZB</t>
        </is>
      </c>
      <c r="H5080">
        <f>_xlfn.IMAGE("https://m.media-amazon.com/images/I/A1jKzO+1adL._CLa%7C2140%2C2000%7C71xnibwo7%2BL.png%7C0%2C0%2C2140%2C2000%2B0.0%2C0.0%2C2140.0%2C2000.0_AC_UL320_.png")</f>
        <v/>
      </c>
      <c r="K5080" t="inlineStr">
        <is>
          <t>16.99</t>
        </is>
      </c>
      <c r="L5080" t="n">
        <v>16.99</v>
      </c>
      <c r="M5080" s="1" t="inlineStr">
        <is>
          <t>0.00%</t>
        </is>
      </c>
      <c r="N5080" t="n">
        <v>5</v>
      </c>
      <c r="O5080" t="n">
        <v>1</v>
      </c>
      <c r="Q5080" t="inlineStr">
        <is>
          <t>undefined</t>
        </is>
      </c>
      <c r="R5080" t="inlineStr">
        <is>
          <t>29.99</t>
        </is>
      </c>
      <c r="S5080" t="inlineStr">
        <is>
          <t>95066582</t>
        </is>
      </c>
    </row>
    <row r="5081" ht="75" customHeight="1">
      <c r="A5081" s="2">
        <f>HYPERLINK("https://www.cafepress.com/mf/31462404/leaves-youth-football-shirt_tshirt?productId=95066584", "https://www.cafepress.com/mf/31462404/leaves-youth-football-shirt_tshirt?productId=95066584")</f>
        <v/>
      </c>
      <c r="B5081" s="2">
        <f>HYPERLINK("https://www.cafepress.com/mf/31462404/leaves-youth-football-shirt_tshirt?productId=95066584", "https://www.cafepress.com/mf/31462404/leaves-youth-football-shirt_tshirt?productId=95066584")</f>
        <v/>
      </c>
      <c r="C5081" t="inlineStr">
        <is>
          <t>Kids Football T-Shirts Leaves square Youth Football Shirt Kids Football T-Shirt</t>
        </is>
      </c>
      <c r="D5081" t="inlineStr">
        <is>
          <t>American Football Shirts Player Men Women Kids Just Here For Snacks American Football Funny Men Women Kids T-Shirt</t>
        </is>
      </c>
      <c r="E5081" s="2" t="n"/>
      <c r="F5081" t="inlineStr">
        <is>
          <t>B0B7XGS5N7</t>
        </is>
      </c>
      <c r="H5081">
        <f>_xlfn.IMAGE("https://m.media-amazon.com/images/I/A1jKzO+1adL._CLa%7C2140%2C2000%7C710Y0Y4cC8L.png%7C0%2C0%2C2140%2C2000%2B0.0%2C0.0%2C2140.0%2C2000.0_AC_UL320_.png")</f>
        <v/>
      </c>
      <c r="K5081" t="inlineStr">
        <is>
          <t>16.99</t>
        </is>
      </c>
      <c r="L5081" t="n">
        <v>19.99</v>
      </c>
      <c r="M5081" s="1" t="inlineStr">
        <is>
          <t>17.66%</t>
        </is>
      </c>
      <c r="N5081" t="n">
        <v>4.7</v>
      </c>
      <c r="O5081" t="n">
        <v>9</v>
      </c>
      <c r="Q5081" t="inlineStr">
        <is>
          <t>undefined</t>
        </is>
      </c>
      <c r="R5081" t="inlineStr">
        <is>
          <t>29.99</t>
        </is>
      </c>
      <c r="S5081" t="inlineStr">
        <is>
          <t>95066584</t>
        </is>
      </c>
    </row>
    <row r="5082" ht="75" customHeight="1">
      <c r="A5082" s="2">
        <f>HYPERLINK("https://www.cafepress.com/mf/31462404/leaves-youth-football-shirt_tshirt?productId=95066584", "https://www.cafepress.com/mf/31462404/leaves-youth-football-shirt_tshirt?productId=95066584")</f>
        <v/>
      </c>
      <c r="B5082" s="2">
        <f>HYPERLINK("https://www.cafepress.com/mf/31462404/leaves-youth-football-shirt_tshirt?productId=95066584", "https://www.cafepress.com/mf/31462404/leaves-youth-football-shirt_tshirt?productId=95066584")</f>
        <v/>
      </c>
      <c r="C5082" t="inlineStr">
        <is>
          <t>Kids Football T-Shirts Leaves square Youth Football Shirt Kids Football T-Shirt</t>
        </is>
      </c>
      <c r="D5082" t="inlineStr">
        <is>
          <t>Boys Flag Football Kids Youth Merch Boys Flag Football for Kids Youth or Adults T-Shirt</t>
        </is>
      </c>
      <c r="E5082" s="2">
        <f>HYPERLINK("https://www.amazon.com/Boys-Flag-Football-Kids-Youth/dp/B07VK4JFSC/ref=sr_1_5?customId=B07HPZ61SY&amp;customizationToken=MC_Assembly_1%23B07HPZ61SY&amp;keywords=Kids+Football+T-Shirts+Leaves+square+Youth+Football+Shirt+Kids+Football+T-Shirt&amp;qid=1695565311&amp;sr=8-5", "https://www.amazon.com/Boys-Flag-Football-Kids-Youth/dp/B07VK4JFSC/ref=sr_1_5?customId=B07HPZ61SY&amp;customizationToken=MC_Assembly_1%23B07HPZ61SY&amp;keywords=Kids+Football+T-Shirts+Leaves+square+Youth+Football+Shirt+Kids+Football+T-Shirt&amp;qid=1695565311&amp;sr=8-5")</f>
        <v/>
      </c>
      <c r="F5082" t="inlineStr">
        <is>
          <t>B07VK4JFSC</t>
        </is>
      </c>
      <c r="H5082">
        <f>_xlfn.IMAGE("https://m.media-amazon.com/images/I/A1jKzO+1adL._CLa%7C2140%2C2000%7C61dd4mu8jEL.png%7C0%2C0%2C2140%2C2000%2B0.0%2C0.0%2C2140.0%2C2000.0_AC_UL320_.png")</f>
        <v/>
      </c>
      <c r="K5082" t="inlineStr">
        <is>
          <t>16.99</t>
        </is>
      </c>
      <c r="L5082" t="n">
        <v>19.99</v>
      </c>
      <c r="M5082" s="1" t="inlineStr">
        <is>
          <t>17.66%</t>
        </is>
      </c>
      <c r="N5082" t="n">
        <v>5</v>
      </c>
      <c r="O5082" t="n">
        <v>3</v>
      </c>
      <c r="Q5082" t="inlineStr">
        <is>
          <t>undefined</t>
        </is>
      </c>
      <c r="R5082" t="inlineStr">
        <is>
          <t>29.99</t>
        </is>
      </c>
      <c r="S5082" t="inlineStr">
        <is>
          <t>95066584</t>
        </is>
      </c>
    </row>
    <row r="5083" ht="75" customHeight="1">
      <c r="A5083" s="2">
        <f>HYPERLINK("https://www.cafepress.com/mf/31462404/leaves-youth-football-shirt_tshirt?productId=95066584", "https://www.cafepress.com/mf/31462404/leaves-youth-football-shirt_tshirt?productId=95066584")</f>
        <v/>
      </c>
      <c r="B5083" s="2">
        <f>HYPERLINK("https://www.cafepress.com/mf/31462404/leaves-youth-football-shirt_tshirt?productId=95066584", "https://www.cafepress.com/mf/31462404/leaves-youth-football-shirt_tshirt?productId=95066584")</f>
        <v/>
      </c>
      <c r="C5083" t="inlineStr">
        <is>
          <t>Kids Football T-Shirts Leaves square Youth Football Shirt Kids Football T-Shirt</t>
        </is>
      </c>
      <c r="D5083" t="inlineStr">
        <is>
          <t>Mato &amp; Hash Kids Football T-Shirt | Youth Touchdown Dance Tshirt</t>
        </is>
      </c>
      <c r="E5083" s="2">
        <f>HYPERLINK("https://www.amazon.com/Mato-Hash-Touchdown-Celebration-Football/dp/B07XFG3KYH/ref=sr_1_2?keywords=Kids+Football+T-Shirts+Leaves+square+Youth+Football+Shirt+Kids+Football+T-Shirt&amp;qid=1695565311&amp;sr=8-2", "https://www.amazon.com/Mato-Hash-Touchdown-Celebration-Football/dp/B07XFG3KYH/ref=sr_1_2?keywords=Kids+Football+T-Shirts+Leaves+square+Youth+Football+Shirt+Kids+Football+T-Shirt&amp;qid=1695565311&amp;sr=8-2")</f>
        <v/>
      </c>
      <c r="F5083" t="inlineStr">
        <is>
          <t>B07XFG3KYH</t>
        </is>
      </c>
      <c r="H5083">
        <f>_xlfn.IMAGE("https://m.media-amazon.com/images/I/61rvsUouu-L._AC_UL320_.jpg")</f>
        <v/>
      </c>
      <c r="K5083" t="inlineStr">
        <is>
          <t>16.99</t>
        </is>
      </c>
      <c r="L5083" t="n">
        <v>17.99</v>
      </c>
      <c r="M5083" s="1" t="inlineStr">
        <is>
          <t>5.89%</t>
        </is>
      </c>
      <c r="N5083" t="n">
        <v>4.3</v>
      </c>
      <c r="O5083" t="n">
        <v>28</v>
      </c>
      <c r="Q5083" t="inlineStr">
        <is>
          <t>undefined</t>
        </is>
      </c>
      <c r="R5083" t="inlineStr">
        <is>
          <t>29.99</t>
        </is>
      </c>
      <c r="S5083" t="inlineStr">
        <is>
          <t>95066584</t>
        </is>
      </c>
    </row>
    <row r="5084" ht="75" customHeight="1">
      <c r="A5084" s="2">
        <f>HYPERLINK("https://www.cafepress.com/mf/31462404/leaves-youth-football-shirt_tshirt?productId=95066584", "https://www.cafepress.com/mf/31462404/leaves-youth-football-shirt_tshirt?productId=95066584")</f>
        <v/>
      </c>
      <c r="B5084" s="2">
        <f>HYPERLINK("https://www.cafepress.com/mf/31462404/leaves-youth-football-shirt_tshirt?productId=95066584", "https://www.cafepress.com/mf/31462404/leaves-youth-football-shirt_tshirt?productId=95066584")</f>
        <v/>
      </c>
      <c r="C5084" t="inlineStr">
        <is>
          <t>Kids Football T-Shirts Leaves square Youth Football Shirt Kids Football T-Shirt</t>
        </is>
      </c>
      <c r="D5084" t="inlineStr">
        <is>
          <t>Football Season Accessories Game Day Football Sports Men Women Kids Youth T-Shirt</t>
        </is>
      </c>
      <c r="E5084" s="2" t="n"/>
      <c r="F5084" t="inlineStr">
        <is>
          <t>B07XYPTNZB</t>
        </is>
      </c>
      <c r="H5084">
        <f>_xlfn.IMAGE("https://m.media-amazon.com/images/I/A1jKzO+1adL._CLa%7C2140%2C2000%7C71xnibwo7%2BL.png%7C0%2C0%2C2140%2C2000%2B0.0%2C0.0%2C2140.0%2C2000.0_AC_UL320_.png")</f>
        <v/>
      </c>
      <c r="K5084" t="inlineStr">
        <is>
          <t>16.99</t>
        </is>
      </c>
      <c r="L5084" t="n">
        <v>16.99</v>
      </c>
      <c r="M5084" s="1" t="inlineStr">
        <is>
          <t>0.00%</t>
        </is>
      </c>
      <c r="N5084" t="n">
        <v>5</v>
      </c>
      <c r="O5084" t="n">
        <v>1</v>
      </c>
      <c r="Q5084" t="inlineStr">
        <is>
          <t>undefined</t>
        </is>
      </c>
      <c r="R5084" t="inlineStr">
        <is>
          <t>29.99</t>
        </is>
      </c>
      <c r="S5084" t="inlineStr">
        <is>
          <t>95066584</t>
        </is>
      </c>
    </row>
    <row r="5085" ht="75" customHeight="1">
      <c r="A5085" s="2">
        <f>HYPERLINK("https://www.cafepress.com/mf/31904626/i-drive-like-a-stunt-man_bumper-sticker?productId=339803560", "https://www.cafepress.com/mf/31904626/i-drive-like-a-stunt-man_bumper-sticker?productId=339803560")</f>
        <v/>
      </c>
      <c r="B5085" s="2">
        <f>HYPERLINK("https://www.cafepress.com/mf/31904626/i-drive-like-a-stunt-man_bumper-sticker?productId=339803560", "https://www.cafepress.com/mf/31904626/i-drive-like-a-stunt-man_bumper-sticker?productId=339803560")</f>
        <v/>
      </c>
      <c r="C5085" t="inlineStr">
        <is>
          <t>Bumper Stickers I Drive Like a Stunt Man Bumper Sticker</t>
        </is>
      </c>
      <c r="D5085" t="inlineStr">
        <is>
          <t>Higly Visible, Long-Lasting Vinyl Anti-Tailgating Bumper Stickers. Hilarious 2 Pack 3x9 in Funny Driving Decals. Strong Adhesive. Stick Joke Driver Labels on Cars, Trucks, Minivans and Other Vehicles</t>
        </is>
      </c>
      <c r="E5085" s="2">
        <f>HYPERLINK("https://www.amazon.com/Long-Lasting-Anti-Tailgating-Stickers-Hilarious-Adhesive/dp/B09QLHGL6F/ref=sr_1_1?keywords=Bumper+Stickers+I+Drive+Like+a+Stunt+Man+Bumper+Sticker&amp;qid=1695565349&amp;sr=8-1", "https://www.amazon.com/Long-Lasting-Anti-Tailgating-Stickers-Hilarious-Adhesive/dp/B09QLHGL6F/ref=sr_1_1?keywords=Bumper+Stickers+I+Drive+Like+a+Stunt+Man+Bumper+Sticker&amp;qid=1695565349&amp;sr=8-1")</f>
        <v/>
      </c>
      <c r="F5085" t="inlineStr">
        <is>
          <t>B09QLHGL6F</t>
        </is>
      </c>
      <c r="H5085">
        <f>_xlfn.IMAGE("https://m.media-amazon.com/images/I/716tl5KigrL._AC_UL320_.jpg")</f>
        <v/>
      </c>
      <c r="K5085" t="inlineStr">
        <is>
          <t>4.99</t>
        </is>
      </c>
      <c r="L5085" t="n">
        <v>8.99</v>
      </c>
      <c r="M5085" s="1" t="inlineStr">
        <is>
          <t>80.16%</t>
        </is>
      </c>
      <c r="N5085" t="n">
        <v>4.6</v>
      </c>
      <c r="O5085" t="n">
        <v>290</v>
      </c>
      <c r="Q5085" t="inlineStr">
        <is>
          <t>undefined</t>
        </is>
      </c>
      <c r="R5085" t="inlineStr">
        <is>
          <t>6.99</t>
        </is>
      </c>
      <c r="S5085" t="inlineStr">
        <is>
          <t>339803560</t>
        </is>
      </c>
    </row>
    <row r="5086" ht="75" customHeight="1">
      <c r="A5086" s="2">
        <f>HYPERLINK("https://www.cafepress.com/mf/31904626/i-drive-like-a-stunt-man_bumper-sticker?productId=339803560", "https://www.cafepress.com/mf/31904626/i-drive-like-a-stunt-man_bumper-sticker?productId=339803560")</f>
        <v/>
      </c>
      <c r="B5086" s="2">
        <f>HYPERLINK("https://www.cafepress.com/mf/31904626/i-drive-like-a-stunt-man_bumper-sticker?productId=339803560", "https://www.cafepress.com/mf/31904626/i-drive-like-a-stunt-man_bumper-sticker?productId=339803560")</f>
        <v/>
      </c>
      <c r="C5086" t="inlineStr">
        <is>
          <t>Bumper Stickers I Drive Like a Stunt Man Bumper Sticker</t>
        </is>
      </c>
      <c r="D5086" t="inlineStr">
        <is>
          <t>White: Manual Transmission Bumper Sticker (If I roll Into You Too Close Vinyl Decal Drive Stick Shift Gears for Cars, Trucks (3 x 9 inch)</t>
        </is>
      </c>
      <c r="E5086" s="2">
        <f>HYPERLINK("https://www.amazon.com/American-Vinyl-WHITE-Manual-Transmission/dp/B008XBIZQO/ref=sr_1_8?keywords=Bumper+Stickers+I+Drive+Like+a+Stunt+Man+Bumper+Sticker&amp;qid=1695565349&amp;sr=8-8", "https://www.amazon.com/American-Vinyl-WHITE-Manual-Transmission/dp/B008XBIZQO/ref=sr_1_8?keywords=Bumper+Stickers+I+Drive+Like+a+Stunt+Man+Bumper+Sticker&amp;qid=1695565349&amp;sr=8-8")</f>
        <v/>
      </c>
      <c r="F5086" t="inlineStr">
        <is>
          <t>B008XBIZQO</t>
        </is>
      </c>
      <c r="H5086">
        <f>_xlfn.IMAGE("https://m.media-amazon.com/images/I/413pSS0SvBL._AC_UL320_.jpg")</f>
        <v/>
      </c>
      <c r="K5086" t="inlineStr">
        <is>
          <t>4.99</t>
        </is>
      </c>
      <c r="L5086" t="n">
        <v>6.99</v>
      </c>
      <c r="M5086" s="1" t="inlineStr">
        <is>
          <t>40.08%</t>
        </is>
      </c>
      <c r="N5086" t="n">
        <v>4.6</v>
      </c>
      <c r="O5086" t="n">
        <v>231</v>
      </c>
      <c r="Q5086" t="inlineStr">
        <is>
          <t>undefined</t>
        </is>
      </c>
      <c r="R5086" t="inlineStr">
        <is>
          <t>6.99</t>
        </is>
      </c>
      <c r="S5086" t="inlineStr">
        <is>
          <t>339803560</t>
        </is>
      </c>
    </row>
    <row r="5087" ht="75" customHeight="1">
      <c r="A5087" s="2">
        <f>HYPERLINK("https://www.cafepress.com/mf/31904626/i-drive-like-a-stunt-man_bumper-sticker?productId=339803560", "https://www.cafepress.com/mf/31904626/i-drive-like-a-stunt-man_bumper-sticker?productId=339803560")</f>
        <v/>
      </c>
      <c r="B5087" s="2">
        <f>HYPERLINK("https://www.cafepress.com/mf/31904626/i-drive-like-a-stunt-man_bumper-sticker?productId=339803560", "https://www.cafepress.com/mf/31904626/i-drive-like-a-stunt-man_bumper-sticker?productId=339803560")</f>
        <v/>
      </c>
      <c r="C5087" t="inlineStr">
        <is>
          <t>Bumper Stickers I Drive Like a Stunt Man Bumper Sticker</t>
        </is>
      </c>
      <c r="D5087" t="inlineStr">
        <is>
          <t>Black Drive It Like You Stole It Bumper Sticker (Fast Funny Race Decal)</t>
        </is>
      </c>
      <c r="E5087" s="2">
        <f>HYPERLINK("https://www.amazon.com/BLACK-Drive-Stole-Bumper-Sticker/dp/B06XG3WK41/ref=sr_1_6?keywords=Bumper+Stickers+I+Drive+Like+a+Stunt+Man+Bumper+Sticker&amp;qid=1695565349&amp;sr=8-6", "https://www.amazon.com/BLACK-Drive-Stole-Bumper-Sticker/dp/B06XG3WK41/ref=sr_1_6?keywords=Bumper+Stickers+I+Drive+Like+a+Stunt+Man+Bumper+Sticker&amp;qid=1695565349&amp;sr=8-6")</f>
        <v/>
      </c>
      <c r="F5087" t="inlineStr">
        <is>
          <t>B06XG3WK41</t>
        </is>
      </c>
      <c r="H5087">
        <f>_xlfn.IMAGE("https://m.media-amazon.com/images/I/61H-4IDJmHL._AC_UL320_.jpg")</f>
        <v/>
      </c>
      <c r="K5087" t="inlineStr">
        <is>
          <t>4.99</t>
        </is>
      </c>
      <c r="L5087" t="n">
        <v>4.95</v>
      </c>
      <c r="M5087" s="1" t="inlineStr">
        <is>
          <t>-0.80%</t>
        </is>
      </c>
      <c r="N5087" t="n">
        <v>5</v>
      </c>
      <c r="O5087" t="n">
        <v>1</v>
      </c>
      <c r="Q5087" t="inlineStr">
        <is>
          <t>undefined</t>
        </is>
      </c>
      <c r="R5087" t="inlineStr">
        <is>
          <t>6.99</t>
        </is>
      </c>
      <c r="S5087" t="inlineStr">
        <is>
          <t>339803560</t>
        </is>
      </c>
    </row>
    <row r="5088" ht="75" customHeight="1">
      <c r="A5088" s="2">
        <f>HYPERLINK("https://www.cafepress.com/mf/59299960/curly-pumpkin-brown_mugs?productId=571187461", "https://www.cafepress.com/mf/59299960/curly-pumpkin-brown_mugs?productId=571187461")</f>
        <v/>
      </c>
      <c r="B5088" s="2">
        <f>HYPERLINK("https://www.cafepress.com/mf/59299960/curly-pumpkin-brown_mugs?productId=571187461", "https://www.cafepress.com/mf/59299960/curly-pumpkin-brown_mugs?productId=571187461")</f>
        <v/>
      </c>
      <c r="C5088" t="inlineStr">
        <is>
          <t>Curly Pumpkin (Brown) 11 oz Ceramic Mug</t>
        </is>
      </c>
      <c r="D5088" t="inlineStr">
        <is>
          <t>Wimly Company Pumpkin Mug - Personalized Large 15 oz or 11 oz Ceramic Cup - Pumpkin Gifts for Women - Fall Coffee Cups - Dishwasher &amp; Microwave Safe - Made In USA</t>
        </is>
      </c>
      <c r="E5088" s="2">
        <f>HYPERLINK("https://www.amazon.com/Pumpkin-Mug-Personalized-Dishwasher-Microwave/dp/B07ZG31P8T/ref=sr_1_8?keywords=Curly+Pumpkin+%28Brown%29+11+oz+Ceramic+Mug&amp;qid=1695565352&amp;sr=8-8", "https://www.amazon.com/Pumpkin-Mug-Personalized-Dishwasher-Microwave/dp/B07ZG31P8T/ref=sr_1_8?keywords=Curly+Pumpkin+%28Brown%29+11+oz+Ceramic+Mug&amp;qid=1695565352&amp;sr=8-8")</f>
        <v/>
      </c>
      <c r="F5088" t="inlineStr">
        <is>
          <t>B07ZG31P8T</t>
        </is>
      </c>
      <c r="H5088">
        <f>_xlfn.IMAGE("https://m.media-amazon.com/images/I/71kDshJP1dL._AC_UL320_.jpg")</f>
        <v/>
      </c>
      <c r="K5088" t="inlineStr">
        <is>
          <t>9.99</t>
        </is>
      </c>
      <c r="L5088" t="n">
        <v>18.99</v>
      </c>
      <c r="M5088" s="1" t="inlineStr">
        <is>
          <t>90.09%</t>
        </is>
      </c>
      <c r="N5088" t="n">
        <v>4.5</v>
      </c>
      <c r="O5088" t="n">
        <v>98</v>
      </c>
      <c r="Q5088" t="inlineStr">
        <is>
          <t>undefined</t>
        </is>
      </c>
      <c r="R5088" t="inlineStr">
        <is>
          <t>14.99</t>
        </is>
      </c>
      <c r="S5088" t="inlineStr">
        <is>
          <t>571187461</t>
        </is>
      </c>
    </row>
    <row r="5089" ht="75" customHeight="1">
      <c r="A5089" s="2">
        <f>HYPERLINK("https://www.cafepress.com/mf/59678442/1_sticker?productId=1072662066", "https://www.cafepress.com/mf/59678442/1_sticker?productId=1072662066")</f>
        <v/>
      </c>
      <c r="B5089" s="2">
        <f>HYPERLINK("https://www.cafepress.com/mf/59678442/1_sticker?productId=1072662066", "https://www.cafepress.com/mf/59678442/1_sticker?productId=1072662066")</f>
        <v/>
      </c>
      <c r="C5089" t="inlineStr">
        <is>
          <t>1 Sticker (Rectangle) Sticker (Oval)</t>
        </is>
      </c>
      <c r="D5089" t="inlineStr">
        <is>
          <t>100-500 Custom Stickers Personalized Labels, Customized Stickers with Any Image Logo and Text. Custom Stickers for Business LogoThank You Labels,etc. (Rectangle,2X1 Inch)</t>
        </is>
      </c>
      <c r="E5089" s="2">
        <f>HYPERLINK("https://www.amazon.com/Stickers-Personalized-Customized-LogoThank-Rectangle/dp/B09KY2FT9Z/ref=sr_1_10?keywords=1+Sticker+%28Rectangle%29+Sticker+%28Oval%29&amp;qid=1695565301&amp;sr=8-10", "https://www.amazon.com/Stickers-Personalized-Customized-LogoThank-Rectangle/dp/B09KY2FT9Z/ref=sr_1_10?keywords=1+Sticker+%28Rectangle%29+Sticker+%28Oval%29&amp;qid=1695565301&amp;sr=8-10")</f>
        <v/>
      </c>
      <c r="F5089" t="inlineStr">
        <is>
          <t>B09KY2FT9Z</t>
        </is>
      </c>
      <c r="H5089">
        <f>_xlfn.IMAGE("https://m.media-amazon.com/images/I/61sa9vFQ33L._AC_UL320_.jpg")</f>
        <v/>
      </c>
      <c r="K5089" t="inlineStr">
        <is>
          <t>3.99</t>
        </is>
      </c>
      <c r="L5089" t="n">
        <v>12.99</v>
      </c>
      <c r="M5089" s="1" t="inlineStr">
        <is>
          <t>225.56%</t>
        </is>
      </c>
      <c r="N5089" t="n">
        <v>4.5</v>
      </c>
      <c r="O5089" t="n">
        <v>1329</v>
      </c>
      <c r="Q5089" t="inlineStr">
        <is>
          <t>undefined</t>
        </is>
      </c>
      <c r="R5089" t="inlineStr">
        <is>
          <t>5.99</t>
        </is>
      </c>
      <c r="S5089" t="inlineStr">
        <is>
          <t>1072662066</t>
        </is>
      </c>
    </row>
    <row r="5090" ht="75" customHeight="1">
      <c r="A5090" s="2">
        <f>HYPERLINK("https://www.cafepress.com/mf/59678442/1_sticker?productId=1072662066", "https://www.cafepress.com/mf/59678442/1_sticker?productId=1072662066")</f>
        <v/>
      </c>
      <c r="B5090" s="2">
        <f>HYPERLINK("https://www.cafepress.com/mf/59678442/1_sticker?productId=1072662066", "https://www.cafepress.com/mf/59678442/1_sticker?productId=1072662066")</f>
        <v/>
      </c>
      <c r="C5090" t="inlineStr">
        <is>
          <t>1 Sticker (Rectangle) Sticker (Oval)</t>
        </is>
      </c>
      <c r="D5090" t="inlineStr">
        <is>
          <t>Hybsk 1x2 Inch Silver Color-Coding Labels Rectangle Inventory Organizer Identification Sticker 500 Labels Per Roll (1"x2", Silver)</t>
        </is>
      </c>
      <c r="E5090" s="2">
        <f>HYPERLINK("https://www.amazon.com/Color-Coding-Rectangle-Inventory-Organizer-Identification/dp/B077LNBB3H/ref=sr_1_1?keywords=1+Sticker+%28Rectangle%29+Sticker+%28Oval%29&amp;qid=1695565301&amp;sr=8-1", "https://www.amazon.com/Color-Coding-Rectangle-Inventory-Organizer-Identification/dp/B077LNBB3H/ref=sr_1_1?keywords=1+Sticker+%28Rectangle%29+Sticker+%28Oval%29&amp;qid=1695565301&amp;sr=8-1")</f>
        <v/>
      </c>
      <c r="F5090" t="inlineStr">
        <is>
          <t>B077LNBB3H</t>
        </is>
      </c>
      <c r="H5090">
        <f>_xlfn.IMAGE("https://m.media-amazon.com/images/I/61EW+pjj1AL._AC_UL320_.jpg")</f>
        <v/>
      </c>
      <c r="K5090" t="inlineStr">
        <is>
          <t>3.99</t>
        </is>
      </c>
      <c r="L5090" t="n">
        <v>7</v>
      </c>
      <c r="M5090" s="1" t="inlineStr">
        <is>
          <t>75.44%</t>
        </is>
      </c>
      <c r="N5090" t="n">
        <v>4.5</v>
      </c>
      <c r="O5090" t="n">
        <v>280</v>
      </c>
      <c r="Q5090" t="inlineStr">
        <is>
          <t>undefined</t>
        </is>
      </c>
      <c r="R5090" t="inlineStr">
        <is>
          <t>5.99</t>
        </is>
      </c>
      <c r="S5090" t="inlineStr">
        <is>
          <t>1072662066</t>
        </is>
      </c>
    </row>
    <row r="5091" ht="75" customHeight="1">
      <c r="A5091" s="2">
        <f>HYPERLINK("https://www.cafepress.com/mf/59678442/1_sticker?productId=1072662066", "https://www.cafepress.com/mf/59678442/1_sticker?productId=1072662066")</f>
        <v/>
      </c>
      <c r="B5091" s="2">
        <f>HYPERLINK("https://www.cafepress.com/mf/59678442/1_sticker?productId=1072662066", "https://www.cafepress.com/mf/59678442/1_sticker?productId=1072662066")</f>
        <v/>
      </c>
      <c r="C5091" t="inlineStr">
        <is>
          <t>1 Sticker (Rectangle) Sticker (Oval)</t>
        </is>
      </c>
      <c r="D5091" t="inlineStr">
        <is>
          <t>Inshoney 100 Oval Custom Stickers Labels Personalized buinsess Logo Sticker Package Favor Vinyl Clear Sticker</t>
        </is>
      </c>
      <c r="E5091" s="2">
        <f>HYPERLINK("https://www.amazon.com/Inshoney-Stickers-Business-Personalized-Customized/dp/B09W2MQ34C/ref=sr_1_4?customizationToken=PS_Inline_1%23size%3Ab074c28e-3567-470f-b9ab-c5df602debd5&amp;keywords=1+Sticker+%28Rectangle%29+Sticker+%28Oval%29&amp;qid=1695565301&amp;sr=8-4", "https://www.amazon.com/Inshoney-Stickers-Business-Personalized-Customized/dp/B09W2MQ34C/ref=sr_1_4?customizationToken=PS_Inline_1%23size%3Ab074c28e-3567-470f-b9ab-c5df602debd5&amp;keywords=1+Sticker+%28Rectangle%29+Sticker+%28Oval%29&amp;qid=1695565301&amp;sr=8-4")</f>
        <v/>
      </c>
      <c r="F5091" t="inlineStr">
        <is>
          <t>B09W2MQ34C</t>
        </is>
      </c>
      <c r="H5091">
        <f>_xlfn.IMAGE("https://m.media-amazon.com/images/I/51W4bK6ClvL._AC_UL320_.jpg")</f>
        <v/>
      </c>
      <c r="K5091" t="inlineStr">
        <is>
          <t>3.99</t>
        </is>
      </c>
      <c r="L5091" t="n">
        <v>4.99</v>
      </c>
      <c r="M5091" s="1" t="inlineStr">
        <is>
          <t>25.06%</t>
        </is>
      </c>
      <c r="N5091" t="n">
        <v>4.4</v>
      </c>
      <c r="O5091" t="n">
        <v>188</v>
      </c>
      <c r="Q5091" t="inlineStr">
        <is>
          <t>undefined</t>
        </is>
      </c>
      <c r="R5091" t="inlineStr">
        <is>
          <t>5.99</t>
        </is>
      </c>
      <c r="S5091" t="inlineStr">
        <is>
          <t>1072662066</t>
        </is>
      </c>
    </row>
    <row r="5092" ht="75" customHeight="1">
      <c r="A5092" s="2">
        <f>HYPERLINK("https://www.cafepress.com/mf/59678442/1_sticker?productId=1072662066", "https://www.cafepress.com/mf/59678442/1_sticker?productId=1072662066")</f>
        <v/>
      </c>
      <c r="B5092" s="2">
        <f>HYPERLINK("https://www.cafepress.com/mf/59678442/1_sticker?productId=1072662066", "https://www.cafepress.com/mf/59678442/1_sticker?productId=1072662066")</f>
        <v/>
      </c>
      <c r="C5092" t="inlineStr">
        <is>
          <t>1 Sticker (Rectangle) Sticker (Oval)</t>
        </is>
      </c>
      <c r="D5092" t="inlineStr">
        <is>
          <t>Custom Stickers 1-5 Inch, JOVELLO Oval Custom Labels Stickers for Business Logo Stickers - Accept Customized Personalized Labels (Oval)</t>
        </is>
      </c>
      <c r="E5092" s="2">
        <f>HYPERLINK("https://www.amazon.com/Custom-Stickers-JOVELLO-150pcs-Business/dp/B0B2LX8R3G/ref=sr_1_3?customizationToken=PS_Inline_1%23size%3A8e4dfdfb-59fe-4039-958f-fde04fe926f7&amp;keywords=1+Sticker+%28Rectangle%29+Sticker+%28Oval%29&amp;qid=1695565301&amp;sr=8-3", "https://www.amazon.com/Custom-Stickers-JOVELLO-150pcs-Business/dp/B0B2LX8R3G/ref=sr_1_3?customizationToken=PS_Inline_1%23size%3A8e4dfdfb-59fe-4039-958f-fde04fe926f7&amp;keywords=1+Sticker+%28Rectangle%29+Sticker+%28Oval%29&amp;qid=1695565301&amp;sr=8-3")</f>
        <v/>
      </c>
      <c r="F5092" t="inlineStr">
        <is>
          <t>B0B2LX8R3G</t>
        </is>
      </c>
      <c r="H5092">
        <f>_xlfn.IMAGE("https://m.media-amazon.com/images/I/61NdXZmsioL._AC_UL320_.jpg")</f>
        <v/>
      </c>
      <c r="K5092" t="inlineStr">
        <is>
          <t>3.99</t>
        </is>
      </c>
      <c r="L5092" t="n">
        <v>3.99</v>
      </c>
      <c r="M5092" s="1" t="inlineStr">
        <is>
          <t>0.00%</t>
        </is>
      </c>
      <c r="N5092" t="n">
        <v>4.1</v>
      </c>
      <c r="O5092" t="n">
        <v>57</v>
      </c>
      <c r="Q5092" t="inlineStr">
        <is>
          <t>undefined</t>
        </is>
      </c>
      <c r="R5092" t="inlineStr">
        <is>
          <t>5.99</t>
        </is>
      </c>
      <c r="S5092" t="inlineStr">
        <is>
          <t>1072662066</t>
        </is>
      </c>
    </row>
    <row r="5093" ht="75" customHeight="1">
      <c r="A5093" s="2">
        <f>HYPERLINK("https://www.cafepress.com/mf/59678442/1_sticker?productId=1072662066", "https://www.cafepress.com/mf/59678442/1_sticker?productId=1072662066")</f>
        <v/>
      </c>
      <c r="B5093" s="2">
        <f>HYPERLINK("https://www.cafepress.com/mf/59678442/1_sticker?productId=1072662066", "https://www.cafepress.com/mf/59678442/1_sticker?productId=1072662066")</f>
        <v/>
      </c>
      <c r="C5093" t="inlineStr">
        <is>
          <t>1 Sticker (Rectangle) Sticker (Oval)</t>
        </is>
      </c>
      <c r="D5093" t="inlineStr">
        <is>
          <t>JOVELLO 110pcs Oval Stickers - Custom Stickers for Business Logo, Personalized Label Stickers Customized, Label Stickers of Various Shapes and Sizes,1 * 1.5”,1.5 * 2”,2 * 3”,3 * 4”,4 * 6” (Oval)</t>
        </is>
      </c>
      <c r="E5093" s="2" t="n"/>
      <c r="F5093" t="inlineStr">
        <is>
          <t>B0B63JV2XP</t>
        </is>
      </c>
      <c r="H5093">
        <f>_xlfn.IMAGE("https://m.media-amazon.com/images/I/51hsAcnlELL._AC_UL320_.jpg")</f>
        <v/>
      </c>
      <c r="K5093" t="inlineStr">
        <is>
          <t>3.99</t>
        </is>
      </c>
      <c r="L5093" t="n">
        <v>3.89</v>
      </c>
      <c r="M5093" s="1" t="inlineStr">
        <is>
          <t>-2.51%</t>
        </is>
      </c>
      <c r="N5093" t="n">
        <v>4.3</v>
      </c>
      <c r="O5093" t="n">
        <v>19</v>
      </c>
      <c r="Q5093" t="inlineStr">
        <is>
          <t>undefined</t>
        </is>
      </c>
      <c r="R5093" t="inlineStr">
        <is>
          <t>5.99</t>
        </is>
      </c>
      <c r="S5093" t="inlineStr">
        <is>
          <t>1072662066</t>
        </is>
      </c>
    </row>
    <row r="5094" ht="75" customHeight="1">
      <c r="A5094" s="2">
        <f>HYPERLINK("https://www.cafepress.com/mf/59920638/laptop_mugs?productId=1073821605", "https://www.cafepress.com/mf/59920638/laptop_mugs?productId=1073821605")</f>
        <v/>
      </c>
      <c r="B5094" s="2">
        <f>HYPERLINK("https://www.cafepress.com/mf/59920638/laptop_mugs?productId=1073821605", "https://www.cafepress.com/mf/59920638/laptop_mugs?productId=1073821605")</f>
        <v/>
      </c>
      <c r="C5094" t="inlineStr">
        <is>
          <t>Standard Mugs laptop 11 oz Ceramic Mug</t>
        </is>
      </c>
      <c r="D5094" t="inlineStr">
        <is>
          <t>Retreez Funny Mug - Debugging Computer Coding Programming Programmer Software Engineer 11 Oz Ceramic Coffee Mugs - Funny Sarcasm Sarcastic Inspirational birthday gifts for friend coworker sis bro dad</t>
        </is>
      </c>
      <c r="E5094" s="2">
        <f>HYPERLINK("https://www.amazon.com/Retreez-Funny-Mug-Programming-Inspirational/dp/B08WKZ84DC/ref=sr_1_6?keywords=Standard+Mugs+laptop+11+oz+Ceramic+Mug&amp;qid=1695565347&amp;sr=8-6", "https://www.amazon.com/Retreez-Funny-Mug-Programming-Inspirational/dp/B08WKZ84DC/ref=sr_1_6?keywords=Standard+Mugs+laptop+11+oz+Ceramic+Mug&amp;qid=1695565347&amp;sr=8-6")</f>
        <v/>
      </c>
      <c r="F5094" t="inlineStr">
        <is>
          <t>B08WKZ84DC</t>
        </is>
      </c>
      <c r="H5094">
        <f>_xlfn.IMAGE("https://m.media-amazon.com/images/I/51QLjiphEbS._AC_UL320_.jpg")</f>
        <v/>
      </c>
      <c r="K5094" t="inlineStr">
        <is>
          <t>9.99</t>
        </is>
      </c>
      <c r="L5094" t="n">
        <v>15.55</v>
      </c>
      <c r="M5094" s="1" t="inlineStr">
        <is>
          <t>55.66%</t>
        </is>
      </c>
      <c r="N5094" t="n">
        <v>4.6</v>
      </c>
      <c r="O5094" t="n">
        <v>135</v>
      </c>
      <c r="Q5094" t="inlineStr">
        <is>
          <t>undefined</t>
        </is>
      </c>
      <c r="R5094" t="inlineStr">
        <is>
          <t>14.99</t>
        </is>
      </c>
      <c r="S5094" t="inlineStr">
        <is>
          <t>1073821605</t>
        </is>
      </c>
    </row>
    <row r="5095" ht="75" customHeight="1">
      <c r="A5095" s="2">
        <f>HYPERLINK("https://www.cafepress.com/mf/59920638/laptop_mugs?productId=1073821605", "https://www.cafepress.com/mf/59920638/laptop_mugs?productId=1073821605")</f>
        <v/>
      </c>
      <c r="B5095" s="2">
        <f>HYPERLINK("https://www.cafepress.com/mf/59920638/laptop_mugs?productId=1073821605", "https://www.cafepress.com/mf/59920638/laptop_mugs?productId=1073821605")</f>
        <v/>
      </c>
      <c r="C5095" t="inlineStr">
        <is>
          <t>Standard Mugs laptop 11 oz Ceramic Mug</t>
        </is>
      </c>
      <c r="D5095" t="inlineStr">
        <is>
          <t>Retreez Funny Mug - I Model Data Science Scientist Analyst Computer Accounting Statistics 11 Oz Ceramic Coffee Mugs - Funny Sarcasm Inspirational birthday gifts for friend coworker colleague him her</t>
        </is>
      </c>
      <c r="E5095" s="2">
        <f>HYPERLINK("https://www.amazon.com/Retreez-Funny-Mug-Accounting-Inspirational/dp/B0BHCKMTFF/ref=sr_1_4?keywords=Standard+Mugs+laptop+11+oz+Ceramic+Mug&amp;qid=1695565347&amp;sr=8-4", "https://www.amazon.com/Retreez-Funny-Mug-Accounting-Inspirational/dp/B0BHCKMTFF/ref=sr_1_4?keywords=Standard+Mugs+laptop+11+oz+Ceramic+Mug&amp;qid=1695565347&amp;sr=8-4")</f>
        <v/>
      </c>
      <c r="F5095" t="inlineStr">
        <is>
          <t>B0BHCKMTFF</t>
        </is>
      </c>
      <c r="H5095">
        <f>_xlfn.IMAGE("https://m.media-amazon.com/images/I/51XhvlDY3bL._AC_UL320_.jpg")</f>
        <v/>
      </c>
      <c r="K5095" t="inlineStr">
        <is>
          <t>9.99</t>
        </is>
      </c>
      <c r="L5095" t="n">
        <v>15.55</v>
      </c>
      <c r="M5095" s="1" t="inlineStr">
        <is>
          <t>55.66%</t>
        </is>
      </c>
      <c r="N5095" t="n">
        <v>4.2</v>
      </c>
      <c r="O5095" t="n">
        <v>8</v>
      </c>
      <c r="Q5095" t="inlineStr">
        <is>
          <t>undefined</t>
        </is>
      </c>
      <c r="R5095" t="inlineStr">
        <is>
          <t>14.99</t>
        </is>
      </c>
      <c r="S5095" t="inlineStr">
        <is>
          <t>1073821605</t>
        </is>
      </c>
    </row>
    <row r="5096" ht="75" customHeight="1">
      <c r="A5096" s="2">
        <f>HYPERLINK("https://www.cafepress.com/mf/59920638/laptop_mugs?productId=1073821605", "https://www.cafepress.com/mf/59920638/laptop_mugs?productId=1073821605")</f>
        <v/>
      </c>
      <c r="B5096" s="2">
        <f>HYPERLINK("https://www.cafepress.com/mf/59920638/laptop_mugs?productId=1073821605", "https://www.cafepress.com/mf/59920638/laptop_mugs?productId=1073821605")</f>
        <v/>
      </c>
      <c r="C5096" t="inlineStr">
        <is>
          <t>Standard Mugs laptop 11 oz Ceramic Mug</t>
        </is>
      </c>
      <c r="D5096" t="inlineStr">
        <is>
          <t>Retreez Funny Mug - No, I Will Not Fix Your Computer 11 Oz Ceramic Coffee Mugs - Funny, Sarcasm, Sarcastic, Motivational, Inspirational birthday gifts for friends, coworkers, siblings, dad, mom</t>
        </is>
      </c>
      <c r="E5096" s="2">
        <f>HYPERLINK("https://www.amazon.com/Retreez-Funny-Mug-Motivational-Inspirational/dp/B0747GYXV1/ref=sr_1_2?keywords=Standard+Mugs+laptop+11+oz+Ceramic+Mug&amp;qid=1695565347&amp;sr=8-2", "https://www.amazon.com/Retreez-Funny-Mug-Motivational-Inspirational/dp/B0747GYXV1/ref=sr_1_2?keywords=Standard+Mugs+laptop+11+oz+Ceramic+Mug&amp;qid=1695565347&amp;sr=8-2")</f>
        <v/>
      </c>
      <c r="F5096" t="inlineStr">
        <is>
          <t>B0747GYXV1</t>
        </is>
      </c>
      <c r="H5096">
        <f>_xlfn.IMAGE("https://m.media-amazon.com/images/I/61Ww+q6iA8L._AC_UL320_.jpg")</f>
        <v/>
      </c>
      <c r="K5096" t="inlineStr">
        <is>
          <t>9.99</t>
        </is>
      </c>
      <c r="L5096" t="n">
        <v>15.55</v>
      </c>
      <c r="M5096" s="1" t="inlineStr">
        <is>
          <t>55.66%</t>
        </is>
      </c>
      <c r="N5096" t="n">
        <v>4.6</v>
      </c>
      <c r="O5096" t="n">
        <v>8</v>
      </c>
      <c r="Q5096" t="inlineStr">
        <is>
          <t>undefined</t>
        </is>
      </c>
      <c r="R5096" t="inlineStr">
        <is>
          <t>14.99</t>
        </is>
      </c>
      <c r="S5096" t="inlineStr">
        <is>
          <t>1073821605</t>
        </is>
      </c>
    </row>
    <row r="5097" ht="75" customHeight="1">
      <c r="A5097" s="2">
        <f>HYPERLINK("https://www.cafepress.com/mf/59920638/laptop_mugs?productId=1073821605", "https://www.cafepress.com/mf/59920638/laptop_mugs?productId=1073821605")</f>
        <v/>
      </c>
      <c r="B5097" s="2">
        <f>HYPERLINK("https://www.cafepress.com/mf/59920638/laptop_mugs?productId=1073821605", "https://www.cafepress.com/mf/59920638/laptop_mugs?productId=1073821605")</f>
        <v/>
      </c>
      <c r="C5097" t="inlineStr">
        <is>
          <t>Standard Mugs laptop 11 oz Ceramic Mug</t>
        </is>
      </c>
      <c r="D5097" t="inlineStr">
        <is>
          <t>CafePress Study Definition Mugs 11 oz (325 ml) Ceramic Coffee Mug</t>
        </is>
      </c>
      <c r="E5097" s="2">
        <f>HYPERLINK("https://www.amazon.com/CafePress-Study-Definition-Unique-Coffee/dp/B01CKIY8Y8/ref=sr_1_7?keywords=Standard+Mugs+laptop+11+oz+Ceramic+Mug&amp;qid=1695565347&amp;sr=8-7", "https://www.amazon.com/CafePress-Study-Definition-Unique-Coffee/dp/B01CKIY8Y8/ref=sr_1_7?keywords=Standard+Mugs+laptop+11+oz+Ceramic+Mug&amp;qid=1695565347&amp;sr=8-7")</f>
        <v/>
      </c>
      <c r="F5097" t="inlineStr">
        <is>
          <t>B01CKIY8Y8</t>
        </is>
      </c>
      <c r="H5097">
        <f>_xlfn.IMAGE("https://m.media-amazon.com/images/I/41aZiIn-bqL._AC_UL320_.jpg")</f>
        <v/>
      </c>
      <c r="K5097" t="inlineStr">
        <is>
          <t>9.99</t>
        </is>
      </c>
      <c r="L5097" t="n">
        <v>14.99</v>
      </c>
      <c r="M5097" s="1" t="inlineStr">
        <is>
          <t>50.05%</t>
        </is>
      </c>
      <c r="N5097" t="n">
        <v>5</v>
      </c>
      <c r="O5097" t="n">
        <v>6</v>
      </c>
      <c r="Q5097" t="inlineStr">
        <is>
          <t>undefined</t>
        </is>
      </c>
      <c r="R5097" t="inlineStr">
        <is>
          <t>14.99</t>
        </is>
      </c>
      <c r="S5097" t="inlineStr">
        <is>
          <t>1073821605</t>
        </is>
      </c>
    </row>
    <row r="5098" ht="75" customHeight="1">
      <c r="A5098" s="2">
        <f>HYPERLINK("https://www.cafepress.com/mf/59920638/laptop_mugs?productId=1073821605", "https://www.cafepress.com/mf/59920638/laptop_mugs?productId=1073821605")</f>
        <v/>
      </c>
      <c r="B5098" s="2">
        <f>HYPERLINK("https://www.cafepress.com/mf/59920638/laptop_mugs?productId=1073821605", "https://www.cafepress.com/mf/59920638/laptop_mugs?productId=1073821605")</f>
        <v/>
      </c>
      <c r="C5098" t="inlineStr">
        <is>
          <t>Standard Mugs laptop 11 oz Ceramic Mug</t>
        </is>
      </c>
      <c r="D5098" t="inlineStr">
        <is>
          <t>Hannah Choice Green Ceramic Coffee Mugs with Handle - Set of 4, 11oz/320ml Tea Cups for Home and Office - Dishwasher and Microwave Safe</t>
        </is>
      </c>
      <c r="E5098" s="2">
        <f>HYPERLINK("https://www.amazon.com/Ceramic-Hannah-Choice-Dishwasher-Microwave/dp/B09KSVHCWL/ref=sr_1_3?keywords=Standard+Mugs+laptop+11+oz+Ceramic+Mug&amp;qid=1695565347&amp;sr=8-3", "https://www.amazon.com/Ceramic-Hannah-Choice-Dishwasher-Microwave/dp/B09KSVHCWL/ref=sr_1_3?keywords=Standard+Mugs+laptop+11+oz+Ceramic+Mug&amp;qid=1695565347&amp;sr=8-3")</f>
        <v/>
      </c>
      <c r="F5098" t="inlineStr">
        <is>
          <t>B09KSVHCWL</t>
        </is>
      </c>
      <c r="H5098">
        <f>_xlfn.IMAGE("https://m.media-amazon.com/images/I/61BT+7y6f7L._AC_UL320_.jpg")</f>
        <v/>
      </c>
      <c r="K5098" t="inlineStr">
        <is>
          <t>9.99</t>
        </is>
      </c>
      <c r="L5098" t="n">
        <v>13.99</v>
      </c>
      <c r="M5098" s="1" t="inlineStr">
        <is>
          <t>40.04%</t>
        </is>
      </c>
      <c r="N5098" t="n">
        <v>4.1</v>
      </c>
      <c r="O5098" t="n">
        <v>80</v>
      </c>
      <c r="Q5098" t="inlineStr">
        <is>
          <t>undefined</t>
        </is>
      </c>
      <c r="R5098" t="inlineStr">
        <is>
          <t>14.99</t>
        </is>
      </c>
      <c r="S5098" t="inlineStr">
        <is>
          <t>1073821605</t>
        </is>
      </c>
    </row>
    <row r="5099" ht="75" customHeight="1">
      <c r="A5099" s="2">
        <f>HYPERLINK("https://www.cafepress.com/mf/60569444/trail-at-snr_sticker?productId=1076745311", "https://www.cafepress.com/mf/60569444/trail-at-snr_sticker?productId=1076745311")</f>
        <v/>
      </c>
      <c r="B5099" s="2">
        <f>HYPERLINK("https://www.cafepress.com/mf/60569444/trail-at-snr_sticker?productId=1076745311", "https://www.cafepress.com/mf/60569444/trail-at-snr_sticker?productId=1076745311")</f>
        <v/>
      </c>
      <c r="C5099" t="inlineStr">
        <is>
          <t>Trail- at SNR Sticker (Rectangle) Sticker (Oval)</t>
        </is>
      </c>
      <c r="D5099" t="inlineStr">
        <is>
          <t>JR Studio 3x5 inch Oval BWCA Boundary Waters Canoe Trail Sticker (Minnesota rv Hike Camp) Vinyl Decal Sticker Car Waterproof Car Decal Bumper Sticker</t>
        </is>
      </c>
      <c r="E5099" s="2">
        <f>HYPERLINK("https://www.amazon.com/JR-Studio-Boundary-Minnesota-Waterproof/dp/B07RSM5ZVV/ref=sr_1_6?keywords=Trail-+at+SNR+Sticker+%28Rectangle%29+Sticker+%28Oval%29&amp;qid=1695565358&amp;sr=8-6", "https://www.amazon.com/JR-Studio-Boundary-Minnesota-Waterproof/dp/B07RSM5ZVV/ref=sr_1_6?keywords=Trail-+at+SNR+Sticker+%28Rectangle%29+Sticker+%28Oval%29&amp;qid=1695565358&amp;sr=8-6")</f>
        <v/>
      </c>
      <c r="F5099" t="inlineStr">
        <is>
          <t>B07RSM5ZVV</t>
        </is>
      </c>
      <c r="H5099">
        <f>_xlfn.IMAGE("https://m.media-amazon.com/images/I/51gQtDtoURL._AC_UL320_.jpg")</f>
        <v/>
      </c>
      <c r="K5099" t="inlineStr">
        <is>
          <t>3.99</t>
        </is>
      </c>
      <c r="L5099" t="n">
        <v>4.99</v>
      </c>
      <c r="M5099" s="1" t="inlineStr">
        <is>
          <t>25.06%</t>
        </is>
      </c>
      <c r="N5099" t="n">
        <v>2</v>
      </c>
      <c r="O5099" t="n">
        <v>1</v>
      </c>
      <c r="Q5099" t="inlineStr">
        <is>
          <t>undefined</t>
        </is>
      </c>
      <c r="R5099" t="inlineStr">
        <is>
          <t>5.99</t>
        </is>
      </c>
      <c r="S5099" t="inlineStr">
        <is>
          <t>1076745311</t>
        </is>
      </c>
    </row>
    <row r="5100" ht="75" customHeight="1">
      <c r="A5100" s="2">
        <f>HYPERLINK("https://www.cafepress.com/mf/60569444/trail-at-snr_sticker?productId=1076745311", "https://www.cafepress.com/mf/60569444/trail-at-snr_sticker?productId=1076745311")</f>
        <v/>
      </c>
      <c r="B5100" s="2">
        <f>HYPERLINK("https://www.cafepress.com/mf/60569444/trail-at-snr_sticker?productId=1076745311", "https://www.cafepress.com/mf/60569444/trail-at-snr_sticker?productId=1076745311")</f>
        <v/>
      </c>
      <c r="C5100" t="inlineStr">
        <is>
          <t>Trail- at SNR Sticker (Rectangle) Sticker (Oval)</t>
        </is>
      </c>
      <c r="D5100" t="inlineStr">
        <is>
          <t>JR Studio 3x5 inch Black Oval Hike Sticker (Hiking Hiker Trail RV Outdoors Active Camping) Vinyl Decal Sticker Car Waterproof Car Decal Bumper Sticker</t>
        </is>
      </c>
      <c r="E5100" s="2">
        <f>HYPERLINK("https://www.amazon.com/JR-Studio-Sticker-Outdoors-Waterproof/dp/B07RRK4WMM/ref=sr_1_10?keywords=Trail-+at+SNR+Sticker+%28Rectangle%29+Sticker+%28Oval%29&amp;qid=1695565358&amp;sr=8-10", "https://www.amazon.com/JR-Studio-Sticker-Outdoors-Waterproof/dp/B07RRK4WMM/ref=sr_1_10?keywords=Trail-+at+SNR+Sticker+%28Rectangle%29+Sticker+%28Oval%29&amp;qid=1695565358&amp;sr=8-10")</f>
        <v/>
      </c>
      <c r="F5100" t="inlineStr">
        <is>
          <t>B07RRK4WMM</t>
        </is>
      </c>
      <c r="H5100">
        <f>_xlfn.IMAGE("https://m.media-amazon.com/images/I/416LeyoTqKL._AC_UL320_.jpg")</f>
        <v/>
      </c>
      <c r="K5100" t="inlineStr">
        <is>
          <t>3.99</t>
        </is>
      </c>
      <c r="L5100" t="n">
        <v>4.99</v>
      </c>
      <c r="M5100" s="1" t="inlineStr">
        <is>
          <t>25.06%</t>
        </is>
      </c>
      <c r="N5100" t="n">
        <v>5</v>
      </c>
      <c r="O5100" t="n">
        <v>2</v>
      </c>
      <c r="Q5100" t="inlineStr">
        <is>
          <t>undefined</t>
        </is>
      </c>
      <c r="R5100" t="inlineStr">
        <is>
          <t>5.99</t>
        </is>
      </c>
      <c r="S5100" t="inlineStr">
        <is>
          <t>1076745311</t>
        </is>
      </c>
    </row>
    <row r="5101" ht="75" customHeight="1">
      <c r="A5101" s="2">
        <f>HYPERLINK("https://www.cafepress.com/mf/60569444/trail-at-snr_sticker?productId=1076745311", "https://www.cafepress.com/mf/60569444/trail-at-snr_sticker?productId=1076745311")</f>
        <v/>
      </c>
      <c r="B5101" s="2">
        <f>HYPERLINK("https://www.cafepress.com/mf/60569444/trail-at-snr_sticker?productId=1076745311", "https://www.cafepress.com/mf/60569444/trail-at-snr_sticker?productId=1076745311")</f>
        <v/>
      </c>
      <c r="C5101" t="inlineStr">
        <is>
          <t>Trail- at SNR Sticker (Rectangle) Sticker (Oval)</t>
        </is>
      </c>
      <c r="D5101" t="inlineStr">
        <is>
          <t>JR Studio 3x5 inch Oval 2,663 Pacific Crest Trail Miles Sticker (Hiking Hike pct 2663 rv) Vinyl Decal Sticker Car Waterproof Car Decal Bumper Sticker</t>
        </is>
      </c>
      <c r="E5101" s="2">
        <f>HYPERLINK("https://www.amazon.com/JR-Studio-Pacific-Sticker-Waterproof/dp/B07RQFX87Q/ref=sr_1_2?keywords=Trail-+at+SNR+Sticker+%28Rectangle%29+Sticker+%28Oval%29&amp;qid=1695565358&amp;sr=8-2", "https://www.amazon.com/JR-Studio-Pacific-Sticker-Waterproof/dp/B07RQFX87Q/ref=sr_1_2?keywords=Trail-+at+SNR+Sticker+%28Rectangle%29+Sticker+%28Oval%29&amp;qid=1695565358&amp;sr=8-2")</f>
        <v/>
      </c>
      <c r="F5101" t="inlineStr">
        <is>
          <t>B07RQFX87Q</t>
        </is>
      </c>
      <c r="H5101">
        <f>_xlfn.IMAGE("https://m.media-amazon.com/images/I/41QiBQnp-GL._AC_UL320_.jpg")</f>
        <v/>
      </c>
      <c r="K5101" t="inlineStr">
        <is>
          <t>3.99</t>
        </is>
      </c>
      <c r="L5101" t="n">
        <v>4.99</v>
      </c>
      <c r="M5101" s="1" t="inlineStr">
        <is>
          <t>25.06%</t>
        </is>
      </c>
      <c r="N5101" t="n">
        <v>5</v>
      </c>
      <c r="O5101" t="n">
        <v>1</v>
      </c>
      <c r="Q5101" t="inlineStr">
        <is>
          <t>undefined</t>
        </is>
      </c>
      <c r="R5101" t="inlineStr">
        <is>
          <t>5.99</t>
        </is>
      </c>
      <c r="S5101" t="inlineStr">
        <is>
          <t>1076745311</t>
        </is>
      </c>
    </row>
    <row r="5102" ht="75" customHeight="1">
      <c r="A5102" s="2">
        <f>HYPERLINK("https://www.cafepress.com/mf/60748983/autumn-leaves-fall_mugs?productId=584570586", "https://www.cafepress.com/mf/60748983/autumn-leaves-fall_mugs?productId=584570586")</f>
        <v/>
      </c>
      <c r="B5102" s="2">
        <f>HYPERLINK("https://www.cafepress.com/mf/60748983/autumn-leaves-fall_mugs?productId=584570586", "https://www.cafepress.com/mf/60748983/autumn-leaves-fall_mugs?productId=584570586")</f>
        <v/>
      </c>
      <c r="C5102" t="inlineStr">
        <is>
          <t>Autumn Leaves Fall 11 oz Ceramic Mug</t>
        </is>
      </c>
      <c r="D5102" t="inlineStr">
        <is>
          <t>Lunarable Pumpkin Mug, Autumn Leaves and Fruits on Fall Season Arrangement Pine Cone Cranberries, Ceramic Coffee Mug Cup for Water Tea Drinks, 11 oz, Orange Yellow</t>
        </is>
      </c>
      <c r="E5102" s="2">
        <f>HYPERLINK("https://www.amazon.com/Lunarable-Pumpkin-Arrangement-Cranberries-Printed/dp/B07C8G3M7M/ref=sr_1_6?keywords=Autumn+Leaves+Fall+11+oz+Ceramic+Mug&amp;qid=1695565323&amp;sr=8-6", "https://www.amazon.com/Lunarable-Pumpkin-Arrangement-Cranberries-Printed/dp/B07C8G3M7M/ref=sr_1_6?keywords=Autumn+Leaves+Fall+11+oz+Ceramic+Mug&amp;qid=1695565323&amp;sr=8-6")</f>
        <v/>
      </c>
      <c r="F5102" t="inlineStr">
        <is>
          <t>B07C8G3M7M</t>
        </is>
      </c>
      <c r="H5102">
        <f>_xlfn.IMAGE("https://m.media-amazon.com/images/I/717IPdUKb0L._AC_UL320_.jpg")</f>
        <v/>
      </c>
      <c r="K5102" t="inlineStr">
        <is>
          <t>9.99</t>
        </is>
      </c>
      <c r="L5102" t="n">
        <v>18.95</v>
      </c>
      <c r="M5102" s="1" t="inlineStr">
        <is>
          <t>89.69%</t>
        </is>
      </c>
      <c r="N5102" t="n">
        <v>4.5</v>
      </c>
      <c r="O5102" t="n">
        <v>114</v>
      </c>
      <c r="Q5102" t="inlineStr">
        <is>
          <t>undefined</t>
        </is>
      </c>
      <c r="R5102" t="inlineStr">
        <is>
          <t>14.99</t>
        </is>
      </c>
      <c r="S5102" t="inlineStr">
        <is>
          <t>584570586</t>
        </is>
      </c>
    </row>
    <row r="5103" ht="75" customHeight="1">
      <c r="A5103" s="2">
        <f>HYPERLINK("https://www.cafepress.com/mf/60748983/autumn-leaves-fall_mugs?productId=584570586", "https://www.cafepress.com/mf/60748983/autumn-leaves-fall_mugs?productId=584570586")</f>
        <v/>
      </c>
      <c r="B5103" s="2">
        <f>HYPERLINK("https://www.cafepress.com/mf/60748983/autumn-leaves-fall_mugs?productId=584570586", "https://www.cafepress.com/mf/60748983/autumn-leaves-fall_mugs?productId=584570586")</f>
        <v/>
      </c>
      <c r="C5103" t="inlineStr">
        <is>
          <t>Autumn Leaves Fall 11 oz Ceramic Mug</t>
        </is>
      </c>
      <c r="D5103" t="inlineStr">
        <is>
          <t>Ambesonne Fall Mug, Image of Canadian Maple Tree Leaves in Autumn Season with Soft Reflection Effects, Ceramic Coffee Mug Cup for Water Tea Drinks, 11 oz, White Orange</t>
        </is>
      </c>
      <c r="E5103" s="2">
        <f>HYPERLINK("https://www.amazon.com/Ambesonne-Canadian-Reflection-Effects-Printed/dp/B077ZQNM68/ref=sr_1_5?keywords=Autumn+Leaves+Fall+11+oz+Ceramic+Mug&amp;qid=1695565323&amp;sr=8-5", "https://www.amazon.com/Ambesonne-Canadian-Reflection-Effects-Printed/dp/B077ZQNM68/ref=sr_1_5?keywords=Autumn+Leaves+Fall+11+oz+Ceramic+Mug&amp;qid=1695565323&amp;sr=8-5")</f>
        <v/>
      </c>
      <c r="F5103" t="inlineStr">
        <is>
          <t>B077ZQNM68</t>
        </is>
      </c>
      <c r="H5103">
        <f>_xlfn.IMAGE("https://m.media-amazon.com/images/I/71dM4-CkoeL._AC_UL320_.jpg")</f>
        <v/>
      </c>
      <c r="K5103" t="inlineStr">
        <is>
          <t>9.99</t>
        </is>
      </c>
      <c r="L5103" t="n">
        <v>18.95</v>
      </c>
      <c r="M5103" s="1" t="inlineStr">
        <is>
          <t>89.69%</t>
        </is>
      </c>
      <c r="N5103" t="n">
        <v>4.4</v>
      </c>
      <c r="O5103" t="n">
        <v>84</v>
      </c>
      <c r="Q5103" t="inlineStr">
        <is>
          <t>undefined</t>
        </is>
      </c>
      <c r="R5103" t="inlineStr">
        <is>
          <t>14.99</t>
        </is>
      </c>
      <c r="S5103" t="inlineStr">
        <is>
          <t>584570586</t>
        </is>
      </c>
    </row>
    <row r="5104" ht="75" customHeight="1">
      <c r="A5104" s="2">
        <f>HYPERLINK("https://www.cafepress.com/mf/60748983/autumn-leaves-fall_mugs?productId=584570586", "https://www.cafepress.com/mf/60748983/autumn-leaves-fall_mugs?productId=584570586")</f>
        <v/>
      </c>
      <c r="B5104" s="2">
        <f>HYPERLINK("https://www.cafepress.com/mf/60748983/autumn-leaves-fall_mugs?productId=584570586", "https://www.cafepress.com/mf/60748983/autumn-leaves-fall_mugs?productId=584570586")</f>
        <v/>
      </c>
      <c r="C5104" t="inlineStr">
        <is>
          <t>Autumn Leaves Fall 11 oz Ceramic Mug</t>
        </is>
      </c>
      <c r="D5104" t="inlineStr">
        <is>
          <t>Andaz Press Fall Autumn Season 11oz. Coffee Mug Gift, Leaves are Falling Coffee is Calling, 1-Pack, Themed Birthday Gift Ideas for Hostess Friends Coworkers</t>
        </is>
      </c>
      <c r="E5104" s="2">
        <f>HYPERLINK("https://www.amazon.com/Andaz-Press-Falling-Birthday-Coworkers/dp/B07Y587TQ3/ref=sr_1_10?keywords=Autumn+Leaves+Fall+11+oz+Ceramic+Mug&amp;qid=1695565323&amp;sr=8-10", "https://www.amazon.com/Andaz-Press-Falling-Birthday-Coworkers/dp/B07Y587TQ3/ref=sr_1_10?keywords=Autumn+Leaves+Fall+11+oz+Ceramic+Mug&amp;qid=1695565323&amp;sr=8-10")</f>
        <v/>
      </c>
      <c r="F5104" t="inlineStr">
        <is>
          <t>B07Y587TQ3</t>
        </is>
      </c>
      <c r="H5104">
        <f>_xlfn.IMAGE("https://m.media-amazon.com/images/I/61AFe6yT-1L._AC_UL320_.jpg")</f>
        <v/>
      </c>
      <c r="K5104" t="inlineStr">
        <is>
          <t>9.99</t>
        </is>
      </c>
      <c r="L5104" t="n">
        <v>17.99</v>
      </c>
      <c r="M5104" s="1" t="inlineStr">
        <is>
          <t>80.08%</t>
        </is>
      </c>
      <c r="N5104" t="n">
        <v>5</v>
      </c>
      <c r="O5104" t="n">
        <v>4</v>
      </c>
      <c r="Q5104" t="inlineStr">
        <is>
          <t>undefined</t>
        </is>
      </c>
      <c r="R5104" t="inlineStr">
        <is>
          <t>14.99</t>
        </is>
      </c>
      <c r="S5104" t="inlineStr">
        <is>
          <t>584570586</t>
        </is>
      </c>
    </row>
    <row r="5105" ht="75" customHeight="1">
      <c r="A5105" s="2">
        <f>HYPERLINK("https://www.cafepress.com/mf/60748983/autumn-leaves-fall_mugs?productId=584570586", "https://www.cafepress.com/mf/60748983/autumn-leaves-fall_mugs?productId=584570586")</f>
        <v/>
      </c>
      <c r="B5105" s="2">
        <f>HYPERLINK("https://www.cafepress.com/mf/60748983/autumn-leaves-fall_mugs?productId=584570586", "https://www.cafepress.com/mf/60748983/autumn-leaves-fall_mugs?productId=584570586")</f>
        <v/>
      </c>
      <c r="C5105" t="inlineStr">
        <is>
          <t>Autumn Leaves Fall 11 oz Ceramic Mug</t>
        </is>
      </c>
      <c r="D5105" t="inlineStr">
        <is>
          <t>Autumn Leaves and Pumpkin Please 11oz Mug Sweater Weather Coffee Mug Fall Coffee Mug Cups Gift Ideas Autumn Coffee Mug Hello Pumpkin Thanksgiving Mug Gift For Her</t>
        </is>
      </c>
      <c r="E5105" s="2">
        <f>HYPERLINK("https://www.amazon.com/Rosara-Pumpkin-Sweater-Weather-Thanksgiving/dp/B09BNKT72Q/ref=sr_1_4?keywords=Autumn+Leaves+Fall+11+oz+Ceramic+Mug&amp;qid=1695565323&amp;sr=8-4", "https://www.amazon.com/Rosara-Pumpkin-Sweater-Weather-Thanksgiving/dp/B09BNKT72Q/ref=sr_1_4?keywords=Autumn+Leaves+Fall+11+oz+Ceramic+Mug&amp;qid=1695565323&amp;sr=8-4")</f>
        <v/>
      </c>
      <c r="F5105" t="inlineStr">
        <is>
          <t>B09BNKT72Q</t>
        </is>
      </c>
      <c r="H5105">
        <f>_xlfn.IMAGE("https://m.media-amazon.com/images/I/61lqXTvTfQL._AC_UL320_.jpg")</f>
        <v/>
      </c>
      <c r="K5105" t="inlineStr">
        <is>
          <t>9.99</t>
        </is>
      </c>
      <c r="L5105" t="n">
        <v>14.99</v>
      </c>
      <c r="M5105" s="1" t="inlineStr">
        <is>
          <t>50.05%</t>
        </is>
      </c>
      <c r="N5105" t="n">
        <v>4.7</v>
      </c>
      <c r="O5105" t="n">
        <v>12</v>
      </c>
      <c r="Q5105" t="inlineStr">
        <is>
          <t>undefined</t>
        </is>
      </c>
      <c r="R5105" t="inlineStr">
        <is>
          <t>14.99</t>
        </is>
      </c>
      <c r="S5105" t="inlineStr">
        <is>
          <t>584570586</t>
        </is>
      </c>
    </row>
    <row r="5106" ht="75" customHeight="1">
      <c r="A5106" s="2">
        <f>HYPERLINK("https://www.cafepress.com/mf/60748983/autumn-leaves-fall_mugs?productId=584570586", "https://www.cafepress.com/mf/60748983/autumn-leaves-fall_mugs?productId=584570586")</f>
        <v/>
      </c>
      <c r="B5106" s="2">
        <f>HYPERLINK("https://www.cafepress.com/mf/60748983/autumn-leaves-fall_mugs?productId=584570586", "https://www.cafepress.com/mf/60748983/autumn-leaves-fall_mugs?productId=584570586")</f>
        <v/>
      </c>
      <c r="C5106" t="inlineStr">
        <is>
          <t>Autumn Leaves Fall 11 oz Ceramic Mug</t>
        </is>
      </c>
      <c r="D5106" t="inlineStr">
        <is>
          <t>Autumn Leaves and Pumpkin Please Coffee Mug Fall Season Cute Funny Motivation Inspiration 11-ounce White Ceramic Cup CMP00097</t>
        </is>
      </c>
      <c r="E5106" s="2">
        <f>HYPERLINK("https://www.amazon.com/Pumpkin-Motivation-Inspiration-11-ounce-CMP00097/dp/B08JTBN3WH/ref=sr_1_2?keywords=Autumn+Leaves+Fall+11+oz+Ceramic+Mug&amp;qid=1695565323&amp;sr=8-2", "https://www.amazon.com/Pumpkin-Motivation-Inspiration-11-ounce-CMP00097/dp/B08JTBN3WH/ref=sr_1_2?keywords=Autumn+Leaves+Fall+11+oz+Ceramic+Mug&amp;qid=1695565323&amp;sr=8-2")</f>
        <v/>
      </c>
      <c r="F5106" t="inlineStr">
        <is>
          <t>B08JTBN3WH</t>
        </is>
      </c>
      <c r="H5106">
        <f>_xlfn.IMAGE("https://m.media-amazon.com/images/I/61wEgUdy0iL._AC_UL320_.jpg")</f>
        <v/>
      </c>
      <c r="K5106" t="inlineStr">
        <is>
          <t>9.99</t>
        </is>
      </c>
      <c r="L5106" t="n">
        <v>14.95</v>
      </c>
      <c r="M5106" s="1" t="inlineStr">
        <is>
          <t>49.65%</t>
        </is>
      </c>
      <c r="N5106" t="n">
        <v>5</v>
      </c>
      <c r="O5106" t="n">
        <v>1</v>
      </c>
      <c r="Q5106" t="inlineStr">
        <is>
          <t>undefined</t>
        </is>
      </c>
      <c r="R5106" t="inlineStr">
        <is>
          <t>14.99</t>
        </is>
      </c>
      <c r="S5106" t="inlineStr">
        <is>
          <t>584570586</t>
        </is>
      </c>
    </row>
    <row r="5107" ht="75" customHeight="1">
      <c r="A5107" s="2">
        <f>HYPERLINK("https://www.cafepress.com/mf/66994279/dangerous-path_mugs?productId=653618613", "https://www.cafepress.com/mf/66994279/dangerous-path_mugs?productId=653618613")</f>
        <v/>
      </c>
      <c r="B5107" s="2">
        <f>HYPERLINK("https://www.cafepress.com/mf/66994279/dangerous-path_mugs?productId=653618613", "https://www.cafepress.com/mf/66994279/dangerous-path_mugs?productId=653618613")</f>
        <v/>
      </c>
      <c r="C5107" t="inlineStr">
        <is>
          <t>Dangerous path 11 oz Ceramic Mug</t>
        </is>
      </c>
      <c r="D5107" t="inlineStr">
        <is>
          <t>Andaz Press Funny Ceramic 11oz. Coffee Mug Gift, I'd Walk Through Fire For Bestie. Well, Not Fire, That Would Be Dangerous. But A Super Humid Room, But Not Too Humid, 1-Pack</t>
        </is>
      </c>
      <c r="E5107" s="2">
        <f>HYPERLINK("https://www.amazon.com/Andaz-Press-Ceramic-Through-Dangerous/dp/B085XWB892/ref=sr_1_2?keywords=Dangerous+path+11+oz+Ceramic+Mug&amp;qid=1695565313&amp;sr=8-2", "https://www.amazon.com/Andaz-Press-Ceramic-Through-Dangerous/dp/B085XWB892/ref=sr_1_2?keywords=Dangerous+path+11+oz+Ceramic+Mug&amp;qid=1695565313&amp;sr=8-2")</f>
        <v/>
      </c>
      <c r="F5107" t="inlineStr">
        <is>
          <t>B085XWB892</t>
        </is>
      </c>
      <c r="H5107">
        <f>_xlfn.IMAGE("https://m.media-amazon.com/images/I/61JtkmCk8bL._AC_UL320_.jpg")</f>
        <v/>
      </c>
      <c r="K5107" t="inlineStr">
        <is>
          <t>9.99</t>
        </is>
      </c>
      <c r="L5107" t="n">
        <v>17.99</v>
      </c>
      <c r="M5107" s="1" t="inlineStr">
        <is>
          <t>80.08%</t>
        </is>
      </c>
      <c r="N5107" t="n">
        <v>5</v>
      </c>
      <c r="O5107" t="n">
        <v>1</v>
      </c>
      <c r="Q5107" t="inlineStr">
        <is>
          <t>undefined</t>
        </is>
      </c>
      <c r="R5107" t="inlineStr">
        <is>
          <t>14.99</t>
        </is>
      </c>
      <c r="S5107" t="inlineStr">
        <is>
          <t>653618613</t>
        </is>
      </c>
    </row>
    <row r="5108" ht="75" customHeight="1">
      <c r="A5108" s="2">
        <f>HYPERLINK("https://www.cafepress.com/mf/66994279/dangerous-path_mugs?productId=653618613", "https://www.cafepress.com/mf/66994279/dangerous-path_mugs?productId=653618613")</f>
        <v/>
      </c>
      <c r="B5108" s="2">
        <f>HYPERLINK("https://www.cafepress.com/mf/66994279/dangerous-path_mugs?productId=653618613", "https://www.cafepress.com/mf/66994279/dangerous-path_mugs?productId=653618613")</f>
        <v/>
      </c>
      <c r="C5108" t="inlineStr">
        <is>
          <t>Dangerous path 11 oz Ceramic Mug</t>
        </is>
      </c>
      <c r="D5108" t="inlineStr">
        <is>
          <t>Elite Dangerous - Delacy 11 Oz White Ceramic.11 Oz Ceramic Glossy Mugs Gift For Coffee Lover.</t>
        </is>
      </c>
      <c r="E5108" s="2">
        <f>HYPERLINK("https://www.amazon.com/Elite-Dangerous-Delacy-Ceramic-11-Ceramic/dp/B07PLRJD27/ref=sr_1_1?keywords=Dangerous+path+11+oz+Ceramic+Mug&amp;qid=1695565313&amp;sr=8-1", "https://www.amazon.com/Elite-Dangerous-Delacy-Ceramic-11-Ceramic/dp/B07PLRJD27/ref=sr_1_1?keywords=Dangerous+path+11+oz+Ceramic+Mug&amp;qid=1695565313&amp;sr=8-1")</f>
        <v/>
      </c>
      <c r="F5108" t="inlineStr">
        <is>
          <t>B07PLRJD27</t>
        </is>
      </c>
      <c r="H5108">
        <f>_xlfn.IMAGE("https://m.media-amazon.com/images/I/415TMZw3WaL._AC_UL320_.jpg")</f>
        <v/>
      </c>
      <c r="K5108" t="inlineStr">
        <is>
          <t>9.99</t>
        </is>
      </c>
      <c r="L5108" t="n">
        <v>17.95</v>
      </c>
      <c r="M5108" s="1" t="inlineStr">
        <is>
          <t>79.68%</t>
        </is>
      </c>
      <c r="N5108" t="n">
        <v>5</v>
      </c>
      <c r="O5108" t="n">
        <v>1</v>
      </c>
      <c r="Q5108" t="inlineStr">
        <is>
          <t>undefined</t>
        </is>
      </c>
      <c r="R5108" t="inlineStr">
        <is>
          <t>14.99</t>
        </is>
      </c>
      <c r="S5108" t="inlineStr">
        <is>
          <t>653618613</t>
        </is>
      </c>
    </row>
    <row r="5109" ht="75" customHeight="1">
      <c r="A5109" s="2">
        <f>HYPERLINK("https://www.cafepress.com/mf/66994279/dangerous-path_mugs?productId=653618613", "https://www.cafepress.com/mf/66994279/dangerous-path_mugs?productId=653618613")</f>
        <v/>
      </c>
      <c r="B5109" s="2">
        <f>HYPERLINK("https://www.cafepress.com/mf/66994279/dangerous-path_mugs?productId=653618613", "https://www.cafepress.com/mf/66994279/dangerous-path_mugs?productId=653618613")</f>
        <v/>
      </c>
      <c r="C5109" t="inlineStr">
        <is>
          <t>Dangerous path 11 oz Ceramic Mug</t>
        </is>
      </c>
      <c r="D5109" t="inlineStr">
        <is>
          <t>A Silent Female Very Dangerous White Coffee Mug 11oz, Unique Gift Idea, Novelty Cup. Coffee Ceramic Mug</t>
        </is>
      </c>
      <c r="E5109" s="2">
        <f>HYPERLINK("https://www.amazon.com/Silent-Female-Dangerous-Novelty-Ceramic/dp/B0BZ4RH9Q1/ref=sr_1_4?keywords=Dangerous+path+11+oz+Ceramic+Mug&amp;qid=1695565313&amp;sr=8-4", "https://www.amazon.com/Silent-Female-Dangerous-Novelty-Ceramic/dp/B0BZ4RH9Q1/ref=sr_1_4?keywords=Dangerous+path+11+oz+Ceramic+Mug&amp;qid=1695565313&amp;sr=8-4")</f>
        <v/>
      </c>
      <c r="F5109" t="inlineStr">
        <is>
          <t>B0BZ4RH9Q1</t>
        </is>
      </c>
      <c r="H5109">
        <f>_xlfn.IMAGE("https://m.media-amazon.com/images/I/61JpWi9Ls0L._AC_UL320_.jpg")</f>
        <v/>
      </c>
      <c r="K5109" t="inlineStr">
        <is>
          <t>9.99</t>
        </is>
      </c>
      <c r="L5109" t="n">
        <v>14.49</v>
      </c>
      <c r="M5109" s="1" t="inlineStr">
        <is>
          <t>45.05%</t>
        </is>
      </c>
      <c r="N5109" t="n">
        <v>4</v>
      </c>
      <c r="O5109" t="n">
        <v>1</v>
      </c>
      <c r="Q5109" t="inlineStr">
        <is>
          <t>undefined</t>
        </is>
      </c>
      <c r="R5109" t="inlineStr">
        <is>
          <t>14.99</t>
        </is>
      </c>
      <c r="S5109" t="inlineStr">
        <is>
          <t>653618613</t>
        </is>
      </c>
    </row>
    <row r="5110" ht="75" customHeight="1">
      <c r="A5110" s="2">
        <f>HYPERLINK("https://www.cafepress.com/mf/70525512/jack-frost-poster_sticker?productId=1128221672", "https://www.cafepress.com/mf/70525512/jack-frost-poster_sticker?productId=1128221672")</f>
        <v/>
      </c>
      <c r="B5110" s="2">
        <f>HYPERLINK("https://www.cafepress.com/mf/70525512/jack-frost-poster_sticker?productId=1128221672", "https://www.cafepress.com/mf/70525512/jack-frost-poster_sticker?productId=1128221672")</f>
        <v/>
      </c>
      <c r="C5110" t="inlineStr">
        <is>
          <t>Jack Frost Poster Sticker (Rectangle) Sticker (Oval)</t>
        </is>
      </c>
      <c r="D5110" t="inlineStr">
        <is>
          <t>CafePress Jack Frost Big Boulder Blakeslee Pennsylvani Oval Car Bumper Sticker</t>
        </is>
      </c>
      <c r="E5110" s="2">
        <f>HYPERLINK("https://www.amazon.com/CafePress-Boulder-Blakeslee-Pennsylvani-Sticker/dp/B07TDR2224/ref=sr_1_1?keywords=Jack+Frost+Poster+Sticker+%28Rectangle%29+Sticker+%28Oval%29&amp;qid=1695565336&amp;sr=8-1", "https://www.amazon.com/CafePress-Boulder-Blakeslee-Pennsylvani-Sticker/dp/B07TDR2224/ref=sr_1_1?keywords=Jack+Frost+Poster+Sticker+%28Rectangle%29+Sticker+%28Oval%29&amp;qid=1695565336&amp;sr=8-1")</f>
        <v/>
      </c>
      <c r="F5110" t="inlineStr">
        <is>
          <t>B07TDR2224</t>
        </is>
      </c>
      <c r="H5110">
        <f>_xlfn.IMAGE("https://m.media-amazon.com/images/I/41qu63lCH2L._AC_UL320_.jpg")</f>
        <v/>
      </c>
      <c r="K5110" t="inlineStr">
        <is>
          <t>3.99</t>
        </is>
      </c>
      <c r="L5110" t="n">
        <v>9.99</v>
      </c>
      <c r="M5110" s="1" t="inlineStr">
        <is>
          <t>150.38%</t>
        </is>
      </c>
      <c r="N5110" t="n">
        <v>5</v>
      </c>
      <c r="O5110" t="n">
        <v>2</v>
      </c>
      <c r="Q5110" t="inlineStr">
        <is>
          <t>undefined</t>
        </is>
      </c>
      <c r="R5110" t="inlineStr">
        <is>
          <t>5.99</t>
        </is>
      </c>
      <c r="S5110" t="inlineStr">
        <is>
          <t>1128221672</t>
        </is>
      </c>
    </row>
    <row r="5111" ht="75" customHeight="1">
      <c r="A5111" s="2">
        <f>HYPERLINK("https://www.cafepress.com/mf/72405810/fall-entertainment_mugs?productId=714095730", "https://www.cafepress.com/mf/72405810/fall-entertainment_mugs?productId=714095730")</f>
        <v/>
      </c>
      <c r="B5111" s="2">
        <f>HYPERLINK("https://www.cafepress.com/mf/72405810/fall-entertainment_mugs?productId=714095730", "https://www.cafepress.com/mf/72405810/fall-entertainment_mugs?productId=714095730")</f>
        <v/>
      </c>
      <c r="C5111" t="inlineStr">
        <is>
          <t>Standard Mugs Fall Entertainment 11 oz Ceramic Mug</t>
        </is>
      </c>
      <c r="D5111" t="inlineStr">
        <is>
          <t>4 Pcs Fall Coffee Mugs 11 oz Fall Autumn Pumpkin Mug Happy Fall Y'all Ceramic Cups Orange Autumn Fall Home Decor Kitchen Accessories Camp Campfire Tea Cup Thanksgiving Gift for Mom Dad Grandpa Grandma</t>
        </is>
      </c>
      <c r="E5111" s="2">
        <f>HYPERLINK("https://www.amazon.com/Fall-Mug-Accessories-Campfire-Thanksgiving/dp/B0CC86RYJW/ref=sr_1_2?keywords=Standard+Mugs+Fall+Entertainment+11+oz+Ceramic+Mug&amp;qid=1695565300&amp;sr=8-2", "https://www.amazon.com/Fall-Mug-Accessories-Campfire-Thanksgiving/dp/B0CC86RYJW/ref=sr_1_2?keywords=Standard+Mugs+Fall+Entertainment+11+oz+Ceramic+Mug&amp;qid=1695565300&amp;sr=8-2")</f>
        <v/>
      </c>
      <c r="F5111" t="inlineStr">
        <is>
          <t>B0CC86RYJW</t>
        </is>
      </c>
      <c r="H5111">
        <f>_xlfn.IMAGE("https://m.media-amazon.com/images/I/71Ph0C6SZnL._AC_UL320_.jpg")</f>
        <v/>
      </c>
      <c r="K5111" t="inlineStr">
        <is>
          <t>9.99</t>
        </is>
      </c>
      <c r="L5111" t="n">
        <v>24.99</v>
      </c>
      <c r="M5111" s="1" t="inlineStr">
        <is>
          <t>150.15%</t>
        </is>
      </c>
      <c r="N5111" t="n">
        <v>5</v>
      </c>
      <c r="O5111" t="n">
        <v>2</v>
      </c>
      <c r="Q5111" t="inlineStr">
        <is>
          <t>undefined</t>
        </is>
      </c>
      <c r="R5111" t="inlineStr">
        <is>
          <t>14.99</t>
        </is>
      </c>
      <c r="S5111" t="inlineStr">
        <is>
          <t>714095730</t>
        </is>
      </c>
    </row>
    <row r="5112" ht="75" customHeight="1">
      <c r="A5112" s="2">
        <f>HYPERLINK("https://www.cafepress.com/mf/72466909/walking-tree-2_mugs?productId=673667303", "https://www.cafepress.com/mf/72466909/walking-tree-2_mugs?productId=673667303")</f>
        <v/>
      </c>
      <c r="B5112" s="2">
        <f>HYPERLINK("https://www.cafepress.com/mf/72466909/walking-tree-2_mugs?productId=673667303", "https://www.cafepress.com/mf/72466909/walking-tree-2_mugs?productId=673667303")</f>
        <v/>
      </c>
      <c r="C5112" t="inlineStr">
        <is>
          <t>Walking Tree 2 11 oz Ceramic Mug</t>
        </is>
      </c>
      <c r="D5112" t="inlineStr">
        <is>
          <t>Jumou Heart Tree Coffee Mug 11 OZ Cute Funny Ceramic Cup Women Men Novelty Gifts Microwave Office Home Decor</t>
        </is>
      </c>
      <c r="E5112" s="2">
        <f>HYPERLINK("https://www.amazon.com/Jumou-Coffee-Ceramic-Novelty-Microwave/dp/B0CC92QXLD/ref=sr_1_9?keywords=Walking+Tree+2+11+oz+Ceramic+Mug&amp;qid=1695565352&amp;sr=8-9", "https://www.amazon.com/Jumou-Coffee-Ceramic-Novelty-Microwave/dp/B0CC92QXLD/ref=sr_1_9?keywords=Walking+Tree+2+11+oz+Ceramic+Mug&amp;qid=1695565352&amp;sr=8-9")</f>
        <v/>
      </c>
      <c r="F5112" t="inlineStr">
        <is>
          <t>B0CC92QXLD</t>
        </is>
      </c>
      <c r="H5112">
        <f>_xlfn.IMAGE("https://m.media-amazon.com/images/I/61UpRZqk3xL._AC_UL320_.jpg")</f>
        <v/>
      </c>
      <c r="K5112" t="inlineStr">
        <is>
          <t>9.99</t>
        </is>
      </c>
      <c r="L5112" t="n">
        <v>14.99</v>
      </c>
      <c r="M5112" s="1" t="inlineStr">
        <is>
          <t>50.05%</t>
        </is>
      </c>
      <c r="N5112" t="n">
        <v>4.3</v>
      </c>
      <c r="O5112" t="n">
        <v>15</v>
      </c>
      <c r="Q5112" t="inlineStr">
        <is>
          <t>undefined</t>
        </is>
      </c>
      <c r="R5112" t="inlineStr">
        <is>
          <t>14.99</t>
        </is>
      </c>
      <c r="S5112" t="inlineStr">
        <is>
          <t>673667303</t>
        </is>
      </c>
    </row>
    <row r="5113" ht="75" customHeight="1">
      <c r="A5113" s="2">
        <f>HYPERLINK("https://www.cafepress.com/mf/76109198/strawberry_mugs?productId=779546809", "https://www.cafepress.com/mf/76109198/strawberry_mugs?productId=779546809")</f>
        <v/>
      </c>
      <c r="B5113" s="2">
        <f>HYPERLINK("https://www.cafepress.com/mf/76109198/strawberry_mugs?productId=779546809", "https://www.cafepress.com/mf/76109198/strawberry_mugs?productId=779546809")</f>
        <v/>
      </c>
      <c r="C5113" t="inlineStr">
        <is>
          <t>Standard Mugs Strawberry 11 oz Ceramic Mug</t>
        </is>
      </c>
      <c r="D5113" t="inlineStr">
        <is>
          <t>Black Cat On Red Strawberry Coffee Mug for Women 11 oz Funny Novelty Ceramic Tea Milk Cup for Girl Office Home Gifts</t>
        </is>
      </c>
      <c r="E5113" s="2">
        <f>HYPERLINK("https://www.amazon.com/Strawberry-Coffee-Novelty-Ceramic-Office/dp/B09D2SR62M/ref=sr_1_8?keywords=Standard+Mugs+Strawberry+11+oz+Ceramic+Mug&amp;qid=1695565313&amp;sr=8-8", "https://www.amazon.com/Strawberry-Coffee-Novelty-Ceramic-Office/dp/B09D2SR62M/ref=sr_1_8?keywords=Standard+Mugs+Strawberry+11+oz+Ceramic+Mug&amp;qid=1695565313&amp;sr=8-8")</f>
        <v/>
      </c>
      <c r="F5113" t="inlineStr">
        <is>
          <t>B09D2SR62M</t>
        </is>
      </c>
      <c r="H5113">
        <f>_xlfn.IMAGE("https://m.media-amazon.com/images/I/61Haos+eISL._AC_UL320_.jpg")</f>
        <v/>
      </c>
      <c r="K5113" t="inlineStr">
        <is>
          <t>9.99</t>
        </is>
      </c>
      <c r="L5113" t="n">
        <v>17.89</v>
      </c>
      <c r="M5113" s="1" t="inlineStr">
        <is>
          <t>79.08%</t>
        </is>
      </c>
      <c r="N5113" t="n">
        <v>4.2</v>
      </c>
      <c r="O5113" t="n">
        <v>22</v>
      </c>
      <c r="Q5113" t="inlineStr">
        <is>
          <t>undefined</t>
        </is>
      </c>
      <c r="R5113" t="inlineStr">
        <is>
          <t>14.99</t>
        </is>
      </c>
      <c r="S5113" t="inlineStr">
        <is>
          <t>779546809</t>
        </is>
      </c>
    </row>
    <row r="5114" ht="75" customHeight="1">
      <c r="A5114" s="2">
        <f>HYPERLINK("https://www.cafepress.com/mf/76109198/strawberry_mugs?productId=779546809", "https://www.cafepress.com/mf/76109198/strawberry_mugs?productId=779546809")</f>
        <v/>
      </c>
      <c r="B5114" s="2">
        <f>HYPERLINK("https://www.cafepress.com/mf/76109198/strawberry_mugs?productId=779546809", "https://www.cafepress.com/mf/76109198/strawberry_mugs?productId=779546809")</f>
        <v/>
      </c>
      <c r="C5114" t="inlineStr">
        <is>
          <t>Standard Mugs Strawberry 11 oz Ceramic Mug</t>
        </is>
      </c>
      <c r="D5114" t="inlineStr">
        <is>
          <t>GRAPHICS &amp; MORE Cute Kawaii Strawberry Milk Cow Ceramic Coffee Mug, Novelty Gift Mugs for Coffee, Tea and Hot Drinks, 11oz, White</t>
        </is>
      </c>
      <c r="E5114" s="2">
        <f>HYPERLINK("https://www.amazon.com/Cute-Kawaii-Strawberry-Milk-White/dp/B0817FD7DQ/ref=sr_1_3?keywords=Standard+Mugs+Strawberry+11+oz+Ceramic+Mug&amp;qid=1695565313&amp;sr=8-3", "https://www.amazon.com/Cute-Kawaii-Strawberry-Milk-White/dp/B0817FD7DQ/ref=sr_1_3?keywords=Standard+Mugs+Strawberry+11+oz+Ceramic+Mug&amp;qid=1695565313&amp;sr=8-3")</f>
        <v/>
      </c>
      <c r="F5114" t="inlineStr">
        <is>
          <t>B0817FD7DQ</t>
        </is>
      </c>
      <c r="H5114">
        <f>_xlfn.IMAGE("https://m.media-amazon.com/images/I/51oYuTQlptL._AC_UL320_.jpg")</f>
        <v/>
      </c>
      <c r="K5114" t="inlineStr">
        <is>
          <t>9.99</t>
        </is>
      </c>
      <c r="L5114" t="n">
        <v>16.99</v>
      </c>
      <c r="M5114" s="1" t="inlineStr">
        <is>
          <t>70.07%</t>
        </is>
      </c>
      <c r="N5114" t="n">
        <v>5</v>
      </c>
      <c r="O5114" t="n">
        <v>2</v>
      </c>
      <c r="Q5114" t="inlineStr">
        <is>
          <t>undefined</t>
        </is>
      </c>
      <c r="R5114" t="inlineStr">
        <is>
          <t>14.99</t>
        </is>
      </c>
      <c r="S5114" t="inlineStr">
        <is>
          <t>779546809</t>
        </is>
      </c>
    </row>
    <row r="5115" ht="75" customHeight="1">
      <c r="A5115" s="2">
        <f>HYPERLINK("https://www.cafepress.com/mf/76109198/strawberry_mugs?productId=779546809", "https://www.cafepress.com/mf/76109198/strawberry_mugs?productId=779546809")</f>
        <v/>
      </c>
      <c r="B5115" s="2">
        <f>HYPERLINK("https://www.cafepress.com/mf/76109198/strawberry_mugs?productId=779546809", "https://www.cafepress.com/mf/76109198/strawberry_mugs?productId=779546809")</f>
        <v/>
      </c>
      <c r="C5115" t="inlineStr">
        <is>
          <t>Standard Mugs Strawberry 11 oz Ceramic Mug</t>
        </is>
      </c>
      <c r="D5115" t="inlineStr">
        <is>
          <t>Strawberry Coffee Mug 11 OZ Cute Funny Ceramic Cup Women Men Novelty Gifts Microwave Office Home Decor</t>
        </is>
      </c>
      <c r="E5115" s="2">
        <f>HYPERLINK("https://www.amazon.com/Strawberry-Coffee-Ceramic-Novelty-Microwave/dp/B0B3HFHWG4/ref=sr_1_4?keywords=Standard+Mugs+Strawberry+11+oz+Ceramic+Mug&amp;qid=1695565313&amp;sr=8-4", "https://www.amazon.com/Strawberry-Coffee-Ceramic-Novelty-Microwave/dp/B0B3HFHWG4/ref=sr_1_4?keywords=Standard+Mugs+Strawberry+11+oz+Ceramic+Mug&amp;qid=1695565313&amp;sr=8-4")</f>
        <v/>
      </c>
      <c r="F5115" t="inlineStr">
        <is>
          <t>B0B3HFHWG4</t>
        </is>
      </c>
      <c r="H5115">
        <f>_xlfn.IMAGE("https://m.media-amazon.com/images/I/518RDSfr2CL._AC_UL320_.jpg")</f>
        <v/>
      </c>
      <c r="K5115" t="inlineStr">
        <is>
          <t>9.99</t>
        </is>
      </c>
      <c r="L5115" t="n">
        <v>14.88</v>
      </c>
      <c r="M5115" s="1" t="inlineStr">
        <is>
          <t>48.95%</t>
        </is>
      </c>
      <c r="N5115" t="n">
        <v>4.5</v>
      </c>
      <c r="O5115" t="n">
        <v>40</v>
      </c>
      <c r="Q5115" t="inlineStr">
        <is>
          <t>undefined</t>
        </is>
      </c>
      <c r="R5115" t="inlineStr">
        <is>
          <t>14.99</t>
        </is>
      </c>
      <c r="S5115" t="inlineStr">
        <is>
          <t>779546809</t>
        </is>
      </c>
    </row>
    <row r="5116" ht="75" customHeight="1">
      <c r="A5116" s="2">
        <f>HYPERLINK("https://www.cafepress.com/mf/76109198/strawberry_mugs?productId=779546809", "https://www.cafepress.com/mf/76109198/strawberry_mugs?productId=779546809")</f>
        <v/>
      </c>
      <c r="B5116" s="2">
        <f>HYPERLINK("https://www.cafepress.com/mf/76109198/strawberry_mugs?productId=779546809", "https://www.cafepress.com/mf/76109198/strawberry_mugs?productId=779546809")</f>
        <v/>
      </c>
      <c r="C5116" t="inlineStr">
        <is>
          <t>Standard Mugs Strawberry 11 oz Ceramic Mug</t>
        </is>
      </c>
      <c r="D5116" t="inlineStr">
        <is>
          <t>Strawberry Coffee Mug 11oz Ceramic Cup for Women Men Birthday Gifts Office Home Microwave Funny Novelty</t>
        </is>
      </c>
      <c r="E5116" s="2">
        <f>HYPERLINK("https://www.amazon.com/Strawberry-Ceramic-Birthday-Microwave-Novelty/dp/B0B9X4WGSG/ref=sr_1_5?keywords=Standard+Mugs+Strawberry+11+oz+Ceramic+Mug&amp;qid=1695565313&amp;sr=8-5", "https://www.amazon.com/Strawberry-Ceramic-Birthday-Microwave-Novelty/dp/B0B9X4WGSG/ref=sr_1_5?keywords=Standard+Mugs+Strawberry+11+oz+Ceramic+Mug&amp;qid=1695565313&amp;sr=8-5")</f>
        <v/>
      </c>
      <c r="F5116" t="inlineStr">
        <is>
          <t>B0B9X4WGSG</t>
        </is>
      </c>
      <c r="H5116">
        <f>_xlfn.IMAGE("https://m.media-amazon.com/images/I/61w6L0lMQkL._AC_UL320_.jpg")</f>
        <v/>
      </c>
      <c r="K5116" t="inlineStr">
        <is>
          <t>9.99</t>
        </is>
      </c>
      <c r="L5116" t="n">
        <v>13.99</v>
      </c>
      <c r="M5116" s="1" t="inlineStr">
        <is>
          <t>40.04%</t>
        </is>
      </c>
      <c r="N5116" t="n">
        <v>3.8</v>
      </c>
      <c r="O5116" t="n">
        <v>15</v>
      </c>
      <c r="Q5116" t="inlineStr">
        <is>
          <t>undefined</t>
        </is>
      </c>
      <c r="R5116" t="inlineStr">
        <is>
          <t>14.99</t>
        </is>
      </c>
      <c r="S5116" t="inlineStr">
        <is>
          <t>779546809</t>
        </is>
      </c>
    </row>
    <row r="5117" ht="75" customHeight="1">
      <c r="A5117" s="2">
        <f>HYPERLINK("https://www.cafepress.com/mf/76109198/strawberry_mugs?productId=779546809", "https://www.cafepress.com/mf/76109198/strawberry_mugs?productId=779546809")</f>
        <v/>
      </c>
      <c r="B5117" s="2">
        <f>HYPERLINK("https://www.cafepress.com/mf/76109198/strawberry_mugs?productId=779546809", "https://www.cafepress.com/mf/76109198/strawberry_mugs?productId=779546809")</f>
        <v/>
      </c>
      <c r="C5117" t="inlineStr">
        <is>
          <t>Standard Mugs Strawberry 11 oz Ceramic Mug</t>
        </is>
      </c>
      <c r="D5117" t="inlineStr">
        <is>
          <t>Strawberry Coffee Mug Funny - Ceramic Tea Cup Novelty Gifts for Office and Home Women Girls Men Dishwasher Microwave Safe 11oz</t>
        </is>
      </c>
      <c r="E5117" s="2">
        <f>HYPERLINK("https://www.amazon.com/Strawberry-Coffee-Mug-Funny-Dishwasher/dp/B0B71FC6PM/ref=sr_1_7?keywords=Standard+Mugs+Strawberry+11+oz+Ceramic+Mug&amp;qid=1695565313&amp;sr=8-7", "https://www.amazon.com/Strawberry-Coffee-Mug-Funny-Dishwasher/dp/B0B71FC6PM/ref=sr_1_7?keywords=Standard+Mugs+Strawberry+11+oz+Ceramic+Mug&amp;qid=1695565313&amp;sr=8-7")</f>
        <v/>
      </c>
      <c r="F5117" t="inlineStr">
        <is>
          <t>B0B71FC6PM</t>
        </is>
      </c>
      <c r="H5117">
        <f>_xlfn.IMAGE("https://m.media-amazon.com/images/I/61uRmzeOCeL._AC_UL320_.jpg")</f>
        <v/>
      </c>
      <c r="K5117" t="inlineStr">
        <is>
          <t>9.99</t>
        </is>
      </c>
      <c r="L5117" t="n">
        <v>12.99</v>
      </c>
      <c r="M5117" s="1" t="inlineStr">
        <is>
          <t>30.03%</t>
        </is>
      </c>
      <c r="N5117" t="n">
        <v>4.2</v>
      </c>
      <c r="O5117" t="n">
        <v>25</v>
      </c>
      <c r="Q5117" t="inlineStr">
        <is>
          <t>undefined</t>
        </is>
      </c>
      <c r="R5117" t="inlineStr">
        <is>
          <t>14.99</t>
        </is>
      </c>
      <c r="S5117" t="inlineStr">
        <is>
          <t>779546809</t>
        </is>
      </c>
    </row>
    <row r="5118" ht="75" customHeight="1">
      <c r="A5118" s="2">
        <f>HYPERLINK("https://www.cafepress.com/mf/76325308/autumn-owl_mugs?productId=785000545", "https://www.cafepress.com/mf/76325308/autumn-owl_mugs?productId=785000545")</f>
        <v/>
      </c>
      <c r="B5118" s="2">
        <f>HYPERLINK("https://www.cafepress.com/mf/76325308/autumn-owl_mugs?productId=785000545", "https://www.cafepress.com/mf/76325308/autumn-owl_mugs?productId=785000545")</f>
        <v/>
      </c>
      <c r="C5118" t="inlineStr">
        <is>
          <t>Standard Mugs Autumn Owl 11 oz Ceramic Mug</t>
        </is>
      </c>
      <c r="D5118" t="inlineStr">
        <is>
          <t>CafePress Autumn Owl Mug 11 oz (325 ml) Ceramic Coffee Mug</t>
        </is>
      </c>
      <c r="E5118" s="2">
        <f>HYPERLINK("https://www.amazon.com/CafePress-Autumn-Owl-Ceramic-Coffee/dp/B00QH8CEOE/ref=sr_1_1?keywords=Standard+Mugs+Autumn+Owl+11+oz+Ceramic+Mug&amp;qid=1695565348&amp;sr=8-1", "https://www.amazon.com/CafePress-Autumn-Owl-Ceramic-Coffee/dp/B00QH8CEOE/ref=sr_1_1?keywords=Standard+Mugs+Autumn+Owl+11+oz+Ceramic+Mug&amp;qid=1695565348&amp;sr=8-1")</f>
        <v/>
      </c>
      <c r="F5118" t="inlineStr">
        <is>
          <t>B00QH8CEOE</t>
        </is>
      </c>
      <c r="H5118">
        <f>_xlfn.IMAGE("https://m.media-amazon.com/images/I/51M4HATUKBL._AC_UL320_.jpg")</f>
        <v/>
      </c>
      <c r="K5118" t="inlineStr">
        <is>
          <t>9.99</t>
        </is>
      </c>
      <c r="L5118" t="n">
        <v>14.99</v>
      </c>
      <c r="M5118" s="1" t="inlineStr">
        <is>
          <t>50.05%</t>
        </is>
      </c>
      <c r="N5118" t="n">
        <v>4.7</v>
      </c>
      <c r="O5118" t="n">
        <v>11</v>
      </c>
      <c r="Q5118" t="inlineStr">
        <is>
          <t>undefined</t>
        </is>
      </c>
      <c r="R5118" t="inlineStr">
        <is>
          <t>14.99</t>
        </is>
      </c>
      <c r="S5118" t="inlineStr">
        <is>
          <t>785000545</t>
        </is>
      </c>
    </row>
    <row r="5119" ht="75" customHeight="1">
      <c r="A5119" s="2">
        <f>HYPERLINK("https://www.cafepress.com/mf/78959884/wings-heart_mugs?productId=861513711", "https://www.cafepress.com/mf/78959884/wings-heart_mugs?productId=861513711")</f>
        <v/>
      </c>
      <c r="B5119" s="2">
        <f>HYPERLINK("https://www.cafepress.com/mf/78959884/wings-heart_mugs?productId=861513711", "https://www.cafepress.com/mf/78959884/wings-heart_mugs?productId=861513711")</f>
        <v/>
      </c>
      <c r="C5119" t="inlineStr">
        <is>
          <t>Standard Mugs Wings Heart 11 oz Ceramic Mug</t>
        </is>
      </c>
      <c r="D5119" t="inlineStr">
        <is>
          <t>CafePress Angel Wings Heart Mugs 11 oz (325 ml) Ceramic Coffee Mug</t>
        </is>
      </c>
      <c r="E5119" s="2">
        <f>HYPERLINK("https://www.amazon.com/CafePress-Angel-Wings-Unique-Coffee/dp/B01CKIZNB0/ref=sr_1_1?keywords=Standard+Mugs+Wings+Heart+11+oz+Ceramic+Mug&amp;qid=1695565303&amp;sr=8-1", "https://www.amazon.com/CafePress-Angel-Wings-Unique-Coffee/dp/B01CKIZNB0/ref=sr_1_1?keywords=Standard+Mugs+Wings+Heart+11+oz+Ceramic+Mug&amp;qid=1695565303&amp;sr=8-1")</f>
        <v/>
      </c>
      <c r="F5119" t="inlineStr">
        <is>
          <t>B01CKIZNB0</t>
        </is>
      </c>
      <c r="H5119">
        <f>_xlfn.IMAGE("https://m.media-amazon.com/images/I/41a5-727mUL._AC_UL320_.jpg")</f>
        <v/>
      </c>
      <c r="K5119" t="inlineStr">
        <is>
          <t>9.99</t>
        </is>
      </c>
      <c r="L5119" t="n">
        <v>14.99</v>
      </c>
      <c r="M5119" s="1" t="inlineStr">
        <is>
          <t>50.05%</t>
        </is>
      </c>
      <c r="N5119" t="n">
        <v>4.7</v>
      </c>
      <c r="O5119" t="n">
        <v>20</v>
      </c>
      <c r="Q5119" t="inlineStr">
        <is>
          <t>undefined</t>
        </is>
      </c>
      <c r="R5119" t="inlineStr">
        <is>
          <t>14.99</t>
        </is>
      </c>
      <c r="S5119" t="inlineStr">
        <is>
          <t>861513711</t>
        </is>
      </c>
    </row>
    <row r="5120" ht="75" customHeight="1">
      <c r="A5120" s="2">
        <f>HYPERLINK("https://www.cafepress.com/mf/80978678/fall-colors-youth-football-shi_tshirt?productId=92465572", "https://www.cafepress.com/mf/80978678/fall-colors-youth-football-shi_tshirt?productId=92465572")</f>
        <v/>
      </c>
      <c r="B5120" s="2">
        <f>HYPERLINK("https://www.cafepress.com/mf/80978678/fall-colors-youth-football-shi_tshirt?productId=92465572", "https://www.cafepress.com/mf/80978678/fall-colors-youth-football-shi_tshirt?productId=92465572")</f>
        <v/>
      </c>
      <c r="C5120" t="inlineStr">
        <is>
          <t>Kids Football T-Shirts Fall Colors Youth Football Shirt Kids Football T-Shirt</t>
        </is>
      </c>
      <c r="D5120" t="inlineStr">
        <is>
          <t>Soccer Jerseys for Kids Boys &amp; Girls Youth Soccer Practice Jersey Outfits Toddler Football Training Shirt Uniform 2-14</t>
        </is>
      </c>
      <c r="E5120" s="2" t="n"/>
      <c r="F5120" t="inlineStr">
        <is>
          <t>B0CDKL54MV</t>
        </is>
      </c>
      <c r="H5120">
        <f>_xlfn.IMAGE("https://m.media-amazon.com/images/I/71SAhq9rOmL._AC_UL320_.jpg")</f>
        <v/>
      </c>
      <c r="K5120" t="inlineStr">
        <is>
          <t>16.99</t>
        </is>
      </c>
      <c r="L5120" t="n">
        <v>24.99</v>
      </c>
      <c r="M5120" s="1" t="inlineStr">
        <is>
          <t>47.09%</t>
        </is>
      </c>
      <c r="N5120" t="n">
        <v>5</v>
      </c>
      <c r="O5120" t="n">
        <v>2</v>
      </c>
      <c r="Q5120" t="inlineStr">
        <is>
          <t>undefined</t>
        </is>
      </c>
      <c r="R5120" t="inlineStr">
        <is>
          <t>29.99</t>
        </is>
      </c>
      <c r="S5120" t="inlineStr">
        <is>
          <t>92465572</t>
        </is>
      </c>
    </row>
    <row r="5121" ht="75" customHeight="1">
      <c r="A5121" s="2">
        <f>HYPERLINK("https://www.cafepress.com/mf/82870346/hampton-fall-leaves_mugs?productId=988131376", "https://www.cafepress.com/mf/82870346/hampton-fall-leaves_mugs?productId=988131376")</f>
        <v/>
      </c>
      <c r="B5121" s="2">
        <f>HYPERLINK("https://www.cafepress.com/mf/82870346/hampton-fall-leaves_mugs?productId=988131376", "https://www.cafepress.com/mf/82870346/hampton-fall-leaves_mugs?productId=988131376")</f>
        <v/>
      </c>
      <c r="C5121" t="inlineStr">
        <is>
          <t>Hampton Fall Leaves 11 oz Ceramic Mug</t>
        </is>
      </c>
      <c r="D5121" t="inlineStr">
        <is>
          <t>CafePress Fall Leaves 11 oz (325 ml) Ceramic Coffee Mug</t>
        </is>
      </c>
      <c r="E5121" s="2">
        <f>HYPERLINK("https://www.amazon.com/CafePress-Fall-Leaves-Unique-Coffee/dp/B00WJ7925Q/ref=sr_1_1?keywords=Hampton+Fall+Leaves+11+oz+Ceramic+Mug&amp;qid=1695565303&amp;sr=8-1", "https://www.amazon.com/CafePress-Fall-Leaves-Unique-Coffee/dp/B00WJ7925Q/ref=sr_1_1?keywords=Hampton+Fall+Leaves+11+oz+Ceramic+Mug&amp;qid=1695565303&amp;sr=8-1")</f>
        <v/>
      </c>
      <c r="F5121" t="inlineStr">
        <is>
          <t>B00WJ7925Q</t>
        </is>
      </c>
      <c r="H5121">
        <f>_xlfn.IMAGE("https://m.media-amazon.com/images/I/519PPd1m6hL._AC_UL320_.jpg")</f>
        <v/>
      </c>
      <c r="K5121" t="inlineStr">
        <is>
          <t>9.99</t>
        </is>
      </c>
      <c r="L5121" t="n">
        <v>14.99</v>
      </c>
      <c r="M5121" s="1" t="inlineStr">
        <is>
          <t>50.05%</t>
        </is>
      </c>
      <c r="N5121" t="n">
        <v>4.7</v>
      </c>
      <c r="O5121" t="n">
        <v>11</v>
      </c>
      <c r="Q5121" t="inlineStr">
        <is>
          <t>undefined</t>
        </is>
      </c>
      <c r="R5121" t="inlineStr">
        <is>
          <t>14.99</t>
        </is>
      </c>
      <c r="S5121" t="inlineStr">
        <is>
          <t>988131376</t>
        </is>
      </c>
    </row>
    <row r="5122" ht="75" customHeight="1">
      <c r="A5122" s="2">
        <f>HYPERLINK("https://www.cafepress.com/mf/82870346/hampton-fall-leaves_mugs?productId=988131376", "https://www.cafepress.com/mf/82870346/hampton-fall-leaves_mugs?productId=988131376")</f>
        <v/>
      </c>
      <c r="B5122" s="2">
        <f>HYPERLINK("https://www.cafepress.com/mf/82870346/hampton-fall-leaves_mugs?productId=988131376", "https://www.cafepress.com/mf/82870346/hampton-fall-leaves_mugs?productId=988131376")</f>
        <v/>
      </c>
      <c r="C5122" t="inlineStr">
        <is>
          <t>Hampton Fall Leaves 11 oz Ceramic Mug</t>
        </is>
      </c>
      <c r="D5122" t="inlineStr">
        <is>
          <t>LookHUMAN Fall Sweaters Leaves &amp; Lattes White 11 Ounce Ceramic Coffee Mug</t>
        </is>
      </c>
      <c r="E5122" s="2">
        <f>HYPERLINK("https://www.amazon.com/LookHUMAN-Sweaters-Leaves-Lattes-Ceramic/dp/B076PZY6X7/ref=sr_1_4?keywords=Hampton+Fall+Leaves+11+oz+Ceramic+Mug&amp;qid=1695565303&amp;sr=8-4", "https://www.amazon.com/LookHUMAN-Sweaters-Leaves-Lattes-Ceramic/dp/B076PZY6X7/ref=sr_1_4?keywords=Hampton+Fall+Leaves+11+oz+Ceramic+Mug&amp;qid=1695565303&amp;sr=8-4")</f>
        <v/>
      </c>
      <c r="F5122" t="inlineStr">
        <is>
          <t>B076PZY6X7</t>
        </is>
      </c>
      <c r="H5122">
        <f>_xlfn.IMAGE("https://m.media-amazon.com/images/I/713m0sNMpUL._AC_UL320_.jpg")</f>
        <v/>
      </c>
      <c r="K5122" t="inlineStr">
        <is>
          <t>9.99</t>
        </is>
      </c>
      <c r="L5122" t="n">
        <v>14.99</v>
      </c>
      <c r="M5122" s="1" t="inlineStr">
        <is>
          <t>50.05%</t>
        </is>
      </c>
      <c r="N5122" t="n">
        <v>4.2</v>
      </c>
      <c r="O5122" t="n">
        <v>24</v>
      </c>
      <c r="Q5122" t="inlineStr">
        <is>
          <t>undefined</t>
        </is>
      </c>
      <c r="R5122" t="inlineStr">
        <is>
          <t>14.99</t>
        </is>
      </c>
      <c r="S5122" t="inlineStr">
        <is>
          <t>988131376</t>
        </is>
      </c>
    </row>
    <row r="5123" ht="75" customHeight="1">
      <c r="A5123" s="2">
        <f>HYPERLINK("https://www.cafepress.com/mf/82870346/hampton-fall-leaves_mugs?productId=988131376", "https://www.cafepress.com/mf/82870346/hampton-fall-leaves_mugs?productId=988131376")</f>
        <v/>
      </c>
      <c r="B5123" s="2">
        <f>HYPERLINK("https://www.cafepress.com/mf/82870346/hampton-fall-leaves_mugs?productId=988131376", "https://www.cafepress.com/mf/82870346/hampton-fall-leaves_mugs?productId=988131376")</f>
        <v/>
      </c>
      <c r="C5123" t="inlineStr">
        <is>
          <t>Hampton Fall Leaves 11 oz Ceramic Mug</t>
        </is>
      </c>
      <c r="D5123" t="inlineStr">
        <is>
          <t>3dRose mug_62989_4 "Fall Tree with Leaves" Two Tone Black Mug, 11 oz, Multicolor</t>
        </is>
      </c>
      <c r="E5123" s="2">
        <f>HYPERLINK("https://www.amazon.com/3dRose-mug_62989_4-Leaves-Black-Multicolor/dp/B013C4EIW6/ref=sr_1_5?keywords=Hampton+Fall+Leaves+11+oz+Ceramic+Mug&amp;qid=1695565303&amp;sr=8-5", "https://www.amazon.com/3dRose-mug_62989_4-Leaves-Black-Multicolor/dp/B013C4EIW6/ref=sr_1_5?keywords=Hampton+Fall+Leaves+11+oz+Ceramic+Mug&amp;qid=1695565303&amp;sr=8-5")</f>
        <v/>
      </c>
      <c r="F5123" t="inlineStr">
        <is>
          <t>B013C4EIW6</t>
        </is>
      </c>
      <c r="H5123">
        <f>_xlfn.IMAGE("https://m.media-amazon.com/images/I/71Mx2mwUUQL._AC_UL320_.jpg")</f>
        <v/>
      </c>
      <c r="K5123" t="inlineStr">
        <is>
          <t>9.99</t>
        </is>
      </c>
      <c r="L5123" t="n">
        <v>9</v>
      </c>
      <c r="M5123" s="1" t="inlineStr">
        <is>
          <t>-9.91%</t>
        </is>
      </c>
      <c r="N5123" t="n">
        <v>4.6</v>
      </c>
      <c r="O5123" t="n">
        <v>90</v>
      </c>
      <c r="Q5123" t="inlineStr">
        <is>
          <t>undefined</t>
        </is>
      </c>
      <c r="R5123" t="inlineStr">
        <is>
          <t>14.99</t>
        </is>
      </c>
      <c r="S5123" t="inlineStr">
        <is>
          <t>988131376</t>
        </is>
      </c>
    </row>
    <row r="5124" ht="75" customHeight="1">
      <c r="A5124" s="2">
        <f>HYPERLINK("https://www.cafepress.com/mf/82897078/carver-fall-leaves_mugs?productId=988625886", "https://www.cafepress.com/mf/82897078/carver-fall-leaves_mugs?productId=988625886")</f>
        <v/>
      </c>
      <c r="B5124" s="2">
        <f>HYPERLINK("https://www.cafepress.com/mf/82897078/carver-fall-leaves_mugs?productId=988625886", "https://www.cafepress.com/mf/82897078/carver-fall-leaves_mugs?productId=988625886")</f>
        <v/>
      </c>
      <c r="C5124" t="inlineStr">
        <is>
          <t>Carver Fall Leaves 11 oz Ceramic Mug</t>
        </is>
      </c>
      <c r="D5124" t="inlineStr">
        <is>
          <t>4 Pcs Fall Coffee Mugs 11 oz Fall Autumn Pumpkin Mug Happy Fall Y'all Ceramic Cups Orange Autumn Fall Home Decor Kitchen Accessories Camp Campfire Tea Cup Thanksgiving Gift for Mom Dad Grandpa Grandma</t>
        </is>
      </c>
      <c r="E5124" s="2">
        <f>HYPERLINK("https://www.amazon.com/Fall-Mug-Accessories-Campfire-Thanksgiving/dp/B0CC86RYJW/ref=sr_1_6?keywords=Carver+Fall+Leaves+11+oz+Ceramic+Mug&amp;qid=1695565300&amp;sr=8-6", "https://www.amazon.com/Fall-Mug-Accessories-Campfire-Thanksgiving/dp/B0CC86RYJW/ref=sr_1_6?keywords=Carver+Fall+Leaves+11+oz+Ceramic+Mug&amp;qid=1695565300&amp;sr=8-6")</f>
        <v/>
      </c>
      <c r="F5124" t="inlineStr">
        <is>
          <t>B0CC86RYJW</t>
        </is>
      </c>
      <c r="H5124">
        <f>_xlfn.IMAGE("https://m.media-amazon.com/images/I/71Ph0C6SZnL._AC_UL320_.jpg")</f>
        <v/>
      </c>
      <c r="K5124" t="inlineStr">
        <is>
          <t>9.99</t>
        </is>
      </c>
      <c r="L5124" t="n">
        <v>24.99</v>
      </c>
      <c r="M5124" s="1" t="inlineStr">
        <is>
          <t>150.15%</t>
        </is>
      </c>
      <c r="N5124" t="n">
        <v>5</v>
      </c>
      <c r="O5124" t="n">
        <v>2</v>
      </c>
      <c r="Q5124" t="inlineStr">
        <is>
          <t>undefined</t>
        </is>
      </c>
      <c r="R5124" t="inlineStr">
        <is>
          <t>14.99</t>
        </is>
      </c>
      <c r="S5124" t="inlineStr">
        <is>
          <t>988625886</t>
        </is>
      </c>
    </row>
    <row r="5125" ht="75" customHeight="1">
      <c r="A5125" s="2">
        <f>HYPERLINK("https://www.cafepress.com/mf/82897078/carver-fall-leaves_mugs?productId=988625886", "https://www.cafepress.com/mf/82897078/carver-fall-leaves_mugs?productId=988625886")</f>
        <v/>
      </c>
      <c r="B5125" s="2">
        <f>HYPERLINK("https://www.cafepress.com/mf/82897078/carver-fall-leaves_mugs?productId=988625886", "https://www.cafepress.com/mf/82897078/carver-fall-leaves_mugs?productId=988625886")</f>
        <v/>
      </c>
      <c r="C5125" t="inlineStr">
        <is>
          <t>Carver Fall Leaves 11 oz Ceramic Mug</t>
        </is>
      </c>
      <c r="D5125" t="inlineStr">
        <is>
          <t>LookHUMAN Fall Sweaters Leaves &amp; Lattes White 11 Ounce Ceramic Coffee Mug</t>
        </is>
      </c>
      <c r="E5125" s="2">
        <f>HYPERLINK("https://www.amazon.com/LookHUMAN-Sweaters-Leaves-Lattes-Ceramic/dp/B076PZY6X7/ref=sr_1_1?keywords=Carver+Fall+Leaves+11+oz+Ceramic+Mug&amp;qid=1695565300&amp;sr=8-1", "https://www.amazon.com/LookHUMAN-Sweaters-Leaves-Lattes-Ceramic/dp/B076PZY6X7/ref=sr_1_1?keywords=Carver+Fall+Leaves+11+oz+Ceramic+Mug&amp;qid=1695565300&amp;sr=8-1")</f>
        <v/>
      </c>
      <c r="F5125" t="inlineStr">
        <is>
          <t>B076PZY6X7</t>
        </is>
      </c>
      <c r="H5125">
        <f>_xlfn.IMAGE("https://m.media-amazon.com/images/I/713m0sNMpUL._AC_UL320_.jpg")</f>
        <v/>
      </c>
      <c r="K5125" t="inlineStr">
        <is>
          <t>9.99</t>
        </is>
      </c>
      <c r="L5125" t="n">
        <v>14.99</v>
      </c>
      <c r="M5125" s="1" t="inlineStr">
        <is>
          <t>50.05%</t>
        </is>
      </c>
      <c r="N5125" t="n">
        <v>4.2</v>
      </c>
      <c r="O5125" t="n">
        <v>24</v>
      </c>
      <c r="Q5125" t="inlineStr">
        <is>
          <t>undefined</t>
        </is>
      </c>
      <c r="R5125" t="inlineStr">
        <is>
          <t>14.99</t>
        </is>
      </c>
      <c r="S5125" t="inlineStr">
        <is>
          <t>988625886</t>
        </is>
      </c>
    </row>
    <row r="5126" ht="75" customHeight="1">
      <c r="A5126" s="2">
        <f>HYPERLINK("https://www.cafepress.com/mf/82897078/carver-fall-leaves_mugs?productId=988625886", "https://www.cafepress.com/mf/82897078/carver-fall-leaves_mugs?productId=988625886")</f>
        <v/>
      </c>
      <c r="B5126" s="2">
        <f>HYPERLINK("https://www.cafepress.com/mf/82897078/carver-fall-leaves_mugs?productId=988625886", "https://www.cafepress.com/mf/82897078/carver-fall-leaves_mugs?productId=988625886")</f>
        <v/>
      </c>
      <c r="C5126" t="inlineStr">
        <is>
          <t>Carver Fall Leaves 11 oz Ceramic Mug</t>
        </is>
      </c>
      <c r="D5126" t="inlineStr">
        <is>
          <t>3dRose mug_62989_4 "Fall Tree with Leaves" Two Tone Black Mug, 11 oz, Multicolor</t>
        </is>
      </c>
      <c r="E5126" s="2">
        <f>HYPERLINK("https://www.amazon.com/3dRose-mug_62989_4-Leaves-Black-Multicolor/dp/B013C4EIW6/ref=sr_1_2?keywords=Carver+Fall+Leaves+11+oz+Ceramic+Mug&amp;qid=1695565300&amp;sr=8-2", "https://www.amazon.com/3dRose-mug_62989_4-Leaves-Black-Multicolor/dp/B013C4EIW6/ref=sr_1_2?keywords=Carver+Fall+Leaves+11+oz+Ceramic+Mug&amp;qid=1695565300&amp;sr=8-2")</f>
        <v/>
      </c>
      <c r="F5126" t="inlineStr">
        <is>
          <t>B013C4EIW6</t>
        </is>
      </c>
      <c r="H5126">
        <f>_xlfn.IMAGE("https://m.media-amazon.com/images/I/71Mx2mwUUQL._AC_UL320_.jpg")</f>
        <v/>
      </c>
      <c r="K5126" t="inlineStr">
        <is>
          <t>9.99</t>
        </is>
      </c>
      <c r="L5126" t="n">
        <v>9</v>
      </c>
      <c r="M5126" s="1" t="inlineStr">
        <is>
          <t>-9.91%</t>
        </is>
      </c>
      <c r="N5126" t="n">
        <v>4.6</v>
      </c>
      <c r="O5126" t="n">
        <v>90</v>
      </c>
      <c r="Q5126" t="inlineStr">
        <is>
          <t>undefined</t>
        </is>
      </c>
      <c r="R5126" t="inlineStr">
        <is>
          <t>14.99</t>
        </is>
      </c>
      <c r="S5126" t="inlineStr">
        <is>
          <t>988625886</t>
        </is>
      </c>
    </row>
    <row r="5127" ht="75" customHeight="1">
      <c r="A5127" s="2">
        <f>HYPERLINK("https://www.cafepress.com/mf/83818471/brown-candy-corn_greeting-cards?productId=1030203982", "https://www.cafepress.com/mf/83818471/brown-candy-corn_greeting-cards?productId=1030203982")</f>
        <v/>
      </c>
      <c r="B5127" s="2">
        <f>HYPERLINK("https://www.cafepress.com/mf/83818471/brown-candy-corn_greeting-cards?productId=1030203982", "https://www.cafepress.com/mf/83818471/brown-candy-corn_greeting-cards?productId=1030203982")</f>
        <v/>
      </c>
      <c r="C5127" t="inlineStr">
        <is>
          <t>Brown Candy Corn Greeting Card</t>
        </is>
      </c>
      <c r="D5127" t="inlineStr">
        <is>
          <t>Candy Corn Unicorn Funny Halloween Card - Recycled Paper Greetings</t>
        </is>
      </c>
      <c r="E5127" s="2">
        <f>HYPERLINK("https://www.amazon.com/Candy-Corn-Unicorn-Funny-Halloween/dp/B07HXYZ3G1/ref=sr_1_2?keywords=Brown+Candy+Corn+Greeting+Card&amp;qid=1695565337&amp;sr=8-2", "https://www.amazon.com/Candy-Corn-Unicorn-Funny-Halloween/dp/B07HXYZ3G1/ref=sr_1_2?keywords=Brown+Candy+Corn+Greeting+Card&amp;qid=1695565337&amp;sr=8-2")</f>
        <v/>
      </c>
      <c r="F5127" t="inlineStr">
        <is>
          <t>B07HXYZ3G1</t>
        </is>
      </c>
      <c r="H5127">
        <f>_xlfn.IMAGE("https://m.media-amazon.com/images/I/41foiYNduTL._AC_UL320_.jpg")</f>
        <v/>
      </c>
      <c r="K5127" t="inlineStr">
        <is>
          <t>2.99</t>
        </is>
      </c>
      <c r="L5127" t="n">
        <v>3.99</v>
      </c>
      <c r="M5127" s="1" t="inlineStr">
        <is>
          <t>33.44%</t>
        </is>
      </c>
      <c r="N5127" t="n">
        <v>5</v>
      </c>
      <c r="O5127" t="n">
        <v>2</v>
      </c>
      <c r="Q5127" t="inlineStr">
        <is>
          <t>undefined</t>
        </is>
      </c>
      <c r="R5127" t="inlineStr">
        <is>
          <t>3.99</t>
        </is>
      </c>
      <c r="S5127" t="inlineStr">
        <is>
          <t>1030203982</t>
        </is>
      </c>
    </row>
    <row r="5128" ht="75" customHeight="1">
      <c r="A5128" s="2">
        <f>HYPERLINK("https://www.cafepress.com/mf/83818551/fall-crosshatch_greeting-cards?productId=1030192548", "https://www.cafepress.com/mf/83818551/fall-crosshatch_greeting-cards?productId=1030192548")</f>
        <v/>
      </c>
      <c r="B5128" s="2">
        <f>HYPERLINK("https://www.cafepress.com/mf/83818551/fall-crosshatch_greeting-cards?productId=1030192548", "https://www.cafepress.com/mf/83818551/fall-crosshatch_greeting-cards?productId=1030192548")</f>
        <v/>
      </c>
      <c r="C5128" t="inlineStr">
        <is>
          <t>Greeting Cards Fall Crosshatch Greeting Card</t>
        </is>
      </c>
      <c r="D5128" t="inlineStr">
        <is>
          <t>Small World Greetings Fall Gnomes Blank Note Cards - Autumn Greeting Cards with Envelopes - 4 Unique Designs - 5.5"x4.25" (12 Pack)</t>
        </is>
      </c>
      <c r="E5128" s="2">
        <f>HYPERLINK("https://www.amazon.com/Fall-Gnomes-Blank-Note-Cards/dp/B0B8BQZ23R/ref=sr_1_10?keywords=Greeting+Cards+Fall+Crosshatch+Greeting+Card&amp;qid=1695565306&amp;sr=8-10", "https://www.amazon.com/Fall-Gnomes-Blank-Note-Cards/dp/B0B8BQZ23R/ref=sr_1_10?keywords=Greeting+Cards+Fall+Crosshatch+Greeting+Card&amp;qid=1695565306&amp;sr=8-10")</f>
        <v/>
      </c>
      <c r="F5128" t="inlineStr">
        <is>
          <t>B0B8BQZ23R</t>
        </is>
      </c>
      <c r="H5128">
        <f>_xlfn.IMAGE("https://m.media-amazon.com/images/I/81Ug7kw4Z+L._AC_UL320_.jpg")</f>
        <v/>
      </c>
      <c r="K5128" t="inlineStr">
        <is>
          <t>2.99</t>
        </is>
      </c>
      <c r="L5128" t="n">
        <v>13.45</v>
      </c>
      <c r="M5128" s="1" t="inlineStr">
        <is>
          <t>349.83%</t>
        </is>
      </c>
      <c r="N5128" t="n">
        <v>5</v>
      </c>
      <c r="O5128" t="n">
        <v>4</v>
      </c>
      <c r="Q5128" t="inlineStr">
        <is>
          <t>undefined</t>
        </is>
      </c>
      <c r="R5128" t="inlineStr">
        <is>
          <t>3.99</t>
        </is>
      </c>
      <c r="S5128" t="inlineStr">
        <is>
          <t>1030192548</t>
        </is>
      </c>
    </row>
    <row r="5129" ht="75" customHeight="1">
      <c r="A5129" s="2">
        <f>HYPERLINK("https://www.cafepress.com/mf/83818551/fall-crosshatch_greeting-cards?productId=1030192548", "https://www.cafepress.com/mf/83818551/fall-crosshatch_greeting-cards?productId=1030192548")</f>
        <v/>
      </c>
      <c r="B5129" s="2">
        <f>HYPERLINK("https://www.cafepress.com/mf/83818551/fall-crosshatch_greeting-cards?productId=1030192548", "https://www.cafepress.com/mf/83818551/fall-crosshatch_greeting-cards?productId=1030192548")</f>
        <v/>
      </c>
      <c r="C5129" t="inlineStr">
        <is>
          <t>Greeting Cards Fall Crosshatch Greeting Card</t>
        </is>
      </c>
      <c r="D5129" t="inlineStr">
        <is>
          <t>Lovepop Fall Candle Pop Up Card, 5x7-3D Greeting Card, Fall Birthday Cards for Mom, Wife or Friend, Autumn Pop Up Cards, Thanksgiving Greeting Cards</t>
        </is>
      </c>
      <c r="E5129" s="2">
        <f>HYPERLINK("https://www.amazon.com/Lovepop-Fall-Candle-Pop-Card/dp/B08JH75MGY/ref=sr_1_6?keywords=Greeting+Cards+Fall+Crosshatch+Greeting+Card&amp;qid=1695565306&amp;sr=8-6", "https://www.amazon.com/Lovepop-Fall-Candle-Pop-Card/dp/B08JH75MGY/ref=sr_1_6?keywords=Greeting+Cards+Fall+Crosshatch+Greeting+Card&amp;qid=1695565306&amp;sr=8-6")</f>
        <v/>
      </c>
      <c r="F5129" t="inlineStr">
        <is>
          <t>B08JH75MGY</t>
        </is>
      </c>
      <c r="H5129">
        <f>_xlfn.IMAGE("https://m.media-amazon.com/images/I/81nWRbq7bCL._AC_UL320_.jpg")</f>
        <v/>
      </c>
      <c r="K5129" t="inlineStr">
        <is>
          <t>2.99</t>
        </is>
      </c>
      <c r="L5129" t="n">
        <v>13</v>
      </c>
      <c r="M5129" s="1" t="inlineStr">
        <is>
          <t>334.78%</t>
        </is>
      </c>
      <c r="N5129" t="n">
        <v>4.6</v>
      </c>
      <c r="O5129" t="n">
        <v>105</v>
      </c>
      <c r="Q5129" t="inlineStr">
        <is>
          <t>undefined</t>
        </is>
      </c>
      <c r="R5129" t="inlineStr">
        <is>
          <t>3.99</t>
        </is>
      </c>
      <c r="S5129" t="inlineStr">
        <is>
          <t>1030192548</t>
        </is>
      </c>
    </row>
    <row r="5130" ht="75" customHeight="1">
      <c r="A5130" s="2">
        <f>HYPERLINK("https://www.cafepress.com/mf/88896749/wintery-branches-greeting-card_greeting-cards?productId=1282684358", "https://www.cafepress.com/mf/88896749/wintery-branches-greeting-card_greeting-cards?productId=1282684358")</f>
        <v/>
      </c>
      <c r="B5130" s="2">
        <f>HYPERLINK("https://www.cafepress.com/mf/88896749/wintery-branches-greeting-card_greeting-cards?productId=1282684358", "https://www.cafepress.com/mf/88896749/wintery-branches-greeting-card_greeting-cards?productId=1282684358")</f>
        <v/>
      </c>
      <c r="C5130" t="inlineStr">
        <is>
          <t>wintery branches Greeting Card</t>
        </is>
      </c>
      <c r="D5130" t="inlineStr">
        <is>
          <t>CEO Cards - New Year Greeting Cards (Winter Branches), 5x7 Inches, 25 Cards &amp; 26 White with Silver Foil Lined Envelopes (N9004)</t>
        </is>
      </c>
      <c r="E5130" s="2">
        <f>HYPERLINK("https://www.amazon.com/New-Year-Greeting-Cards-Envelopes/dp/B013PQ7A4Y/ref=sr_1_3?keywords=winter+branches+greeting+card&amp;qid=1695565339&amp;sr=8-3", "https://www.amazon.com/New-Year-Greeting-Cards-Envelopes/dp/B013PQ7A4Y/ref=sr_1_3?keywords=winter+branches+greeting+card&amp;qid=1695565339&amp;sr=8-3")</f>
        <v/>
      </c>
      <c r="F5130" t="inlineStr">
        <is>
          <t>B013PQ7A4Y</t>
        </is>
      </c>
      <c r="H5130">
        <f>_xlfn.IMAGE("https://m.media-amazon.com/images/I/516YvHWhobL._AC_UL320_.jpg")</f>
        <v/>
      </c>
      <c r="K5130" t="inlineStr">
        <is>
          <t>2.99</t>
        </is>
      </c>
      <c r="L5130" t="n">
        <v>29.95</v>
      </c>
      <c r="M5130" s="1" t="inlineStr">
        <is>
          <t>901.67%</t>
        </is>
      </c>
      <c r="N5130" t="n">
        <v>4.3</v>
      </c>
      <c r="O5130" t="n">
        <v>75</v>
      </c>
      <c r="Q5130" t="inlineStr">
        <is>
          <t>undefined</t>
        </is>
      </c>
      <c r="R5130" t="inlineStr">
        <is>
          <t>3.99</t>
        </is>
      </c>
      <c r="S5130" t="inlineStr">
        <is>
          <t>1282684358</t>
        </is>
      </c>
    </row>
    <row r="5131" ht="75" customHeight="1">
      <c r="A5131" s="2">
        <f>HYPERLINK("https://www.cafepress.com/mf/88896749/wintery-branches-greeting-card_greeting-cards?productId=1282684358", "https://www.cafepress.com/mf/88896749/wintery-branches-greeting-card_greeting-cards?productId=1282684358")</f>
        <v/>
      </c>
      <c r="B5131" s="2">
        <f>HYPERLINK("https://www.cafepress.com/mf/88896749/wintery-branches-greeting-card_greeting-cards?productId=1282684358", "https://www.cafepress.com/mf/88896749/wintery-branches-greeting-card_greeting-cards?productId=1282684358")</f>
        <v/>
      </c>
      <c r="C5131" t="inlineStr">
        <is>
          <t>wintery branches Greeting Card</t>
        </is>
      </c>
      <c r="D5131" t="inlineStr">
        <is>
          <t>Designer Greetings Chickadees on Branches Box of 18 Christmas Cards</t>
        </is>
      </c>
      <c r="E5131" s="2">
        <f>HYPERLINK("https://www.amazon.com/Chickadees-Branches-Designer-Greetings-Christmas/dp/B01N01ED8V/ref=sr_1_8?keywords=winter+branches+greeting+card&amp;qid=1695565339&amp;sr=8-8", "https://www.amazon.com/Chickadees-Branches-Designer-Greetings-Christmas/dp/B01N01ED8V/ref=sr_1_8?keywords=winter+branches+greeting+card&amp;qid=1695565339&amp;sr=8-8")</f>
        <v/>
      </c>
      <c r="F5131" t="inlineStr">
        <is>
          <t>B01N01ED8V</t>
        </is>
      </c>
      <c r="H5131">
        <f>_xlfn.IMAGE("https://m.media-amazon.com/images/I/517CGaAZJIL._AC_UL320_.jpg")</f>
        <v/>
      </c>
      <c r="K5131" t="inlineStr">
        <is>
          <t>2.99</t>
        </is>
      </c>
      <c r="L5131" t="n">
        <v>19.89</v>
      </c>
      <c r="M5131" s="1" t="inlineStr">
        <is>
          <t>565.22%</t>
        </is>
      </c>
      <c r="N5131" t="n">
        <v>5</v>
      </c>
      <c r="O5131" t="n">
        <v>1</v>
      </c>
      <c r="Q5131" t="inlineStr">
        <is>
          <t>undefined</t>
        </is>
      </c>
      <c r="R5131" t="inlineStr">
        <is>
          <t>3.99</t>
        </is>
      </c>
      <c r="S5131" t="inlineStr">
        <is>
          <t>1282684358</t>
        </is>
      </c>
    </row>
    <row r="5132" ht="75" customHeight="1">
      <c r="A5132" s="2">
        <f>HYPERLINK("https://www.cafepress.com/mf/88896749/wintery-branches-greeting-card_greeting-cards?productId=1282684358", "https://www.cafepress.com/mf/88896749/wintery-branches-greeting-card_greeting-cards?productId=1282684358")</f>
        <v/>
      </c>
      <c r="B5132" s="2">
        <f>HYPERLINK("https://www.cafepress.com/mf/88896749/wintery-branches-greeting-card_greeting-cards?productId=1282684358", "https://www.cafepress.com/mf/88896749/wintery-branches-greeting-card_greeting-cards?productId=1282684358")</f>
        <v/>
      </c>
      <c r="C5132" t="inlineStr">
        <is>
          <t>wintery branches Greeting Card</t>
        </is>
      </c>
      <c r="D5132" t="inlineStr">
        <is>
          <t>10 Assorted 'Snow Tops' Season's Greetings Cards with Envelopes Small 4 x 5.12 inch, Holiday Note Cards with Snow-Covered Branches and Tree Tops, Stationery Set for Holidays, Winter, Parties M9632XSG</t>
        </is>
      </c>
      <c r="E5132" s="2">
        <f>HYPERLINK("https://www.amazon.com/M9632XSG-Snow-Tops-Christmas-Envelopes/dp/B01BYLQY4E/ref=sr_1_1?keywords=winter+branches+greeting+card&amp;qid=1695565339&amp;sr=8-1", "https://www.amazon.com/M9632XSG-Snow-Tops-Christmas-Envelopes/dp/B01BYLQY4E/ref=sr_1_1?keywords=winter+branches+greeting+card&amp;qid=1695565339&amp;sr=8-1")</f>
        <v/>
      </c>
      <c r="F5132" t="inlineStr">
        <is>
          <t>B01BYLQY4E</t>
        </is>
      </c>
      <c r="H5132">
        <f>_xlfn.IMAGE("https://m.media-amazon.com/images/I/81yzuRgkH4L._AC_UL320_.jpg")</f>
        <v/>
      </c>
      <c r="K5132" t="inlineStr">
        <is>
          <t>2.99</t>
        </is>
      </c>
      <c r="L5132" t="n">
        <v>11.98</v>
      </c>
      <c r="M5132" s="1" t="inlineStr">
        <is>
          <t>300.67%</t>
        </is>
      </c>
      <c r="N5132" t="n">
        <v>4.3</v>
      </c>
      <c r="O5132" t="n">
        <v>84</v>
      </c>
      <c r="Q5132" t="inlineStr">
        <is>
          <t>undefined</t>
        </is>
      </c>
      <c r="R5132" t="inlineStr">
        <is>
          <t>3.99</t>
        </is>
      </c>
      <c r="S5132" t="inlineStr">
        <is>
          <t>1282684358</t>
        </is>
      </c>
    </row>
    <row r="5133" ht="75" customHeight="1">
      <c r="A5133" s="2">
        <f>HYPERLINK("https://www.cafepress.com/mf/88896749/wintery-branches-greeting-card_greeting-cards?productId=1282684358", "https://www.cafepress.com/mf/88896749/wintery-branches-greeting-card_greeting-cards?productId=1282684358")</f>
        <v/>
      </c>
      <c r="B5133" s="2">
        <f>HYPERLINK("https://www.cafepress.com/mf/88896749/wintery-branches-greeting-card_greeting-cards?productId=1282684358", "https://www.cafepress.com/mf/88896749/wintery-branches-greeting-card_greeting-cards?productId=1282684358")</f>
        <v/>
      </c>
      <c r="C5133" t="inlineStr">
        <is>
          <t>wintery branches Greeting Card</t>
        </is>
      </c>
      <c r="D5133" t="inlineStr">
        <is>
          <t>3dRose Greeting Card Birch Tree Branches. Winter Sun, 6 x 6" (gc_264178_5)</t>
        </is>
      </c>
      <c r="E5133" s="2">
        <f>HYPERLINK("https://www.amazon.com/3dRose-Greeting-Branches-Winter-gc_264178_5/dp/B076PXB3R1/ref=sr_1_4?keywords=winter+branches+greeting+card&amp;qid=1695565339&amp;sr=8-4", "https://www.amazon.com/3dRose-Greeting-Branches-Winter-gc_264178_5/dp/B076PXB3R1/ref=sr_1_4?keywords=winter+branches+greeting+card&amp;qid=1695565339&amp;sr=8-4")</f>
        <v/>
      </c>
      <c r="F5133" t="inlineStr">
        <is>
          <t>B076PXB3R1</t>
        </is>
      </c>
      <c r="H5133">
        <f>_xlfn.IMAGE("https://m.media-amazon.com/images/I/61fXHyIfjHL._AC_UL320_.jpg")</f>
        <v/>
      </c>
      <c r="K5133" t="inlineStr">
        <is>
          <t>2.99</t>
        </is>
      </c>
      <c r="L5133" t="n">
        <v>5.42</v>
      </c>
      <c r="M5133" s="1" t="inlineStr">
        <is>
          <t>81.27%</t>
        </is>
      </c>
      <c r="N5133" t="n">
        <v>5</v>
      </c>
      <c r="O5133" t="n">
        <v>1</v>
      </c>
      <c r="Q5133" t="inlineStr">
        <is>
          <t>undefined</t>
        </is>
      </c>
      <c r="R5133" t="inlineStr">
        <is>
          <t>3.99</t>
        </is>
      </c>
      <c r="S5133" t="inlineStr">
        <is>
          <t>1282684358</t>
        </is>
      </c>
    </row>
    <row r="5134" ht="75" customHeight="1">
      <c r="A5134" s="2">
        <f>HYPERLINK("https://www.cafepress.com/mf/88896749/wintery-branches-greeting-card_greeting-cards?productId=1282684358", "https://www.cafepress.com/mf/88896749/wintery-branches-greeting-card_greeting-cards?productId=1282684358")</f>
        <v/>
      </c>
      <c r="B5134" s="2">
        <f>HYPERLINK("https://www.cafepress.com/mf/88896749/wintery-branches-greeting-card_greeting-cards?productId=1282684358", "https://www.cafepress.com/mf/88896749/wintery-branches-greeting-card_greeting-cards?productId=1282684358")</f>
        <v/>
      </c>
      <c r="C5134" t="inlineStr">
        <is>
          <t>wintery branches Greeting Card</t>
        </is>
      </c>
      <c r="D5134" t="inlineStr">
        <is>
          <t>Wee Blue Coo LANDSCAPE WINTER TREE BRANCHES SNOW SUNRISE BLANK GREETINGS BIRTHDAY CARD</t>
        </is>
      </c>
      <c r="E5134" s="2">
        <f>HYPERLINK("https://www.amazon.com/LANDSCAPE-BRANCHES-SUNRISE-GREETINGS-BIRTHDAY/dp/B00P9FISQE/ref=sr_1_5?keywords=winter+branches+greeting+card&amp;qid=1695565339&amp;sr=8-5", "https://www.amazon.com/LANDSCAPE-BRANCHES-SUNRISE-GREETINGS-BIRTHDAY/dp/B00P9FISQE/ref=sr_1_5?keywords=winter+branches+greeting+card&amp;qid=1695565339&amp;sr=8-5")</f>
        <v/>
      </c>
      <c r="F5134" t="inlineStr">
        <is>
          <t>B00P9FISQE</t>
        </is>
      </c>
      <c r="H5134">
        <f>_xlfn.IMAGE("https://m.media-amazon.com/images/I/61plLA-fUtL._AC_UL320_.jpg")</f>
        <v/>
      </c>
      <c r="K5134" t="inlineStr">
        <is>
          <t>2.99</t>
        </is>
      </c>
      <c r="L5134" t="n">
        <v>4.79</v>
      </c>
      <c r="M5134" s="1" t="inlineStr">
        <is>
          <t>60.20%</t>
        </is>
      </c>
      <c r="N5134" t="n">
        <v>5</v>
      </c>
      <c r="O5134" t="n">
        <v>1</v>
      </c>
      <c r="Q5134" t="inlineStr">
        <is>
          <t>undefined</t>
        </is>
      </c>
      <c r="R5134" t="inlineStr">
        <is>
          <t>3.99</t>
        </is>
      </c>
      <c r="S5134" t="inlineStr">
        <is>
          <t>1282684358</t>
        </is>
      </c>
    </row>
    <row r="5135" ht="75" customHeight="1">
      <c r="A5135" s="2">
        <f>HYPERLINK("https://www.cafepress.com/mf/9088052/black-cat_sticker?productId=141639158", "https://www.cafepress.com/mf/9088052/black-cat_sticker?productId=141639158")</f>
        <v/>
      </c>
      <c r="B5135" s="2">
        <f>HYPERLINK("https://www.cafepress.com/mf/9088052/black-cat_sticker?productId=141639158", "https://www.cafepress.com/mf/9088052/black-cat_sticker?productId=141639158")</f>
        <v/>
      </c>
      <c r="C5135" t="inlineStr">
        <is>
          <t>Rectangle Stickers Black Cat Rectangle Sticker (Rectangle)</t>
        </is>
      </c>
      <c r="D5135" t="inlineStr">
        <is>
          <t>CafePress Black Cat Face Oval Sticker Rectangle Bumper Sticker Car Decal</t>
        </is>
      </c>
      <c r="E5135" s="2">
        <f>HYPERLINK("https://www.amazon.com/CafePress-Black-Sticker-Rectangle-Bumper/dp/B00PCRTDPO/ref=sr_1_2?keywords=Rectangle+Stickers+Black+Cat+Rectangle+Sticker+%28Rectangle%29&amp;qid=1695565333&amp;sr=8-2", "https://www.amazon.com/CafePress-Black-Sticker-Rectangle-Bumper/dp/B00PCRTDPO/ref=sr_1_2?keywords=Rectangle+Stickers+Black+Cat+Rectangle+Sticker+%28Rectangle%29&amp;qid=1695565333&amp;sr=8-2")</f>
        <v/>
      </c>
      <c r="F5135" t="inlineStr">
        <is>
          <t>B00PCRTDPO</t>
        </is>
      </c>
      <c r="H5135">
        <f>_xlfn.IMAGE("https://m.media-amazon.com/images/I/51RjQkxP-cL._AC_UL320_.jpg")</f>
        <v/>
      </c>
      <c r="K5135" t="inlineStr">
        <is>
          <t>3.99</t>
        </is>
      </c>
      <c r="L5135" t="n">
        <v>9.99</v>
      </c>
      <c r="M5135" s="1" t="inlineStr">
        <is>
          <t>150.38%</t>
        </is>
      </c>
      <c r="N5135" t="n">
        <v>5</v>
      </c>
      <c r="O5135" t="n">
        <v>1</v>
      </c>
      <c r="Q5135" t="inlineStr">
        <is>
          <t>undefined</t>
        </is>
      </c>
      <c r="R5135" t="inlineStr">
        <is>
          <t>5.99</t>
        </is>
      </c>
      <c r="S5135" t="inlineStr">
        <is>
          <t>141639158</t>
        </is>
      </c>
    </row>
    <row r="5136" ht="75" customHeight="1">
      <c r="A5136" s="2">
        <f>HYPERLINK("https://www.cafepress.com/mf/9088052/black-cat_sticker?productId=141639158", "https://www.cafepress.com/mf/9088052/black-cat_sticker?productId=141639158")</f>
        <v/>
      </c>
      <c r="B5136" s="2">
        <f>HYPERLINK("https://www.cafepress.com/mf/9088052/black-cat_sticker?productId=141639158", "https://www.cafepress.com/mf/9088052/black-cat_sticker?productId=141639158")</f>
        <v/>
      </c>
      <c r="C5136" t="inlineStr">
        <is>
          <t>Rectangle Stickers Black Cat Rectangle Sticker (Rectangle)</t>
        </is>
      </c>
      <c r="D5136" t="inlineStr">
        <is>
          <t>CafePress Black Cats Rectangle Bumper Sticker Car Decal</t>
        </is>
      </c>
      <c r="E5136" s="2">
        <f>HYPERLINK("https://www.amazon.com/CafePress-Black-Sticker-Rectangle-Bumper/dp/B00PM5DMHQ/ref=sr_1_1?keywords=Rectangle+Stickers+Black+Cat+Rectangle+Sticker+%28Rectangle%29&amp;qid=1695565333&amp;sr=8-1", "https://www.amazon.com/CafePress-Black-Sticker-Rectangle-Bumper/dp/B00PM5DMHQ/ref=sr_1_1?keywords=Rectangle+Stickers+Black+Cat+Rectangle+Sticker+%28Rectangle%29&amp;qid=1695565333&amp;sr=8-1")</f>
        <v/>
      </c>
      <c r="F5136" t="inlineStr">
        <is>
          <t>B00PM5DMHQ</t>
        </is>
      </c>
      <c r="H5136">
        <f>_xlfn.IMAGE("https://m.media-amazon.com/images/I/51IzjYO2HOL._AC_UL320_.jpg")</f>
        <v/>
      </c>
      <c r="K5136" t="inlineStr">
        <is>
          <t>3.99</t>
        </is>
      </c>
      <c r="L5136" t="n">
        <v>9.99</v>
      </c>
      <c r="M5136" s="1" t="inlineStr">
        <is>
          <t>150.38%</t>
        </is>
      </c>
      <c r="N5136" t="n">
        <v>5</v>
      </c>
      <c r="O5136" t="n">
        <v>1</v>
      </c>
      <c r="Q5136" t="inlineStr">
        <is>
          <t>undefined</t>
        </is>
      </c>
      <c r="R5136" t="inlineStr">
        <is>
          <t>5.99</t>
        </is>
      </c>
      <c r="S5136" t="inlineStr">
        <is>
          <t>141639158</t>
        </is>
      </c>
    </row>
    <row r="5137" ht="75" customHeight="1">
      <c r="A5137" s="2">
        <f>HYPERLINK("https://www.cafepress.com/mf/9088052/black-cat_sticker?productId=141639158", "https://www.cafepress.com/mf/9088052/black-cat_sticker?productId=141639158")</f>
        <v/>
      </c>
      <c r="B5137" s="2">
        <f>HYPERLINK("https://www.cafepress.com/mf/9088052/black-cat_sticker?productId=141639158", "https://www.cafepress.com/mf/9088052/black-cat_sticker?productId=141639158")</f>
        <v/>
      </c>
      <c r="C5137" t="inlineStr">
        <is>
          <t>Rectangle Stickers Black Cat Rectangle Sticker (Rectangle)</t>
        </is>
      </c>
      <c r="D5137" t="inlineStr">
        <is>
          <t>CafePress Black Cat Eyes Sticker (Bumper) 10"x3" Rectangle Vinyl Bumper Sticker Car Decal</t>
        </is>
      </c>
      <c r="E5137" s="2">
        <f>HYPERLINK("https://www.amazon.com/CafePress-Black-Sticker-Bumper-Rectangle/dp/B00OOLXO54/ref=sr_1_5?keywords=Rectangle+Stickers+Black+Cat+Rectangle+Sticker+%28Rectangle%29&amp;qid=1695565333&amp;sr=8-5", "https://www.amazon.com/CafePress-Black-Sticker-Bumper-Rectangle/dp/B00OOLXO54/ref=sr_1_5?keywords=Rectangle+Stickers+Black+Cat+Rectangle+Sticker+%28Rectangle%29&amp;qid=1695565333&amp;sr=8-5")</f>
        <v/>
      </c>
      <c r="F5137" t="inlineStr">
        <is>
          <t>B00OOLXO54</t>
        </is>
      </c>
      <c r="H5137">
        <f>_xlfn.IMAGE("https://m.media-amazon.com/images/I/51w41VBu3BL._AC_UL320_.jpg")</f>
        <v/>
      </c>
      <c r="K5137" t="inlineStr">
        <is>
          <t>3.99</t>
        </is>
      </c>
      <c r="L5137" t="n">
        <v>9.99</v>
      </c>
      <c r="M5137" s="1" t="inlineStr">
        <is>
          <t>150.38%</t>
        </is>
      </c>
      <c r="N5137" t="n">
        <v>3.5</v>
      </c>
      <c r="O5137" t="n">
        <v>2</v>
      </c>
      <c r="Q5137" t="inlineStr">
        <is>
          <t>undefined</t>
        </is>
      </c>
      <c r="R5137" t="inlineStr">
        <is>
          <t>5.99</t>
        </is>
      </c>
      <c r="S5137" t="inlineStr">
        <is>
          <t>141639158</t>
        </is>
      </c>
    </row>
    <row r="5138" ht="75" customHeight="1">
      <c r="A5138" s="2">
        <f>HYPERLINK("https://www.cafepress.com/mf/9088052/black-cat_sticker?productId=141639158", "https://www.cafepress.com/mf/9088052/black-cat_sticker?productId=141639158")</f>
        <v/>
      </c>
      <c r="B5138" s="2">
        <f>HYPERLINK("https://www.cafepress.com/mf/9088052/black-cat_sticker?productId=141639158", "https://www.cafepress.com/mf/9088052/black-cat_sticker?productId=141639158")</f>
        <v/>
      </c>
      <c r="C5138" t="inlineStr">
        <is>
          <t>Rectangle Stickers Black Cat Rectangle Sticker (Rectangle)</t>
        </is>
      </c>
      <c r="D5138" t="inlineStr">
        <is>
          <t>CafePress Borders Black Cats in Tree Rectangle Bumper Sticker Car Decal</t>
        </is>
      </c>
      <c r="E5138" s="2">
        <f>HYPERLINK("https://www.amazon.com/CafePress-Borders-Sticker-Rectangle-Bumper/dp/B00QH7Y5TW/ref=sr_1_4?keywords=Rectangle+Stickers+Black+Cat+Rectangle+Sticker+%28Rectangle%29&amp;qid=1695565333&amp;sr=8-4", "https://www.amazon.com/CafePress-Borders-Sticker-Rectangle-Bumper/dp/B00QH7Y5TW/ref=sr_1_4?keywords=Rectangle+Stickers+Black+Cat+Rectangle+Sticker+%28Rectangle%29&amp;qid=1695565333&amp;sr=8-4")</f>
        <v/>
      </c>
      <c r="F5138" t="inlineStr">
        <is>
          <t>B00QH7Y5TW</t>
        </is>
      </c>
      <c r="H5138">
        <f>_xlfn.IMAGE("https://m.media-amazon.com/images/I/71pATg6eL6L._AC_UL320_.jpg")</f>
        <v/>
      </c>
      <c r="K5138" t="inlineStr">
        <is>
          <t>3.99</t>
        </is>
      </c>
      <c r="L5138" t="n">
        <v>9.99</v>
      </c>
      <c r="M5138" s="1" t="inlineStr">
        <is>
          <t>150.38%</t>
        </is>
      </c>
      <c r="N5138" t="n">
        <v>5</v>
      </c>
      <c r="O5138" t="n">
        <v>3</v>
      </c>
      <c r="Q5138" t="inlineStr">
        <is>
          <t>undefined</t>
        </is>
      </c>
      <c r="R5138" t="inlineStr">
        <is>
          <t>5.99</t>
        </is>
      </c>
      <c r="S5138" t="inlineStr">
        <is>
          <t>141639158</t>
        </is>
      </c>
    </row>
    <row r="5139" ht="75" customHeight="1">
      <c r="A5139" s="2">
        <f>HYPERLINK("https://www.cafepress.com/mf/92033503/november-is-for-feasting_mugs?productId=1353440052", "https://www.cafepress.com/mf/92033503/november-is-for-feasting_mugs?productId=1353440052")</f>
        <v/>
      </c>
      <c r="B5139" s="2">
        <f>HYPERLINK("https://www.cafepress.com/mf/92033503/november-is-for-feasting_mugs?productId=1353440052", "https://www.cafepress.com/mf/92033503/november-is-for-feasting_mugs?productId=1353440052")</f>
        <v/>
      </c>
      <c r="C5139" t="inlineStr">
        <is>
          <t>November Is For Feasting! 11 oz Ceramic Mug</t>
        </is>
      </c>
      <c r="D5139" t="inlineStr">
        <is>
          <t>Vintage First Annual Wkrp Thanksgiving Day Turkey Drop November 22 1978 As God Is My Witnes Turkey Ceramic Mug Graphic Coffee Mugs Black Cups Tea Tops Custom Novelty 11 Oz 15 Oz</t>
        </is>
      </c>
      <c r="E5139" s="2">
        <f>HYPERLINK("https://www.amazon.com/Vintage-Thanksgiving-November-Ceramic-Graphic/dp/B08H1L3L16/ref=sr_1_3?keywords=November+Is+For+Feasting%21+11+oz+Ceramic+Mug&amp;qid=1695565335&amp;sr=8-3", "https://www.amazon.com/Vintage-Thanksgiving-November-Ceramic-Graphic/dp/B08H1L3L16/ref=sr_1_3?keywords=November+Is+For+Feasting%21+11+oz+Ceramic+Mug&amp;qid=1695565335&amp;sr=8-3")</f>
        <v/>
      </c>
      <c r="F5139" t="inlineStr">
        <is>
          <t>B08H1L3L16</t>
        </is>
      </c>
      <c r="H5139">
        <f>_xlfn.IMAGE("https://m.media-amazon.com/images/I/61R1gcSnC+L._AC_UL320_.jpg")</f>
        <v/>
      </c>
      <c r="K5139" t="inlineStr">
        <is>
          <t>9.99</t>
        </is>
      </c>
      <c r="L5139" t="n">
        <v>11.99</v>
      </c>
      <c r="M5139" s="1" t="inlineStr">
        <is>
          <t>20.02%</t>
        </is>
      </c>
      <c r="N5139" t="n">
        <v>5</v>
      </c>
      <c r="O5139" t="n">
        <v>1</v>
      </c>
      <c r="Q5139" t="inlineStr">
        <is>
          <t>undefined</t>
        </is>
      </c>
      <c r="R5139" t="inlineStr">
        <is>
          <t>14.99</t>
        </is>
      </c>
      <c r="S5139" t="inlineStr">
        <is>
          <t>1353440052</t>
        </is>
      </c>
    </row>
    <row r="5140" ht="75" customHeight="1">
      <c r="A5140" s="2">
        <f>HYPERLINK("https://www.cafepress.com/mf/9272414/rabbit-autumn-thanksgiving----_mugs?productId=35777210", "https://www.cafepress.com/mf/9272414/rabbit-autumn-thanksgiving----_mugs?productId=35777210")</f>
        <v/>
      </c>
      <c r="B5140" s="2">
        <f>HYPERLINK("https://www.cafepress.com/mf/9272414/rabbit-autumn-thanksgiving----_mugs?productId=35777210", "https://www.cafepress.com/mf/9272414/rabbit-autumn-thanksgiving----_mugs?productId=35777210")</f>
        <v/>
      </c>
      <c r="C5140" t="inlineStr">
        <is>
          <t>Rabbit Autumn Thanksgiving 11 oz Ceramic Mug</t>
        </is>
      </c>
      <c r="D5140" t="inlineStr">
        <is>
          <t>8 Pieces Pumpkin Mugs Autumn Coffee Mug 12oz Fall Cup Thanksgiving Mugs Set with Handle Ceramic Mugs for Home School Office Table Centerpieces Housewarming Holiday Party Gift</t>
        </is>
      </c>
      <c r="E5140" s="2">
        <f>HYPERLINK("https://www.amazon.com/Maxdot-Pumpkin-Thanksgiving-Centerpieces-Housewarming/dp/B0C7FRCL53/ref=sr_1_4?keywords=Rabbit+Autumn+Thanksgiving+11+oz+Ceramic+Mug&amp;qid=1695565371&amp;sr=8-4", "https://www.amazon.com/Maxdot-Pumpkin-Thanksgiving-Centerpieces-Housewarming/dp/B0C7FRCL53/ref=sr_1_4?keywords=Rabbit+Autumn+Thanksgiving+11+oz+Ceramic+Mug&amp;qid=1695565371&amp;sr=8-4")</f>
        <v/>
      </c>
      <c r="F5140" t="inlineStr">
        <is>
          <t>B0C7FRCL53</t>
        </is>
      </c>
      <c r="H5140">
        <f>_xlfn.IMAGE("https://m.media-amazon.com/images/I/81QUGw3+iCL._AC_UL320_.jpg")</f>
        <v/>
      </c>
      <c r="K5140" t="inlineStr">
        <is>
          <t>9.99</t>
        </is>
      </c>
      <c r="L5140" t="n">
        <v>27.99</v>
      </c>
      <c r="M5140" s="1" t="inlineStr">
        <is>
          <t>180.18%</t>
        </is>
      </c>
      <c r="N5140" t="n">
        <v>5</v>
      </c>
      <c r="O5140" t="n">
        <v>1</v>
      </c>
      <c r="Q5140" t="inlineStr">
        <is>
          <t>undefined</t>
        </is>
      </c>
      <c r="R5140" t="inlineStr">
        <is>
          <t>14.99</t>
        </is>
      </c>
      <c r="S5140" t="inlineStr">
        <is>
          <t>Standard</t>
        </is>
      </c>
    </row>
    <row r="5141" ht="75" customHeight="1">
      <c r="A5141" s="2">
        <f>HYPERLINK("https://www.cafepress.com/mf/9272414/rabbit-autumn-thanksgiving----_mugs?productId=35777210", "https://www.cafepress.com/mf/9272414/rabbit-autumn-thanksgiving----_mugs?productId=35777210")</f>
        <v/>
      </c>
      <c r="B5141" s="2">
        <f>HYPERLINK("https://www.cafepress.com/mf/9272414/rabbit-autumn-thanksgiving----_mugs?productId=35777210", "https://www.cafepress.com/mf/9272414/rabbit-autumn-thanksgiving----_mugs?productId=35777210")</f>
        <v/>
      </c>
      <c r="C5141" t="inlineStr">
        <is>
          <t>Rabbit Autumn Thanksgiving 11 oz Ceramic Mug</t>
        </is>
      </c>
      <c r="D5141" t="inlineStr">
        <is>
          <t>4 Pcs Fall Coffee Mugs 11 oz Fall Autumn Pumpkin Mug Happy Fall Y'all Ceramic Cups Orange Autumn Fall Home Decor Kitchen Accessories Camp Campfire Tea Cup Thanksgiving Gift for Mom Dad Grandpa Grandma</t>
        </is>
      </c>
      <c r="E5141" s="2">
        <f>HYPERLINK("https://www.amazon.com/Fall-Mug-Accessories-Campfire-Thanksgiving/dp/B0CC86RYJW/ref=sr_1_2?keywords=Rabbit+Autumn+Thanksgiving+11+oz+Ceramic+Mug&amp;qid=1695565371&amp;sr=8-2", "https://www.amazon.com/Fall-Mug-Accessories-Campfire-Thanksgiving/dp/B0CC86RYJW/ref=sr_1_2?keywords=Rabbit+Autumn+Thanksgiving+11+oz+Ceramic+Mug&amp;qid=1695565371&amp;sr=8-2")</f>
        <v/>
      </c>
      <c r="F5141" t="inlineStr">
        <is>
          <t>B0CC86RYJW</t>
        </is>
      </c>
      <c r="H5141">
        <f>_xlfn.IMAGE("https://m.media-amazon.com/images/I/71Ph0C6SZnL._AC_UL320_.jpg")</f>
        <v/>
      </c>
      <c r="K5141" t="inlineStr">
        <is>
          <t>9.99</t>
        </is>
      </c>
      <c r="L5141" t="n">
        <v>24.99</v>
      </c>
      <c r="M5141" s="1" t="inlineStr">
        <is>
          <t>150.15%</t>
        </is>
      </c>
      <c r="N5141" t="n">
        <v>5</v>
      </c>
      <c r="O5141" t="n">
        <v>2</v>
      </c>
      <c r="Q5141" t="inlineStr">
        <is>
          <t>undefined</t>
        </is>
      </c>
      <c r="R5141" t="inlineStr">
        <is>
          <t>14.99</t>
        </is>
      </c>
      <c r="S5141" t="inlineStr">
        <is>
          <t>Standard</t>
        </is>
      </c>
    </row>
    <row r="5142" ht="75" customHeight="1">
      <c r="A5142" s="2">
        <f>HYPERLINK("https://www.cafepress.com/mf/9272414/rabbit-autumn-thanksgiving----_mugs?productId=35777210", "https://www.cafepress.com/mf/9272414/rabbit-autumn-thanksgiving----_mugs?productId=35777210")</f>
        <v/>
      </c>
      <c r="B5142" s="2">
        <f>HYPERLINK("https://www.cafepress.com/mf/9272414/rabbit-autumn-thanksgiving----_mugs?productId=35777210", "https://www.cafepress.com/mf/9272414/rabbit-autumn-thanksgiving----_mugs?productId=35777210")</f>
        <v/>
      </c>
      <c r="C5142" t="inlineStr">
        <is>
          <t>Rabbit Autumn Thanksgiving 11 oz Ceramic Mug</t>
        </is>
      </c>
      <c r="D5142" t="inlineStr">
        <is>
          <t>Pumpkin Mugs, Fall Autumn Mug, Pumpkin Shaped Mugs with Lovely Cat Faces, Cute Thanksgiving Halloween Decor, Novelty Cat Gifts for Kids Family Friends, Ceramic Coffee Mugs Set of 4, 5 Oz</t>
        </is>
      </c>
      <c r="E5142" s="2">
        <f>HYPERLINK("https://www.amazon.com/Maustic-Pumpkin-Thanksgiving-Halloween-Novelty/dp/B0BBZDRBXV/ref=sr_1_9?keywords=Rabbit+Autumn+Thanksgiving+11+oz+Ceramic+Mug&amp;qid=1695565371&amp;sr=8-9", "https://www.amazon.com/Maustic-Pumpkin-Thanksgiving-Halloween-Novelty/dp/B0BBZDRBXV/ref=sr_1_9?keywords=Rabbit+Autumn+Thanksgiving+11+oz+Ceramic+Mug&amp;qid=1695565371&amp;sr=8-9")</f>
        <v/>
      </c>
      <c r="F5142" t="inlineStr">
        <is>
          <t>B0BBZDRBXV</t>
        </is>
      </c>
      <c r="H5142">
        <f>_xlfn.IMAGE("https://m.media-amazon.com/images/I/61PF9dCylAL._AC_UL320_.jpg")</f>
        <v/>
      </c>
      <c r="K5142" t="inlineStr">
        <is>
          <t>9.99</t>
        </is>
      </c>
      <c r="L5142" t="n">
        <v>10.99</v>
      </c>
      <c r="M5142" s="1" t="inlineStr">
        <is>
          <t>10.01%</t>
        </is>
      </c>
      <c r="N5142" t="n">
        <v>3.9</v>
      </c>
      <c r="O5142" t="n">
        <v>17</v>
      </c>
      <c r="Q5142" t="inlineStr">
        <is>
          <t>undefined</t>
        </is>
      </c>
      <c r="R5142" t="inlineStr">
        <is>
          <t>14.99</t>
        </is>
      </c>
      <c r="S5142" t="inlineStr">
        <is>
          <t>Standard</t>
        </is>
      </c>
    </row>
    <row r="5143" ht="75" customHeight="1">
      <c r="A5143" s="2">
        <f>HYPERLINK("https://www.cafepress.com/mf/93207927/keep-calm-by-focusing-on-frate_mugs?productId=1403329016", "https://www.cafepress.com/mf/93207927/keep-calm-by-focusing-on-frate_mugs?productId=1403329016")</f>
        <v/>
      </c>
      <c r="B5143" s="2">
        <f>HYPERLINK("https://www.cafepress.com/mf/93207927/keep-calm-by-focusing-on-frate_mugs?productId=1403329016", "https://www.cafepress.com/mf/93207927/keep-calm-by-focusing-on-frate_mugs?productId=1403329016")</f>
        <v/>
      </c>
      <c r="C5143" t="inlineStr">
        <is>
          <t>Keep Calm by focusing on Fraternizing 11 oz Ceramic Mug</t>
        </is>
      </c>
      <c r="D5143" t="inlineStr">
        <is>
          <t>CafePress Keep Calm And Focus On Compliance Mugs 11 oz (325 ml) Ceramic Coffee Mug</t>
        </is>
      </c>
      <c r="E5143" s="2">
        <f>HYPERLINK("https://www.amazon.com/CafePress-Focus-Compliance-Ceramic-Coffee/dp/B072BWNRG5/ref=sr_1_4?keywords=Keep+Calm+by+focusing+on+Fraternizing+11+oz+Ceramic+Mug&amp;qid=1695565304&amp;sr=8-4", "https://www.amazon.com/CafePress-Focus-Compliance-Ceramic-Coffee/dp/B072BWNRG5/ref=sr_1_4?keywords=Keep+Calm+by+focusing+on+Fraternizing+11+oz+Ceramic+Mug&amp;qid=1695565304&amp;sr=8-4")</f>
        <v/>
      </c>
      <c r="F5143" t="inlineStr">
        <is>
          <t>B072BWNRG5</t>
        </is>
      </c>
      <c r="H5143">
        <f>_xlfn.IMAGE("https://m.media-amazon.com/images/I/41YQ6GeDCHL._AC_UL320_.jpg")</f>
        <v/>
      </c>
      <c r="K5143" t="inlineStr">
        <is>
          <t>9.99</t>
        </is>
      </c>
      <c r="L5143" t="n">
        <v>17.99</v>
      </c>
      <c r="M5143" s="1" t="inlineStr">
        <is>
          <t>80.08%</t>
        </is>
      </c>
      <c r="N5143" t="n">
        <v>4.2</v>
      </c>
      <c r="O5143" t="n">
        <v>4</v>
      </c>
      <c r="Q5143" t="inlineStr">
        <is>
          <t>undefined</t>
        </is>
      </c>
      <c r="R5143" t="inlineStr">
        <is>
          <t>14.99</t>
        </is>
      </c>
      <c r="S5143" t="inlineStr">
        <is>
          <t>1403329016</t>
        </is>
      </c>
    </row>
    <row r="5144" ht="75" customHeight="1">
      <c r="A5144" s="2">
        <f>HYPERLINK("https://www.cafepress.com/mf/93207927/keep-calm-by-focusing-on-frate_mugs?productId=1403329016", "https://www.cafepress.com/mf/93207927/keep-calm-by-focusing-on-frate_mugs?productId=1403329016")</f>
        <v/>
      </c>
      <c r="B5144" s="2">
        <f>HYPERLINK("https://www.cafepress.com/mf/93207927/keep-calm-by-focusing-on-frate_mugs?productId=1403329016", "https://www.cafepress.com/mf/93207927/keep-calm-by-focusing-on-frate_mugs?productId=1403329016")</f>
        <v/>
      </c>
      <c r="C5144" t="inlineStr">
        <is>
          <t>Keep Calm by focusing on Fraternizing 11 oz Ceramic Mug</t>
        </is>
      </c>
      <c r="D5144" t="inlineStr">
        <is>
          <t>CafePress Keep Calm By Focusing On Being Vice President Mugs 11 oz (325 ml) Ceramic Coffee Mug</t>
        </is>
      </c>
      <c r="E5144" s="2">
        <f>HYPERLINK("https://www.amazon.com/CafePress-Focusing-President-Unique-Coffee/dp/B01LSVIE1G/ref=sr_1_1?keywords=Keep+Calm+by+focusing+on+Fraternizing+11+oz+Ceramic+Mug&amp;qid=1695565304&amp;sr=8-1", "https://www.amazon.com/CafePress-Focusing-President-Unique-Coffee/dp/B01LSVIE1G/ref=sr_1_1?keywords=Keep+Calm+by+focusing+on+Fraternizing+11+oz+Ceramic+Mug&amp;qid=1695565304&amp;sr=8-1")</f>
        <v/>
      </c>
      <c r="F5144" t="inlineStr">
        <is>
          <t>B01LSVIE1G</t>
        </is>
      </c>
      <c r="H5144">
        <f>_xlfn.IMAGE("https://m.media-amazon.com/images/I/41bROai4ynL._AC_UL320_.jpg")</f>
        <v/>
      </c>
      <c r="K5144" t="inlineStr">
        <is>
          <t>9.99</t>
        </is>
      </c>
      <c r="L5144" t="n">
        <v>14.99</v>
      </c>
      <c r="M5144" s="1" t="inlineStr">
        <is>
          <t>50.05%</t>
        </is>
      </c>
      <c r="N5144" t="n">
        <v>4.8</v>
      </c>
      <c r="O5144" t="n">
        <v>6</v>
      </c>
      <c r="Q5144" t="inlineStr">
        <is>
          <t>undefined</t>
        </is>
      </c>
      <c r="R5144" t="inlineStr">
        <is>
          <t>14.99</t>
        </is>
      </c>
      <c r="S5144" t="inlineStr">
        <is>
          <t>1403329016</t>
        </is>
      </c>
    </row>
    <row r="5145" ht="75" customHeight="1">
      <c r="A5145" s="2">
        <f>HYPERLINK("https://www.cafepress.com/mf/93207927/keep-calm-by-focusing-on-frate_mugs?productId=1403329016", "https://www.cafepress.com/mf/93207927/keep-calm-by-focusing-on-frate_mugs?productId=1403329016")</f>
        <v/>
      </c>
      <c r="B5145" s="2">
        <f>HYPERLINK("https://www.cafepress.com/mf/93207927/keep-calm-by-focusing-on-frate_mugs?productId=1403329016", "https://www.cafepress.com/mf/93207927/keep-calm-by-focusing-on-frate_mugs?productId=1403329016")</f>
        <v/>
      </c>
      <c r="C5145" t="inlineStr">
        <is>
          <t>Keep Calm by focusing on Fraternizing 11 oz Ceramic Mug</t>
        </is>
      </c>
      <c r="D5145" t="inlineStr">
        <is>
          <t>CafePress Keep Calm And Focus On Payroll Mugs 11 oz (325 ml) Ceramic Coffee Mug</t>
        </is>
      </c>
      <c r="E5145" s="2">
        <f>HYPERLINK("https://www.amazon.com/CafePress-Focus-Payroll-Unique-Coffee/dp/B00QP8LW7G/ref=sr_1_3?keywords=Keep+Calm+by+focusing+on+Fraternizing+11+oz+Ceramic+Mug&amp;qid=1695565304&amp;sr=8-3", "https://www.amazon.com/CafePress-Focus-Payroll-Unique-Coffee/dp/B00QP8LW7G/ref=sr_1_3?keywords=Keep+Calm+by+focusing+on+Fraternizing+11+oz+Ceramic+Mug&amp;qid=1695565304&amp;sr=8-3")</f>
        <v/>
      </c>
      <c r="F5145" t="inlineStr">
        <is>
          <t>B00QP8LW7G</t>
        </is>
      </c>
      <c r="H5145">
        <f>_xlfn.IMAGE("https://m.media-amazon.com/images/I/61lcIOuXp1L._AC_UL320_.jpg")</f>
        <v/>
      </c>
      <c r="K5145" t="inlineStr">
        <is>
          <t>9.99</t>
        </is>
      </c>
      <c r="L5145" t="n">
        <v>14.99</v>
      </c>
      <c r="M5145" s="1" t="inlineStr">
        <is>
          <t>50.05%</t>
        </is>
      </c>
      <c r="N5145" t="n">
        <v>5</v>
      </c>
      <c r="O5145" t="n">
        <v>2</v>
      </c>
      <c r="Q5145" t="inlineStr">
        <is>
          <t>undefined</t>
        </is>
      </c>
      <c r="R5145" t="inlineStr">
        <is>
          <t>14.99</t>
        </is>
      </c>
      <c r="S5145" t="inlineStr">
        <is>
          <t>1403329016</t>
        </is>
      </c>
    </row>
    <row r="5146" ht="75" customHeight="1">
      <c r="A5146" s="2">
        <f>HYPERLINK("https://www.cafepress.com/mf/93207927/keep-calm-by-focusing-on-frate_mugs?productId=1403329016", "https://www.cafepress.com/mf/93207927/keep-calm-by-focusing-on-frate_mugs?productId=1403329016")</f>
        <v/>
      </c>
      <c r="B5146" s="2">
        <f>HYPERLINK("https://www.cafepress.com/mf/93207927/keep-calm-by-focusing-on-frate_mugs?productId=1403329016", "https://www.cafepress.com/mf/93207927/keep-calm-by-focusing-on-frate_mugs?productId=1403329016")</f>
        <v/>
      </c>
      <c r="C5146" t="inlineStr">
        <is>
          <t>Keep Calm by focusing on Fraternizing 11 oz Ceramic Mug</t>
        </is>
      </c>
      <c r="D5146" t="inlineStr">
        <is>
          <t>CafePress Keep Calm And Focus On Burnt Toast Mugs 11 oz (325 ml) Ceramic Coffee Mug</t>
        </is>
      </c>
      <c r="E5146" s="2">
        <f>HYPERLINK("https://www.amazon.com/CafePress-Focus-Burnt-Unique-Coffee/dp/B014JSRDTO/ref=sr_1_9?keywords=Keep+Calm+by+focusing+on+Fraternizing+11+oz+Ceramic+Mug&amp;qid=1695565304&amp;sr=8-9", "https://www.amazon.com/CafePress-Focus-Burnt-Unique-Coffee/dp/B014JSRDTO/ref=sr_1_9?keywords=Keep+Calm+by+focusing+on+Fraternizing+11+oz+Ceramic+Mug&amp;qid=1695565304&amp;sr=8-9")</f>
        <v/>
      </c>
      <c r="F5146" t="inlineStr">
        <is>
          <t>B014JSRDTO</t>
        </is>
      </c>
      <c r="H5146">
        <f>_xlfn.IMAGE("https://m.media-amazon.com/images/I/41BiqImG0SL._AC_UL320_.jpg")</f>
        <v/>
      </c>
      <c r="K5146" t="inlineStr">
        <is>
          <t>9.99</t>
        </is>
      </c>
      <c r="L5146" t="n">
        <v>14.99</v>
      </c>
      <c r="M5146" s="1" t="inlineStr">
        <is>
          <t>50.05%</t>
        </is>
      </c>
      <c r="N5146" t="n">
        <v>5</v>
      </c>
      <c r="O5146" t="n">
        <v>3</v>
      </c>
      <c r="Q5146" t="inlineStr">
        <is>
          <t>undefined</t>
        </is>
      </c>
      <c r="R5146" t="inlineStr">
        <is>
          <t>14.99</t>
        </is>
      </c>
      <c r="S5146" t="inlineStr">
        <is>
          <t>1403329016</t>
        </is>
      </c>
    </row>
    <row r="5147" ht="75" customHeight="1">
      <c r="A5147" s="2">
        <f>HYPERLINK("https://www.cafepress.com/mf/97607135/summer-tree_mugs?productId=1537351301", "https://www.cafepress.com/mf/97607135/summer-tree_mugs?productId=1537351301")</f>
        <v/>
      </c>
      <c r="B5147" s="2">
        <f>HYPERLINK("https://www.cafepress.com/mf/97607135/summer-tree_mugs?productId=1537351301", "https://www.cafepress.com/mf/97607135/summer-tree_mugs?productId=1537351301")</f>
        <v/>
      </c>
      <c r="C5147" t="inlineStr">
        <is>
          <t>Summer Tree 11 oz Ceramic Mug</t>
        </is>
      </c>
      <c r="D5147" t="inlineStr">
        <is>
          <t>Ambesonne Tree Mug, Tree with a Tire Swing Illustration Happy Place Summer Childhood Holidays Garden, Ceramic Coffee Mug Cup for Water Tea Drinks, 11 oz, Charcoal White</t>
        </is>
      </c>
      <c r="E5147" s="2">
        <f>HYPERLINK("https://www.amazon.com/Ambesonne-Illustration-Childhood-Holidays-Printed/dp/B077ZVB35Z/ref=sr_1_5?keywords=Summer+Tree+11+oz+Ceramic+Mug&amp;qid=1695565313&amp;sr=8-5", "https://www.amazon.com/Ambesonne-Illustration-Childhood-Holidays-Printed/dp/B077ZVB35Z/ref=sr_1_5?keywords=Summer+Tree+11+oz+Ceramic+Mug&amp;qid=1695565313&amp;sr=8-5")</f>
        <v/>
      </c>
      <c r="F5147" t="inlineStr">
        <is>
          <t>B077ZVB35Z</t>
        </is>
      </c>
      <c r="H5147">
        <f>_xlfn.IMAGE("https://m.media-amazon.com/images/I/71YVwcR8LML._AC_UL320_.jpg")</f>
        <v/>
      </c>
      <c r="K5147" t="inlineStr">
        <is>
          <t>9.99</t>
        </is>
      </c>
      <c r="L5147" t="n">
        <v>18.99</v>
      </c>
      <c r="M5147" s="1" t="inlineStr">
        <is>
          <t>90.09%</t>
        </is>
      </c>
      <c r="N5147" t="n">
        <v>4.5</v>
      </c>
      <c r="O5147" t="n">
        <v>93</v>
      </c>
      <c r="Q5147" t="inlineStr">
        <is>
          <t>undefined</t>
        </is>
      </c>
      <c r="R5147" t="inlineStr">
        <is>
          <t>14.99</t>
        </is>
      </c>
      <c r="S5147" t="inlineStr">
        <is>
          <t>1537351301</t>
        </is>
      </c>
    </row>
    <row r="5148" ht="75" customHeight="1">
      <c r="A5148" s="2">
        <f>HYPERLINK("https://www.cafepress.com/mf/97607135/summer-tree_mugs?productId=1537351301", "https://www.cafepress.com/mf/97607135/summer-tree_mugs?productId=1537351301")</f>
        <v/>
      </c>
      <c r="B5148" s="2">
        <f>HYPERLINK("https://www.cafepress.com/mf/97607135/summer-tree_mugs?productId=1537351301", "https://www.cafepress.com/mf/97607135/summer-tree_mugs?productId=1537351301")</f>
        <v/>
      </c>
      <c r="C5148" t="inlineStr">
        <is>
          <t>Summer Tree 11 oz Ceramic Mug</t>
        </is>
      </c>
      <c r="D5148" t="inlineStr">
        <is>
          <t>Ambesonne Tropic Mug, Ocean Tropical Palm Trees on Sunny Island Summer Beach Scene Panoramic View, Ceramic Coffee Mug Cup for Water Tea Drinks, 11 oz, Blue White</t>
        </is>
      </c>
      <c r="E5148" s="2">
        <f>HYPERLINK("https://www.amazon.com/Ambesonne-Tropical-Panoramic-Picture-Printed/dp/B07NJ5W2YN/ref=sr_1_3?keywords=Summer+Tree+11+oz+Ceramic+Mug&amp;qid=1695565313&amp;sr=8-3", "https://www.amazon.com/Ambesonne-Tropical-Panoramic-Picture-Printed/dp/B07NJ5W2YN/ref=sr_1_3?keywords=Summer+Tree+11+oz+Ceramic+Mug&amp;qid=1695565313&amp;sr=8-3")</f>
        <v/>
      </c>
      <c r="F5148" t="inlineStr">
        <is>
          <t>B07NJ5W2YN</t>
        </is>
      </c>
      <c r="H5148">
        <f>_xlfn.IMAGE("https://m.media-amazon.com/images/I/61MFEvkX0YL._AC_UL320_.jpg")</f>
        <v/>
      </c>
      <c r="K5148" t="inlineStr">
        <is>
          <t>9.99</t>
        </is>
      </c>
      <c r="L5148" t="n">
        <v>18.99</v>
      </c>
      <c r="M5148" s="1" t="inlineStr">
        <is>
          <t>90.09%</t>
        </is>
      </c>
      <c r="N5148" t="n">
        <v>4.3</v>
      </c>
      <c r="O5148" t="n">
        <v>68</v>
      </c>
      <c r="Q5148" t="inlineStr">
        <is>
          <t>undefined</t>
        </is>
      </c>
      <c r="R5148" t="inlineStr">
        <is>
          <t>14.99</t>
        </is>
      </c>
      <c r="S5148" t="inlineStr">
        <is>
          <t>1537351301</t>
        </is>
      </c>
    </row>
    <row r="5149" ht="75" customHeight="1">
      <c r="A5149" s="2">
        <f>HYPERLINK("https://www.cafepress.com/mf/97607135/summer-tree_mugs?productId=1537351301", "https://www.cafepress.com/mf/97607135/summer-tree_mugs?productId=1537351301")</f>
        <v/>
      </c>
      <c r="B5149" s="2">
        <f>HYPERLINK("https://www.cafepress.com/mf/97607135/summer-tree_mugs?productId=1537351301", "https://www.cafepress.com/mf/97607135/summer-tree_mugs?productId=1537351301")</f>
        <v/>
      </c>
      <c r="C5149" t="inlineStr">
        <is>
          <t>Summer Tree 11 oz Ceramic Mug</t>
        </is>
      </c>
      <c r="D5149" t="inlineStr">
        <is>
          <t>Lunarable Tropical Mug, Exotic Island Scene Palm Trees Summertime Exploration, Ceramic Coffee Mug Cup for Water Tea Drinks, 11 oz, Aqua Green</t>
        </is>
      </c>
      <c r="E5149" s="2">
        <f>HYPERLINK("https://www.amazon.com/Lunarable-Tropical-Summertime-Exploration-Multicolor/dp/B084G6T6JC/ref=sr_1_1?keywords=Summer+Tree+11+oz+Ceramic+Mug&amp;qid=1695565313&amp;sr=8-1", "https://www.amazon.com/Lunarable-Tropical-Summertime-Exploration-Multicolor/dp/B084G6T6JC/ref=sr_1_1?keywords=Summer+Tree+11+oz+Ceramic+Mug&amp;qid=1695565313&amp;sr=8-1")</f>
        <v/>
      </c>
      <c r="F5149" t="inlineStr">
        <is>
          <t>B084G6T6JC</t>
        </is>
      </c>
      <c r="H5149">
        <f>_xlfn.IMAGE("https://m.media-amazon.com/images/I/61ieMKDVR9L._AC_UL320_.jpg")</f>
        <v/>
      </c>
      <c r="K5149" t="inlineStr">
        <is>
          <t>9.99</t>
        </is>
      </c>
      <c r="L5149" t="n">
        <v>18.95</v>
      </c>
      <c r="M5149" s="1" t="inlineStr">
        <is>
          <t>89.69%</t>
        </is>
      </c>
      <c r="N5149" t="n">
        <v>4.2</v>
      </c>
      <c r="O5149" t="n">
        <v>30</v>
      </c>
      <c r="Q5149" t="inlineStr">
        <is>
          <t>undefined</t>
        </is>
      </c>
      <c r="R5149" t="inlineStr">
        <is>
          <t>14.99</t>
        </is>
      </c>
      <c r="S5149" t="inlineStr">
        <is>
          <t>1537351301</t>
        </is>
      </c>
    </row>
    <row r="5150" ht="75" customHeight="1">
      <c r="A5150" s="2">
        <f>HYPERLINK("https://www.cafepress.com/mf/97607135/summer-tree_mugs?productId=1537351301", "https://www.cafepress.com/mf/97607135/summer-tree_mugs?productId=1537351301")</f>
        <v/>
      </c>
      <c r="B5150" s="2">
        <f>HYPERLINK("https://www.cafepress.com/mf/97607135/summer-tree_mugs?productId=1537351301", "https://www.cafepress.com/mf/97607135/summer-tree_mugs?productId=1537351301")</f>
        <v/>
      </c>
      <c r="C5150" t="inlineStr">
        <is>
          <t>Summer Tree 11 oz Ceramic Mug</t>
        </is>
      </c>
      <c r="D5150" t="inlineStr">
        <is>
          <t>3dRose Tropical Day Scene With Swaying Palm Trees And Glimpses Of Blue Ocean Ceramic Mug, 11 oz</t>
        </is>
      </c>
      <c r="E5150" s="2">
        <f>HYPERLINK("https://www.amazon.com/3dRose-173296_1-Tropical-Swaying-Glimpses/dp/B00IDEES7G/ref=sr_1_6?keywords=Summer+Tree+11+oz+Ceramic+Mug&amp;qid=1695565313&amp;sr=8-6", "https://www.amazon.com/3dRose-173296_1-Tropical-Swaying-Glimpses/dp/B00IDEES7G/ref=sr_1_6?keywords=Summer+Tree+11+oz+Ceramic+Mug&amp;qid=1695565313&amp;sr=8-6")</f>
        <v/>
      </c>
      <c r="F5150" t="inlineStr">
        <is>
          <t>B00IDEES7G</t>
        </is>
      </c>
      <c r="H5150">
        <f>_xlfn.IMAGE("https://m.media-amazon.com/images/I/81LiQvuXysL._AC_UL320_.jpg")</f>
        <v/>
      </c>
      <c r="K5150" t="inlineStr">
        <is>
          <t>9.99</t>
        </is>
      </c>
      <c r="L5150" t="n">
        <v>14.42</v>
      </c>
      <c r="M5150" s="1" t="inlineStr">
        <is>
          <t>44.34%</t>
        </is>
      </c>
      <c r="N5150" t="n">
        <v>3.1</v>
      </c>
      <c r="O5150" t="n">
        <v>5</v>
      </c>
      <c r="Q5150" t="inlineStr">
        <is>
          <t>undefined</t>
        </is>
      </c>
      <c r="R5150" t="inlineStr">
        <is>
          <t>14.99</t>
        </is>
      </c>
      <c r="S5150" t="inlineStr">
        <is>
          <t>1537351301</t>
        </is>
      </c>
    </row>
    <row r="5151" ht="75" customHeight="1">
      <c r="A5151" s="2">
        <f>HYPERLINK("https://www.cafepress.com/mf/99017270/festive-pumpkin_mugs?productId=1586289371", "https://www.cafepress.com/mf/99017270/festive-pumpkin_mugs?productId=1586289371")</f>
        <v/>
      </c>
      <c r="B5151" s="2">
        <f>HYPERLINK("https://www.cafepress.com/mf/99017270/festive-pumpkin_mugs?productId=1586289371", "https://www.cafepress.com/mf/99017270/festive-pumpkin_mugs?productId=1586289371")</f>
        <v/>
      </c>
      <c r="C5151" t="inlineStr">
        <is>
          <t>FESTIVE PUMPKIN 11 oz Ceramic Mug</t>
        </is>
      </c>
      <c r="D5151" t="inlineStr">
        <is>
          <t>4 Pcs Fall Coffee Mugs 11 oz Fall Autumn Pumpkin Mug Happy Fall Y'all Ceramic Cups Orange Autumn Fall Home Decor Kitchen Accessories Camp Campfire Tea Cup Thanksgiving Gift for Mom Dad Grandpa Grandma</t>
        </is>
      </c>
      <c r="E5151" s="2">
        <f>HYPERLINK("https://www.amazon.com/Fall-Mug-Accessories-Campfire-Thanksgiving/dp/B0CC86RYJW/ref=sr_1_6?keywords=FESTIVE+PUMPKIN+11+oz+Ceramic+Mug&amp;qid=1695565325&amp;sr=8-6", "https://www.amazon.com/Fall-Mug-Accessories-Campfire-Thanksgiving/dp/B0CC86RYJW/ref=sr_1_6?keywords=FESTIVE+PUMPKIN+11+oz+Ceramic+Mug&amp;qid=1695565325&amp;sr=8-6")</f>
        <v/>
      </c>
      <c r="F5151" t="inlineStr">
        <is>
          <t>B0CC86RYJW</t>
        </is>
      </c>
      <c r="H5151">
        <f>_xlfn.IMAGE("https://m.media-amazon.com/images/I/71Ph0C6SZnL._AC_UL320_.jpg")</f>
        <v/>
      </c>
      <c r="K5151" t="inlineStr">
        <is>
          <t>9.99</t>
        </is>
      </c>
      <c r="L5151" t="n">
        <v>24.99</v>
      </c>
      <c r="M5151" s="1" t="inlineStr">
        <is>
          <t>150.15%</t>
        </is>
      </c>
      <c r="N5151" t="n">
        <v>5</v>
      </c>
      <c r="O5151" t="n">
        <v>2</v>
      </c>
      <c r="Q5151" t="inlineStr">
        <is>
          <t>undefined</t>
        </is>
      </c>
      <c r="R5151" t="inlineStr">
        <is>
          <t>14.99</t>
        </is>
      </c>
      <c r="S5151" t="inlineStr">
        <is>
          <t>1586289371</t>
        </is>
      </c>
    </row>
    <row r="5152" ht="75" customHeight="1">
      <c r="A5152" s="2">
        <f>HYPERLINK("https://www.cafepress.com/mf/99017270/festive-pumpkin_mugs?productId=1586289371", "https://www.cafepress.com/mf/99017270/festive-pumpkin_mugs?productId=1586289371")</f>
        <v/>
      </c>
      <c r="B5152" s="2">
        <f>HYPERLINK("https://www.cafepress.com/mf/99017270/festive-pumpkin_mugs?productId=1586289371", "https://www.cafepress.com/mf/99017270/festive-pumpkin_mugs?productId=1586289371")</f>
        <v/>
      </c>
      <c r="C5152" t="inlineStr">
        <is>
          <t>FESTIVE PUMPKIN 11 oz Ceramic Mug</t>
        </is>
      </c>
      <c r="D5152" t="inlineStr">
        <is>
          <t>Pumpkin Mug - Personalized Large 15 oz or 11 oz Ceramic Cup - Pumpkin Gifts for Women - Fall Coffee Cups - Dishwasher &amp; Microwave Safe - Made In USA</t>
        </is>
      </c>
      <c r="E5152" s="2">
        <f>HYPERLINK("https://www.amazon.com/Pumpkin-Mug-Personalized-Dishwasher-Microwave/dp/B07ZG31P8T/ref=sr_1_2?keywords=FESTIVE+PUMPKIN+11+oz+Ceramic+Mug&amp;qid=1695565325&amp;sr=8-2", "https://www.amazon.com/Pumpkin-Mug-Personalized-Dishwasher-Microwave/dp/B07ZG31P8T/ref=sr_1_2?keywords=FESTIVE+PUMPKIN+11+oz+Ceramic+Mug&amp;qid=1695565325&amp;sr=8-2")</f>
        <v/>
      </c>
      <c r="F5152" t="inlineStr">
        <is>
          <t>B07ZG31P8T</t>
        </is>
      </c>
      <c r="H5152">
        <f>_xlfn.IMAGE("https://m.media-amazon.com/images/I/71kDshJP1dL._AC_UL320_.jpg")</f>
        <v/>
      </c>
      <c r="K5152" t="inlineStr">
        <is>
          <t>9.99</t>
        </is>
      </c>
      <c r="L5152" t="n">
        <v>18.99</v>
      </c>
      <c r="M5152" s="1" t="inlineStr">
        <is>
          <t>90.09%</t>
        </is>
      </c>
      <c r="N5152" t="n">
        <v>4.5</v>
      </c>
      <c r="O5152" t="n">
        <v>98</v>
      </c>
      <c r="Q5152" t="inlineStr">
        <is>
          <t>undefined</t>
        </is>
      </c>
      <c r="R5152" t="inlineStr">
        <is>
          <t>14.99</t>
        </is>
      </c>
      <c r="S5152" t="inlineStr">
        <is>
          <t>1586289371</t>
        </is>
      </c>
    </row>
  </sheetData>
  <autoFilter ref="A1:W5152">
    <sortState ref="A2:W5152">
      <sortCondition ref="A1:A5152"/>
    </sortState>
  </autoFilter>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2023-09-24T14:21:39Z</dcterms:created>
  <dcterms:modified xsi:type="dcterms:W3CDTF">2023-09-29T19:58:38Z</dcterms:modified>
  <cp:lastModifiedBy>John Connolly</cp:lastModifiedBy>
</cp:coreProperties>
</file>